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65"/>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43">'Appendix H'!$A$3:$I$62</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F'!$B$3:$AK$142</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Footnotes!$A$2:$P$84</definedName>
    <definedName name="_xlnm.Print_Area" localSheetId="36">'HCRA '!$A$3:$Z$62</definedName>
    <definedName name="_xlnm.Print_Area" localSheetId="37">'HCRA PROG DISB'!$A$3:$D$72</definedName>
    <definedName name="_xlnm.Print_Area" localSheetId="39">'Medicaid Disp Share'!$B$2:$M$52</definedName>
    <definedName name="_xlnm.Print_Area" localSheetId="38">'Public Goods '!$A$3:$L$54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S39" i="16" l="1"/>
  <c r="S39" i="17"/>
  <c r="D61" i="38" l="1"/>
  <c r="D66" i="38" s="1"/>
  <c r="C61" i="38"/>
  <c r="C66" i="38" s="1"/>
  <c r="B61" i="38"/>
  <c r="B66" i="38" s="1"/>
  <c r="AE39" i="17" l="1"/>
  <c r="AJ39" i="17" s="1"/>
  <c r="AE39" i="16"/>
  <c r="F35" i="15"/>
  <c r="X35" i="15" s="1"/>
  <c r="AK34" i="18"/>
  <c r="AI34" i="18"/>
  <c r="V34" i="18"/>
  <c r="AJ36" i="15"/>
  <c r="D35" i="15" l="1"/>
  <c r="V35" i="15" s="1"/>
  <c r="U39" i="16"/>
  <c r="AB39" i="16" s="1"/>
  <c r="AH39" i="16" s="1"/>
  <c r="U39" i="17"/>
  <c r="AB39" i="17" s="1"/>
  <c r="AH39" i="17" s="1"/>
  <c r="AD35" i="15"/>
  <c r="AJ35" i="15" s="1"/>
  <c r="AJ39" i="16"/>
  <c r="H26" i="45"/>
  <c r="G26" i="45"/>
  <c r="G30" i="45" s="1"/>
  <c r="D26" i="45"/>
  <c r="C26" i="45"/>
  <c r="C30" i="45" s="1"/>
  <c r="H51" i="44"/>
  <c r="G51" i="44"/>
  <c r="D51" i="44"/>
  <c r="C51" i="44"/>
  <c r="C55" i="44" s="1"/>
  <c r="AH35" i="15" l="1"/>
  <c r="T18" i="37"/>
  <c r="V70" i="20"/>
  <c r="V104" i="18"/>
  <c r="U138" i="16"/>
  <c r="B33" i="6"/>
  <c r="V70" i="19" l="1"/>
  <c r="U95" i="16" s="1"/>
  <c r="U95" i="17"/>
  <c r="H30" i="45"/>
  <c r="D30" i="45"/>
  <c r="I24" i="45"/>
  <c r="E24" i="45"/>
  <c r="I23" i="45"/>
  <c r="E23" i="45"/>
  <c r="I22" i="45"/>
  <c r="E22" i="45"/>
  <c r="I21" i="45"/>
  <c r="E21" i="45"/>
  <c r="I20" i="45"/>
  <c r="E20" i="45"/>
  <c r="I19" i="45"/>
  <c r="E19" i="45"/>
  <c r="I18" i="45"/>
  <c r="E18" i="45"/>
  <c r="I17" i="45"/>
  <c r="E17" i="45"/>
  <c r="I16" i="45"/>
  <c r="E16" i="45"/>
  <c r="I15" i="45"/>
  <c r="E15" i="45"/>
  <c r="I14" i="45"/>
  <c r="E14" i="45"/>
  <c r="I13" i="45"/>
  <c r="E13" i="45"/>
  <c r="E12" i="45"/>
  <c r="I11" i="45"/>
  <c r="E11" i="45"/>
  <c r="E26" i="45" l="1"/>
  <c r="E30" i="45" s="1"/>
  <c r="T22" i="28"/>
  <c r="B23" i="6" s="1"/>
  <c r="T24" i="28"/>
  <c r="B25" i="6" s="1"/>
  <c r="I12" i="45"/>
  <c r="I26" i="45" s="1"/>
  <c r="I30" i="45" s="1"/>
  <c r="H55" i="44"/>
  <c r="G55" i="44"/>
  <c r="D55" i="44"/>
  <c r="I51" i="44"/>
  <c r="I55" i="44" s="1"/>
  <c r="E51" i="44"/>
  <c r="E55" i="44" s="1"/>
  <c r="I49" i="44"/>
  <c r="E49" i="44"/>
  <c r="I48" i="44"/>
  <c r="E48" i="44"/>
  <c r="I47" i="44"/>
  <c r="E47" i="44"/>
  <c r="I46" i="44"/>
  <c r="E46" i="44"/>
  <c r="I45" i="44"/>
  <c r="E45" i="44"/>
  <c r="I44" i="44"/>
  <c r="E44" i="44"/>
  <c r="I43" i="44"/>
  <c r="E43" i="44"/>
  <c r="I42" i="44"/>
  <c r="E42" i="44"/>
  <c r="I41" i="44"/>
  <c r="E41" i="44"/>
  <c r="I40" i="44"/>
  <c r="E40" i="44"/>
  <c r="I39" i="44"/>
  <c r="E39" i="44"/>
  <c r="I38" i="44"/>
  <c r="E38" i="44"/>
  <c r="I37" i="44"/>
  <c r="E37" i="44"/>
  <c r="I36" i="44"/>
  <c r="E36" i="44"/>
  <c r="I35" i="44"/>
  <c r="E35" i="44"/>
  <c r="I34" i="44"/>
  <c r="E34" i="44"/>
  <c r="I33" i="44"/>
  <c r="E33" i="44"/>
  <c r="I32" i="44"/>
  <c r="E32" i="44"/>
  <c r="I31" i="44"/>
  <c r="E31" i="44"/>
  <c r="I30" i="44"/>
  <c r="E30" i="44"/>
  <c r="I29" i="44"/>
  <c r="E29" i="44"/>
  <c r="I28" i="44"/>
  <c r="E28" i="44"/>
  <c r="I27" i="44"/>
  <c r="E27"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T16" i="28" l="1"/>
  <c r="B18" i="6" s="1"/>
  <c r="S40" i="16"/>
  <c r="S40" i="17"/>
  <c r="R70" i="19"/>
  <c r="P70" i="19"/>
  <c r="N70" i="19"/>
  <c r="L70" i="19"/>
  <c r="J70" i="19"/>
  <c r="H70" i="19"/>
  <c r="F70" i="19"/>
  <c r="D70" i="19"/>
  <c r="I47" i="39" l="1"/>
  <c r="I38" i="39"/>
  <c r="I28" i="39"/>
  <c r="I22" i="39"/>
  <c r="I30" i="39" l="1"/>
  <c r="I50" i="39" s="1"/>
  <c r="T70" i="19" l="1"/>
  <c r="AD70" i="19" s="1"/>
  <c r="S138" i="16"/>
  <c r="V130" i="18" l="1"/>
  <c r="V47" i="18"/>
  <c r="U52" i="16" s="1"/>
  <c r="W68" i="24"/>
  <c r="V114" i="18"/>
  <c r="D37" i="2" s="1"/>
  <c r="V124" i="18"/>
  <c r="V43" i="18"/>
  <c r="W93" i="24"/>
  <c r="W70" i="24"/>
  <c r="W44" i="25"/>
  <c r="W74" i="25"/>
  <c r="W42" i="24"/>
  <c r="V40" i="18"/>
  <c r="D42" i="15" s="1"/>
  <c r="W65" i="25"/>
  <c r="V87" i="18"/>
  <c r="W73" i="24"/>
  <c r="V107" i="18"/>
  <c r="D30" i="2" s="1"/>
  <c r="D50" i="15" l="1"/>
  <c r="U52" i="17"/>
  <c r="D45" i="15"/>
  <c r="W94" i="23"/>
  <c r="P50" i="2" s="1"/>
  <c r="Z22" i="43"/>
  <c r="V54" i="20" l="1"/>
  <c r="V73" i="20"/>
  <c r="V97" i="20"/>
  <c r="H34" i="3" s="1"/>
  <c r="V102" i="20"/>
  <c r="H39" i="3" s="1"/>
  <c r="V68" i="21"/>
  <c r="V76" i="20"/>
  <c r="V68" i="20"/>
  <c r="J43" i="40"/>
  <c r="J36" i="40"/>
  <c r="J22" i="40"/>
  <c r="J16" i="40"/>
  <c r="U19" i="26" l="1"/>
  <c r="B18" i="5" s="1"/>
  <c r="J24" i="40"/>
  <c r="J46" i="40" s="1"/>
  <c r="S23" i="16" l="1"/>
  <c r="S23" i="17"/>
  <c r="Z15" i="43"/>
  <c r="Z26" i="43"/>
  <c r="P98" i="20"/>
  <c r="P105" i="20" s="1"/>
  <c r="P114" i="20"/>
  <c r="Q138" i="16"/>
  <c r="Q12" i="34" l="1"/>
  <c r="E65" i="34" l="1"/>
  <c r="M21" i="17"/>
  <c r="M22" i="17"/>
  <c r="M23" i="17"/>
  <c r="M24" i="17"/>
  <c r="M25" i="17"/>
  <c r="O138" i="16"/>
  <c r="S129" i="17" l="1"/>
  <c r="T22" i="19"/>
  <c r="B6" i="24"/>
  <c r="S129" i="16" l="1"/>
  <c r="T23" i="19"/>
  <c r="S35" i="17"/>
  <c r="L15" i="39"/>
  <c r="Z30" i="43"/>
  <c r="S35" i="16" l="1"/>
  <c r="M30" i="41"/>
  <c r="Q65" i="17" l="1"/>
  <c r="K30" i="41"/>
  <c r="Q52" i="17" l="1"/>
  <c r="Q52" i="16"/>
  <c r="H43" i="40"/>
  <c r="H36" i="40"/>
  <c r="H22" i="40"/>
  <c r="H16" i="40"/>
  <c r="G47" i="39"/>
  <c r="G38" i="39"/>
  <c r="G28" i="39"/>
  <c r="G22" i="39"/>
  <c r="Q24" i="16" l="1"/>
  <c r="Q24" i="17"/>
  <c r="H24" i="40"/>
  <c r="H46" i="40" s="1"/>
  <c r="G30" i="39"/>
  <c r="G50" i="39" s="1"/>
  <c r="I107" i="17" l="1"/>
  <c r="I113" i="17"/>
  <c r="I114" i="17"/>
  <c r="I115" i="17"/>
  <c r="I117" i="17"/>
  <c r="I118" i="17"/>
  <c r="I119" i="17"/>
  <c r="I120" i="17"/>
  <c r="I121" i="17"/>
  <c r="I122" i="17"/>
  <c r="I125" i="17"/>
  <c r="I126" i="17"/>
  <c r="I127" i="17"/>
  <c r="I129" i="17"/>
  <c r="I130" i="17"/>
  <c r="I138" i="17"/>
  <c r="I139" i="17"/>
  <c r="P31" i="19" l="1"/>
  <c r="O53" i="17"/>
  <c r="O65" i="17"/>
  <c r="I141" i="17"/>
  <c r="I123" i="17"/>
  <c r="I132" i="17" s="1"/>
  <c r="A52" i="8"/>
  <c r="A53" i="9" s="1"/>
  <c r="A44" i="10" s="1"/>
  <c r="A44" i="11" s="1"/>
  <c r="A42" i="12" s="1"/>
  <c r="A43" i="13" s="1"/>
  <c r="A43" i="14" s="1"/>
  <c r="O53" i="16" l="1"/>
  <c r="E57" i="17"/>
  <c r="M42" i="40" l="1"/>
  <c r="I138" i="16" l="1"/>
  <c r="S52" i="17" l="1"/>
  <c r="S52" i="16"/>
  <c r="S57" i="16"/>
  <c r="S57" i="17"/>
  <c r="O52" i="23"/>
  <c r="J56" i="15"/>
  <c r="H56" i="15"/>
  <c r="T43" i="22" l="1"/>
  <c r="T23" i="22"/>
  <c r="L55" i="15" s="1"/>
  <c r="X24" i="22"/>
  <c r="V24" i="22"/>
  <c r="R24" i="22"/>
  <c r="D24" i="22"/>
  <c r="B24" i="22"/>
  <c r="AE130" i="17"/>
  <c r="AJ130" i="17" s="1"/>
  <c r="E130" i="17"/>
  <c r="C130" i="17"/>
  <c r="E28" i="17"/>
  <c r="V22" i="20" l="1"/>
  <c r="V22" i="19" s="1"/>
  <c r="H30" i="15" s="1"/>
  <c r="V111" i="20"/>
  <c r="H49" i="3" s="1"/>
  <c r="V49" i="20"/>
  <c r="V112" i="20"/>
  <c r="H50" i="3" s="1"/>
  <c r="V23" i="20"/>
  <c r="V39" i="18"/>
  <c r="D41" i="15" s="1"/>
  <c r="V90" i="20"/>
  <c r="H27" i="3" s="1"/>
  <c r="V21" i="18"/>
  <c r="U25" i="17" s="1"/>
  <c r="V109" i="18"/>
  <c r="D32" i="2" s="1"/>
  <c r="R24" i="19"/>
  <c r="E28" i="16"/>
  <c r="D20" i="15" l="1"/>
  <c r="U25" i="16"/>
  <c r="U35" i="17"/>
  <c r="V23" i="19"/>
  <c r="E57" i="16"/>
  <c r="C57" i="16"/>
  <c r="AI23" i="22"/>
  <c r="H31" i="15" l="1"/>
  <c r="U35" i="16"/>
  <c r="L74" i="19"/>
  <c r="AE57" i="16"/>
  <c r="Y58" i="16"/>
  <c r="W58" i="16"/>
  <c r="AE57" i="17"/>
  <c r="AJ57" i="17" s="1"/>
  <c r="Y58" i="17"/>
  <c r="W58" i="17"/>
  <c r="C57" i="17"/>
  <c r="T17" i="37" l="1"/>
  <c r="T15" i="37"/>
  <c r="K52" i="17"/>
  <c r="K52" i="16"/>
  <c r="K28" i="17"/>
  <c r="K28" i="16"/>
  <c r="AJ57" i="16"/>
  <c r="AD55" i="15"/>
  <c r="AJ55" i="15" s="1"/>
  <c r="Z53" i="18"/>
  <c r="X53" i="18"/>
  <c r="F53" i="18"/>
  <c r="D53" i="18"/>
  <c r="AK52" i="18"/>
  <c r="G57" i="16" l="1"/>
  <c r="G57" i="17"/>
  <c r="W49" i="24" l="1"/>
  <c r="E27" i="17"/>
  <c r="E29" i="17"/>
  <c r="E51" i="16"/>
  <c r="V101" i="18" l="1"/>
  <c r="D24" i="2" s="1"/>
  <c r="M40" i="40"/>
  <c r="M39" i="40"/>
  <c r="M35" i="40"/>
  <c r="M34" i="40"/>
  <c r="M33" i="40"/>
  <c r="M32" i="40"/>
  <c r="M31" i="40"/>
  <c r="M29" i="40"/>
  <c r="M28" i="40"/>
  <c r="M19" i="40"/>
  <c r="M21" i="40"/>
  <c r="M20" i="40"/>
  <c r="M15" i="40"/>
  <c r="F43" i="40"/>
  <c r="F36" i="40"/>
  <c r="F22" i="40"/>
  <c r="F16" i="40"/>
  <c r="M12" i="40"/>
  <c r="E47" i="39"/>
  <c r="E38" i="39"/>
  <c r="E28" i="39"/>
  <c r="E22" i="39"/>
  <c r="L12" i="39"/>
  <c r="M53" i="17" l="1"/>
  <c r="M53" i="16"/>
  <c r="M22" i="40"/>
  <c r="M43" i="40"/>
  <c r="E30" i="39"/>
  <c r="E50" i="39" s="1"/>
  <c r="F24" i="40"/>
  <c r="F46" i="40" s="1"/>
  <c r="D36" i="43"/>
  <c r="Z34" i="43"/>
  <c r="O74" i="23" l="1"/>
  <c r="C47" i="26"/>
  <c r="Q118" i="17" l="1"/>
  <c r="P24" i="19"/>
  <c r="O24" i="17"/>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V125" i="18" l="1"/>
  <c r="W92" i="24"/>
  <c r="V126" i="18"/>
  <c r="U26" i="23"/>
  <c r="S79" i="17"/>
  <c r="T24" i="19"/>
  <c r="T76" i="19"/>
  <c r="S101" i="16" s="1"/>
  <c r="U60" i="23"/>
  <c r="T68" i="19"/>
  <c r="T21" i="19"/>
  <c r="T93" i="19"/>
  <c r="T25" i="19"/>
  <c r="T54" i="19"/>
  <c r="U43" i="23"/>
  <c r="S29" i="17"/>
  <c r="U30" i="23"/>
  <c r="S96" i="17"/>
  <c r="U44" i="23"/>
  <c r="S93" i="17"/>
  <c r="T50" i="19"/>
  <c r="S89" i="17"/>
  <c r="S88" i="17"/>
  <c r="U25" i="23"/>
  <c r="S78" i="17"/>
  <c r="S91" i="17"/>
  <c r="U63" i="23"/>
  <c r="T52" i="19"/>
  <c r="U58" i="23"/>
  <c r="T30" i="19"/>
  <c r="T72" i="19"/>
  <c r="T111" i="19"/>
  <c r="T32" i="19"/>
  <c r="U57" i="23"/>
  <c r="U51" i="23"/>
  <c r="T64" i="19"/>
  <c r="S126" i="17"/>
  <c r="T59" i="19"/>
  <c r="S74" i="17"/>
  <c r="S99" i="17"/>
  <c r="U81" i="23"/>
  <c r="T102" i="19"/>
  <c r="T26" i="19"/>
  <c r="S98" i="17"/>
  <c r="T34" i="19"/>
  <c r="U41" i="23"/>
  <c r="U22" i="23"/>
  <c r="U45" i="23"/>
  <c r="S86" i="17"/>
  <c r="T66" i="19"/>
  <c r="U71" i="23"/>
  <c r="T33" i="19"/>
  <c r="S100" i="17"/>
  <c r="T17" i="19"/>
  <c r="U21" i="23"/>
  <c r="U59" i="23"/>
  <c r="S87" i="17"/>
  <c r="U49" i="23"/>
  <c r="U92" i="23"/>
  <c r="T20" i="19"/>
  <c r="U69" i="23"/>
  <c r="U20" i="23"/>
  <c r="T44" i="19"/>
  <c r="S68" i="16" s="1"/>
  <c r="T63" i="19"/>
  <c r="S88" i="16" s="1"/>
  <c r="T88" i="19"/>
  <c r="T71" i="19"/>
  <c r="S28" i="16"/>
  <c r="U84" i="23"/>
  <c r="T97" i="19"/>
  <c r="S24" i="16"/>
  <c r="U39" i="23"/>
  <c r="U27" i="23"/>
  <c r="T73" i="19"/>
  <c r="T92" i="19"/>
  <c r="U93" i="23"/>
  <c r="U78" i="23"/>
  <c r="U94" i="23"/>
  <c r="T27" i="19"/>
  <c r="T75" i="19"/>
  <c r="S65" i="17"/>
  <c r="T53" i="18"/>
  <c r="T77" i="19"/>
  <c r="S54" i="17"/>
  <c r="T46" i="19"/>
  <c r="S21" i="17"/>
  <c r="T48" i="19"/>
  <c r="S73" i="16" s="1"/>
  <c r="S56" i="16"/>
  <c r="S56" i="17"/>
  <c r="S25" i="17"/>
  <c r="S101" i="17"/>
  <c r="U42" i="23"/>
  <c r="S122" i="17"/>
  <c r="S127" i="17"/>
  <c r="U70" i="23"/>
  <c r="T89" i="19"/>
  <c r="S117" i="17"/>
  <c r="T112" i="19"/>
  <c r="T101" i="19"/>
  <c r="S24" i="17"/>
  <c r="S22" i="17"/>
  <c r="S22" i="16"/>
  <c r="S118" i="17"/>
  <c r="T53" i="19"/>
  <c r="U48" i="23"/>
  <c r="U54" i="23"/>
  <c r="T74" i="19"/>
  <c r="S68" i="17"/>
  <c r="T57" i="19"/>
  <c r="S82" i="16" s="1"/>
  <c r="S82" i="17"/>
  <c r="S55" i="16"/>
  <c r="S55" i="17"/>
  <c r="S97" i="17"/>
  <c r="T41" i="19"/>
  <c r="S64" i="16" s="1"/>
  <c r="S64" i="17"/>
  <c r="O24" i="16"/>
  <c r="O52" i="16"/>
  <c r="O52" i="17"/>
  <c r="N92" i="19"/>
  <c r="N101" i="19"/>
  <c r="L78" i="19"/>
  <c r="K126" i="17"/>
  <c r="C25" i="16"/>
  <c r="S93" i="16" l="1"/>
  <c r="S102" i="16"/>
  <c r="S48" i="16"/>
  <c r="U75" i="23"/>
  <c r="U46" i="23"/>
  <c r="S84" i="16" s="1"/>
  <c r="U55" i="23"/>
  <c r="S96" i="16" s="1"/>
  <c r="S25" i="16"/>
  <c r="S114" i="17"/>
  <c r="S28" i="17"/>
  <c r="S34" i="16"/>
  <c r="S44" i="17"/>
  <c r="S36" i="17"/>
  <c r="S32" i="17"/>
  <c r="S37" i="17"/>
  <c r="S21" i="16"/>
  <c r="S29" i="16"/>
  <c r="S34" i="17"/>
  <c r="S36" i="16"/>
  <c r="S77" i="17"/>
  <c r="U56" i="23"/>
  <c r="S97" i="16" s="1"/>
  <c r="U52" i="23"/>
  <c r="S91" i="16" s="1"/>
  <c r="U77" i="23"/>
  <c r="S99" i="16"/>
  <c r="S44" i="16"/>
  <c r="S102" i="17"/>
  <c r="T95" i="19"/>
  <c r="S47" i="17"/>
  <c r="T90" i="19"/>
  <c r="S33" i="17"/>
  <c r="S69" i="17"/>
  <c r="T61" i="19"/>
  <c r="S86" i="16" s="1"/>
  <c r="T100" i="19"/>
  <c r="T45" i="19"/>
  <c r="S69" i="16" s="1"/>
  <c r="S122" i="16"/>
  <c r="S32" i="16"/>
  <c r="S47" i="16"/>
  <c r="S84" i="17"/>
  <c r="S98" i="16"/>
  <c r="U37" i="23"/>
  <c r="S65" i="16" s="1"/>
  <c r="S104" i="17"/>
  <c r="T79" i="19"/>
  <c r="S104" i="16" s="1"/>
  <c r="T51" i="19"/>
  <c r="S76" i="16" s="1"/>
  <c r="S100" i="16"/>
  <c r="U73" i="23"/>
  <c r="S38" i="16"/>
  <c r="S38" i="17"/>
  <c r="S139" i="17"/>
  <c r="S79" i="16"/>
  <c r="S54" i="16"/>
  <c r="T58" i="19"/>
  <c r="S83" i="16" s="1"/>
  <c r="S83" i="17"/>
  <c r="S67" i="17"/>
  <c r="S121" i="17"/>
  <c r="T96" i="19"/>
  <c r="S125" i="17"/>
  <c r="U83" i="23"/>
  <c r="T65" i="19"/>
  <c r="S90" i="16" s="1"/>
  <c r="U82" i="23"/>
  <c r="S126" i="16" s="1"/>
  <c r="U50" i="23"/>
  <c r="S89" i="16" s="1"/>
  <c r="S37" i="16"/>
  <c r="T62" i="19"/>
  <c r="S87" i="16" s="1"/>
  <c r="S130" i="17"/>
  <c r="T103" i="19"/>
  <c r="T78" i="19"/>
  <c r="S103" i="16" s="1"/>
  <c r="S73" i="17"/>
  <c r="S51" i="16"/>
  <c r="S51" i="17"/>
  <c r="S45" i="17"/>
  <c r="T31" i="19"/>
  <c r="T43" i="19"/>
  <c r="S67" i="16" s="1"/>
  <c r="S53" i="16"/>
  <c r="S53" i="17"/>
  <c r="U76" i="23"/>
  <c r="S77" i="16"/>
  <c r="U74" i="23"/>
  <c r="S75" i="16"/>
  <c r="S75" i="17"/>
  <c r="S120" i="17"/>
  <c r="S103" i="17"/>
  <c r="T49" i="19"/>
  <c r="S74" i="16" s="1"/>
  <c r="S76" i="17"/>
  <c r="S46" i="17"/>
  <c r="S46" i="16"/>
  <c r="T82" i="19"/>
  <c r="S107" i="17"/>
  <c r="S78" i="16"/>
  <c r="S72" i="16"/>
  <c r="S72" i="17"/>
  <c r="S41" i="17"/>
  <c r="S41" i="16"/>
  <c r="T94" i="19"/>
  <c r="S119" i="17"/>
  <c r="S113" i="16"/>
  <c r="S113" i="17"/>
  <c r="T56" i="19"/>
  <c r="S81" i="16" s="1"/>
  <c r="S81" i="17"/>
  <c r="S27" i="17"/>
  <c r="S33" i="16"/>
  <c r="S115" i="17"/>
  <c r="S70" i="17"/>
  <c r="S70" i="16"/>
  <c r="S90" i="17"/>
  <c r="S48" i="17"/>
  <c r="S114" i="16"/>
  <c r="Q113" i="17"/>
  <c r="P24" i="22"/>
  <c r="Q23" i="16"/>
  <c r="Q23" i="17"/>
  <c r="K64" i="17"/>
  <c r="C22" i="34"/>
  <c r="C62" i="34"/>
  <c r="C59" i="34"/>
  <c r="C57" i="34"/>
  <c r="C56" i="34"/>
  <c r="C53" i="34"/>
  <c r="C52" i="34"/>
  <c r="C51" i="34"/>
  <c r="C50" i="34"/>
  <c r="C49" i="34"/>
  <c r="C48" i="34"/>
  <c r="C43" i="34"/>
  <c r="C39" i="34"/>
  <c r="C38" i="34"/>
  <c r="C35" i="34"/>
  <c r="C34" i="34"/>
  <c r="C31" i="34"/>
  <c r="C30" i="34"/>
  <c r="C29" i="34"/>
  <c r="C26" i="34"/>
  <c r="C23" i="34"/>
  <c r="C21" i="34"/>
  <c r="C19" i="34"/>
  <c r="C16" i="34"/>
  <c r="S58" i="17" l="1"/>
  <c r="S58" i="16"/>
  <c r="S125" i="16"/>
  <c r="S127" i="16"/>
  <c r="S115" i="16"/>
  <c r="S119" i="16"/>
  <c r="S120" i="16"/>
  <c r="S45" i="16"/>
  <c r="S130" i="16"/>
  <c r="S117" i="16"/>
  <c r="S118" i="16"/>
  <c r="S121" i="16"/>
  <c r="S94" i="17"/>
  <c r="T69" i="19"/>
  <c r="S94" i="16" s="1"/>
  <c r="S107" i="16"/>
  <c r="S138" i="17"/>
  <c r="J101" i="19"/>
  <c r="AC9" i="21"/>
  <c r="AC9" i="20"/>
  <c r="R21" i="15" l="1"/>
  <c r="P21" i="15"/>
  <c r="N21" i="15"/>
  <c r="L21" i="15"/>
  <c r="J21" i="15"/>
  <c r="H21" i="15"/>
  <c r="X22" i="18"/>
  <c r="T22" i="18"/>
  <c r="W36" i="25" l="1"/>
  <c r="V103" i="18"/>
  <c r="W50" i="24"/>
  <c r="V48" i="21"/>
  <c r="V76" i="19" s="1"/>
  <c r="T40" i="22"/>
  <c r="V31" i="18"/>
  <c r="D32" i="15" s="1"/>
  <c r="V64" i="20"/>
  <c r="W72" i="24"/>
  <c r="V21" i="21"/>
  <c r="V17" i="18"/>
  <c r="V78" i="18"/>
  <c r="W25" i="24"/>
  <c r="W26" i="23" s="1"/>
  <c r="P42" i="15" s="1"/>
  <c r="T35" i="37"/>
  <c r="V75" i="18"/>
  <c r="V78" i="20"/>
  <c r="V79" i="18"/>
  <c r="T29" i="37"/>
  <c r="T16" i="22"/>
  <c r="T44" i="22"/>
  <c r="V77" i="20"/>
  <c r="W21" i="25"/>
  <c r="V96" i="20"/>
  <c r="V96" i="19" s="1"/>
  <c r="H32" i="2" s="1"/>
  <c r="V80" i="18"/>
  <c r="W33" i="25"/>
  <c r="V47" i="21"/>
  <c r="V67" i="21"/>
  <c r="V62" i="18"/>
  <c r="W23" i="25"/>
  <c r="V29" i="18"/>
  <c r="D29" i="15" s="1"/>
  <c r="V110" i="18"/>
  <c r="V105" i="18"/>
  <c r="D28" i="2" s="1"/>
  <c r="V57" i="20"/>
  <c r="V57" i="19" s="1"/>
  <c r="U82" i="16" s="1"/>
  <c r="D17" i="32"/>
  <c r="V71" i="18"/>
  <c r="T31" i="37"/>
  <c r="V66" i="21"/>
  <c r="V84" i="21"/>
  <c r="V112" i="19" s="1"/>
  <c r="H50" i="2" s="1"/>
  <c r="V30" i="21"/>
  <c r="V21" i="20"/>
  <c r="V21" i="19" s="1"/>
  <c r="H29" i="15" s="1"/>
  <c r="V131" i="18"/>
  <c r="U21" i="26"/>
  <c r="B20" i="5" s="1"/>
  <c r="W44" i="24"/>
  <c r="T53" i="22"/>
  <c r="L37" i="2" s="1"/>
  <c r="V74" i="20"/>
  <c r="U99" i="17" s="1"/>
  <c r="T36" i="37"/>
  <c r="T32" i="28"/>
  <c r="V46" i="18"/>
  <c r="W54" i="25"/>
  <c r="V81" i="18"/>
  <c r="W32" i="25"/>
  <c r="W50" i="23" s="1"/>
  <c r="V65" i="20"/>
  <c r="V52" i="18"/>
  <c r="V28" i="21"/>
  <c r="V33" i="18"/>
  <c r="D34" i="15" s="1"/>
  <c r="W53" i="24"/>
  <c r="W74" i="24"/>
  <c r="W75" i="23" s="1"/>
  <c r="P30" i="2" s="1"/>
  <c r="T55" i="22"/>
  <c r="V89" i="20"/>
  <c r="V89" i="18"/>
  <c r="V41" i="20"/>
  <c r="W52" i="25"/>
  <c r="W71" i="23" s="1"/>
  <c r="P26" i="2" s="1"/>
  <c r="V88" i="20"/>
  <c r="W20" i="24"/>
  <c r="W21" i="23" s="1"/>
  <c r="P32" i="15" s="1"/>
  <c r="V39" i="21"/>
  <c r="T22" i="29"/>
  <c r="F23" i="6" s="1"/>
  <c r="V50" i="20"/>
  <c r="T17" i="27"/>
  <c r="F18" i="5" s="1"/>
  <c r="W26" i="25"/>
  <c r="V32" i="20"/>
  <c r="V32" i="19" s="1"/>
  <c r="H43" i="15" s="1"/>
  <c r="V62" i="21"/>
  <c r="V90" i="19" s="1"/>
  <c r="H26" i="2" s="1"/>
  <c r="V72" i="21"/>
  <c r="V38" i="21"/>
  <c r="V65" i="19" s="1"/>
  <c r="V26" i="20"/>
  <c r="V26" i="19" s="1"/>
  <c r="H34" i="15" s="1"/>
  <c r="W21" i="24"/>
  <c r="W22" i="23" s="1"/>
  <c r="P34" i="15" s="1"/>
  <c r="V44" i="20"/>
  <c r="V100" i="20"/>
  <c r="H37" i="3" s="1"/>
  <c r="W76" i="24"/>
  <c r="V77" i="18"/>
  <c r="V44" i="21"/>
  <c r="W73" i="25"/>
  <c r="W93" i="23" s="1"/>
  <c r="P49" i="2" s="1"/>
  <c r="T30" i="22"/>
  <c r="T23" i="29"/>
  <c r="F24" i="6" s="1"/>
  <c r="V23" i="18"/>
  <c r="W39" i="25"/>
  <c r="T16" i="29"/>
  <c r="F18" i="6" s="1"/>
  <c r="W30" i="25"/>
  <c r="V24" i="21"/>
  <c r="T64" i="22"/>
  <c r="L49" i="2" s="1"/>
  <c r="U44" i="26"/>
  <c r="B35" i="5" s="1"/>
  <c r="W47" i="24"/>
  <c r="T31" i="29"/>
  <c r="F32" i="6" s="1"/>
  <c r="V46" i="21"/>
  <c r="V74" i="19" s="1"/>
  <c r="U99" i="16" s="1"/>
  <c r="V72" i="18"/>
  <c r="T35" i="22"/>
  <c r="T37" i="37"/>
  <c r="V73" i="21"/>
  <c r="V127" i="18"/>
  <c r="V128" i="18"/>
  <c r="V35" i="21"/>
  <c r="V75" i="20"/>
  <c r="V75" i="19" s="1"/>
  <c r="V65" i="18"/>
  <c r="V22" i="21"/>
  <c r="T40" i="37"/>
  <c r="V49" i="21"/>
  <c r="W59" i="24"/>
  <c r="W56" i="24"/>
  <c r="W57" i="23" s="1"/>
  <c r="V108" i="18"/>
  <c r="D31" i="2" s="1"/>
  <c r="W40" i="25"/>
  <c r="W59" i="23" s="1"/>
  <c r="V43" i="21"/>
  <c r="T25" i="27"/>
  <c r="F25" i="5" s="1"/>
  <c r="V95" i="20"/>
  <c r="U120" i="17" s="1"/>
  <c r="U30" i="26"/>
  <c r="B26" i="5" s="1"/>
  <c r="T32" i="29"/>
  <c r="F33" i="6" s="1"/>
  <c r="V74" i="21"/>
  <c r="V102" i="19" s="1"/>
  <c r="H38" i="2" s="1"/>
  <c r="V58" i="20"/>
  <c r="U83" i="17" s="1"/>
  <c r="V51" i="20"/>
  <c r="V51" i="19" s="1"/>
  <c r="U76" i="16" s="1"/>
  <c r="W38" i="25"/>
  <c r="V36" i="21"/>
  <c r="V29" i="21"/>
  <c r="V42" i="21"/>
  <c r="V85" i="18"/>
  <c r="W28" i="25"/>
  <c r="V33" i="20"/>
  <c r="V33" i="19" s="1"/>
  <c r="H44" i="15" s="1"/>
  <c r="V19" i="21"/>
  <c r="V60" i="21"/>
  <c r="W36" i="24"/>
  <c r="V71" i="20"/>
  <c r="V74" i="18"/>
  <c r="U79" i="17" s="1"/>
  <c r="W25" i="25"/>
  <c r="W43" i="23" s="1"/>
  <c r="V32" i="18"/>
  <c r="D33" i="15" s="1"/>
  <c r="V51" i="18"/>
  <c r="W82" i="24"/>
  <c r="V67" i="18"/>
  <c r="U29" i="26"/>
  <c r="B25" i="5" s="1"/>
  <c r="V75" i="21"/>
  <c r="W81" i="24"/>
  <c r="W82" i="23" s="1"/>
  <c r="P37" i="2" s="1"/>
  <c r="T34" i="22"/>
  <c r="V64" i="18"/>
  <c r="V41" i="18"/>
  <c r="D43" i="15" s="1"/>
  <c r="AI35" i="18"/>
  <c r="V35" i="18"/>
  <c r="F36" i="15"/>
  <c r="X36" i="15" s="1"/>
  <c r="AH36" i="15" s="1"/>
  <c r="W29" i="24"/>
  <c r="W30" i="23" s="1"/>
  <c r="P52" i="15" s="1"/>
  <c r="V45" i="20"/>
  <c r="U69" i="17" s="1"/>
  <c r="V18" i="18"/>
  <c r="V66" i="20"/>
  <c r="U91" i="17" s="1"/>
  <c r="V69" i="18"/>
  <c r="V54" i="21"/>
  <c r="T26" i="27"/>
  <c r="F26" i="5" s="1"/>
  <c r="V42" i="18"/>
  <c r="U47" i="16" s="1"/>
  <c r="W50" i="25"/>
  <c r="W69" i="23" s="1"/>
  <c r="P24" i="2" s="1"/>
  <c r="W24" i="25"/>
  <c r="T23" i="28"/>
  <c r="B24" i="6" s="1"/>
  <c r="T39" i="37"/>
  <c r="V50" i="21"/>
  <c r="V78" i="19" s="1"/>
  <c r="T20" i="37"/>
  <c r="V20" i="20"/>
  <c r="V20" i="19" s="1"/>
  <c r="H28" i="15" s="1"/>
  <c r="V101" i="20"/>
  <c r="H38" i="3" s="1"/>
  <c r="V88" i="18"/>
  <c r="T65" i="22"/>
  <c r="L50" i="2" s="1"/>
  <c r="W54" i="24"/>
  <c r="V32" i="21"/>
  <c r="T24" i="29"/>
  <c r="F25" i="6" s="1"/>
  <c r="U32" i="26"/>
  <c r="B28" i="5" s="1"/>
  <c r="V36" i="18"/>
  <c r="T38" i="22"/>
  <c r="W83" i="24"/>
  <c r="W84" i="23" s="1"/>
  <c r="P41" i="2" s="1"/>
  <c r="V23" i="21"/>
  <c r="T40" i="27"/>
  <c r="F36" i="5" s="1"/>
  <c r="V50" i="18"/>
  <c r="D53" i="15" s="1"/>
  <c r="W75" i="24"/>
  <c r="W27" i="25"/>
  <c r="W45" i="23" s="1"/>
  <c r="V52" i="20"/>
  <c r="W51" i="25"/>
  <c r="V31" i="20"/>
  <c r="U45" i="17" s="1"/>
  <c r="W57" i="25"/>
  <c r="W76" i="23" s="1"/>
  <c r="P31" i="2" s="1"/>
  <c r="T27" i="37"/>
  <c r="T32" i="22"/>
  <c r="D24" i="32"/>
  <c r="V103" i="20"/>
  <c r="V103" i="19" s="1"/>
  <c r="V73" i="18"/>
  <c r="W62" i="25"/>
  <c r="V17" i="20"/>
  <c r="W31" i="25"/>
  <c r="W58" i="24"/>
  <c r="AE40" i="17"/>
  <c r="AJ40" i="17" s="1"/>
  <c r="AK35" i="18"/>
  <c r="AE40" i="16"/>
  <c r="AJ40" i="16" s="1"/>
  <c r="T22" i="22"/>
  <c r="V113" i="18"/>
  <c r="V26" i="21"/>
  <c r="V49" i="19" s="1"/>
  <c r="T37" i="22"/>
  <c r="U45" i="26"/>
  <c r="B36" i="5" s="1"/>
  <c r="V43" i="20"/>
  <c r="V84" i="18"/>
  <c r="T16" i="37"/>
  <c r="W56" i="25"/>
  <c r="W41" i="25"/>
  <c r="W24" i="24"/>
  <c r="W25" i="23" s="1"/>
  <c r="P41" i="15" s="1"/>
  <c r="V92" i="20"/>
  <c r="U117" i="17" s="1"/>
  <c r="V19" i="18"/>
  <c r="V53" i="20"/>
  <c r="V53" i="19" s="1"/>
  <c r="V69" i="21"/>
  <c r="V97" i="19" s="1"/>
  <c r="H33" i="2" s="1"/>
  <c r="W55" i="25"/>
  <c r="W74" i="23" s="1"/>
  <c r="P29" i="2" s="1"/>
  <c r="W58" i="25"/>
  <c r="T39" i="27"/>
  <c r="F35" i="5" s="1"/>
  <c r="U31" i="26"/>
  <c r="B27" i="5" s="1"/>
  <c r="V79" i="20"/>
  <c r="W57" i="24"/>
  <c r="V61" i="21"/>
  <c r="W37" i="25"/>
  <c r="V28" i="18"/>
  <c r="U32" i="17" s="1"/>
  <c r="T39" i="22"/>
  <c r="T47" i="22"/>
  <c r="L19" i="2" s="1"/>
  <c r="W91" i="24"/>
  <c r="V27" i="21"/>
  <c r="V50" i="19" s="1"/>
  <c r="U75" i="16" s="1"/>
  <c r="V46" i="20"/>
  <c r="V37" i="21"/>
  <c r="V64" i="19" s="1"/>
  <c r="V94" i="20"/>
  <c r="V60" i="18"/>
  <c r="U65" i="17" s="1"/>
  <c r="W59" i="25"/>
  <c r="V59" i="20"/>
  <c r="U84" i="17" s="1"/>
  <c r="D45" i="32"/>
  <c r="D48" i="32" s="1"/>
  <c r="W38" i="24"/>
  <c r="W39" i="23" s="1"/>
  <c r="T31" i="28"/>
  <c r="B32" i="6" s="1"/>
  <c r="W51" i="24"/>
  <c r="T21" i="37"/>
  <c r="V24" i="20"/>
  <c r="V24" i="19" s="1"/>
  <c r="H32" i="15" s="1"/>
  <c r="AG112" i="19"/>
  <c r="V86" i="18"/>
  <c r="V70" i="18"/>
  <c r="V82" i="20"/>
  <c r="H20" i="3" s="1"/>
  <c r="W48" i="24"/>
  <c r="V61" i="20"/>
  <c r="U86" i="17" s="1"/>
  <c r="V24" i="18"/>
  <c r="V62" i="20"/>
  <c r="U87" i="17" s="1"/>
  <c r="W69" i="24"/>
  <c r="V68" i="18"/>
  <c r="T19" i="22"/>
  <c r="L28" i="15" s="1"/>
  <c r="V25" i="20"/>
  <c r="V25" i="19" s="1"/>
  <c r="H33" i="15" s="1"/>
  <c r="V48" i="18"/>
  <c r="V106" i="18"/>
  <c r="U20" i="26"/>
  <c r="B19" i="5" s="1"/>
  <c r="T28" i="37"/>
  <c r="V27" i="20"/>
  <c r="V27" i="19" s="1"/>
  <c r="H37" i="15" s="1"/>
  <c r="V59" i="18"/>
  <c r="T27" i="27"/>
  <c r="F27" i="5" s="1"/>
  <c r="V92" i="18"/>
  <c r="U103" i="17" s="1"/>
  <c r="V83" i="18"/>
  <c r="U93" i="17" s="1"/>
  <c r="W19" i="25"/>
  <c r="V56" i="20"/>
  <c r="V49" i="18"/>
  <c r="U54" i="17" s="1"/>
  <c r="W19" i="24"/>
  <c r="W20" i="23" s="1"/>
  <c r="P29" i="15" s="1"/>
  <c r="W43" i="24"/>
  <c r="T36" i="22"/>
  <c r="V83" i="21"/>
  <c r="V111" i="19" s="1"/>
  <c r="H49" i="2" s="1"/>
  <c r="W55" i="24"/>
  <c r="W56" i="23" s="1"/>
  <c r="W45" i="24"/>
  <c r="W77" i="24"/>
  <c r="V48" i="20"/>
  <c r="V129" i="18"/>
  <c r="V45" i="21"/>
  <c r="V73" i="19" s="1"/>
  <c r="V63" i="18"/>
  <c r="U68" i="17" s="1"/>
  <c r="V31" i="21"/>
  <c r="V54" i="19" s="1"/>
  <c r="U79" i="16" s="1"/>
  <c r="V20" i="18"/>
  <c r="V30" i="18"/>
  <c r="D30" i="15" s="1"/>
  <c r="V34" i="20"/>
  <c r="V34" i="19" s="1"/>
  <c r="V93" i="20"/>
  <c r="V63" i="20"/>
  <c r="U88" i="17" s="1"/>
  <c r="V65" i="21"/>
  <c r="V64" i="21"/>
  <c r="V72" i="20"/>
  <c r="V72" i="19" s="1"/>
  <c r="U97" i="16" s="1"/>
  <c r="W64" i="25"/>
  <c r="AG111" i="19"/>
  <c r="V91" i="18"/>
  <c r="V51" i="21"/>
  <c r="V95" i="18"/>
  <c r="V90" i="18"/>
  <c r="U101" i="17" s="1"/>
  <c r="T41" i="37"/>
  <c r="T42" i="22"/>
  <c r="U98" i="17" s="1"/>
  <c r="W80" i="24"/>
  <c r="W34" i="25"/>
  <c r="V41" i="21"/>
  <c r="V68" i="19" s="1"/>
  <c r="V34" i="21"/>
  <c r="V61" i="19" s="1"/>
  <c r="W63" i="25"/>
  <c r="V115" i="18"/>
  <c r="T19" i="37"/>
  <c r="W40" i="24"/>
  <c r="W41" i="23" s="1"/>
  <c r="U74" i="16" s="1"/>
  <c r="T33" i="22"/>
  <c r="V25" i="18"/>
  <c r="D24" i="15" s="1"/>
  <c r="V102" i="18"/>
  <c r="W41" i="24"/>
  <c r="W42" i="23" s="1"/>
  <c r="W62" i="24"/>
  <c r="W63" i="23" s="1"/>
  <c r="P19" i="2" s="1"/>
  <c r="V30" i="20"/>
  <c r="W26" i="24"/>
  <c r="W27" i="23" s="1"/>
  <c r="P45" i="15" s="1"/>
  <c r="T22" i="37"/>
  <c r="U55" i="17"/>
  <c r="W70" i="23"/>
  <c r="P25" i="2" s="1"/>
  <c r="W54" i="23"/>
  <c r="U93" i="16" s="1"/>
  <c r="U121" i="17"/>
  <c r="D36" i="2"/>
  <c r="U55" i="16"/>
  <c r="U34" i="16"/>
  <c r="V53" i="18"/>
  <c r="D17" i="2" s="1"/>
  <c r="V22" i="18"/>
  <c r="U34" i="17"/>
  <c r="U48" i="17"/>
  <c r="U29" i="16"/>
  <c r="W60" i="23"/>
  <c r="V31" i="19"/>
  <c r="U38" i="17"/>
  <c r="W52" i="23"/>
  <c r="W46" i="23"/>
  <c r="D29" i="2"/>
  <c r="U90" i="17"/>
  <c r="W55" i="23"/>
  <c r="U77" i="17"/>
  <c r="V58" i="19"/>
  <c r="U83" i="16" s="1"/>
  <c r="U46" i="17"/>
  <c r="H33" i="3"/>
  <c r="U33" i="17"/>
  <c r="U46" i="16"/>
  <c r="U74" i="17"/>
  <c r="U75" i="17"/>
  <c r="D19" i="2"/>
  <c r="D36" i="15"/>
  <c r="V36" i="15" s="1"/>
  <c r="U40" i="17"/>
  <c r="AB40" i="17" s="1"/>
  <c r="AH40" i="17" s="1"/>
  <c r="L52" i="15"/>
  <c r="T24" i="22"/>
  <c r="L17" i="2" s="1"/>
  <c r="D37" i="15"/>
  <c r="U41" i="17"/>
  <c r="U41" i="16"/>
  <c r="D49" i="2"/>
  <c r="W77" i="23"/>
  <c r="P32" i="2" s="1"/>
  <c r="U33" i="16"/>
  <c r="U67" i="17"/>
  <c r="V95" i="19"/>
  <c r="H32" i="3"/>
  <c r="U29" i="17"/>
  <c r="D25" i="2"/>
  <c r="U127" i="17"/>
  <c r="D38" i="2"/>
  <c r="U22" i="17"/>
  <c r="D17" i="15"/>
  <c r="U22" i="16"/>
  <c r="U28" i="17"/>
  <c r="U28" i="16"/>
  <c r="D23" i="15"/>
  <c r="D19" i="15"/>
  <c r="U24" i="17"/>
  <c r="U24" i="16"/>
  <c r="W37" i="23"/>
  <c r="D16" i="15"/>
  <c r="U21" i="17"/>
  <c r="U21" i="16"/>
  <c r="L40" i="2"/>
  <c r="U129" i="16"/>
  <c r="U129" i="17"/>
  <c r="U38" i="16"/>
  <c r="U81" i="17"/>
  <c r="V56" i="19"/>
  <c r="U81" i="16" s="1"/>
  <c r="U40" i="16"/>
  <c r="AB40" i="16" s="1"/>
  <c r="AH40" i="16" s="1"/>
  <c r="U47" i="17"/>
  <c r="D44" i="15"/>
  <c r="D51" i="15"/>
  <c r="U53" i="16"/>
  <c r="U53" i="17"/>
  <c r="U72" i="16"/>
  <c r="U72" i="17"/>
  <c r="V89" i="19"/>
  <c r="V44" i="19"/>
  <c r="U68" i="16" s="1"/>
  <c r="D18" i="15"/>
  <c r="U23" i="16"/>
  <c r="U23" i="17"/>
  <c r="V17" i="19"/>
  <c r="H15" i="3"/>
  <c r="W81" i="23"/>
  <c r="V63" i="19"/>
  <c r="U88" i="16" s="1"/>
  <c r="D54" i="15"/>
  <c r="U56" i="16"/>
  <c r="U56" i="17"/>
  <c r="W78" i="23"/>
  <c r="P33" i="2" s="1"/>
  <c r="W48" i="23"/>
  <c r="D22" i="15"/>
  <c r="U27" i="17"/>
  <c r="L23" i="15"/>
  <c r="L14" i="2"/>
  <c r="U115" i="17"/>
  <c r="D26" i="2"/>
  <c r="H45" i="15"/>
  <c r="U48" i="16"/>
  <c r="F30" i="19"/>
  <c r="F26" i="19"/>
  <c r="E21" i="17"/>
  <c r="E21" i="16"/>
  <c r="Y95" i="24"/>
  <c r="V46" i="19" l="1"/>
  <c r="V52" i="19"/>
  <c r="U77" i="16" s="1"/>
  <c r="U114" i="17"/>
  <c r="V37" i="15"/>
  <c r="V88" i="19"/>
  <c r="H24" i="2" s="1"/>
  <c r="V101" i="19"/>
  <c r="H37" i="2" s="1"/>
  <c r="U115" i="16"/>
  <c r="H26" i="3"/>
  <c r="U126" i="17"/>
  <c r="V43" i="19"/>
  <c r="U67" i="16" s="1"/>
  <c r="U82" i="17"/>
  <c r="Z24" i="37"/>
  <c r="D50" i="2"/>
  <c r="U101" i="16"/>
  <c r="U65" i="16"/>
  <c r="W73" i="23"/>
  <c r="P28" i="2" s="1"/>
  <c r="W44" i="23"/>
  <c r="U78" i="16" s="1"/>
  <c r="U45" i="16"/>
  <c r="U78" i="17"/>
  <c r="U138" i="17"/>
  <c r="V79" i="19"/>
  <c r="U104" i="16" s="1"/>
  <c r="V41" i="19"/>
  <c r="U64" i="16" s="1"/>
  <c r="V77" i="19"/>
  <c r="U100" i="17"/>
  <c r="U104" i="17"/>
  <c r="H42" i="3"/>
  <c r="U102" i="17"/>
  <c r="U64" i="17"/>
  <c r="U36" i="16"/>
  <c r="U130" i="17"/>
  <c r="U107" i="17"/>
  <c r="H29" i="3"/>
  <c r="U37" i="16"/>
  <c r="U139" i="17"/>
  <c r="H41" i="2"/>
  <c r="U130" i="16"/>
  <c r="U97" i="17"/>
  <c r="U32" i="16"/>
  <c r="U98" i="16"/>
  <c r="V92" i="19"/>
  <c r="H28" i="2" s="1"/>
  <c r="W92" i="23"/>
  <c r="P48" i="2" s="1"/>
  <c r="V100" i="19"/>
  <c r="H36" i="2" s="1"/>
  <c r="U37" i="17"/>
  <c r="D52" i="15"/>
  <c r="D28" i="15"/>
  <c r="U36" i="17"/>
  <c r="U125" i="17"/>
  <c r="V66" i="19"/>
  <c r="U91" i="16" s="1"/>
  <c r="V62" i="19"/>
  <c r="U87" i="16" s="1"/>
  <c r="U54" i="16"/>
  <c r="W83" i="23"/>
  <c r="W49" i="23"/>
  <c r="W58" i="23"/>
  <c r="U100" i="16" s="1"/>
  <c r="AD50" i="2"/>
  <c r="V69" i="20"/>
  <c r="U94" i="17" s="1"/>
  <c r="T30" i="37"/>
  <c r="T23" i="37"/>
  <c r="AD49" i="2"/>
  <c r="U119" i="17"/>
  <c r="V94" i="19"/>
  <c r="H31" i="3"/>
  <c r="U96" i="17"/>
  <c r="V71" i="19"/>
  <c r="U57" i="16"/>
  <c r="D55" i="15"/>
  <c r="U57" i="17"/>
  <c r="U89" i="17"/>
  <c r="U89" i="16"/>
  <c r="V93" i="19"/>
  <c r="H30" i="3"/>
  <c r="V48" i="19"/>
  <c r="U73" i="16" s="1"/>
  <c r="U73" i="17"/>
  <c r="U118" i="17"/>
  <c r="V59" i="19"/>
  <c r="U84" i="16" s="1"/>
  <c r="D49" i="15"/>
  <c r="U51" i="17"/>
  <c r="U51" i="16"/>
  <c r="W51" i="23"/>
  <c r="U90" i="16" s="1"/>
  <c r="V30" i="19"/>
  <c r="U44" i="17"/>
  <c r="H25" i="3"/>
  <c r="U113" i="17"/>
  <c r="U76" i="17"/>
  <c r="D33" i="2"/>
  <c r="U122" i="17"/>
  <c r="U96" i="16"/>
  <c r="V82" i="19"/>
  <c r="V45" i="19"/>
  <c r="U69" i="16" s="1"/>
  <c r="U70" i="16"/>
  <c r="U70" i="17"/>
  <c r="U121" i="16"/>
  <c r="U103" i="16"/>
  <c r="U102" i="16"/>
  <c r="H42" i="15"/>
  <c r="U86" i="16"/>
  <c r="U122" i="16"/>
  <c r="H25" i="2"/>
  <c r="U114" i="16"/>
  <c r="H22" i="15"/>
  <c r="H14" i="2"/>
  <c r="P36" i="2"/>
  <c r="U120" i="16"/>
  <c r="H31" i="2"/>
  <c r="N112" i="19"/>
  <c r="I75" i="23"/>
  <c r="M197" i="42"/>
  <c r="U126" i="16" l="1"/>
  <c r="U113" i="16"/>
  <c r="U117" i="16"/>
  <c r="U58" i="16"/>
  <c r="U58" i="17"/>
  <c r="V69" i="19"/>
  <c r="U94" i="16" s="1"/>
  <c r="U125" i="16"/>
  <c r="P38" i="2"/>
  <c r="U127" i="16"/>
  <c r="H19" i="2"/>
  <c r="U107" i="16"/>
  <c r="U118" i="16"/>
  <c r="H29" i="2"/>
  <c r="H41" i="15"/>
  <c r="U44" i="16"/>
  <c r="H30" i="2"/>
  <c r="U119" i="16"/>
  <c r="M194" i="42"/>
  <c r="H21" i="36" l="1"/>
  <c r="H92" i="19" l="1"/>
  <c r="M193" i="42"/>
  <c r="K12" i="34"/>
  <c r="M12" i="34" s="1"/>
  <c r="S12" i="34" s="1"/>
  <c r="K11" i="34"/>
  <c r="S11" i="34" s="1"/>
  <c r="L11" i="32"/>
  <c r="J13" i="33" s="1"/>
  <c r="D11" i="32"/>
  <c r="K14" i="31"/>
  <c r="C14" i="31"/>
  <c r="A8" i="31"/>
  <c r="A7" i="32" s="1"/>
  <c r="A7" i="33" s="1"/>
  <c r="M20" i="23" l="1"/>
  <c r="D13" i="33"/>
  <c r="N24" i="22" l="1"/>
  <c r="G25" i="17"/>
  <c r="G25" i="16"/>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19" i="43" l="1"/>
  <c r="Q53" i="17" l="1"/>
  <c r="R25" i="19"/>
  <c r="S46" i="23"/>
  <c r="R32" i="19"/>
  <c r="R34" i="19"/>
  <c r="S25" i="23"/>
  <c r="AI87" i="18"/>
  <c r="R75" i="19"/>
  <c r="R20" i="19"/>
  <c r="R73" i="19"/>
  <c r="Q101" i="17"/>
  <c r="R33" i="19"/>
  <c r="Q114" i="17"/>
  <c r="S22" i="23"/>
  <c r="R26" i="19"/>
  <c r="R62" i="19"/>
  <c r="S59" i="23"/>
  <c r="S48" i="23"/>
  <c r="S58" i="23"/>
  <c r="S39" i="23"/>
  <c r="S74" i="23"/>
  <c r="Q100" i="17"/>
  <c r="R49" i="19"/>
  <c r="R72" i="19"/>
  <c r="R27" i="19"/>
  <c r="S63" i="23"/>
  <c r="S78" i="23"/>
  <c r="S30" i="23"/>
  <c r="S27" i="23"/>
  <c r="Q68" i="17"/>
  <c r="S60" i="23"/>
  <c r="S21" i="23"/>
  <c r="R111" i="19"/>
  <c r="S26" i="23"/>
  <c r="R94" i="19"/>
  <c r="Q93" i="17"/>
  <c r="R21" i="19"/>
  <c r="S75" i="23"/>
  <c r="Q89" i="17"/>
  <c r="R76" i="19"/>
  <c r="Q25" i="17"/>
  <c r="S77" i="23"/>
  <c r="S43" i="23"/>
  <c r="Q57" i="16"/>
  <c r="Q86" i="17"/>
  <c r="R53" i="19"/>
  <c r="R103" i="19"/>
  <c r="S93" i="23"/>
  <c r="S45" i="23"/>
  <c r="S49" i="23"/>
  <c r="R68" i="19"/>
  <c r="S84" i="23"/>
  <c r="Q70" i="17"/>
  <c r="R88" i="19"/>
  <c r="S92" i="23"/>
  <c r="R43" i="19"/>
  <c r="Q29" i="17"/>
  <c r="S82" i="23"/>
  <c r="R93" i="19"/>
  <c r="R63" i="19"/>
  <c r="Q88" i="16" s="1"/>
  <c r="R64" i="19"/>
  <c r="S20" i="23"/>
  <c r="R102" i="19"/>
  <c r="Q72" i="17"/>
  <c r="Q91" i="17"/>
  <c r="Q115" i="17"/>
  <c r="S73" i="23"/>
  <c r="Q74" i="17"/>
  <c r="R54" i="19"/>
  <c r="S57" i="23"/>
  <c r="Q77" i="17"/>
  <c r="Q103" i="17"/>
  <c r="R30" i="19"/>
  <c r="Q57" i="17"/>
  <c r="Q29" i="16"/>
  <c r="R101" i="19"/>
  <c r="Q21" i="16"/>
  <c r="R22" i="18"/>
  <c r="Q21" i="17"/>
  <c r="R58" i="19"/>
  <c r="Q83" i="16" s="1"/>
  <c r="Q83" i="17"/>
  <c r="S54" i="23"/>
  <c r="Q127" i="17"/>
  <c r="Q73" i="17"/>
  <c r="R48" i="19"/>
  <c r="Q73" i="16" s="1"/>
  <c r="R61" i="19"/>
  <c r="R50" i="19"/>
  <c r="R56" i="19"/>
  <c r="Q81" i="16" s="1"/>
  <c r="Q81" i="17"/>
  <c r="S37" i="23"/>
  <c r="Q65" i="16" s="1"/>
  <c r="Q122" i="17"/>
  <c r="Q22" i="17"/>
  <c r="Q22" i="16"/>
  <c r="S55" i="23"/>
  <c r="Q53" i="16"/>
  <c r="Q48" i="17"/>
  <c r="R112" i="19"/>
  <c r="E44" i="17"/>
  <c r="Q101" i="16" l="1"/>
  <c r="Q28" i="16"/>
  <c r="Q41" i="17"/>
  <c r="Q25" i="16"/>
  <c r="Q26" i="16" s="1"/>
  <c r="R77" i="19"/>
  <c r="R71" i="19"/>
  <c r="Q96" i="16" s="1"/>
  <c r="Q117" i="17"/>
  <c r="R92" i="19"/>
  <c r="Q41" i="16"/>
  <c r="Q28" i="17"/>
  <c r="Q75" i="16"/>
  <c r="Q100" i="16"/>
  <c r="R89" i="19"/>
  <c r="Q93" i="16"/>
  <c r="Q56" i="16"/>
  <c r="Q46" i="17"/>
  <c r="Q87" i="16"/>
  <c r="R59" i="19"/>
  <c r="Q84" i="16" s="1"/>
  <c r="Q130" i="17"/>
  <c r="Q36" i="16"/>
  <c r="Q64" i="17"/>
  <c r="R44" i="19"/>
  <c r="Q68" i="16" s="1"/>
  <c r="Q87" i="17"/>
  <c r="Q47" i="17"/>
  <c r="Q56" i="17"/>
  <c r="Q46" i="16"/>
  <c r="Q88" i="17"/>
  <c r="Q67" i="17"/>
  <c r="S44" i="23"/>
  <c r="Q78" i="16" s="1"/>
  <c r="Q86" i="16"/>
  <c r="S56" i="23"/>
  <c r="Q97" i="16" s="1"/>
  <c r="S51" i="23"/>
  <c r="S83" i="23"/>
  <c r="Q127" i="16" s="1"/>
  <c r="Q72" i="16"/>
  <c r="Q84" i="17"/>
  <c r="R65" i="19"/>
  <c r="R45" i="19"/>
  <c r="Q69" i="16" s="1"/>
  <c r="R66" i="19"/>
  <c r="Q38" i="17"/>
  <c r="Q90" i="17"/>
  <c r="Q78" i="17"/>
  <c r="Q47" i="16"/>
  <c r="Q38" i="16"/>
  <c r="Q79" i="16"/>
  <c r="Q67" i="16"/>
  <c r="R41" i="19"/>
  <c r="Q64" i="16" s="1"/>
  <c r="H51" i="2"/>
  <c r="R69" i="19"/>
  <c r="Q94" i="16" s="1"/>
  <c r="Q54" i="16"/>
  <c r="Q54" i="17"/>
  <c r="P57" i="22"/>
  <c r="R74" i="19"/>
  <c r="Q99" i="16" s="1"/>
  <c r="Q99" i="17"/>
  <c r="S94" i="23"/>
  <c r="R22" i="19"/>
  <c r="Q34" i="17"/>
  <c r="Q79" i="17"/>
  <c r="R95" i="19"/>
  <c r="Q120" i="17"/>
  <c r="Q126" i="17"/>
  <c r="Q51" i="17"/>
  <c r="R53" i="18"/>
  <c r="Q51" i="16"/>
  <c r="R51" i="19"/>
  <c r="Q76" i="16" s="1"/>
  <c r="S69" i="23"/>
  <c r="Q125" i="17"/>
  <c r="R100" i="19"/>
  <c r="Q119" i="16"/>
  <c r="Q119" i="17"/>
  <c r="R17" i="19"/>
  <c r="R97" i="19"/>
  <c r="R31" i="19"/>
  <c r="Q45" i="17"/>
  <c r="Q97" i="17"/>
  <c r="R82" i="19"/>
  <c r="Q107" i="17"/>
  <c r="Q32" i="16"/>
  <c r="Q32" i="17"/>
  <c r="S71" i="23"/>
  <c r="Q44" i="17"/>
  <c r="Q44" i="16"/>
  <c r="S50" i="23"/>
  <c r="Q89" i="16" s="1"/>
  <c r="Q35" i="17"/>
  <c r="R23" i="19"/>
  <c r="Q102" i="16"/>
  <c r="R90" i="19"/>
  <c r="S70" i="23"/>
  <c r="Q130" i="16"/>
  <c r="Q33" i="17"/>
  <c r="Q33" i="16"/>
  <c r="Q121" i="17"/>
  <c r="Q104" i="17"/>
  <c r="R79" i="19"/>
  <c r="Q104" i="16" s="1"/>
  <c r="Q27" i="17"/>
  <c r="Q36" i="17"/>
  <c r="S81" i="23"/>
  <c r="Q55" i="17"/>
  <c r="Q55" i="16"/>
  <c r="Q76" i="17"/>
  <c r="R57" i="19"/>
  <c r="Q82" i="16" s="1"/>
  <c r="Q82" i="17"/>
  <c r="Q75" i="17"/>
  <c r="Q98" i="16"/>
  <c r="Q98" i="17"/>
  <c r="S76" i="23"/>
  <c r="Q69" i="17"/>
  <c r="R96" i="19"/>
  <c r="Q118" i="16"/>
  <c r="Q96" i="17"/>
  <c r="Q102" i="17"/>
  <c r="Q129" i="16"/>
  <c r="Q129" i="17"/>
  <c r="Q37" i="16"/>
  <c r="Q37" i="17"/>
  <c r="S42" i="23"/>
  <c r="S52" i="23"/>
  <c r="S41" i="23"/>
  <c r="Q74" i="16" s="1"/>
  <c r="R46" i="19"/>
  <c r="Q70" i="16" s="1"/>
  <c r="Q139" i="17"/>
  <c r="Q48" i="16"/>
  <c r="R78" i="19"/>
  <c r="Q103" i="16" s="1"/>
  <c r="R52" i="19"/>
  <c r="Q77" i="16" s="1"/>
  <c r="Q126" i="16"/>
  <c r="N40" i="43"/>
  <c r="Q117" i="16" l="1"/>
  <c r="Q91" i="16"/>
  <c r="Q94" i="17"/>
  <c r="Q90" i="16"/>
  <c r="Q58" i="16"/>
  <c r="Q58" i="17"/>
  <c r="Q121" i="16"/>
  <c r="Q113" i="16"/>
  <c r="Q34" i="16"/>
  <c r="Q138" i="17"/>
  <c r="Q107" i="16"/>
  <c r="Q45" i="16"/>
  <c r="Q125" i="16"/>
  <c r="Q114" i="16"/>
  <c r="Q120" i="16"/>
  <c r="Q35" i="16"/>
  <c r="Q122" i="16"/>
  <c r="Q115" i="16"/>
  <c r="P33" i="19"/>
  <c r="P46" i="19"/>
  <c r="O72" i="16"/>
  <c r="Q41" i="23"/>
  <c r="Q52" i="23"/>
  <c r="O23" i="16"/>
  <c r="O93" i="17"/>
  <c r="O83" i="17"/>
  <c r="P68" i="19"/>
  <c r="P44" i="19"/>
  <c r="O68" i="16" s="1"/>
  <c r="P27" i="19"/>
  <c r="O41" i="16" s="1"/>
  <c r="Q27" i="23"/>
  <c r="O129" i="17"/>
  <c r="P22" i="19"/>
  <c r="O34" i="16" s="1"/>
  <c r="Q42" i="23"/>
  <c r="Q22" i="23"/>
  <c r="Q71" i="23"/>
  <c r="Q58" i="23"/>
  <c r="P76" i="19"/>
  <c r="Q21" i="23"/>
  <c r="Q56" i="23"/>
  <c r="Q63" i="23"/>
  <c r="P32" i="19"/>
  <c r="Q59" i="23"/>
  <c r="Q20" i="23"/>
  <c r="P71" i="19"/>
  <c r="P92" i="19"/>
  <c r="P82" i="19"/>
  <c r="P66" i="19"/>
  <c r="P26" i="19"/>
  <c r="P103" i="19"/>
  <c r="P53" i="19"/>
  <c r="Q57" i="23"/>
  <c r="P102" i="19"/>
  <c r="P96" i="19"/>
  <c r="O104" i="17"/>
  <c r="O35" i="17"/>
  <c r="P30" i="19"/>
  <c r="O88" i="17"/>
  <c r="O96" i="17"/>
  <c r="Q46" i="23"/>
  <c r="P100" i="19"/>
  <c r="P34" i="19"/>
  <c r="P90" i="19"/>
  <c r="Q51" i="23"/>
  <c r="O84" i="17"/>
  <c r="P43" i="19"/>
  <c r="P20" i="19"/>
  <c r="O90" i="17"/>
  <c r="Q30" i="23"/>
  <c r="O87" i="17"/>
  <c r="P62" i="19"/>
  <c r="O87" i="16" s="1"/>
  <c r="P75" i="19"/>
  <c r="O51" i="17"/>
  <c r="P50" i="19"/>
  <c r="O75" i="16" s="1"/>
  <c r="Q93" i="23"/>
  <c r="Q82" i="23"/>
  <c r="P22" i="18"/>
  <c r="O91" i="17"/>
  <c r="O117" i="17"/>
  <c r="P94" i="19"/>
  <c r="P25" i="19"/>
  <c r="Q26" i="23"/>
  <c r="O45" i="16" s="1"/>
  <c r="O78" i="17"/>
  <c r="P21" i="19"/>
  <c r="O33" i="16" s="1"/>
  <c r="P54" i="19"/>
  <c r="Q60" i="23"/>
  <c r="P111" i="19"/>
  <c r="Q70" i="23"/>
  <c r="P41" i="19"/>
  <c r="O64" i="16" s="1"/>
  <c r="O89" i="17"/>
  <c r="Q25" i="23"/>
  <c r="P52" i="19"/>
  <c r="Q74" i="23"/>
  <c r="Q94" i="23"/>
  <c r="O118" i="17"/>
  <c r="P88" i="19"/>
  <c r="O28" i="17"/>
  <c r="O28" i="16"/>
  <c r="Q48" i="23"/>
  <c r="O119" i="17"/>
  <c r="O82" i="17"/>
  <c r="P57" i="19"/>
  <c r="O82" i="16" s="1"/>
  <c r="P59" i="19"/>
  <c r="O27" i="17"/>
  <c r="O41" i="17"/>
  <c r="O126" i="17"/>
  <c r="Q81" i="23"/>
  <c r="O44" i="17"/>
  <c r="O33" i="17"/>
  <c r="O29" i="16"/>
  <c r="O29" i="17"/>
  <c r="O77" i="17"/>
  <c r="O102" i="17"/>
  <c r="P17" i="19"/>
  <c r="O34" i="17"/>
  <c r="O45" i="17"/>
  <c r="O204" i="42"/>
  <c r="N24" i="19"/>
  <c r="M104" i="17"/>
  <c r="O54" i="23"/>
  <c r="N66" i="19"/>
  <c r="O58" i="23"/>
  <c r="N71" i="19"/>
  <c r="N45" i="19"/>
  <c r="M69" i="16" s="1"/>
  <c r="M65" i="17"/>
  <c r="O81" i="23"/>
  <c r="N34" i="19"/>
  <c r="O45" i="23"/>
  <c r="M77" i="17"/>
  <c r="N22" i="19"/>
  <c r="O59" i="23"/>
  <c r="N30" i="19"/>
  <c r="O27" i="23"/>
  <c r="O22" i="23"/>
  <c r="M56" i="17"/>
  <c r="M82" i="17"/>
  <c r="N63" i="19"/>
  <c r="M97" i="17"/>
  <c r="N21" i="19"/>
  <c r="O21" i="23"/>
  <c r="M93" i="17"/>
  <c r="O49" i="23"/>
  <c r="O94" i="23"/>
  <c r="N51" i="19"/>
  <c r="N93" i="19"/>
  <c r="M118" i="16" s="1"/>
  <c r="M79" i="17"/>
  <c r="N75" i="19"/>
  <c r="O93" i="23"/>
  <c r="N97" i="19"/>
  <c r="O73" i="23"/>
  <c r="N72" i="19"/>
  <c r="M68" i="17"/>
  <c r="N43" i="19"/>
  <c r="N58" i="19"/>
  <c r="M83" i="16" s="1"/>
  <c r="M67" i="17"/>
  <c r="N25" i="19"/>
  <c r="O56" i="23"/>
  <c r="M100" i="17"/>
  <c r="N96" i="19"/>
  <c r="N49" i="19"/>
  <c r="N27" i="19"/>
  <c r="O77" i="23"/>
  <c r="O25" i="23"/>
  <c r="O26" i="23"/>
  <c r="O83" i="23"/>
  <c r="M103" i="17"/>
  <c r="N111" i="19"/>
  <c r="N77" i="19"/>
  <c r="N20" i="19"/>
  <c r="M32" i="16" s="1"/>
  <c r="O55" i="23"/>
  <c r="N102" i="19"/>
  <c r="M96" i="17"/>
  <c r="N62" i="19"/>
  <c r="M87" i="16" s="1"/>
  <c r="N26" i="19"/>
  <c r="N65" i="19"/>
  <c r="O78" i="23"/>
  <c r="N95" i="19"/>
  <c r="O71" i="23"/>
  <c r="N46" i="19"/>
  <c r="N41" i="19"/>
  <c r="M75" i="17"/>
  <c r="N79" i="19"/>
  <c r="M104" i="16" s="1"/>
  <c r="N76" i="19"/>
  <c r="N82" i="19"/>
  <c r="N32" i="19"/>
  <c r="M74" i="17"/>
  <c r="O30" i="23"/>
  <c r="N31" i="19"/>
  <c r="O70" i="23"/>
  <c r="O57" i="23"/>
  <c r="M25" i="16"/>
  <c r="M56" i="16"/>
  <c r="O92" i="23"/>
  <c r="M91" i="17"/>
  <c r="M102" i="17"/>
  <c r="M22" i="16"/>
  <c r="M87" i="17"/>
  <c r="N90" i="19"/>
  <c r="M98" i="17"/>
  <c r="M127" i="17"/>
  <c r="O63" i="23"/>
  <c r="M29" i="17"/>
  <c r="M29" i="16"/>
  <c r="N17" i="19"/>
  <c r="J28" i="36"/>
  <c r="O100" i="16" l="1"/>
  <c r="P74" i="19"/>
  <c r="O99" i="16" s="1"/>
  <c r="P77" i="19"/>
  <c r="O102" i="16" s="1"/>
  <c r="Q43" i="23"/>
  <c r="O77" i="16" s="1"/>
  <c r="Q54" i="23"/>
  <c r="O93" i="16" s="1"/>
  <c r="O107" i="17"/>
  <c r="O54" i="17"/>
  <c r="P64" i="19"/>
  <c r="O47" i="16"/>
  <c r="O130" i="17"/>
  <c r="O100" i="17"/>
  <c r="O21" i="16"/>
  <c r="O46" i="17"/>
  <c r="O99" i="17"/>
  <c r="Q39" i="23"/>
  <c r="O67" i="16" s="1"/>
  <c r="P58" i="19"/>
  <c r="O83" i="16" s="1"/>
  <c r="O121" i="17"/>
  <c r="O23" i="17"/>
  <c r="O113" i="17"/>
  <c r="O47" i="17"/>
  <c r="O79" i="17"/>
  <c r="O122" i="17"/>
  <c r="O37" i="17"/>
  <c r="Q55" i="23"/>
  <c r="O96" i="16" s="1"/>
  <c r="O44" i="16"/>
  <c r="P95" i="19"/>
  <c r="P79" i="19"/>
  <c r="O104" i="16" s="1"/>
  <c r="P45" i="19"/>
  <c r="O69" i="16" s="1"/>
  <c r="O67" i="17"/>
  <c r="O37" i="16"/>
  <c r="O72" i="17"/>
  <c r="O74" i="17"/>
  <c r="O21" i="17"/>
  <c r="Q75" i="23"/>
  <c r="P53" i="18"/>
  <c r="O48" i="16"/>
  <c r="O51" i="16"/>
  <c r="P63" i="19"/>
  <c r="O88" i="16" s="1"/>
  <c r="Q92" i="23"/>
  <c r="Q44" i="23"/>
  <c r="O78" i="16" s="1"/>
  <c r="Q73" i="23"/>
  <c r="O117" i="16" s="1"/>
  <c r="Q45" i="23"/>
  <c r="O79" i="16" s="1"/>
  <c r="Q69" i="23"/>
  <c r="Q84" i="23"/>
  <c r="Q49" i="23"/>
  <c r="O84" i="16"/>
  <c r="O76" i="17"/>
  <c r="P73" i="19"/>
  <c r="O98" i="16" s="1"/>
  <c r="P23" i="19"/>
  <c r="O46" i="16"/>
  <c r="O103" i="17"/>
  <c r="O125" i="17"/>
  <c r="P93" i="19"/>
  <c r="O97" i="17"/>
  <c r="O69" i="17"/>
  <c r="O54" i="16"/>
  <c r="O129" i="16"/>
  <c r="O64" i="17"/>
  <c r="O139" i="17"/>
  <c r="O127" i="17"/>
  <c r="O56" i="17"/>
  <c r="O56" i="16"/>
  <c r="O48" i="17"/>
  <c r="P112" i="19"/>
  <c r="O36" i="16"/>
  <c r="O36" i="17"/>
  <c r="O81" i="17"/>
  <c r="P56" i="19"/>
  <c r="O81" i="16" s="1"/>
  <c r="Q77" i="23"/>
  <c r="Q50" i="23"/>
  <c r="O73" i="17"/>
  <c r="P48" i="19"/>
  <c r="O73" i="16" s="1"/>
  <c r="O86" i="17"/>
  <c r="P61" i="19"/>
  <c r="O86" i="16" s="1"/>
  <c r="P49" i="19"/>
  <c r="O74" i="16" s="1"/>
  <c r="O98" i="17"/>
  <c r="O91" i="16"/>
  <c r="P51" i="19"/>
  <c r="O76" i="16" s="1"/>
  <c r="O68" i="17"/>
  <c r="P65" i="19"/>
  <c r="O90" i="16" s="1"/>
  <c r="O25" i="16"/>
  <c r="O25" i="17"/>
  <c r="O101" i="17"/>
  <c r="O101" i="16"/>
  <c r="O57" i="16"/>
  <c r="O57" i="17"/>
  <c r="O70" i="17"/>
  <c r="O70" i="16"/>
  <c r="O32" i="16"/>
  <c r="O32" i="17"/>
  <c r="O22" i="16"/>
  <c r="O22" i="17"/>
  <c r="P101" i="19"/>
  <c r="O38" i="17"/>
  <c r="O38" i="16"/>
  <c r="O115" i="17"/>
  <c r="Q76" i="23"/>
  <c r="O107" i="16"/>
  <c r="P97" i="19"/>
  <c r="P72" i="19"/>
  <c r="O97" i="16" s="1"/>
  <c r="Q78" i="23"/>
  <c r="O55" i="16"/>
  <c r="O55" i="17"/>
  <c r="P89" i="19"/>
  <c r="O114" i="17"/>
  <c r="O75" i="17"/>
  <c r="Q83" i="23"/>
  <c r="O120" i="17"/>
  <c r="P78" i="19"/>
  <c r="O103" i="16" s="1"/>
  <c r="O115" i="16"/>
  <c r="O125" i="16"/>
  <c r="M45" i="17"/>
  <c r="M28" i="16"/>
  <c r="M101" i="17"/>
  <c r="M100" i="16"/>
  <c r="O51" i="23"/>
  <c r="M90" i="16" s="1"/>
  <c r="O44" i="23"/>
  <c r="M88" i="16"/>
  <c r="N57" i="19"/>
  <c r="M82" i="16" s="1"/>
  <c r="M45" i="16"/>
  <c r="N88" i="19"/>
  <c r="M83" i="17"/>
  <c r="M28" i="17"/>
  <c r="M90" i="17"/>
  <c r="O69" i="23"/>
  <c r="N68" i="19"/>
  <c r="M93" i="16" s="1"/>
  <c r="O42" i="23"/>
  <c r="O43" i="23"/>
  <c r="M64" i="17"/>
  <c r="M84" i="17"/>
  <c r="N54" i="19"/>
  <c r="M79" i="16" s="1"/>
  <c r="O39" i="23"/>
  <c r="M67" i="16" s="1"/>
  <c r="M37" i="17"/>
  <c r="M107" i="17"/>
  <c r="M101" i="16"/>
  <c r="M126" i="17"/>
  <c r="N89" i="19"/>
  <c r="M24" i="16"/>
  <c r="M52" i="17"/>
  <c r="M52" i="16"/>
  <c r="N64" i="19"/>
  <c r="M89" i="17"/>
  <c r="M34" i="17"/>
  <c r="M55" i="17"/>
  <c r="N44" i="19"/>
  <c r="M68" i="16" s="1"/>
  <c r="M88" i="17"/>
  <c r="M139" i="17"/>
  <c r="M46" i="17"/>
  <c r="M46" i="16"/>
  <c r="M69" i="17"/>
  <c r="N61" i="19"/>
  <c r="M86" i="17"/>
  <c r="M96" i="16"/>
  <c r="N33" i="19"/>
  <c r="M47" i="17"/>
  <c r="M127" i="16"/>
  <c r="M114" i="17"/>
  <c r="M121" i="17"/>
  <c r="M102" i="16"/>
  <c r="N78" i="19"/>
  <c r="M120" i="17"/>
  <c r="O41" i="23"/>
  <c r="M74" i="16" s="1"/>
  <c r="M118" i="17"/>
  <c r="O82" i="23"/>
  <c r="M23" i="16"/>
  <c r="M36" i="16"/>
  <c r="M36" i="17"/>
  <c r="M72" i="16"/>
  <c r="M72" i="17"/>
  <c r="L24" i="22"/>
  <c r="M55" i="16"/>
  <c r="M44" i="17"/>
  <c r="M57" i="16"/>
  <c r="M57" i="17"/>
  <c r="N59" i="19"/>
  <c r="N94" i="19"/>
  <c r="O50" i="23"/>
  <c r="M113" i="17"/>
  <c r="M33" i="17"/>
  <c r="O84" i="23"/>
  <c r="O60" i="24"/>
  <c r="O37" i="23"/>
  <c r="M65" i="16" s="1"/>
  <c r="M117" i="17"/>
  <c r="M117" i="16"/>
  <c r="M27" i="17"/>
  <c r="M70" i="17"/>
  <c r="M70" i="16"/>
  <c r="M97" i="16"/>
  <c r="M81" i="17"/>
  <c r="N56" i="19"/>
  <c r="M81" i="16" s="1"/>
  <c r="M122" i="16"/>
  <c r="N73" i="19"/>
  <c r="M98" i="16" s="1"/>
  <c r="M38" i="17"/>
  <c r="M38" i="16"/>
  <c r="M78" i="17"/>
  <c r="N53" i="19"/>
  <c r="M129" i="17"/>
  <c r="M129" i="16"/>
  <c r="M115" i="17"/>
  <c r="M34" i="16"/>
  <c r="M51" i="16"/>
  <c r="M51" i="17"/>
  <c r="N53" i="18"/>
  <c r="M122" i="17"/>
  <c r="M125" i="17"/>
  <c r="N100" i="19"/>
  <c r="N50" i="19"/>
  <c r="M75" i="16" s="1"/>
  <c r="M130" i="17"/>
  <c r="N103" i="19"/>
  <c r="M119" i="17"/>
  <c r="M35" i="17"/>
  <c r="N23" i="19"/>
  <c r="M44" i="16"/>
  <c r="M64" i="16"/>
  <c r="O46" i="23"/>
  <c r="M73" i="17"/>
  <c r="N48" i="19"/>
  <c r="M73" i="16" s="1"/>
  <c r="N22" i="18"/>
  <c r="M21" i="16"/>
  <c r="M91" i="16"/>
  <c r="N52" i="19"/>
  <c r="M32" i="17"/>
  <c r="N74" i="19"/>
  <c r="M99" i="16" s="1"/>
  <c r="M99" i="17"/>
  <c r="M41" i="17"/>
  <c r="M41" i="16"/>
  <c r="M54" i="16"/>
  <c r="M54" i="17"/>
  <c r="O48" i="23"/>
  <c r="M48" i="16"/>
  <c r="M48" i="17"/>
  <c r="O75" i="23"/>
  <c r="M37" i="16"/>
  <c r="M76" i="16"/>
  <c r="M76" i="17"/>
  <c r="O60" i="23"/>
  <c r="O76" i="23"/>
  <c r="M121" i="16"/>
  <c r="M115" i="16"/>
  <c r="M107" i="16"/>
  <c r="L111" i="19"/>
  <c r="K82" i="17"/>
  <c r="M63" i="23"/>
  <c r="L43" i="19"/>
  <c r="M26" i="23"/>
  <c r="K96" i="17"/>
  <c r="M57" i="23"/>
  <c r="L24" i="19"/>
  <c r="L101" i="19"/>
  <c r="L54" i="19"/>
  <c r="L25" i="19"/>
  <c r="K37" i="16" s="1"/>
  <c r="M22" i="23"/>
  <c r="L27" i="19"/>
  <c r="M37" i="23"/>
  <c r="M74" i="23"/>
  <c r="L112" i="19"/>
  <c r="L34" i="19"/>
  <c r="M55" i="23"/>
  <c r="K53" i="17"/>
  <c r="M25" i="23"/>
  <c r="M58" i="23"/>
  <c r="K86" i="17"/>
  <c r="L63" i="19"/>
  <c r="K88" i="16" s="1"/>
  <c r="M21" i="23"/>
  <c r="M71" i="23"/>
  <c r="M46" i="23"/>
  <c r="L20" i="19"/>
  <c r="K54" i="17"/>
  <c r="K74" i="17"/>
  <c r="AL103" i="20"/>
  <c r="M94" i="23"/>
  <c r="M30" i="23"/>
  <c r="K57" i="16"/>
  <c r="K47" i="17"/>
  <c r="L71" i="19"/>
  <c r="L59" i="19"/>
  <c r="K35" i="17"/>
  <c r="K103" i="17"/>
  <c r="K48" i="17"/>
  <c r="L51" i="19"/>
  <c r="L77" i="19"/>
  <c r="L66" i="19"/>
  <c r="K121" i="17"/>
  <c r="K127" i="17"/>
  <c r="M54" i="23"/>
  <c r="M59" i="23"/>
  <c r="L48" i="19"/>
  <c r="K73" i="16" s="1"/>
  <c r="L41" i="19"/>
  <c r="K64" i="16" s="1"/>
  <c r="L73" i="19"/>
  <c r="L75" i="19"/>
  <c r="M27" i="23"/>
  <c r="AI84" i="23"/>
  <c r="K139" i="17"/>
  <c r="L95" i="19"/>
  <c r="L64" i="19"/>
  <c r="K34" i="17"/>
  <c r="K89" i="17"/>
  <c r="K97" i="17"/>
  <c r="M78" i="23"/>
  <c r="K87" i="17"/>
  <c r="L32" i="19"/>
  <c r="K46" i="16" s="1"/>
  <c r="L30" i="19"/>
  <c r="L52" i="19"/>
  <c r="K78" i="17"/>
  <c r="K21" i="17"/>
  <c r="M100" i="42"/>
  <c r="M52" i="23"/>
  <c r="L26" i="19"/>
  <c r="L21" i="19"/>
  <c r="K116" i="30"/>
  <c r="M93" i="23"/>
  <c r="K99" i="17"/>
  <c r="K117" i="17"/>
  <c r="L92" i="19"/>
  <c r="K88" i="17"/>
  <c r="L90" i="19"/>
  <c r="K56" i="16"/>
  <c r="K56" i="17"/>
  <c r="K129" i="16"/>
  <c r="K129" i="17"/>
  <c r="K65" i="17"/>
  <c r="M73" i="23"/>
  <c r="K75" i="17"/>
  <c r="K55" i="16"/>
  <c r="K55" i="17"/>
  <c r="L50" i="19"/>
  <c r="K75" i="16" s="1"/>
  <c r="K70" i="17"/>
  <c r="K57" i="17"/>
  <c r="K53" i="16"/>
  <c r="K24" i="17"/>
  <c r="K24" i="16"/>
  <c r="K119" i="17"/>
  <c r="K46" i="17"/>
  <c r="K51" i="17"/>
  <c r="K51" i="16"/>
  <c r="M83" i="23"/>
  <c r="L68" i="19"/>
  <c r="L31" i="19"/>
  <c r="K45" i="17"/>
  <c r="L46" i="19"/>
  <c r="K70" i="16" s="1"/>
  <c r="K37" i="17"/>
  <c r="M77" i="23"/>
  <c r="K33" i="17"/>
  <c r="K130" i="17"/>
  <c r="L103" i="19"/>
  <c r="M47" i="26"/>
  <c r="O60" i="25"/>
  <c r="O67" i="25" s="1"/>
  <c r="O42" i="25"/>
  <c r="L67" i="22"/>
  <c r="N86" i="21"/>
  <c r="N98" i="20"/>
  <c r="N105" i="20" s="1"/>
  <c r="N35" i="20"/>
  <c r="N28" i="20"/>
  <c r="N134" i="18"/>
  <c r="N93" i="18"/>
  <c r="N44" i="18"/>
  <c r="O89" i="16" l="1"/>
  <c r="O35" i="16"/>
  <c r="O119" i="16"/>
  <c r="O118" i="16"/>
  <c r="O130" i="16"/>
  <c r="O58" i="17"/>
  <c r="O58" i="16"/>
  <c r="O113" i="16"/>
  <c r="O120" i="16"/>
  <c r="O114" i="16"/>
  <c r="O122" i="16"/>
  <c r="O126" i="16"/>
  <c r="O121" i="16"/>
  <c r="O94" i="17"/>
  <c r="P69" i="19"/>
  <c r="O94" i="16" s="1"/>
  <c r="O138" i="17"/>
  <c r="O127" i="16"/>
  <c r="M78" i="16"/>
  <c r="M103" i="16"/>
  <c r="M58" i="17"/>
  <c r="M126" i="16"/>
  <c r="M77" i="16"/>
  <c r="M113" i="16"/>
  <c r="M125" i="16"/>
  <c r="M114" i="16"/>
  <c r="M84" i="16"/>
  <c r="M89" i="16"/>
  <c r="M130" i="16"/>
  <c r="M58" i="16"/>
  <c r="M119" i="16"/>
  <c r="M47" i="16"/>
  <c r="M94" i="17"/>
  <c r="N69" i="19"/>
  <c r="M94" i="16" s="1"/>
  <c r="M120" i="16"/>
  <c r="M35" i="16"/>
  <c r="M86" i="16"/>
  <c r="M138" i="17"/>
  <c r="K96" i="16"/>
  <c r="L32" i="37"/>
  <c r="M69" i="23"/>
  <c r="M70" i="23"/>
  <c r="M39" i="23"/>
  <c r="K67" i="16" s="1"/>
  <c r="K44" i="17"/>
  <c r="L65" i="19"/>
  <c r="L57" i="19"/>
  <c r="K82" i="16" s="1"/>
  <c r="K76" i="17"/>
  <c r="L82" i="19"/>
  <c r="K120" i="17"/>
  <c r="K41" i="16"/>
  <c r="K98" i="17"/>
  <c r="L33" i="19"/>
  <c r="K47" i="16" s="1"/>
  <c r="L22" i="19"/>
  <c r="K99" i="16"/>
  <c r="K54" i="16"/>
  <c r="K58" i="16" s="1"/>
  <c r="K41" i="17"/>
  <c r="K22" i="16"/>
  <c r="K115" i="17"/>
  <c r="L61" i="19"/>
  <c r="L76" i="19"/>
  <c r="K101" i="16" s="1"/>
  <c r="K125" i="17"/>
  <c r="K22" i="17"/>
  <c r="M60" i="25"/>
  <c r="M84" i="23"/>
  <c r="M82" i="23"/>
  <c r="M81" i="23"/>
  <c r="M51" i="23"/>
  <c r="M45" i="23"/>
  <c r="K79" i="16" s="1"/>
  <c r="M60" i="24"/>
  <c r="M75" i="23"/>
  <c r="K44" i="16"/>
  <c r="K48" i="16"/>
  <c r="K76" i="16"/>
  <c r="K107" i="17"/>
  <c r="K38" i="17"/>
  <c r="K118" i="17"/>
  <c r="K122" i="17"/>
  <c r="L97" i="19"/>
  <c r="K122" i="16" s="1"/>
  <c r="L94" i="19"/>
  <c r="L93" i="19"/>
  <c r="L49" i="19"/>
  <c r="L96" i="19"/>
  <c r="K36" i="17"/>
  <c r="L100" i="19"/>
  <c r="K100" i="17"/>
  <c r="K84" i="16"/>
  <c r="K65" i="16"/>
  <c r="K58" i="17"/>
  <c r="AC134" i="18"/>
  <c r="L89" i="19"/>
  <c r="K114" i="16" s="1"/>
  <c r="K84" i="17"/>
  <c r="K114" i="17"/>
  <c r="M76" i="23"/>
  <c r="L53" i="18"/>
  <c r="L23" i="19"/>
  <c r="K23" i="17"/>
  <c r="K98" i="16"/>
  <c r="M50" i="23"/>
  <c r="K89" i="16" s="1"/>
  <c r="K23" i="16"/>
  <c r="M41" i="23"/>
  <c r="M42" i="23"/>
  <c r="K91" i="16"/>
  <c r="K38" i="16"/>
  <c r="K36" i="16"/>
  <c r="K100" i="16"/>
  <c r="L44" i="19"/>
  <c r="K68" i="16" s="1"/>
  <c r="K73" i="17"/>
  <c r="K32" i="17"/>
  <c r="L88" i="19"/>
  <c r="K113" i="17"/>
  <c r="K102" i="16"/>
  <c r="K32" i="16"/>
  <c r="K115" i="16"/>
  <c r="K94" i="17"/>
  <c r="K81" i="17"/>
  <c r="L56" i="19"/>
  <c r="K81" i="16" s="1"/>
  <c r="K72" i="16"/>
  <c r="K72" i="17"/>
  <c r="K67" i="17"/>
  <c r="K29" i="17"/>
  <c r="K29" i="16"/>
  <c r="L45" i="19"/>
  <c r="K69" i="16" s="1"/>
  <c r="M43" i="23"/>
  <c r="K77" i="16" s="1"/>
  <c r="K102" i="17"/>
  <c r="L79" i="19"/>
  <c r="K104" i="16" s="1"/>
  <c r="K104" i="17"/>
  <c r="M44" i="23"/>
  <c r="K69" i="17"/>
  <c r="K101" i="17"/>
  <c r="K79" i="17"/>
  <c r="K93" i="17"/>
  <c r="K91" i="17"/>
  <c r="L53" i="19"/>
  <c r="K68" i="17"/>
  <c r="M48" i="23"/>
  <c r="L102" i="19"/>
  <c r="K33" i="16"/>
  <c r="M60" i="23"/>
  <c r="K103" i="16" s="1"/>
  <c r="K25" i="17"/>
  <c r="K25" i="16"/>
  <c r="K21" i="16"/>
  <c r="L22" i="18"/>
  <c r="M49" i="23"/>
  <c r="L62" i="19"/>
  <c r="K87" i="16" s="1"/>
  <c r="K77" i="17"/>
  <c r="L58" i="19"/>
  <c r="K83" i="16" s="1"/>
  <c r="K83" i="17"/>
  <c r="M92" i="23"/>
  <c r="M56" i="23"/>
  <c r="J24" i="22"/>
  <c r="L72" i="19"/>
  <c r="K90" i="17"/>
  <c r="K117" i="16"/>
  <c r="K93" i="16"/>
  <c r="K45" i="16"/>
  <c r="N37" i="20"/>
  <c r="K90" i="16" l="1"/>
  <c r="K86" i="16"/>
  <c r="K107" i="16"/>
  <c r="K34" i="16"/>
  <c r="K120" i="16"/>
  <c r="K126" i="16"/>
  <c r="K118" i="16"/>
  <c r="K125" i="16"/>
  <c r="K130" i="16"/>
  <c r="K35" i="16"/>
  <c r="L69" i="19"/>
  <c r="K94" i="16" s="1"/>
  <c r="K97" i="16"/>
  <c r="K119" i="16"/>
  <c r="K121" i="16"/>
  <c r="K74" i="16"/>
  <c r="K78" i="16"/>
  <c r="K113" i="16"/>
  <c r="K138" i="17"/>
  <c r="K127" i="16"/>
  <c r="Z20" i="43"/>
  <c r="L70" i="21" l="1"/>
  <c r="L77" i="21" s="1"/>
  <c r="L86" i="21"/>
  <c r="L52" i="21"/>
  <c r="L56" i="21" s="1"/>
  <c r="L80" i="21" l="1"/>
  <c r="N17" i="28" l="1"/>
  <c r="C65" i="17"/>
  <c r="I28" i="16" l="1"/>
  <c r="I28" i="17"/>
  <c r="AE95" i="17"/>
  <c r="AJ70" i="20"/>
  <c r="AL70" i="20" s="1"/>
  <c r="AG70" i="19"/>
  <c r="AE95" i="16" s="1"/>
  <c r="AB95" i="17"/>
  <c r="G57" i="23" l="1"/>
  <c r="F22" i="19"/>
  <c r="F24" i="19"/>
  <c r="G75" i="23"/>
  <c r="G78" i="23"/>
  <c r="G30" i="23"/>
  <c r="G21" i="23"/>
  <c r="E98" i="17"/>
  <c r="G27" i="23"/>
  <c r="F53" i="19"/>
  <c r="G60" i="23"/>
  <c r="G58" i="23"/>
  <c r="E77" i="17"/>
  <c r="F44" i="19"/>
  <c r="E68" i="16" s="1"/>
  <c r="E122" i="17"/>
  <c r="G20" i="23"/>
  <c r="F52" i="19"/>
  <c r="G83" i="23"/>
  <c r="G94" i="23"/>
  <c r="E107" i="17"/>
  <c r="F72" i="19"/>
  <c r="G56" i="23"/>
  <c r="F21" i="19"/>
  <c r="F34" i="19"/>
  <c r="F33" i="19"/>
  <c r="E47" i="16" s="1"/>
  <c r="E65" i="17"/>
  <c r="G52" i="23"/>
  <c r="F20" i="19"/>
  <c r="F27" i="19"/>
  <c r="G37" i="23"/>
  <c r="F77" i="19"/>
  <c r="G42" i="23"/>
  <c r="F62" i="19"/>
  <c r="E87" i="16" s="1"/>
  <c r="G48" i="23"/>
  <c r="E139" i="17"/>
  <c r="G45" i="23"/>
  <c r="G55" i="23"/>
  <c r="G93" i="23"/>
  <c r="F68" i="19"/>
  <c r="G41" i="23"/>
  <c r="E96" i="17"/>
  <c r="F76" i="19"/>
  <c r="E76" i="17"/>
  <c r="F50" i="19"/>
  <c r="G49" i="23"/>
  <c r="G82" i="23"/>
  <c r="G44" i="23"/>
  <c r="F23" i="19"/>
  <c r="G22" i="23"/>
  <c r="G25" i="23"/>
  <c r="E44" i="16" s="1"/>
  <c r="G59" i="23"/>
  <c r="F32" i="19"/>
  <c r="E46" i="16" s="1"/>
  <c r="G51" i="23"/>
  <c r="F79" i="19"/>
  <c r="E104" i="16" s="1"/>
  <c r="G46" i="23"/>
  <c r="E89" i="17"/>
  <c r="G26" i="23"/>
  <c r="G69" i="23"/>
  <c r="E120" i="17"/>
  <c r="G81" i="23"/>
  <c r="E90" i="17"/>
  <c r="E103" i="17"/>
  <c r="E125" i="17"/>
  <c r="F49" i="19"/>
  <c r="F100" i="19"/>
  <c r="E73" i="17"/>
  <c r="F48" i="19"/>
  <c r="E73" i="16" s="1"/>
  <c r="F82" i="19"/>
  <c r="E129" i="17"/>
  <c r="E114" i="17"/>
  <c r="F65" i="19"/>
  <c r="F88" i="19"/>
  <c r="E69" i="17"/>
  <c r="F56" i="19"/>
  <c r="E81" i="16" s="1"/>
  <c r="E81" i="17"/>
  <c r="E35" i="17"/>
  <c r="E56" i="16"/>
  <c r="F96" i="19"/>
  <c r="E36" i="17"/>
  <c r="E23" i="17"/>
  <c r="E68" i="17"/>
  <c r="F17" i="19"/>
  <c r="F92" i="19"/>
  <c r="E117" i="17"/>
  <c r="F31" i="19"/>
  <c r="E55" i="17"/>
  <c r="E55" i="16"/>
  <c r="E86" i="17"/>
  <c r="F61" i="19"/>
  <c r="F101" i="19"/>
  <c r="E127" i="17"/>
  <c r="G76" i="23"/>
  <c r="E72" i="16"/>
  <c r="E97" i="17"/>
  <c r="F90" i="19"/>
  <c r="E51" i="17"/>
  <c r="E53" i="16"/>
  <c r="E53" i="17"/>
  <c r="G63" i="23"/>
  <c r="G84" i="23"/>
  <c r="F93" i="19"/>
  <c r="F57" i="19"/>
  <c r="E82" i="16" s="1"/>
  <c r="E82" i="17"/>
  <c r="E119" i="17"/>
  <c r="F94" i="19"/>
  <c r="E22" i="17"/>
  <c r="E22" i="16"/>
  <c r="F51" i="19"/>
  <c r="E76" i="16" s="1"/>
  <c r="AH95" i="17"/>
  <c r="AJ95" i="17" s="1"/>
  <c r="N23" i="15" l="1"/>
  <c r="E36" i="16"/>
  <c r="E45" i="16"/>
  <c r="E86" i="16"/>
  <c r="E48" i="16"/>
  <c r="G39" i="23"/>
  <c r="E74" i="16"/>
  <c r="E102" i="17"/>
  <c r="E23" i="16"/>
  <c r="E45" i="17"/>
  <c r="E56" i="17"/>
  <c r="F95" i="19"/>
  <c r="E120" i="16" s="1"/>
  <c r="E129" i="16"/>
  <c r="E104" i="17"/>
  <c r="E125" i="16"/>
  <c r="F43" i="19"/>
  <c r="E46" i="17"/>
  <c r="F102" i="19"/>
  <c r="E70" i="17"/>
  <c r="E75" i="16"/>
  <c r="F22" i="18"/>
  <c r="G73" i="23"/>
  <c r="E90" i="16"/>
  <c r="G50" i="23"/>
  <c r="G54" i="23"/>
  <c r="E93" i="16" s="1"/>
  <c r="G74" i="23"/>
  <c r="E118" i="16" s="1"/>
  <c r="G77" i="23"/>
  <c r="E121" i="16" s="1"/>
  <c r="G71" i="23"/>
  <c r="G70" i="23"/>
  <c r="G43" i="23"/>
  <c r="E77" i="16" s="1"/>
  <c r="E97" i="16"/>
  <c r="E78" i="17"/>
  <c r="E54" i="17"/>
  <c r="E78" i="16"/>
  <c r="E102" i="16"/>
  <c r="F75" i="19"/>
  <c r="E100" i="16" s="1"/>
  <c r="F45" i="19"/>
  <c r="E69" i="16" s="1"/>
  <c r="F46" i="19"/>
  <c r="E70" i="16" s="1"/>
  <c r="F54" i="19"/>
  <c r="E79" i="16" s="1"/>
  <c r="F41" i="19"/>
  <c r="E64" i="16" s="1"/>
  <c r="F97" i="19"/>
  <c r="E74" i="17"/>
  <c r="E67" i="17"/>
  <c r="E75" i="17"/>
  <c r="E84" i="17"/>
  <c r="E100" i="17"/>
  <c r="E93" i="17"/>
  <c r="E32" i="16"/>
  <c r="E88" i="17"/>
  <c r="E33" i="16"/>
  <c r="E65" i="16"/>
  <c r="E118" i="17"/>
  <c r="E115" i="17"/>
  <c r="E54" i="16"/>
  <c r="E64" i="17"/>
  <c r="E32" i="17"/>
  <c r="E94" i="17"/>
  <c r="F89" i="19"/>
  <c r="F74" i="19"/>
  <c r="E99" i="16" s="1"/>
  <c r="E99" i="17"/>
  <c r="G92" i="23"/>
  <c r="E52" i="16"/>
  <c r="E52" i="17"/>
  <c r="F103" i="19"/>
  <c r="E34" i="16"/>
  <c r="E34" i="17"/>
  <c r="E38" i="16"/>
  <c r="E38" i="17"/>
  <c r="E33" i="17"/>
  <c r="F66" i="19"/>
  <c r="E91" i="16" s="1"/>
  <c r="E48" i="17"/>
  <c r="F111" i="19"/>
  <c r="E47" i="26"/>
  <c r="E101" i="16"/>
  <c r="E101" i="17"/>
  <c r="F78" i="19"/>
  <c r="E103" i="16" s="1"/>
  <c r="F73" i="19"/>
  <c r="E98" i="16" s="1"/>
  <c r="E29" i="16"/>
  <c r="F64" i="19"/>
  <c r="E41" i="16"/>
  <c r="E41" i="17"/>
  <c r="F59" i="19"/>
  <c r="E84" i="16" s="1"/>
  <c r="F112" i="19"/>
  <c r="E47" i="17"/>
  <c r="E72" i="17"/>
  <c r="F63" i="19"/>
  <c r="E88" i="16" s="1"/>
  <c r="E126" i="17"/>
  <c r="E91" i="17"/>
  <c r="E83" i="17"/>
  <c r="F58" i="19"/>
  <c r="E83" i="16" s="1"/>
  <c r="F71" i="19"/>
  <c r="E96" i="16" s="1"/>
  <c r="E121" i="17"/>
  <c r="E37" i="17"/>
  <c r="F25" i="19"/>
  <c r="E113" i="17"/>
  <c r="E79" i="17"/>
  <c r="E87" i="17"/>
  <c r="E35" i="16"/>
  <c r="E126" i="16"/>
  <c r="E119" i="16"/>
  <c r="E113" i="16"/>
  <c r="E107" i="16"/>
  <c r="U26" i="17"/>
  <c r="U26" i="16"/>
  <c r="W79" i="23"/>
  <c r="E58" i="16" l="1"/>
  <c r="E58" i="17"/>
  <c r="E49" i="16"/>
  <c r="E67" i="16"/>
  <c r="F69" i="19"/>
  <c r="E94" i="16" s="1"/>
  <c r="E114" i="16"/>
  <c r="E127" i="16"/>
  <c r="E89" i="16"/>
  <c r="E130" i="16"/>
  <c r="E115" i="16"/>
  <c r="E138" i="17"/>
  <c r="E117" i="16"/>
  <c r="E122" i="16"/>
  <c r="E37" i="16"/>
  <c r="G30" i="41"/>
  <c r="R32" i="37" l="1"/>
  <c r="C126" i="17" l="1"/>
  <c r="M16" i="40"/>
  <c r="H34" i="19" l="1"/>
  <c r="M36" i="40"/>
  <c r="M24" i="40"/>
  <c r="Y40" i="41" l="1"/>
  <c r="Y30" i="41"/>
  <c r="W4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W26" i="17" l="1"/>
  <c r="W23" i="26"/>
  <c r="W34" i="26"/>
  <c r="W26" i="16" l="1"/>
  <c r="L44" i="39" l="1"/>
  <c r="L46" i="39"/>
  <c r="I65" i="17" l="1"/>
  <c r="K46" i="23"/>
  <c r="K57" i="23"/>
  <c r="K44" i="23"/>
  <c r="K58" i="23"/>
  <c r="F20" i="15"/>
  <c r="K30" i="23"/>
  <c r="K37" i="23"/>
  <c r="I65" i="16" s="1"/>
  <c r="J78" i="19"/>
  <c r="K26" i="23"/>
  <c r="K25" i="23"/>
  <c r="I23" i="17"/>
  <c r="I51" i="16"/>
  <c r="K21" i="23"/>
  <c r="K75" i="23"/>
  <c r="J111" i="19"/>
  <c r="I55" i="17"/>
  <c r="K41" i="23"/>
  <c r="K94" i="23"/>
  <c r="K56" i="23"/>
  <c r="K45" i="23"/>
  <c r="J34" i="19"/>
  <c r="K20" i="23"/>
  <c r="K76" i="23"/>
  <c r="K78" i="23"/>
  <c r="AI52" i="18"/>
  <c r="F55" i="15"/>
  <c r="K92" i="23"/>
  <c r="J89" i="19"/>
  <c r="K63" i="23"/>
  <c r="K74" i="23"/>
  <c r="N55" i="15"/>
  <c r="AG23" i="22"/>
  <c r="K49" i="23"/>
  <c r="J52" i="19"/>
  <c r="I103" i="17"/>
  <c r="K27" i="23"/>
  <c r="K22" i="23"/>
  <c r="K82" i="23"/>
  <c r="J76" i="19"/>
  <c r="K55" i="23"/>
  <c r="J102" i="19"/>
  <c r="K52" i="23"/>
  <c r="I55" i="16"/>
  <c r="I52" i="16"/>
  <c r="I52" i="17"/>
  <c r="I56" i="16"/>
  <c r="I56" i="17"/>
  <c r="I90" i="17"/>
  <c r="I21" i="16"/>
  <c r="I21" i="17"/>
  <c r="I129" i="16"/>
  <c r="Y22" i="24"/>
  <c r="Y27" i="24"/>
  <c r="Y30" i="24"/>
  <c r="Y60" i="24"/>
  <c r="Y78" i="24"/>
  <c r="Y85" i="24" s="1"/>
  <c r="L17" i="19" l="1"/>
  <c r="K27" i="17"/>
  <c r="K59" i="23"/>
  <c r="K50" i="23"/>
  <c r="K77" i="23"/>
  <c r="K48" i="23"/>
  <c r="J22" i="18"/>
  <c r="I72" i="17"/>
  <c r="I23" i="16"/>
  <c r="K73" i="23"/>
  <c r="K43" i="23"/>
  <c r="I77" i="16" s="1"/>
  <c r="K69" i="23"/>
  <c r="I51" i="17"/>
  <c r="K51" i="23"/>
  <c r="J53" i="18"/>
  <c r="I54" i="17"/>
  <c r="K60" i="24"/>
  <c r="K84" i="23"/>
  <c r="K54" i="23"/>
  <c r="K93" i="23"/>
  <c r="I72" i="16"/>
  <c r="X55" i="15"/>
  <c r="AH55" i="15" s="1"/>
  <c r="J112" i="19"/>
  <c r="H24" i="22"/>
  <c r="I29" i="16"/>
  <c r="I29" i="17"/>
  <c r="J92" i="19"/>
  <c r="J103" i="19"/>
  <c r="I25" i="16"/>
  <c r="I25" i="17"/>
  <c r="K42" i="23"/>
  <c r="K83" i="23"/>
  <c r="I127" i="16" s="1"/>
  <c r="I101" i="16"/>
  <c r="J65" i="19"/>
  <c r="K60" i="23"/>
  <c r="I103" i="16" s="1"/>
  <c r="I22" i="16"/>
  <c r="I22" i="17"/>
  <c r="I101" i="17"/>
  <c r="I54" i="16"/>
  <c r="I77" i="17"/>
  <c r="V55" i="15"/>
  <c r="I57" i="17"/>
  <c r="AB57" i="17" s="1"/>
  <c r="AH57" i="17" s="1"/>
  <c r="I57" i="16"/>
  <c r="AB57" i="16" s="1"/>
  <c r="AH57" i="16" s="1"/>
  <c r="I53" i="16"/>
  <c r="I53" i="17"/>
  <c r="K70" i="23"/>
  <c r="K39" i="23"/>
  <c r="K81" i="23"/>
  <c r="I24" i="16"/>
  <c r="I24" i="17"/>
  <c r="I48" i="16"/>
  <c r="I48" i="17"/>
  <c r="K71" i="23"/>
  <c r="I126" i="16"/>
  <c r="Y32" i="24"/>
  <c r="Y64" i="24" s="1"/>
  <c r="Y88" i="24" s="1"/>
  <c r="I90" i="16" l="1"/>
  <c r="I58" i="17"/>
  <c r="I117" i="16"/>
  <c r="I58" i="16"/>
  <c r="I114" i="16"/>
  <c r="I130" i="16"/>
  <c r="U123" i="16"/>
  <c r="U132" i="16" s="1"/>
  <c r="Z42" i="37" l="1"/>
  <c r="I48" i="23"/>
  <c r="I21" i="23"/>
  <c r="H33" i="19"/>
  <c r="I78" i="23"/>
  <c r="I20" i="23"/>
  <c r="H30" i="19"/>
  <c r="AE22" i="16"/>
  <c r="H78" i="19"/>
  <c r="I45" i="23"/>
  <c r="H76" i="19"/>
  <c r="H64" i="19"/>
  <c r="H22" i="19"/>
  <c r="F23" i="15"/>
  <c r="V23" i="15"/>
  <c r="I52" i="23"/>
  <c r="AD24" i="22"/>
  <c r="AC53" i="18"/>
  <c r="G64" i="17"/>
  <c r="G70" i="17"/>
  <c r="H77" i="19"/>
  <c r="I73" i="23"/>
  <c r="H102" i="19"/>
  <c r="I25" i="23"/>
  <c r="H21" i="19"/>
  <c r="I84" i="23"/>
  <c r="I63" i="23"/>
  <c r="H25" i="19"/>
  <c r="AF53" i="18"/>
  <c r="G48" i="17"/>
  <c r="I56" i="23"/>
  <c r="I60" i="23"/>
  <c r="H45" i="19"/>
  <c r="I37" i="23"/>
  <c r="I26" i="23"/>
  <c r="I27" i="23"/>
  <c r="G53" i="16"/>
  <c r="H53" i="19"/>
  <c r="G84" i="17"/>
  <c r="I22" i="23"/>
  <c r="I94" i="23"/>
  <c r="AA42" i="3"/>
  <c r="AF42" i="3" s="1"/>
  <c r="H41" i="19"/>
  <c r="G64" i="16" s="1"/>
  <c r="G90" i="17"/>
  <c r="I49" i="23"/>
  <c r="H52" i="19"/>
  <c r="H72" i="19"/>
  <c r="I81" i="23"/>
  <c r="J42" i="3"/>
  <c r="T42" i="3" s="1"/>
  <c r="H46" i="19"/>
  <c r="G70" i="16" s="1"/>
  <c r="H65" i="19"/>
  <c r="AA24" i="22"/>
  <c r="F24" i="22"/>
  <c r="I39" i="23"/>
  <c r="I57" i="23"/>
  <c r="H24" i="19"/>
  <c r="H27" i="19"/>
  <c r="H111" i="19"/>
  <c r="H89" i="19"/>
  <c r="H71" i="19"/>
  <c r="G72" i="17"/>
  <c r="H73" i="19"/>
  <c r="H32" i="19"/>
  <c r="I30" i="23"/>
  <c r="P56" i="15" s="1"/>
  <c r="I71" i="23"/>
  <c r="H75" i="19"/>
  <c r="I41" i="23"/>
  <c r="H26" i="19"/>
  <c r="G113" i="17"/>
  <c r="H49" i="19"/>
  <c r="I58" i="23"/>
  <c r="G100" i="17"/>
  <c r="G67" i="17"/>
  <c r="G75" i="17"/>
  <c r="G118" i="17"/>
  <c r="G22" i="16"/>
  <c r="G22" i="17"/>
  <c r="G73" i="17"/>
  <c r="H48" i="19"/>
  <c r="G73" i="16" s="1"/>
  <c r="G104" i="17"/>
  <c r="H79" i="19"/>
  <c r="G104" i="16" s="1"/>
  <c r="H62" i="19"/>
  <c r="G87" i="16" s="1"/>
  <c r="G21" i="16"/>
  <c r="G21" i="17"/>
  <c r="G120" i="17"/>
  <c r="H50" i="19"/>
  <c r="G86" i="17"/>
  <c r="I54" i="23"/>
  <c r="I46" i="23"/>
  <c r="I83" i="23"/>
  <c r="G127"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6" i="17"/>
  <c r="J49" i="19"/>
  <c r="I74" i="16" s="1"/>
  <c r="I74" i="17"/>
  <c r="J25" i="19"/>
  <c r="I37" i="17"/>
  <c r="J23" i="19"/>
  <c r="I35" i="17"/>
  <c r="J22" i="19"/>
  <c r="I34" i="17"/>
  <c r="J94" i="19"/>
  <c r="J82" i="19"/>
  <c r="J100" i="19"/>
  <c r="I86" i="17"/>
  <c r="J61" i="19"/>
  <c r="I86" i="16" s="1"/>
  <c r="J46" i="19"/>
  <c r="I70" i="16" s="1"/>
  <c r="I70" i="17"/>
  <c r="J41" i="19"/>
  <c r="I64" i="16" s="1"/>
  <c r="I64" i="17"/>
  <c r="J56" i="19"/>
  <c r="I81" i="16" s="1"/>
  <c r="I81" i="17"/>
  <c r="J26" i="19"/>
  <c r="I38" i="17"/>
  <c r="J71" i="19"/>
  <c r="I96" i="16" s="1"/>
  <c r="I96" i="17"/>
  <c r="I83" i="17"/>
  <c r="J58" i="19"/>
  <c r="I83" i="16" s="1"/>
  <c r="J90" i="19"/>
  <c r="J59" i="19"/>
  <c r="I84" i="16" s="1"/>
  <c r="I84" i="17"/>
  <c r="J43" i="19"/>
  <c r="I67" i="16" s="1"/>
  <c r="I67" i="17"/>
  <c r="J20" i="19"/>
  <c r="I32" i="17"/>
  <c r="J50" i="19"/>
  <c r="I75" i="16" s="1"/>
  <c r="I75" i="17"/>
  <c r="J96" i="19"/>
  <c r="J64" i="19"/>
  <c r="I89" i="16" s="1"/>
  <c r="I89" i="17"/>
  <c r="J68" i="19"/>
  <c r="I93" i="16" s="1"/>
  <c r="I93" i="17"/>
  <c r="J88" i="19"/>
  <c r="J74" i="19"/>
  <c r="I99" i="16" s="1"/>
  <c r="I99" i="17"/>
  <c r="J27" i="19"/>
  <c r="I41" i="17"/>
  <c r="J45" i="19"/>
  <c r="I69" i="16" s="1"/>
  <c r="I69" i="17"/>
  <c r="J48" i="19"/>
  <c r="I73" i="16" s="1"/>
  <c r="I73" i="17"/>
  <c r="J63" i="19"/>
  <c r="I88" i="16" s="1"/>
  <c r="I88" i="17"/>
  <c r="J30" i="19"/>
  <c r="I44" i="17"/>
  <c r="J73" i="19"/>
  <c r="I98" i="16" s="1"/>
  <c r="I98" i="17"/>
  <c r="J24" i="19"/>
  <c r="I36" i="17"/>
  <c r="J54" i="19"/>
  <c r="I79" i="16" s="1"/>
  <c r="I79" i="17"/>
  <c r="J97" i="19"/>
  <c r="J66" i="19"/>
  <c r="I91" i="16" s="1"/>
  <c r="I91" i="17"/>
  <c r="J51" i="19"/>
  <c r="I76" i="16" s="1"/>
  <c r="I76" i="17"/>
  <c r="J53" i="19"/>
  <c r="I78" i="16" s="1"/>
  <c r="I78" i="17"/>
  <c r="J44" i="19"/>
  <c r="I68" i="16" s="1"/>
  <c r="I68" i="17"/>
  <c r="J75" i="19"/>
  <c r="I100" i="16" s="1"/>
  <c r="I100" i="17"/>
  <c r="J57" i="19"/>
  <c r="I82" i="16" s="1"/>
  <c r="I82" i="17"/>
  <c r="J72" i="19"/>
  <c r="I97" i="16" s="1"/>
  <c r="I97" i="17"/>
  <c r="J62" i="19"/>
  <c r="I87" i="16" s="1"/>
  <c r="I87" i="17"/>
  <c r="J93" i="19"/>
  <c r="J21" i="19"/>
  <c r="I33" i="17"/>
  <c r="J77" i="19"/>
  <c r="I102" i="16" s="1"/>
  <c r="I102" i="17"/>
  <c r="J79" i="19"/>
  <c r="I104" i="16" s="1"/>
  <c r="I104" i="17"/>
  <c r="J31" i="19"/>
  <c r="I45" i="17"/>
  <c r="J95" i="19"/>
  <c r="J33" i="19"/>
  <c r="I47" i="17"/>
  <c r="J17" i="19"/>
  <c r="I27" i="17"/>
  <c r="G98" i="16"/>
  <c r="I50" i="23"/>
  <c r="G89" i="16" s="1"/>
  <c r="G78" i="17"/>
  <c r="H61" i="19"/>
  <c r="G86" i="16" s="1"/>
  <c r="G53" i="17"/>
  <c r="I59" i="23"/>
  <c r="G102" i="16" s="1"/>
  <c r="H63" i="19"/>
  <c r="G88" i="16" s="1"/>
  <c r="H82" i="19"/>
  <c r="G89" i="17"/>
  <c r="G47" i="17"/>
  <c r="G34" i="17"/>
  <c r="H112" i="19"/>
  <c r="L56" i="15"/>
  <c r="H22" i="18"/>
  <c r="I60" i="24"/>
  <c r="I44" i="23"/>
  <c r="G78" i="16" s="1"/>
  <c r="I43" i="23"/>
  <c r="G77" i="16" s="1"/>
  <c r="I51" i="23"/>
  <c r="G90" i="16" s="1"/>
  <c r="I77" i="23"/>
  <c r="G77" i="17"/>
  <c r="G93" i="17"/>
  <c r="G98" i="17"/>
  <c r="H97" i="19"/>
  <c r="G96" i="17"/>
  <c r="G88" i="17"/>
  <c r="G34" i="16"/>
  <c r="AD42" i="3"/>
  <c r="G102" i="17"/>
  <c r="G100" i="16"/>
  <c r="G119" i="17"/>
  <c r="G33" i="17"/>
  <c r="G69" i="16"/>
  <c r="G94" i="17"/>
  <c r="H74" i="19"/>
  <c r="G99" i="16" s="1"/>
  <c r="G99" i="17"/>
  <c r="G121" i="17"/>
  <c r="G52" i="17"/>
  <c r="G52" i="16"/>
  <c r="G101" i="17"/>
  <c r="G101" i="16"/>
  <c r="I55" i="23"/>
  <c r="G96" i="16" s="1"/>
  <c r="G55" i="17"/>
  <c r="G55" i="16"/>
  <c r="G139" i="17"/>
  <c r="H20" i="19"/>
  <c r="G32" i="17"/>
  <c r="G54" i="16"/>
  <c r="G54" i="17"/>
  <c r="G97" i="17"/>
  <c r="G76" i="17"/>
  <c r="H51" i="19"/>
  <c r="G76" i="16" s="1"/>
  <c r="I76" i="23"/>
  <c r="G126" i="17"/>
  <c r="H101" i="19"/>
  <c r="G75" i="16"/>
  <c r="G81" i="17"/>
  <c r="H56" i="19"/>
  <c r="G81" i="16" s="1"/>
  <c r="G122" i="17"/>
  <c r="G103" i="17"/>
  <c r="G103" i="16"/>
  <c r="G107" i="17"/>
  <c r="I82" i="23"/>
  <c r="G97" i="16"/>
  <c r="G56" i="16"/>
  <c r="G56" i="17"/>
  <c r="G29" i="17"/>
  <c r="G29" i="16"/>
  <c r="G48" i="16"/>
  <c r="G74" i="17"/>
  <c r="G46" i="17"/>
  <c r="G46" i="16"/>
  <c r="G65" i="17"/>
  <c r="G65" i="16"/>
  <c r="G37" i="16"/>
  <c r="G37" i="17"/>
  <c r="G114" i="17"/>
  <c r="H96" i="19"/>
  <c r="H95" i="19"/>
  <c r="H94" i="19"/>
  <c r="H88" i="19"/>
  <c r="I70" i="23"/>
  <c r="G114" i="16" s="1"/>
  <c r="G74" i="16"/>
  <c r="G47" i="16"/>
  <c r="G130" i="17"/>
  <c r="AB130" i="17" s="1"/>
  <c r="AH130" i="17" s="1"/>
  <c r="R42" i="3"/>
  <c r="H103" i="19"/>
  <c r="H90" i="19"/>
  <c r="H100" i="19"/>
  <c r="G115" i="17"/>
  <c r="I93" i="23"/>
  <c r="G35" i="17"/>
  <c r="H23" i="19"/>
  <c r="G51" i="17"/>
  <c r="G51" i="16"/>
  <c r="H53" i="18"/>
  <c r="G117" i="16"/>
  <c r="G117" i="17"/>
  <c r="G129" i="17"/>
  <c r="G129" i="16"/>
  <c r="G72" i="16"/>
  <c r="I69" i="23"/>
  <c r="G68" i="17"/>
  <c r="H44" i="19"/>
  <c r="G68" i="16" s="1"/>
  <c r="G23" i="17"/>
  <c r="G23" i="16"/>
  <c r="G82" i="17"/>
  <c r="H57" i="19"/>
  <c r="G82" i="16" s="1"/>
  <c r="H58" i="19"/>
  <c r="G83" i="16" s="1"/>
  <c r="G83" i="17"/>
  <c r="G36" i="16"/>
  <c r="G36" i="17"/>
  <c r="G125" i="17"/>
  <c r="G79" i="17"/>
  <c r="H54" i="19"/>
  <c r="G79" i="16" s="1"/>
  <c r="H59" i="19"/>
  <c r="G84" i="16" s="1"/>
  <c r="I42" i="23"/>
  <c r="I74" i="23"/>
  <c r="H93" i="19"/>
  <c r="H43" i="19"/>
  <c r="G67" i="16" s="1"/>
  <c r="H66" i="19"/>
  <c r="G91" i="16" s="1"/>
  <c r="G91" i="17"/>
  <c r="G38" i="16"/>
  <c r="G38" i="17"/>
  <c r="H31" i="19"/>
  <c r="G45" i="17"/>
  <c r="G24" i="16"/>
  <c r="G24" i="17"/>
  <c r="G41" i="17"/>
  <c r="G41" i="16"/>
  <c r="G69" i="17"/>
  <c r="H68" i="19"/>
  <c r="G93" i="16" s="1"/>
  <c r="G44" i="16"/>
  <c r="G44" i="17"/>
  <c r="G87" i="17"/>
  <c r="G127" i="16"/>
  <c r="E43" i="41"/>
  <c r="AA30" i="41"/>
  <c r="C43" i="41"/>
  <c r="AA40" i="41"/>
  <c r="I47" i="16" l="1"/>
  <c r="I125" i="16"/>
  <c r="I33" i="16"/>
  <c r="I115" i="16"/>
  <c r="I107" i="16"/>
  <c r="I119" i="16"/>
  <c r="I35" i="16"/>
  <c r="I45" i="16"/>
  <c r="I118" i="16"/>
  <c r="I122" i="16"/>
  <c r="I36" i="16"/>
  <c r="I44" i="16"/>
  <c r="I41" i="16"/>
  <c r="I113" i="16"/>
  <c r="I121" i="16"/>
  <c r="I32" i="16"/>
  <c r="I34" i="16"/>
  <c r="I37" i="16"/>
  <c r="I46" i="16"/>
  <c r="I120" i="16"/>
  <c r="I38" i="16"/>
  <c r="J69" i="19"/>
  <c r="I94" i="16" s="1"/>
  <c r="I94" i="17"/>
  <c r="G107" i="16"/>
  <c r="H69" i="19"/>
  <c r="G94" i="16" s="1"/>
  <c r="G58" i="17"/>
  <c r="D56" i="15"/>
  <c r="G122" i="16"/>
  <c r="G35" i="16"/>
  <c r="G121" i="16"/>
  <c r="G45" i="16"/>
  <c r="G125" i="16"/>
  <c r="G130" i="16"/>
  <c r="G120" i="16"/>
  <c r="G32" i="16"/>
  <c r="G138" i="17"/>
  <c r="G58" i="16"/>
  <c r="G118" i="16"/>
  <c r="G115" i="16"/>
  <c r="G119" i="16"/>
  <c r="G126" i="16"/>
  <c r="G113" i="16"/>
  <c r="C25" i="17"/>
  <c r="Q76" i="25"/>
  <c r="AA43" i="41"/>
  <c r="N42" i="37" l="1"/>
  <c r="N57" i="22"/>
  <c r="N45" i="22"/>
  <c r="P80" i="20"/>
  <c r="Q60" i="24"/>
  <c r="P52" i="21"/>
  <c r="P56" i="21" s="1"/>
  <c r="O47" i="26"/>
  <c r="N25" i="28"/>
  <c r="N28" i="28" s="1"/>
  <c r="P70" i="21"/>
  <c r="P77" i="21" s="1"/>
  <c r="N33" i="28"/>
  <c r="Q95" i="24"/>
  <c r="O26" i="17" l="1"/>
  <c r="O26" i="16"/>
  <c r="R44" i="18"/>
  <c r="P80" i="21"/>
  <c r="O105" i="17"/>
  <c r="P134" i="18"/>
  <c r="O141" i="17"/>
  <c r="Q26" i="17" l="1"/>
  <c r="A52" i="9"/>
  <c r="N36" i="43" l="1"/>
  <c r="V44" i="18" l="1"/>
  <c r="D16" i="2" s="1"/>
  <c r="V37" i="18"/>
  <c r="D15" i="2" s="1"/>
  <c r="V93" i="18"/>
  <c r="D18" i="2" s="1"/>
  <c r="V111" i="18"/>
  <c r="V117" i="18" s="1"/>
  <c r="V134" i="18" l="1"/>
  <c r="Y31" i="23" l="1"/>
  <c r="Y23" i="23" l="1"/>
  <c r="A42" i="14"/>
  <c r="A42" i="13"/>
  <c r="A43" i="11"/>
  <c r="A43" i="10"/>
  <c r="A51" i="8"/>
  <c r="M26" i="16" l="1"/>
  <c r="Y61" i="23"/>
  <c r="Y79" i="23"/>
  <c r="Y86" i="23" s="1"/>
  <c r="M26" i="17" l="1"/>
  <c r="O61" i="23"/>
  <c r="T98" i="20"/>
  <c r="C24" i="16" l="1"/>
  <c r="C24" i="17"/>
  <c r="J18" i="33"/>
  <c r="AA31" i="23" l="1"/>
  <c r="Z23" i="43"/>
  <c r="AA95" i="24" l="1"/>
  <c r="Z35" i="19"/>
  <c r="Z37" i="18"/>
  <c r="Y23" i="26"/>
  <c r="Z22" i="18"/>
  <c r="Z26" i="18" s="1"/>
  <c r="Z28" i="19"/>
  <c r="Z93" i="18"/>
  <c r="AA60" i="24"/>
  <c r="AA23" i="23"/>
  <c r="Z111" i="18"/>
  <c r="Z117" i="18" s="1"/>
  <c r="AA78" i="24"/>
  <c r="AA85" i="24" s="1"/>
  <c r="Z98" i="20"/>
  <c r="Z105" i="20" s="1"/>
  <c r="AA28" i="23"/>
  <c r="Z44" i="18"/>
  <c r="M196" i="42"/>
  <c r="Z37" i="19" l="1"/>
  <c r="AA96" i="23"/>
  <c r="Y49" i="16"/>
  <c r="Y105" i="17"/>
  <c r="Y42" i="17"/>
  <c r="Z80" i="19"/>
  <c r="Z80" i="20"/>
  <c r="Y26" i="16"/>
  <c r="Y30" i="16" s="1"/>
  <c r="Y49" i="17"/>
  <c r="Y123" i="17"/>
  <c r="Y132" i="17" s="1"/>
  <c r="Y26" i="17"/>
  <c r="Y30" i="17" s="1"/>
  <c r="AA33" i="23"/>
  <c r="AA79" i="23"/>
  <c r="AA86" i="23" s="1"/>
  <c r="Y105" i="16"/>
  <c r="AA61" i="23"/>
  <c r="Z98" i="19"/>
  <c r="Z105" i="19" s="1"/>
  <c r="Y42" i="16"/>
  <c r="X36" i="43"/>
  <c r="V36" i="43"/>
  <c r="P36" i="43"/>
  <c r="L36" i="43"/>
  <c r="J36" i="43"/>
  <c r="H36" i="43"/>
  <c r="F36" i="43"/>
  <c r="B36" i="43"/>
  <c r="AA67" i="22" l="1"/>
  <c r="AD114" i="20"/>
  <c r="AC22" i="18"/>
  <c r="AC26" i="18" s="1"/>
  <c r="G28" i="9"/>
  <c r="P18" i="6"/>
  <c r="C29" i="16"/>
  <c r="C73" i="17"/>
  <c r="C82" i="17"/>
  <c r="C103" i="17"/>
  <c r="AL61" i="20"/>
  <c r="AE56" i="17"/>
  <c r="AE56" i="16"/>
  <c r="C112" i="30"/>
  <c r="AG42" i="25"/>
  <c r="AK31" i="18"/>
  <c r="P18" i="5"/>
  <c r="C23" i="16"/>
  <c r="AA42" i="27"/>
  <c r="G39" i="9"/>
  <c r="AD95" i="24"/>
  <c r="C37" i="17"/>
  <c r="AL83" i="21"/>
  <c r="AG40" i="27"/>
  <c r="AI40" i="27" s="1"/>
  <c r="AE22" i="17"/>
  <c r="F19" i="6"/>
  <c r="C154" i="30"/>
  <c r="AD42" i="25"/>
  <c r="AD46" i="25" s="1"/>
  <c r="AL55" i="24"/>
  <c r="C53" i="17"/>
  <c r="C86" i="17"/>
  <c r="C35" i="17"/>
  <c r="C33" i="17"/>
  <c r="AK84" i="18"/>
  <c r="AD60" i="24"/>
  <c r="C96" i="17"/>
  <c r="B26" i="6"/>
  <c r="C120" i="17"/>
  <c r="C99" i="17"/>
  <c r="C98" i="17"/>
  <c r="AG95" i="24"/>
  <c r="AD60" i="25"/>
  <c r="AD67" i="25" s="1"/>
  <c r="C129" i="17"/>
  <c r="C26" i="31"/>
  <c r="AC96" i="23"/>
  <c r="P25" i="5"/>
  <c r="AE98" i="17"/>
  <c r="L38" i="15"/>
  <c r="C104" i="17"/>
  <c r="AD45" i="22"/>
  <c r="C81" i="17"/>
  <c r="AG101" i="19"/>
  <c r="C24" i="30"/>
  <c r="E94" i="23"/>
  <c r="AF22" i="18"/>
  <c r="B19" i="6"/>
  <c r="C101" i="17"/>
  <c r="D22" i="18"/>
  <c r="AD67" i="22"/>
  <c r="C83" i="17"/>
  <c r="AD57" i="22"/>
  <c r="AI21" i="23"/>
  <c r="C53" i="16"/>
  <c r="C117" i="17"/>
  <c r="C36" i="17"/>
  <c r="C23" i="17"/>
  <c r="C67" i="17"/>
  <c r="Y123" i="16"/>
  <c r="Y132" i="16" s="1"/>
  <c r="AA65" i="23"/>
  <c r="AA89" i="23" s="1"/>
  <c r="Z84" i="19"/>
  <c r="Z108" i="19" s="1"/>
  <c r="AI22" i="18" l="1"/>
  <c r="AK22" i="18" s="1"/>
  <c r="C74" i="17"/>
  <c r="C45" i="17"/>
  <c r="C56" i="16"/>
  <c r="C70" i="17"/>
  <c r="B21" i="5"/>
  <c r="C93" i="17"/>
  <c r="C122" i="17"/>
  <c r="C100" i="17"/>
  <c r="C121" i="17"/>
  <c r="C56" i="17"/>
  <c r="C76" i="17"/>
  <c r="C68" i="17"/>
  <c r="C46" i="17"/>
  <c r="C48" i="17"/>
  <c r="C88" i="17"/>
  <c r="C97" i="17"/>
  <c r="B29" i="5"/>
  <c r="D111" i="18"/>
  <c r="D117" i="18" s="1"/>
  <c r="E93" i="23"/>
  <c r="C139" i="17"/>
  <c r="C113" i="17"/>
  <c r="C87" i="17"/>
  <c r="C127" i="17"/>
  <c r="C89" i="17"/>
  <c r="C79" i="17"/>
  <c r="C102" i="17"/>
  <c r="C28" i="16"/>
  <c r="C107" i="17"/>
  <c r="C94" i="17"/>
  <c r="AE139" i="17"/>
  <c r="AA50" i="3"/>
  <c r="D134" i="18"/>
  <c r="C34" i="17"/>
  <c r="C27" i="17"/>
  <c r="AB27" i="17" s="1"/>
  <c r="C51" i="17"/>
  <c r="C28" i="17"/>
  <c r="C44" i="17"/>
  <c r="C129" i="16"/>
  <c r="C72" i="17"/>
  <c r="C72" i="16"/>
  <c r="B29" i="6"/>
  <c r="C55" i="16"/>
  <c r="C55" i="17"/>
  <c r="C91" i="17"/>
  <c r="C84" i="17"/>
  <c r="C77" i="17"/>
  <c r="D93" i="18"/>
  <c r="C64" i="17"/>
  <c r="C38" i="17"/>
  <c r="C32" i="17"/>
  <c r="C51" i="16"/>
  <c r="C29" i="17"/>
  <c r="C69" i="17"/>
  <c r="C52" i="17"/>
  <c r="C52" i="16"/>
  <c r="C78" i="17"/>
  <c r="C75" i="17"/>
  <c r="C114" i="17"/>
  <c r="C115" i="17"/>
  <c r="C22" i="17"/>
  <c r="C26" i="17" s="1"/>
  <c r="C22" i="16"/>
  <c r="C26" i="16" s="1"/>
  <c r="D21" i="15"/>
  <c r="D25" i="15" s="1"/>
  <c r="C47" i="17"/>
  <c r="C125" i="17"/>
  <c r="C54" i="17"/>
  <c r="C119" i="17"/>
  <c r="C41" i="17"/>
  <c r="C118" i="17"/>
  <c r="C90" i="17"/>
  <c r="V17" i="29"/>
  <c r="V17" i="28"/>
  <c r="C58" i="17" l="1"/>
  <c r="D34" i="2"/>
  <c r="D42" i="2" s="1"/>
  <c r="D38" i="15"/>
  <c r="D46" i="15"/>
  <c r="C138" i="17"/>
  <c r="G26" i="17"/>
  <c r="G30" i="17" s="1"/>
  <c r="G26" i="16"/>
  <c r="G30" i="16" s="1"/>
  <c r="G42" i="17"/>
  <c r="G42" i="16"/>
  <c r="G49" i="17"/>
  <c r="G105" i="17"/>
  <c r="G49" i="16"/>
  <c r="G123" i="17"/>
  <c r="G132" i="17" s="1"/>
  <c r="AB80" i="19"/>
  <c r="AB35" i="19"/>
  <c r="AB28" i="19"/>
  <c r="D58" i="15" l="1"/>
  <c r="AB37" i="19"/>
  <c r="AB84" i="19" s="1"/>
  <c r="G105" i="16"/>
  <c r="G123" i="16"/>
  <c r="G132" i="16" s="1"/>
  <c r="G60" i="17"/>
  <c r="G109" i="17" s="1"/>
  <c r="G135" i="17" s="1"/>
  <c r="G60" i="16"/>
  <c r="G109" i="16" l="1"/>
  <c r="G135" i="16" s="1"/>
  <c r="AJ77" i="20" l="1"/>
  <c r="J70" i="21"/>
  <c r="J77" i="21" s="1"/>
  <c r="I33" i="10"/>
  <c r="P32" i="6"/>
  <c r="L24"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8" i="20"/>
  <c r="P114" i="19"/>
  <c r="P28" i="19"/>
  <c r="AB21" i="17" l="1"/>
  <c r="AF93" i="23"/>
  <c r="AF94" i="23"/>
  <c r="L44" i="18"/>
  <c r="L111" i="18"/>
  <c r="L117" i="18" s="1"/>
  <c r="L26" i="18"/>
  <c r="L37" i="18"/>
  <c r="L93" i="18"/>
  <c r="AJ70" i="19"/>
  <c r="AL70" i="19" s="1"/>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7" i="18"/>
  <c r="M30" i="16"/>
  <c r="L28" i="29"/>
  <c r="M39" i="26"/>
  <c r="M53" i="26" s="1"/>
  <c r="L34" i="27"/>
  <c r="M123" i="17"/>
  <c r="M132" i="17" s="1"/>
  <c r="M30" i="17"/>
  <c r="L49" i="22"/>
  <c r="L60" i="22" s="1"/>
  <c r="L72" i="22" s="1"/>
  <c r="O28" i="23"/>
  <c r="O79" i="23"/>
  <c r="O86" i="23" s="1"/>
  <c r="M42" i="17"/>
  <c r="M49" i="17"/>
  <c r="O31" i="23"/>
  <c r="N28" i="19"/>
  <c r="M105" i="17"/>
  <c r="N80" i="20"/>
  <c r="L46" i="15"/>
  <c r="L25" i="15"/>
  <c r="L58" i="15" l="1"/>
  <c r="F28" i="19"/>
  <c r="F35" i="19"/>
  <c r="G23" i="23"/>
  <c r="G28" i="23"/>
  <c r="Y60" i="17"/>
  <c r="Y109" i="17" s="1"/>
  <c r="Y135" i="17" s="1"/>
  <c r="Y60" i="16"/>
  <c r="Y109" i="16" s="1"/>
  <c r="Y135" i="16" s="1"/>
  <c r="M49" i="16"/>
  <c r="M105" i="16"/>
  <c r="M123" i="16"/>
  <c r="M132" i="16" s="1"/>
  <c r="M60" i="17"/>
  <c r="M141" i="17"/>
  <c r="N84" i="20"/>
  <c r="N108" i="20" s="1"/>
  <c r="L34" i="2"/>
  <c r="Z55" i="18" l="1"/>
  <c r="Z97" i="18" s="1"/>
  <c r="Z120" i="18" s="1"/>
  <c r="G79" i="23"/>
  <c r="G86" i="23" s="1"/>
  <c r="G61" i="23"/>
  <c r="G31" i="23"/>
  <c r="F98" i="19"/>
  <c r="F105" i="19" s="1"/>
  <c r="G33" i="23" l="1"/>
  <c r="G65" i="23" s="1"/>
  <c r="G89" i="23" s="1"/>
  <c r="F80" i="19"/>
  <c r="L45" i="39"/>
  <c r="L42" i="39"/>
  <c r="L41" i="39"/>
  <c r="L37" i="39"/>
  <c r="L35" i="39"/>
  <c r="L34" i="39"/>
  <c r="L27" i="39"/>
  <c r="L26" i="39"/>
  <c r="L25" i="39"/>
  <c r="L21" i="39"/>
  <c r="L20" i="39"/>
  <c r="L19" i="39"/>
  <c r="L18" i="39"/>
  <c r="L17" i="39"/>
  <c r="L16" i="39"/>
  <c r="S31" i="23" l="1"/>
  <c r="L22" i="39"/>
  <c r="L47" i="39"/>
  <c r="L38" i="39"/>
  <c r="L28" i="39"/>
  <c r="L30" i="39" l="1"/>
  <c r="L50" i="39" s="1"/>
  <c r="L52" i="39" s="1"/>
  <c r="P93" i="18" l="1"/>
  <c r="C47" i="16" l="1"/>
  <c r="X114" i="20" l="1"/>
  <c r="M46" i="40"/>
  <c r="M48" i="40" s="1"/>
  <c r="D48" i="40" l="1"/>
  <c r="F12" i="40" s="1"/>
  <c r="F48" i="40" s="1"/>
  <c r="H12" i="40" s="1"/>
  <c r="H48" i="40" s="1"/>
  <c r="J12" i="40" s="1"/>
  <c r="J48" i="40" s="1"/>
  <c r="C52" i="39"/>
  <c r="E12" i="39" s="1"/>
  <c r="E52" i="39" s="1"/>
  <c r="G12" i="39" s="1"/>
  <c r="G52" i="39" s="1"/>
  <c r="E59" i="23"/>
  <c r="AF59" i="23" s="1"/>
  <c r="E60" i="23"/>
  <c r="C81" i="16"/>
  <c r="AD54" i="19"/>
  <c r="X35" i="19"/>
  <c r="X28" i="19"/>
  <c r="X98" i="19"/>
  <c r="X105" i="19" s="1"/>
  <c r="I12" i="39" l="1"/>
  <c r="I52" i="39" s="1"/>
  <c r="X37" i="19"/>
  <c r="C34" i="16"/>
  <c r="C41" i="16"/>
  <c r="C102" i="16"/>
  <c r="AB102" i="16" s="1"/>
  <c r="AD21" i="19"/>
  <c r="E52" i="23"/>
  <c r="AF52" i="23" s="1"/>
  <c r="AK68" i="18"/>
  <c r="E70" i="23"/>
  <c r="E48" i="23"/>
  <c r="AE35" i="17"/>
  <c r="E58" i="23"/>
  <c r="E30" i="23"/>
  <c r="P23" i="6"/>
  <c r="C101" i="16"/>
  <c r="AK43" i="18"/>
  <c r="AC44" i="18"/>
  <c r="AG22" i="19"/>
  <c r="AI68" i="18"/>
  <c r="E22" i="23"/>
  <c r="E77" i="23"/>
  <c r="AE94" i="17"/>
  <c r="E26" i="23"/>
  <c r="AJ19" i="25"/>
  <c r="F30" i="2"/>
  <c r="AD28" i="20"/>
  <c r="AA45" i="22"/>
  <c r="C82" i="16"/>
  <c r="AC111" i="18"/>
  <c r="AC117" i="18" s="1"/>
  <c r="C94" i="16"/>
  <c r="C103" i="16"/>
  <c r="AI43" i="23"/>
  <c r="AI74" i="23"/>
  <c r="E63" i="23"/>
  <c r="C73" i="16"/>
  <c r="AC37" i="18"/>
  <c r="P35" i="5"/>
  <c r="E69" i="23"/>
  <c r="E74" i="23"/>
  <c r="I25" i="10"/>
  <c r="C68" i="16"/>
  <c r="E25" i="23"/>
  <c r="C83" i="16"/>
  <c r="E57" i="23"/>
  <c r="AC93" i="18"/>
  <c r="E43" i="23"/>
  <c r="AF43" i="23" s="1"/>
  <c r="E20" i="23"/>
  <c r="E27" i="23"/>
  <c r="E54" i="23"/>
  <c r="F28" i="2"/>
  <c r="E21" i="23"/>
  <c r="AJ32" i="25"/>
  <c r="E81" i="23"/>
  <c r="X80" i="19"/>
  <c r="AC79" i="23"/>
  <c r="AC86" i="23" s="1"/>
  <c r="AC61" i="23"/>
  <c r="AC31" i="23"/>
  <c r="AC28" i="23"/>
  <c r="AC23" i="23"/>
  <c r="AF27" i="23" l="1"/>
  <c r="P46" i="15"/>
  <c r="AF21" i="23"/>
  <c r="AF22" i="23"/>
  <c r="C54" i="16"/>
  <c r="C58" i="16" s="1"/>
  <c r="AD112" i="19"/>
  <c r="C46" i="16"/>
  <c r="C35" i="16"/>
  <c r="AB35" i="16" s="1"/>
  <c r="C37" i="16"/>
  <c r="C32" i="16"/>
  <c r="AD100" i="19"/>
  <c r="C44" i="16"/>
  <c r="C86" i="16"/>
  <c r="C33" i="16"/>
  <c r="C38" i="16"/>
  <c r="C114" i="16"/>
  <c r="C100" i="16"/>
  <c r="C118" i="16"/>
  <c r="C48" i="16"/>
  <c r="C125" i="16"/>
  <c r="C45" i="16"/>
  <c r="C36" i="16"/>
  <c r="AD51" i="19"/>
  <c r="C76" i="16"/>
  <c r="AD59" i="19"/>
  <c r="E105" i="16"/>
  <c r="E105" i="17"/>
  <c r="AB23" i="16"/>
  <c r="E42" i="16"/>
  <c r="E42" i="17"/>
  <c r="E123" i="17"/>
  <c r="E132" i="17" s="1"/>
  <c r="E123" i="16"/>
  <c r="AB24" i="17"/>
  <c r="E49" i="17"/>
  <c r="E42" i="23"/>
  <c r="E82" i="23"/>
  <c r="C69" i="16"/>
  <c r="C104" i="16"/>
  <c r="AD20" i="19"/>
  <c r="C75" i="16"/>
  <c r="C91" i="16"/>
  <c r="C88" i="16"/>
  <c r="C87" i="16"/>
  <c r="AC55" i="18"/>
  <c r="AC97" i="18" s="1"/>
  <c r="AC120" i="18" s="1"/>
  <c r="AC138" i="18" s="1"/>
  <c r="E50" i="23"/>
  <c r="E73" i="23"/>
  <c r="E45" i="23"/>
  <c r="C79" i="16" s="1"/>
  <c r="E92" i="23"/>
  <c r="E41" i="23"/>
  <c r="C74" i="16" s="1"/>
  <c r="C64" i="16"/>
  <c r="D28" i="19"/>
  <c r="C98" i="16"/>
  <c r="D35" i="19"/>
  <c r="E56" i="23"/>
  <c r="E44" i="23"/>
  <c r="C78" i="16" s="1"/>
  <c r="E76" i="23"/>
  <c r="E39" i="23"/>
  <c r="C67" i="16" s="1"/>
  <c r="E84" i="23"/>
  <c r="E71" i="23"/>
  <c r="E37" i="23"/>
  <c r="C65" i="16" s="1"/>
  <c r="E49" i="23"/>
  <c r="E46" i="23"/>
  <c r="AF46" i="23" s="1"/>
  <c r="E83" i="23"/>
  <c r="C70" i="16"/>
  <c r="E55" i="23"/>
  <c r="C99" i="16"/>
  <c r="E78" i="23"/>
  <c r="E75" i="23"/>
  <c r="C93" i="16"/>
  <c r="C77" i="16"/>
  <c r="E51" i="23"/>
  <c r="AD43" i="19"/>
  <c r="AD101" i="19"/>
  <c r="X84" i="19"/>
  <c r="X108" i="19" s="1"/>
  <c r="AC33" i="23"/>
  <c r="AC65" i="23" s="1"/>
  <c r="AC89" i="23" s="1"/>
  <c r="AC101" i="23" s="1"/>
  <c r="D37" i="19" l="1"/>
  <c r="H46" i="15"/>
  <c r="H38" i="15"/>
  <c r="C117" i="16"/>
  <c r="C120" i="16"/>
  <c r="C127" i="16"/>
  <c r="C126" i="16"/>
  <c r="AF84" i="23"/>
  <c r="AF92" i="23"/>
  <c r="AF96" i="23" s="1"/>
  <c r="P51" i="2"/>
  <c r="C121" i="16"/>
  <c r="AD111" i="19"/>
  <c r="V49" i="2"/>
  <c r="U139" i="16" s="1"/>
  <c r="C113" i="16"/>
  <c r="C107" i="16"/>
  <c r="C97" i="16"/>
  <c r="AB22" i="17"/>
  <c r="E26" i="17"/>
  <c r="E30" i="17" s="1"/>
  <c r="E60" i="17" s="1"/>
  <c r="E109" i="17" s="1"/>
  <c r="AB22" i="16"/>
  <c r="E26" i="16"/>
  <c r="C89" i="16"/>
  <c r="C115" i="16"/>
  <c r="C96" i="16"/>
  <c r="C130" i="16"/>
  <c r="C84" i="16"/>
  <c r="C119" i="16"/>
  <c r="C90" i="16"/>
  <c r="C122" i="16"/>
  <c r="Z32" i="37"/>
  <c r="Z44" i="37" s="1"/>
  <c r="E132" i="16"/>
  <c r="D80" i="19"/>
  <c r="C141" i="17"/>
  <c r="D98" i="19"/>
  <c r="D105" i="19" s="1"/>
  <c r="D114" i="19"/>
  <c r="C123" i="17"/>
  <c r="C132" i="17" s="1"/>
  <c r="J19" i="33"/>
  <c r="J16" i="33"/>
  <c r="D20" i="33"/>
  <c r="E30" i="16" l="1"/>
  <c r="E60" i="16" s="1"/>
  <c r="E109" i="16" s="1"/>
  <c r="E135" i="16" s="1"/>
  <c r="AB26" i="16"/>
  <c r="E135" i="17"/>
  <c r="D84" i="19"/>
  <c r="D108" i="19" s="1"/>
  <c r="D118" i="19" s="1"/>
  <c r="J20" i="33"/>
  <c r="P20" i="22"/>
  <c r="H28" i="36"/>
  <c r="N35" i="19" l="1"/>
  <c r="N37" i="19" l="1"/>
  <c r="B34" i="6"/>
  <c r="B39" i="6" s="1"/>
  <c r="AE107"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7" i="18" l="1"/>
  <c r="L120" i="18" s="1"/>
  <c r="B37" i="5"/>
  <c r="F29" i="15"/>
  <c r="AI50" i="23"/>
  <c r="AG17" i="19"/>
  <c r="AI84" i="18"/>
  <c r="AI56" i="23"/>
  <c r="AN56" i="23" s="1"/>
  <c r="AI60" i="23"/>
  <c r="AD98" i="20"/>
  <c r="AD105" i="20" s="1"/>
  <c r="AI26" i="23"/>
  <c r="AD35" i="20"/>
  <c r="AD37" i="20" s="1"/>
  <c r="P44" i="18"/>
  <c r="P37" i="18"/>
  <c r="P111" i="18"/>
  <c r="P117" i="18" s="1"/>
  <c r="P26" i="18"/>
  <c r="P55" i="18" l="1"/>
  <c r="P97" i="18" s="1"/>
  <c r="P120" i="18" s="1"/>
  <c r="P138" i="18" s="1"/>
  <c r="X114" i="19"/>
  <c r="X118" i="19" s="1"/>
  <c r="Q49" i="17"/>
  <c r="Q34" i="26"/>
  <c r="P86" i="21"/>
  <c r="P90" i="21" s="1"/>
  <c r="Q42" i="17"/>
  <c r="N67" i="22"/>
  <c r="F29" i="5"/>
  <c r="V34" i="15"/>
  <c r="Q22" i="24"/>
  <c r="R26" i="18"/>
  <c r="P35" i="19"/>
  <c r="F26" i="6"/>
  <c r="F29" i="6" s="1"/>
  <c r="F39" i="6" s="1"/>
  <c r="F37" i="5"/>
  <c r="AF57" i="23"/>
  <c r="P37" i="19" l="1"/>
  <c r="M109" i="17"/>
  <c r="M135" i="17" s="1"/>
  <c r="M145" i="17" s="1"/>
  <c r="Q105" i="17"/>
  <c r="Q105" i="16"/>
  <c r="R86" i="21"/>
  <c r="R114" i="19"/>
  <c r="R84" i="19"/>
  <c r="R108" i="19" s="1"/>
  <c r="Q123" i="17"/>
  <c r="Q132" i="17" s="1"/>
  <c r="Q123" i="16"/>
  <c r="Q132" i="16" s="1"/>
  <c r="P98" i="19"/>
  <c r="P105" i="19" s="1"/>
  <c r="Q49" i="16"/>
  <c r="Q42" i="16"/>
  <c r="P80" i="19"/>
  <c r="P84" i="19" l="1"/>
  <c r="P108" i="19" s="1"/>
  <c r="P118" i="19" s="1"/>
  <c r="R118" i="19"/>
  <c r="Q141" i="17"/>
  <c r="AD17" i="29" l="1"/>
  <c r="AA17" i="28"/>
  <c r="AD25" i="29"/>
  <c r="AA25" i="28"/>
  <c r="AD33" i="29"/>
  <c r="AD76" i="25" l="1"/>
  <c r="AF58"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11" i="18"/>
  <c r="J117" i="18" s="1"/>
  <c r="H111" i="18"/>
  <c r="H117" i="18" s="1"/>
  <c r="F111" i="18"/>
  <c r="F117" i="18" s="1"/>
  <c r="J93" i="18"/>
  <c r="H93" i="18"/>
  <c r="F93" i="18"/>
  <c r="J44" i="18"/>
  <c r="H44" i="18"/>
  <c r="F44" i="18"/>
  <c r="D44" i="18"/>
  <c r="J37" i="18"/>
  <c r="H37" i="18"/>
  <c r="F37" i="18"/>
  <c r="D37"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5" i="18"/>
  <c r="J97" i="18" s="1"/>
  <c r="J120" i="18" s="1"/>
  <c r="H26" i="22"/>
  <c r="H49" i="22" s="1"/>
  <c r="H60" i="22" s="1"/>
  <c r="P26" i="22"/>
  <c r="P49" i="22" s="1"/>
  <c r="P60" i="22" s="1"/>
  <c r="P72" i="22" s="1"/>
  <c r="Q30" i="17"/>
  <c r="Q60" i="17" s="1"/>
  <c r="Q109" i="17" s="1"/>
  <c r="Q135" i="17" s="1"/>
  <c r="Q145" i="17" s="1"/>
  <c r="F34" i="27"/>
  <c r="H28" i="29"/>
  <c r="K70" i="25"/>
  <c r="G39" i="26"/>
  <c r="D34" i="27"/>
  <c r="I39" i="26"/>
  <c r="D28" i="28"/>
  <c r="H34" i="27"/>
  <c r="H28" i="19"/>
  <c r="H98" i="19"/>
  <c r="H105" i="19" s="1"/>
  <c r="H55" i="18"/>
  <c r="H97" i="18" s="1"/>
  <c r="H120" i="18" s="1"/>
  <c r="B26" i="22"/>
  <c r="B49" i="22" s="1"/>
  <c r="B60" i="22" s="1"/>
  <c r="J80" i="19"/>
  <c r="J28" i="19"/>
  <c r="I79" i="23"/>
  <c r="I86" i="23" s="1"/>
  <c r="F80" i="21"/>
  <c r="F55" i="18"/>
  <c r="F97" i="18" s="1"/>
  <c r="F120"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9" i="18"/>
  <c r="R41" i="15" l="1"/>
  <c r="K137" i="30" l="1"/>
  <c r="K135" i="30"/>
  <c r="T93" i="18" l="1"/>
  <c r="X93" i="18"/>
  <c r="R93" i="18"/>
  <c r="W49" i="17" l="1"/>
  <c r="O123" i="17"/>
  <c r="O132" i="17" s="1"/>
  <c r="S123" i="17"/>
  <c r="S132" i="17" s="1"/>
  <c r="V80" i="19"/>
  <c r="H18" i="2" s="1"/>
  <c r="O49" i="17"/>
  <c r="S49" i="17"/>
  <c r="T80" i="19"/>
  <c r="I49" i="17" l="1"/>
  <c r="S42" i="17" l="1"/>
  <c r="W42" i="17"/>
  <c r="O42" i="17"/>
  <c r="W30" i="16"/>
  <c r="W30" i="17"/>
  <c r="P42" i="37" l="1"/>
  <c r="V42" i="37"/>
  <c r="W96" i="23"/>
  <c r="U60" i="24"/>
  <c r="X42" i="37"/>
  <c r="L42" i="37"/>
  <c r="L44" i="37" s="1"/>
  <c r="X32" i="37"/>
  <c r="W28" i="23"/>
  <c r="P16" i="2" s="1"/>
  <c r="Q31" i="23"/>
  <c r="Q96" i="23"/>
  <c r="W31" i="23"/>
  <c r="P17" i="2" s="1"/>
  <c r="V32" i="37"/>
  <c r="P32" i="37"/>
  <c r="Y96" i="23"/>
  <c r="W60" i="24"/>
  <c r="U96" i="23"/>
  <c r="S60" i="24"/>
  <c r="O96" i="23"/>
  <c r="R42" i="37"/>
  <c r="U31" i="23"/>
  <c r="T42" i="37"/>
  <c r="T32" i="37"/>
  <c r="N32" i="37"/>
  <c r="N44" i="37" s="1"/>
  <c r="W141" i="17"/>
  <c r="S141" i="17"/>
  <c r="W105" i="17"/>
  <c r="S105" i="17"/>
  <c r="U23" i="23"/>
  <c r="Y141" i="17"/>
  <c r="Q28" i="23"/>
  <c r="W60" i="17"/>
  <c r="P44" i="37" l="1"/>
  <c r="W49" i="16"/>
  <c r="I42" i="17"/>
  <c r="I30" i="17"/>
  <c r="I30" i="16"/>
  <c r="K96" i="23"/>
  <c r="B67" i="22"/>
  <c r="T44" i="37"/>
  <c r="S42" i="16"/>
  <c r="Y28" i="23"/>
  <c r="W23" i="23"/>
  <c r="P15" i="2" s="1"/>
  <c r="O42" i="16"/>
  <c r="Q23" i="23"/>
  <c r="W42" i="16"/>
  <c r="S123" i="16"/>
  <c r="S132" i="16" s="1"/>
  <c r="W86" i="23"/>
  <c r="R24" i="37"/>
  <c r="T24" i="37"/>
  <c r="V24" i="37"/>
  <c r="X24" i="37"/>
  <c r="N24" i="37"/>
  <c r="P24" i="37"/>
  <c r="U28" i="23"/>
  <c r="V44" i="37"/>
  <c r="O49" i="16"/>
  <c r="U79" i="23"/>
  <c r="U86" i="23" s="1"/>
  <c r="R44" i="37"/>
  <c r="S49" i="16"/>
  <c r="W109" i="17"/>
  <c r="X44"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I41" i="10"/>
  <c r="I34" i="10"/>
  <c r="I40" i="13"/>
  <c r="N28" i="15" l="1"/>
  <c r="N38" i="15" s="1"/>
  <c r="G96" i="23" l="1"/>
  <c r="G101" i="23" l="1"/>
  <c r="AA51" i="3" l="1"/>
  <c r="R33" i="11" l="1"/>
  <c r="AG30" i="19"/>
  <c r="AI27" i="23" l="1"/>
  <c r="Q30" i="16" l="1"/>
  <c r="Q60" i="16" l="1"/>
  <c r="Q109" i="16" s="1"/>
  <c r="Q135" i="16" s="1"/>
  <c r="AI55" i="23"/>
  <c r="AG54" i="19"/>
  <c r="AG59" i="19"/>
  <c r="AI52" i="23"/>
  <c r="AG56" i="19"/>
  <c r="AG24" i="19"/>
  <c r="AI49" i="23"/>
  <c r="AI71" i="23"/>
  <c r="AI92" i="23"/>
  <c r="AI58" i="23"/>
  <c r="AI48" i="23"/>
  <c r="P33" i="6"/>
  <c r="AG65" i="19"/>
  <c r="AG75" i="19"/>
  <c r="AG94" i="19"/>
  <c r="AG44" i="19"/>
  <c r="AF93" i="18"/>
  <c r="AI82" i="23"/>
  <c r="AG74" i="19"/>
  <c r="AG48" i="19"/>
  <c r="AI30" i="23"/>
  <c r="AI31" i="23" s="1"/>
  <c r="AG96" i="19"/>
  <c r="AI45" i="23"/>
  <c r="AI39" i="23"/>
  <c r="AI37" i="23"/>
  <c r="AG71" i="19"/>
  <c r="AG73" i="19"/>
  <c r="AE98"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8" i="17"/>
  <c r="AD19" i="2"/>
  <c r="AI96" i="23"/>
  <c r="AD48" i="2"/>
  <c r="AD26" i="2"/>
  <c r="M138" i="16" l="1"/>
  <c r="AD51" i="2"/>
  <c r="AE138" i="16"/>
  <c r="AC103" i="23"/>
  <c r="AG80" i="19"/>
  <c r="AD18" i="2" s="1"/>
  <c r="AE94" i="16"/>
  <c r="AI33" i="23"/>
  <c r="AI65" i="23" s="1"/>
  <c r="AI89" i="23" s="1"/>
  <c r="AI101" i="23" s="1"/>
  <c r="T98" i="19"/>
  <c r="T105" i="19" s="1"/>
  <c r="V98" i="19"/>
  <c r="V105" i="19" s="1"/>
  <c r="T35" i="19"/>
  <c r="V35" i="19"/>
  <c r="H16" i="2" s="1"/>
  <c r="T28" i="19"/>
  <c r="V28" i="19"/>
  <c r="H15" i="2" s="1"/>
  <c r="V37" i="19" l="1"/>
  <c r="V84" i="19" s="1"/>
  <c r="V108" i="19" s="1"/>
  <c r="T37" i="19"/>
  <c r="T84" i="19" s="1"/>
  <c r="T108" i="19" s="1"/>
  <c r="K64" i="30"/>
  <c r="J32" i="37"/>
  <c r="AJ73" i="25"/>
  <c r="F32" i="15"/>
  <c r="F37" i="15"/>
  <c r="F34" i="15"/>
  <c r="AI64" i="18"/>
  <c r="J42" i="37"/>
  <c r="N52" i="15"/>
  <c r="N56" i="15" s="1"/>
  <c r="F33" i="15"/>
  <c r="AJ74" i="25"/>
  <c r="AL74" i="25" s="1"/>
  <c r="J44" i="37" l="1"/>
  <c r="K123" i="17"/>
  <c r="K132" i="17" s="1"/>
  <c r="K49" i="17"/>
  <c r="J24" i="37"/>
  <c r="K30" i="17"/>
  <c r="K42" i="17"/>
  <c r="K105" i="17"/>
  <c r="M23" i="23"/>
  <c r="K30" i="16"/>
  <c r="M28" i="23"/>
  <c r="M79" i="23"/>
  <c r="M86" i="23" s="1"/>
  <c r="K141" i="17"/>
  <c r="L35" i="19"/>
  <c r="L80" i="19"/>
  <c r="M31" i="23"/>
  <c r="L28" i="19"/>
  <c r="M96" i="23"/>
  <c r="L98" i="19"/>
  <c r="L105" i="19" s="1"/>
  <c r="L37" i="19" l="1"/>
  <c r="L84" i="19" s="1"/>
  <c r="L108"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8" i="20" l="1"/>
  <c r="AL48" i="20" s="1"/>
  <c r="AE73" i="16" l="1"/>
  <c r="AD48" i="19"/>
  <c r="AJ48" i="19" s="1"/>
  <c r="AL48" i="19" s="1"/>
  <c r="AB73" i="16"/>
  <c r="AH73" i="16" l="1"/>
  <c r="AJ73"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7" i="26" l="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29" i="18" l="1"/>
  <c r="AK129" i="18" s="1"/>
  <c r="K39" i="30" l="1"/>
  <c r="Z12" i="43"/>
  <c r="B16" i="43"/>
  <c r="D16" i="43"/>
  <c r="F16" i="43"/>
  <c r="H16" i="43"/>
  <c r="J16" i="43"/>
  <c r="N16" i="43"/>
  <c r="R16" i="43"/>
  <c r="T16" i="43"/>
  <c r="V16" i="43"/>
  <c r="X16" i="43"/>
  <c r="Z40" i="43"/>
  <c r="B40" i="43"/>
  <c r="D40" i="43"/>
  <c r="F40" i="43"/>
  <c r="H40" i="43"/>
  <c r="L40" i="43"/>
  <c r="T40" i="43"/>
  <c r="V40" i="43"/>
  <c r="X40" i="43"/>
  <c r="V42" i="43" l="1"/>
  <c r="F42" i="43"/>
  <c r="B42" i="43"/>
  <c r="B44" i="43" s="1"/>
  <c r="D12" i="43" s="1"/>
  <c r="L42" i="43"/>
  <c r="D42" i="43"/>
  <c r="X42" i="43"/>
  <c r="H42" i="43"/>
  <c r="D44" i="43" l="1"/>
  <c r="F12" i="43" s="1"/>
  <c r="F44" i="43" l="1"/>
  <c r="H12" i="43" s="1"/>
  <c r="H44" i="43" l="1"/>
  <c r="J12" i="43" s="1"/>
  <c r="AL57" i="23" l="1"/>
  <c r="AN57" i="23" s="1"/>
  <c r="M203" i="42" l="1"/>
  <c r="AJ56" i="24"/>
  <c r="AL56" i="24" s="1"/>
  <c r="AJ49" i="21" l="1"/>
  <c r="AL49" i="21" s="1"/>
  <c r="AD72" i="22" l="1"/>
  <c r="X67" i="22" l="1"/>
  <c r="X57" i="22"/>
  <c r="X45" i="22"/>
  <c r="X20" i="22"/>
  <c r="T67" i="22"/>
  <c r="T57" i="22"/>
  <c r="T45" i="22"/>
  <c r="L18" i="2" s="1"/>
  <c r="T20" i="22"/>
  <c r="L15" i="2" s="1"/>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8" i="18" l="1"/>
  <c r="AK88" i="18" s="1"/>
  <c r="AI89" i="18"/>
  <c r="AK89" i="18" s="1"/>
  <c r="AE103" i="17"/>
  <c r="AE68" i="17"/>
  <c r="AG44" i="22" l="1"/>
  <c r="AI44" i="22" s="1"/>
  <c r="AG30" i="22"/>
  <c r="AI30" i="22" s="1"/>
  <c r="AE99" i="17" l="1"/>
  <c r="AN49" i="23" l="1"/>
  <c r="AJ31" i="25"/>
  <c r="AJ48" i="24"/>
  <c r="AL48" i="24" s="1"/>
  <c r="AL49" i="23" l="1"/>
  <c r="R80" i="20" l="1"/>
  <c r="AL25" i="23" l="1"/>
  <c r="AA42" i="25" l="1"/>
  <c r="Y42" i="25"/>
  <c r="W42" i="25"/>
  <c r="S42" i="25"/>
  <c r="M42" i="25"/>
  <c r="AF60" i="23" l="1"/>
  <c r="W105" i="16"/>
  <c r="W109" i="16" s="1"/>
  <c r="W61" i="23"/>
  <c r="P18" i="2" s="1"/>
  <c r="A39" i="13"/>
  <c r="A40" i="11"/>
  <c r="A40" i="10"/>
  <c r="A49" i="9"/>
  <c r="W65" i="23" l="1"/>
  <c r="W89" i="23" s="1"/>
  <c r="W101" i="23" s="1"/>
  <c r="Q31" i="14"/>
  <c r="AL59" i="25"/>
  <c r="Q24" i="14"/>
  <c r="G32" i="14"/>
  <c r="R31" i="11"/>
  <c r="G32" i="11"/>
  <c r="G31" i="11"/>
  <c r="G24" i="11"/>
  <c r="AJ75" i="20"/>
  <c r="AL75" i="20" s="1"/>
  <c r="AJ62" i="20"/>
  <c r="AL62" i="20" s="1"/>
  <c r="G20" i="11"/>
  <c r="AE28" i="16"/>
  <c r="AE27" i="17"/>
  <c r="AE28" i="17"/>
  <c r="AJ28" i="17" s="1"/>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8" i="20"/>
  <c r="G33" i="8" l="1"/>
  <c r="AD23" i="15"/>
  <c r="AH23" i="15" s="1"/>
  <c r="AJ23" i="15" s="1"/>
  <c r="AJ28" i="16"/>
  <c r="AD51" i="15"/>
  <c r="AH51" i="15" s="1"/>
  <c r="AJ51" i="15" s="1"/>
  <c r="AD53" i="15"/>
  <c r="AH53" i="15" s="1"/>
  <c r="AJ53" i="15" s="1"/>
  <c r="AD50" i="15"/>
  <c r="AH50" i="15" s="1"/>
  <c r="AJ50" i="15" s="1"/>
  <c r="G30" i="11"/>
  <c r="R30" i="11"/>
  <c r="AL54" i="21"/>
  <c r="R24" i="11"/>
  <c r="G24" i="14"/>
  <c r="G26" i="14"/>
  <c r="G31" i="14"/>
  <c r="AJ93" i="24"/>
  <c r="AL93" i="24" s="1"/>
  <c r="Q32" i="14"/>
  <c r="R23" i="11"/>
  <c r="N14" i="2"/>
  <c r="AE74" i="16"/>
  <c r="AE77" i="16"/>
  <c r="AG16" i="22"/>
  <c r="AI16" i="22" s="1"/>
  <c r="Q23" i="14"/>
  <c r="G20" i="12"/>
  <c r="AE78"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40" i="16" l="1"/>
  <c r="Z35" i="20"/>
  <c r="X35" i="20"/>
  <c r="V35" i="20"/>
  <c r="H17" i="3" s="1"/>
  <c r="T35" i="20"/>
  <c r="R35" i="20"/>
  <c r="P35" i="20"/>
  <c r="L35" i="20"/>
  <c r="Z28" i="20"/>
  <c r="X28" i="20"/>
  <c r="V28" i="20"/>
  <c r="H16" i="3" s="1"/>
  <c r="T28" i="20"/>
  <c r="L28" i="20"/>
  <c r="AG35" i="20"/>
  <c r="AG37" i="20" s="1"/>
  <c r="R37" i="20" l="1"/>
  <c r="P37" i="20"/>
  <c r="P84" i="20" s="1"/>
  <c r="P108" i="20" s="1"/>
  <c r="P118" i="20" s="1"/>
  <c r="V37" i="20"/>
  <c r="T37" i="20"/>
  <c r="Z37" i="20"/>
  <c r="Z84" i="20" s="1"/>
  <c r="Z108" i="20" s="1"/>
  <c r="X37" i="20"/>
  <c r="L37" i="20"/>
  <c r="K88" i="30" l="1"/>
  <c r="AE104" i="17"/>
  <c r="AE101" i="17"/>
  <c r="AE100" i="17"/>
  <c r="AE97" i="17"/>
  <c r="AE96" i="17"/>
  <c r="AE93" i="17"/>
  <c r="AE91" i="17"/>
  <c r="AE90" i="17"/>
  <c r="AE89" i="17"/>
  <c r="AE88" i="17"/>
  <c r="AE87" i="17"/>
  <c r="AE86" i="17"/>
  <c r="AJ86" i="17" s="1"/>
  <c r="AE84" i="17"/>
  <c r="AE83" i="17"/>
  <c r="AE82" i="17"/>
  <c r="AE81" i="17"/>
  <c r="AE79" i="17"/>
  <c r="AE70" i="17"/>
  <c r="AE69" i="17"/>
  <c r="AE67" i="17"/>
  <c r="AE65" i="17"/>
  <c r="AE33" i="17"/>
  <c r="AE38" i="17"/>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P40" i="43" l="1"/>
  <c r="P42"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E37" i="17"/>
  <c r="AE34" i="17"/>
  <c r="AE32" i="17"/>
  <c r="AE29" i="17"/>
  <c r="AE25" i="17"/>
  <c r="AE24" i="17"/>
  <c r="AE23" i="17"/>
  <c r="AJ25" i="24"/>
  <c r="AL25" i="24" s="1"/>
  <c r="AJ24" i="24"/>
  <c r="AE58" i="17" l="1"/>
  <c r="AD49" i="15"/>
  <c r="AE58" i="16"/>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2" i="17"/>
  <c r="C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5" i="15"/>
  <c r="R46" i="15" s="1"/>
  <c r="AL21" i="23"/>
  <c r="AN21" i="23" s="1"/>
  <c r="R32" i="15"/>
  <c r="R34" i="15"/>
  <c r="B72" i="22"/>
  <c r="AJ42" i="25"/>
  <c r="AL42" i="25" s="1"/>
  <c r="AB27" i="16"/>
  <c r="AE27" i="16"/>
  <c r="AD22" i="15" s="1"/>
  <c r="C49" i="16"/>
  <c r="AL30" i="23"/>
  <c r="AN30" i="23" s="1"/>
  <c r="C42" i="16"/>
  <c r="AE69" i="16"/>
  <c r="AE81" i="16"/>
  <c r="AE90" i="16"/>
  <c r="AE96" i="16"/>
  <c r="AE104" i="16"/>
  <c r="AE41" i="16"/>
  <c r="AE47" i="16"/>
  <c r="AJ30"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7" i="19"/>
  <c r="AD24" i="19"/>
  <c r="AD34" i="19"/>
  <c r="AD26" i="19"/>
  <c r="AD22" i="19"/>
  <c r="AD33" i="19"/>
  <c r="AG35" i="19"/>
  <c r="AD16" i="2" s="1"/>
  <c r="AE44"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0" i="20"/>
  <c r="AA19" i="3" s="1"/>
  <c r="X80" i="20"/>
  <c r="V80" i="20"/>
  <c r="H19" i="3" s="1"/>
  <c r="T80" i="20"/>
  <c r="L80" i="20"/>
  <c r="AA46" i="25"/>
  <c r="Y46" i="25"/>
  <c r="W46" i="25"/>
  <c r="S46" i="25"/>
  <c r="O46" i="25"/>
  <c r="M46" i="25"/>
  <c r="AG60" i="24"/>
  <c r="AD37" i="15" l="1"/>
  <c r="AG37" i="19"/>
  <c r="AG84" i="19" s="1"/>
  <c r="AG108" i="19" s="1"/>
  <c r="AG118" i="19" s="1"/>
  <c r="AL17" i="20"/>
  <c r="H21" i="3"/>
  <c r="R55" i="18"/>
  <c r="R97" i="18" s="1"/>
  <c r="X84" i="20"/>
  <c r="AD41" i="15"/>
  <c r="AD45" i="15"/>
  <c r="AD42" i="15"/>
  <c r="AD43" i="15"/>
  <c r="AD44" i="15"/>
  <c r="AD54" i="15"/>
  <c r="AD56" i="15" s="1"/>
  <c r="AD32" i="15"/>
  <c r="AD33" i="15"/>
  <c r="AD34" i="15"/>
  <c r="AD30" i="15"/>
  <c r="AD28" i="15"/>
  <c r="AD29" i="15"/>
  <c r="AA16" i="3"/>
  <c r="AD15" i="2"/>
  <c r="AJ33" i="19"/>
  <c r="AL33" i="19" s="1"/>
  <c r="J44" i="15"/>
  <c r="X44" i="15" s="1"/>
  <c r="AJ34" i="19"/>
  <c r="AL34" i="19" s="1"/>
  <c r="J45" i="15"/>
  <c r="AJ30" i="19"/>
  <c r="AL30" i="19" s="1"/>
  <c r="J41" i="15"/>
  <c r="AJ31" i="19"/>
  <c r="AL31" i="19" s="1"/>
  <c r="J42" i="15"/>
  <c r="X42" i="15" s="1"/>
  <c r="AJ32" i="19"/>
  <c r="AL32" i="19" s="1"/>
  <c r="J43" i="15"/>
  <c r="X43" i="15" s="1"/>
  <c r="AJ27" i="19"/>
  <c r="AL27" i="19" s="1"/>
  <c r="J37" i="15"/>
  <c r="X37" i="15" s="1"/>
  <c r="AJ26" i="19"/>
  <c r="AL26" i="19" s="1"/>
  <c r="J34" i="15"/>
  <c r="AJ25" i="19"/>
  <c r="AL25" i="19" s="1"/>
  <c r="J33" i="15"/>
  <c r="AJ24" i="19"/>
  <c r="AL24" i="19" s="1"/>
  <c r="J32" i="15"/>
  <c r="X32" i="15" s="1"/>
  <c r="AJ22" i="19"/>
  <c r="AL22" i="19" s="1"/>
  <c r="J30" i="15"/>
  <c r="X30" i="15" s="1"/>
  <c r="AJ21" i="19"/>
  <c r="AL21" i="19" s="1"/>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60" i="16"/>
  <c r="AI24" i="18"/>
  <c r="AK24" i="18" s="1"/>
  <c r="L84" i="20"/>
  <c r="AE49" i="16"/>
  <c r="AE42" i="16"/>
  <c r="V84" i="20"/>
  <c r="AG46" i="25"/>
  <c r="X55" i="18"/>
  <c r="X97" i="18" s="1"/>
  <c r="AI46" i="18"/>
  <c r="G23" i="9"/>
  <c r="G22" i="9"/>
  <c r="T84" i="20"/>
  <c r="AG24" i="22"/>
  <c r="AI24" i="22" s="1"/>
  <c r="G22" i="12"/>
  <c r="N17" i="2"/>
  <c r="AG20" i="22"/>
  <c r="AI20" i="22" s="1"/>
  <c r="G21" i="12"/>
  <c r="N15" i="2"/>
  <c r="AG84" i="20"/>
  <c r="AD35" i="19"/>
  <c r="J16" i="2" s="1"/>
  <c r="R84" i="20"/>
  <c r="AL31" i="23"/>
  <c r="AN31" i="23" s="1"/>
  <c r="R17" i="2"/>
  <c r="R16" i="2"/>
  <c r="AG64" i="24"/>
  <c r="AL28" i="23"/>
  <c r="AN28" i="23" s="1"/>
  <c r="AE105" i="16"/>
  <c r="AJ60" i="24"/>
  <c r="AL60" i="24" s="1"/>
  <c r="AD28" i="19"/>
  <c r="AB81" i="17"/>
  <c r="AB83" i="17"/>
  <c r="AB98" i="17"/>
  <c r="AB82" i="17"/>
  <c r="AA41" i="3"/>
  <c r="AA39" i="3"/>
  <c r="AA38" i="3"/>
  <c r="AA37" i="3"/>
  <c r="AA33" i="3"/>
  <c r="AA32" i="3"/>
  <c r="AA31" i="3"/>
  <c r="AA30" i="3"/>
  <c r="F56" i="15" l="1"/>
  <c r="AK46" i="18"/>
  <c r="AI53" i="18"/>
  <c r="AK53" i="18" s="1"/>
  <c r="G23" i="7"/>
  <c r="AJ37" i="20"/>
  <c r="AL37" i="20" s="1"/>
  <c r="J15" i="2"/>
  <c r="AJ54" i="15"/>
  <c r="AD38" i="15"/>
  <c r="AH30" i="15"/>
  <c r="AJ30" i="15" s="1"/>
  <c r="AH42" i="15"/>
  <c r="AJ42" i="15" s="1"/>
  <c r="AH32" i="15"/>
  <c r="AJ32" i="15" s="1"/>
  <c r="AH44" i="15"/>
  <c r="AJ44" i="15" s="1"/>
  <c r="AH43" i="15"/>
  <c r="AJ43" i="15" s="1"/>
  <c r="AD46" i="15"/>
  <c r="G23" i="13"/>
  <c r="AI44" i="18"/>
  <c r="AJ35" i="19"/>
  <c r="AL35" i="19" s="1"/>
  <c r="J46" i="15"/>
  <c r="X41" i="15"/>
  <c r="AH41" i="15" s="1"/>
  <c r="AJ41" i="15" s="1"/>
  <c r="X33" i="15"/>
  <c r="AH33" i="15" s="1"/>
  <c r="AJ33" i="15" s="1"/>
  <c r="X34" i="15"/>
  <c r="AH34" i="15" s="1"/>
  <c r="AJ34" i="15" s="1"/>
  <c r="AJ28" i="19"/>
  <c r="AL28" i="19" s="1"/>
  <c r="J38" i="15"/>
  <c r="X28" i="15"/>
  <c r="AH28" i="15" s="1"/>
  <c r="AJ28" i="15" s="1"/>
  <c r="AI37" i="18"/>
  <c r="X54" i="15"/>
  <c r="AH54" i="15" s="1"/>
  <c r="AH49" i="15"/>
  <c r="AJ49" i="15" s="1"/>
  <c r="X45" i="15"/>
  <c r="F46" i="15"/>
  <c r="G21" i="9"/>
  <c r="AH37" i="15"/>
  <c r="AJ37" i="15" s="1"/>
  <c r="G22" i="10"/>
  <c r="K22" i="10" s="1"/>
  <c r="G20" i="9"/>
  <c r="AG26" i="22"/>
  <c r="AI26" i="22" s="1"/>
  <c r="G21" i="10"/>
  <c r="K21" i="10" s="1"/>
  <c r="X56" i="15" l="1"/>
  <c r="AH56" i="15" s="1"/>
  <c r="AJ56" i="15" s="1"/>
  <c r="K23" i="13"/>
  <c r="AH45" i="15"/>
  <c r="AJ45" i="15" s="1"/>
  <c r="X46" i="15"/>
  <c r="AH46" i="15" s="1"/>
  <c r="AJ46" i="15" s="1"/>
  <c r="F38" i="15"/>
  <c r="F58" i="15" s="1"/>
  <c r="G20" i="7"/>
  <c r="AJ112" i="20"/>
  <c r="AL112" i="20" s="1"/>
  <c r="J50" i="3"/>
  <c r="N29" i="5" l="1"/>
  <c r="AA29" i="3"/>
  <c r="AA27" i="3"/>
  <c r="AA26" i="3"/>
  <c r="AA25" i="3"/>
  <c r="AA20" i="3"/>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8" i="16"/>
  <c r="AB82" i="16"/>
  <c r="AB81" i="16"/>
  <c r="AB83" i="16"/>
  <c r="AB104" i="16"/>
  <c r="J118" i="19" l="1"/>
  <c r="AH104" i="16"/>
  <c r="AJ104" i="16" s="1"/>
  <c r="AH98" i="16"/>
  <c r="AJ98" i="16" s="1"/>
  <c r="AH83" i="16"/>
  <c r="AJ83" i="16" s="1"/>
  <c r="AH82" i="16"/>
  <c r="AJ82" i="16" s="1"/>
  <c r="AH81" i="16"/>
  <c r="AJ81" i="16" s="1"/>
  <c r="AJ52" i="21"/>
  <c r="J19" i="3"/>
  <c r="AJ80" i="20"/>
  <c r="G26" i="11" l="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AE39" i="26" l="1"/>
  <c r="AJ39" i="26" s="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E53" i="26"/>
  <c r="AJ53" i="26" s="1"/>
  <c r="AH44" i="26"/>
  <c r="AJ44" i="26" s="1"/>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U25" i="5"/>
  <c r="S29" i="5"/>
  <c r="U29" i="5" s="1"/>
  <c r="L32" i="5"/>
  <c r="L42" i="5" s="1"/>
  <c r="S21" i="5"/>
  <c r="U18" i="5"/>
  <c r="AG38" i="22"/>
  <c r="AI38" i="22" s="1"/>
  <c r="AG48" i="27"/>
  <c r="AI48" i="27" s="1"/>
  <c r="S32" i="5" l="1"/>
  <c r="AG45" i="22"/>
  <c r="AI45" i="22" s="1"/>
  <c r="U21" i="5"/>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H46" i="3"/>
  <c r="H55" i="3" s="1"/>
  <c r="AA35" i="3"/>
  <c r="AA43" i="3" s="1"/>
  <c r="G145"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91" i="18"/>
  <c r="AK91" i="18" s="1"/>
  <c r="AI80" i="18"/>
  <c r="AK80" i="18" s="1"/>
  <c r="AI75" i="18"/>
  <c r="AK75" i="18" s="1"/>
  <c r="AI63" i="18"/>
  <c r="AK63" i="18" s="1"/>
  <c r="AI62" i="18"/>
  <c r="AK62" i="18" s="1"/>
  <c r="AB86" i="17" l="1"/>
  <c r="AH86" i="17" s="1"/>
  <c r="AI65" i="18"/>
  <c r="AK65" i="18" s="1"/>
  <c r="AK64" i="18"/>
  <c r="AI79" i="18"/>
  <c r="AK79" i="18" s="1"/>
  <c r="AI83" i="18"/>
  <c r="AK83" i="18" s="1"/>
  <c r="AB86" i="16"/>
  <c r="AI92" i="18"/>
  <c r="AK92"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90" i="18"/>
  <c r="AK90" i="18" s="1"/>
  <c r="AI86" i="18"/>
  <c r="AK86" i="18" s="1"/>
  <c r="AI85" i="18"/>
  <c r="AK85" i="18" s="1"/>
  <c r="AI81" i="18"/>
  <c r="AK81" i="18" s="1"/>
  <c r="AI78" i="18"/>
  <c r="AK78" i="18" s="1"/>
  <c r="AI77" i="18"/>
  <c r="AK77" i="18" s="1"/>
  <c r="AI74" i="18"/>
  <c r="AK74" i="18" s="1"/>
  <c r="AI73" i="18"/>
  <c r="AK73" i="18" s="1"/>
  <c r="AI72" i="18"/>
  <c r="AK72" i="18" s="1"/>
  <c r="AI71" i="18"/>
  <c r="AK71" i="18" s="1"/>
  <c r="AI70" i="18"/>
  <c r="AK70" i="18" s="1"/>
  <c r="AI69" i="18"/>
  <c r="AK69" i="18" s="1"/>
  <c r="AI67" i="18"/>
  <c r="AK67" i="18" s="1"/>
  <c r="AI60" i="18"/>
  <c r="AK60" i="18" s="1"/>
  <c r="AI59" i="18"/>
  <c r="AK59" i="18" s="1"/>
  <c r="AD80" i="19" l="1"/>
  <c r="AH86" i="16"/>
  <c r="AJ86" i="16" s="1"/>
  <c r="C105" i="17"/>
  <c r="C109" i="17" s="1"/>
  <c r="C135" i="17" s="1"/>
  <c r="C145" i="17" s="1"/>
  <c r="C105" i="16"/>
  <c r="AJ41" i="19"/>
  <c r="AL41" i="19" s="1"/>
  <c r="AI93" i="18"/>
  <c r="AK93" i="18" s="1"/>
  <c r="G24" i="9"/>
  <c r="AJ80" i="19" l="1"/>
  <c r="F18" i="2"/>
  <c r="F19" i="3" l="1"/>
  <c r="K50" i="30" l="1"/>
  <c r="L50" i="3"/>
  <c r="L49" i="3"/>
  <c r="L41" i="3"/>
  <c r="R41" i="3" s="1"/>
  <c r="L38" i="3"/>
  <c r="L19" i="3"/>
  <c r="L18" i="3"/>
  <c r="L16" i="3"/>
  <c r="L43" i="3" l="1"/>
  <c r="L51" i="3"/>
  <c r="G25" i="10" l="1"/>
  <c r="L20" i="3"/>
  <c r="AG98" i="20"/>
  <c r="AG105" i="20" l="1"/>
  <c r="F15" i="6"/>
  <c r="AI125" i="18" l="1"/>
  <c r="AK125" i="18" s="1"/>
  <c r="AI126" i="18"/>
  <c r="AK126" i="18" s="1"/>
  <c r="G29" i="9"/>
  <c r="AI127" i="18"/>
  <c r="AK127"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4" i="18"/>
  <c r="AF111" i="18"/>
  <c r="AF117" i="18" s="1"/>
  <c r="E29" i="8" l="1"/>
  <c r="V31" i="11"/>
  <c r="K31" i="11"/>
  <c r="E31" i="10"/>
  <c r="E31" i="7" s="1"/>
  <c r="E34" i="11"/>
  <c r="E29" i="10"/>
  <c r="E21" i="8"/>
  <c r="K21" i="9"/>
  <c r="E32" i="7"/>
  <c r="E32" i="8"/>
  <c r="E24" i="10"/>
  <c r="K24" i="11"/>
  <c r="E30" i="8"/>
  <c r="E23" i="13"/>
  <c r="O23" i="13" s="1"/>
  <c r="K23" i="14"/>
  <c r="E25" i="13"/>
  <c r="O25" i="13" s="1"/>
  <c r="K25" i="14"/>
  <c r="E40" i="7"/>
  <c r="K40" i="7" s="1"/>
  <c r="E21" i="13"/>
  <c r="V33" i="11"/>
  <c r="K22" i="12"/>
  <c r="U26" i="14"/>
  <c r="E20" i="13"/>
  <c r="E27" i="14"/>
  <c r="E21" i="10"/>
  <c r="O21" i="10" s="1"/>
  <c r="K21" i="11"/>
  <c r="E24" i="13"/>
  <c r="K24" i="14"/>
  <c r="K29" i="9"/>
  <c r="E31" i="13"/>
  <c r="K31" i="14"/>
  <c r="U21" i="14"/>
  <c r="K23" i="11"/>
  <c r="E23" i="10"/>
  <c r="O23" i="10" s="1"/>
  <c r="E25" i="8"/>
  <c r="E24" i="8"/>
  <c r="K24" i="9"/>
  <c r="K22" i="14"/>
  <c r="E22" i="13"/>
  <c r="O22" i="13" s="1"/>
  <c r="U25" i="14"/>
  <c r="K30" i="11"/>
  <c r="E30" i="10"/>
  <c r="E30" i="7" s="1"/>
  <c r="V24" i="11"/>
  <c r="V20" i="11"/>
  <c r="P26" i="11"/>
  <c r="O33" i="14"/>
  <c r="V21" i="11"/>
  <c r="V23" i="11"/>
  <c r="E25" i="10"/>
  <c r="K25" i="11"/>
  <c r="U23" i="14"/>
  <c r="K21" i="12"/>
  <c r="K26" i="14"/>
  <c r="E26" i="13"/>
  <c r="K41" i="9"/>
  <c r="U32" i="14"/>
  <c r="K39" i="9"/>
  <c r="K32" i="11"/>
  <c r="E32" i="10"/>
  <c r="E33" i="8"/>
  <c r="K33" i="8" s="1"/>
  <c r="E30" i="13"/>
  <c r="E33" i="14"/>
  <c r="E23" i="8"/>
  <c r="K23" i="9"/>
  <c r="O27" i="14"/>
  <c r="U20" i="14"/>
  <c r="V32" i="11"/>
  <c r="K40" i="9"/>
  <c r="K28" i="9"/>
  <c r="P34" i="11"/>
  <c r="K33" i="11"/>
  <c r="E33" i="10"/>
  <c r="E31" i="8"/>
  <c r="U24" i="14"/>
  <c r="V22" i="11"/>
  <c r="E26" i="12"/>
  <c r="K20" i="12"/>
  <c r="V30" i="11"/>
  <c r="E20" i="8"/>
  <c r="K20" i="9"/>
  <c r="E26" i="11"/>
  <c r="E20" i="10"/>
  <c r="E20" i="7" s="1"/>
  <c r="K20" i="7" s="1"/>
  <c r="K20" i="11"/>
  <c r="U31" i="14"/>
  <c r="U22" i="14"/>
  <c r="E32" i="13"/>
  <c r="K32" i="14"/>
  <c r="E22" i="8"/>
  <c r="K22" i="9"/>
  <c r="E22" i="10"/>
  <c r="O22" i="10" s="1"/>
  <c r="K22" i="11"/>
  <c r="E32" i="12"/>
  <c r="K29" i="11"/>
  <c r="K29" i="12"/>
  <c r="K25" i="12"/>
  <c r="K31" i="12"/>
  <c r="J43" i="3"/>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G32" i="10"/>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7" i="22"/>
  <c r="AI47" i="22" s="1"/>
  <c r="G24" i="12"/>
  <c r="K24" i="12" s="1"/>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J98" i="20"/>
  <c r="F118" i="20"/>
  <c r="AL105" i="20"/>
  <c r="C43" i="31"/>
  <c r="AA33" i="29"/>
  <c r="AA25" i="29"/>
  <c r="N19" i="6"/>
  <c r="N34" i="2"/>
  <c r="C100" i="30"/>
  <c r="C90" i="30"/>
  <c r="E36" i="12" l="1"/>
  <c r="E39" i="12" s="1"/>
  <c r="O37" i="14"/>
  <c r="O40" i="14" s="1"/>
  <c r="E34" i="10"/>
  <c r="O24" i="10"/>
  <c r="O30" i="10"/>
  <c r="E34" i="8"/>
  <c r="E38" i="11"/>
  <c r="E41" i="11" s="1"/>
  <c r="U27" i="14"/>
  <c r="E24" i="7"/>
  <c r="E25" i="7"/>
  <c r="K26" i="11"/>
  <c r="K34" i="11"/>
  <c r="E29" i="7"/>
  <c r="E21" i="7"/>
  <c r="E26" i="10"/>
  <c r="E38" i="10" s="1"/>
  <c r="E41" i="10" s="1"/>
  <c r="E31" i="9"/>
  <c r="E43" i="9"/>
  <c r="E33" i="13"/>
  <c r="E26" i="8"/>
  <c r="O20" i="10"/>
  <c r="E37" i="14"/>
  <c r="E40" i="14" s="1"/>
  <c r="P38" i="11"/>
  <c r="P41" i="11" s="1"/>
  <c r="E33" i="7"/>
  <c r="E40" i="8"/>
  <c r="E41" i="7"/>
  <c r="K30" i="9"/>
  <c r="E41" i="8"/>
  <c r="K42" i="9"/>
  <c r="E42" i="7"/>
  <c r="E27" i="13"/>
  <c r="E23" i="7"/>
  <c r="K23" i="7" s="1"/>
  <c r="O31" i="10"/>
  <c r="E22" i="7"/>
  <c r="K32" i="10"/>
  <c r="O32" i="10" s="1"/>
  <c r="G33" i="7"/>
  <c r="O123" i="16"/>
  <c r="O132" i="16" s="1"/>
  <c r="AF78" i="23"/>
  <c r="AF79" i="23" s="1"/>
  <c r="U33" i="14"/>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7" i="18"/>
  <c r="G25" i="9"/>
  <c r="AI102" i="18"/>
  <c r="AK102" i="18" s="1"/>
  <c r="AI105" i="18"/>
  <c r="AK105" i="18" s="1"/>
  <c r="AI106" i="18"/>
  <c r="AK106" i="18" s="1"/>
  <c r="AI107" i="18"/>
  <c r="AK107" i="18" s="1"/>
  <c r="AI108" i="18"/>
  <c r="AK108" i="18" s="1"/>
  <c r="AI109" i="18"/>
  <c r="AK109" i="18" s="1"/>
  <c r="AI110" i="18"/>
  <c r="AK110" i="18" s="1"/>
  <c r="R111" i="18"/>
  <c r="R117" i="18" s="1"/>
  <c r="T111" i="18"/>
  <c r="AI113" i="18"/>
  <c r="AK113" i="18" s="1"/>
  <c r="G27" i="9"/>
  <c r="K27" i="9" s="1"/>
  <c r="AI131" i="18"/>
  <c r="AK131" i="18" s="1"/>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E37" i="8"/>
  <c r="E37" i="13"/>
  <c r="U37" i="14"/>
  <c r="K38" i="11"/>
  <c r="E47" i="9"/>
  <c r="K33" i="7"/>
  <c r="E26" i="7"/>
  <c r="E42" i="8"/>
  <c r="E46" i="8" s="1"/>
  <c r="K25" i="9"/>
  <c r="K31" i="9" s="1"/>
  <c r="T117" i="18"/>
  <c r="K21" i="13"/>
  <c r="O21" i="13" s="1"/>
  <c r="G20" i="13"/>
  <c r="K27" i="14"/>
  <c r="G30" i="13"/>
  <c r="K33" i="14"/>
  <c r="K36" i="12"/>
  <c r="G36" i="12"/>
  <c r="G22" i="7"/>
  <c r="K22" i="7" s="1"/>
  <c r="G27" i="14"/>
  <c r="F50" i="2"/>
  <c r="AG100" i="24"/>
  <c r="D90" i="21"/>
  <c r="G31" i="9"/>
  <c r="G25" i="7"/>
  <c r="K25" i="7" s="1"/>
  <c r="Q33" i="14"/>
  <c r="Q37" i="14" s="1"/>
  <c r="AJ32" i="24"/>
  <c r="AL32" i="24" s="1"/>
  <c r="AI95" i="18"/>
  <c r="AK95" i="18" s="1"/>
  <c r="X90" i="21"/>
  <c r="N90" i="21"/>
  <c r="V90" i="21"/>
  <c r="J90" i="21"/>
  <c r="AI130" i="18"/>
  <c r="AK130" i="18" s="1"/>
  <c r="G38" i="9"/>
  <c r="K38" i="9" s="1"/>
  <c r="AI128" i="18"/>
  <c r="AK128" i="18" s="1"/>
  <c r="AI115" i="18"/>
  <c r="AK115" i="18" s="1"/>
  <c r="G36" i="9"/>
  <c r="K36" i="9" s="1"/>
  <c r="AI114" i="18"/>
  <c r="AK114" i="18" s="1"/>
  <c r="G35" i="9"/>
  <c r="K35" i="9" s="1"/>
  <c r="G33" i="14"/>
  <c r="AK44" i="18"/>
  <c r="H90" i="21"/>
  <c r="AJ85" i="24"/>
  <c r="AL85" i="24" s="1"/>
  <c r="AI124" i="18"/>
  <c r="AK124" i="18" s="1"/>
  <c r="F49" i="2"/>
  <c r="F90" i="21"/>
  <c r="AJ108" i="20"/>
  <c r="AL108" i="20" s="1"/>
  <c r="R120" i="18"/>
  <c r="AI101" i="18"/>
  <c r="AK101" i="18" s="1"/>
  <c r="F49" i="3" l="1"/>
  <c r="K37" i="14"/>
  <c r="K30" i="13"/>
  <c r="O30" i="13" s="1"/>
  <c r="G37" i="14"/>
  <c r="AI134" i="18"/>
  <c r="AK134"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0" i="43"/>
  <c r="J40" i="43"/>
  <c r="J42" i="43" s="1"/>
  <c r="J44" i="43" s="1"/>
  <c r="L12" i="43" s="1"/>
  <c r="AE130"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20" i="16"/>
  <c r="AE118" i="16"/>
  <c r="AE115" i="16"/>
  <c r="AE114" i="16"/>
  <c r="AE113" i="16"/>
  <c r="R26" i="11"/>
  <c r="AE121" i="16"/>
  <c r="AE122" i="16"/>
  <c r="AE126" i="16"/>
  <c r="AE119" i="16"/>
  <c r="AE125" i="16"/>
  <c r="AE117" i="16"/>
  <c r="AE127" i="16"/>
  <c r="AJ84" i="20"/>
  <c r="J51" i="3"/>
  <c r="J55" i="3" s="1"/>
  <c r="AD86" i="21"/>
  <c r="AL86" i="21" s="1"/>
  <c r="AJ83" i="21"/>
  <c r="AJ111" i="20"/>
  <c r="AL111" i="20" s="1"/>
  <c r="AJ60" i="21"/>
  <c r="AL60" i="21" s="1"/>
  <c r="R29" i="11"/>
  <c r="V29" i="11" s="1"/>
  <c r="K59" i="30" l="1"/>
  <c r="V34" i="11"/>
  <c r="V38" i="11" s="1"/>
  <c r="I26" i="10"/>
  <c r="K25" i="10"/>
  <c r="O25" i="10" s="1"/>
  <c r="O26" i="10" s="1"/>
  <c r="AL70" i="21"/>
  <c r="AD118" i="20"/>
  <c r="AL114" i="20"/>
  <c r="AE123" i="16"/>
  <c r="AJ86" i="21"/>
  <c r="AJ114" i="20"/>
  <c r="AJ118" i="20" s="1"/>
  <c r="G38" i="11"/>
  <c r="AL77" i="21"/>
  <c r="AJ70" i="21"/>
  <c r="F24" i="32" l="1"/>
  <c r="K26" i="10"/>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8" i="18"/>
  <c r="R138" i="18"/>
  <c r="L138" i="18"/>
  <c r="J138" i="18"/>
  <c r="H138" i="18"/>
  <c r="F138" i="18"/>
  <c r="AJ92" i="19" l="1"/>
  <c r="AL92" i="19" s="1"/>
  <c r="AD98" i="19"/>
  <c r="C109"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4" i="42"/>
  <c r="G260" i="42"/>
  <c r="G209" i="42"/>
  <c r="G204" i="42"/>
  <c r="E37" i="7"/>
  <c r="E47" i="7"/>
  <c r="G263" i="42" l="1"/>
  <c r="AD34" i="2"/>
  <c r="AD42" i="2" s="1"/>
  <c r="AE139" i="16"/>
  <c r="AE142"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Y51" i="3" l="1"/>
  <c r="N55" i="3"/>
  <c r="AF49" i="3"/>
  <c r="J50" i="2" l="1"/>
  <c r="J49" i="2"/>
  <c r="X49" i="2" s="1"/>
  <c r="AB139" i="16" l="1"/>
  <c r="J51" i="2"/>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2" i="16"/>
  <c r="J25" i="6" l="1"/>
  <c r="S24" i="6"/>
  <c r="U24" i="6" s="1"/>
  <c r="J24" i="6"/>
  <c r="L23" i="6"/>
  <c r="S23" i="6" s="1"/>
  <c r="U23" i="6" s="1"/>
  <c r="J23" i="6"/>
  <c r="J19" i="6"/>
  <c r="L15" i="6"/>
  <c r="H15" i="6"/>
  <c r="L14" i="6"/>
  <c r="H14" i="6"/>
  <c r="P14" i="6" s="1"/>
  <c r="S26" i="6" l="1"/>
  <c r="U26" i="6" s="1"/>
  <c r="J26" i="6"/>
  <c r="J29" i="6" s="1"/>
  <c r="J39" i="6" s="1"/>
  <c r="L26" i="6"/>
  <c r="AG48" i="2" l="1"/>
  <c r="AB130" i="16"/>
  <c r="AB129" i="16"/>
  <c r="AA12" i="3"/>
  <c r="AI48" i="2" l="1"/>
  <c r="AG51" i="2"/>
  <c r="AI51" i="2" s="1"/>
  <c r="C123" i="16"/>
  <c r="C132" i="16" s="1"/>
  <c r="AH129" i="16"/>
  <c r="AJ129" i="16" s="1"/>
  <c r="AH130" i="16"/>
  <c r="AJ130" i="16" s="1"/>
  <c r="F14" i="2" l="1"/>
  <c r="F15" i="3" l="1"/>
  <c r="F20" i="2"/>
  <c r="F21" i="3" l="1"/>
  <c r="T15" i="3"/>
  <c r="C135" i="16"/>
  <c r="G20" i="8" l="1"/>
  <c r="K20" i="8" s="1"/>
  <c r="T21" i="3"/>
  <c r="G26" i="8" l="1"/>
  <c r="K26" i="8"/>
  <c r="L16" i="43" l="1"/>
  <c r="L44" i="43" s="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7" i="18" s="1"/>
  <c r="AF120" i="18" s="1"/>
  <c r="AF138"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0" i="18"/>
  <c r="AF15" i="3"/>
  <c r="AD21" i="3"/>
  <c r="AI55" i="18"/>
  <c r="AK26" i="18"/>
  <c r="AE145" i="17"/>
  <c r="AD45" i="2"/>
  <c r="AD38" i="28" l="1"/>
  <c r="AE135" i="16"/>
  <c r="AD55" i="2"/>
  <c r="AI97" i="18"/>
  <c r="AK97" i="18" s="1"/>
  <c r="AK55" i="18"/>
  <c r="AF21" i="3"/>
  <c r="AE146" i="16" l="1"/>
  <c r="Z24" i="43" l="1"/>
  <c r="Z31" i="43"/>
  <c r="Z32" i="43"/>
  <c r="Z29" i="43"/>
  <c r="Z35" i="43"/>
  <c r="Z25" i="43"/>
  <c r="Z28" i="43"/>
  <c r="Z33" i="43"/>
  <c r="N42" i="43"/>
  <c r="N44" i="43" s="1"/>
  <c r="P12" i="43" s="1"/>
  <c r="AB38" i="15" l="1"/>
  <c r="F26" i="2" l="1"/>
  <c r="X26" i="2" s="1"/>
  <c r="X34" i="2" s="1"/>
  <c r="G34" i="9"/>
  <c r="AI103" i="18"/>
  <c r="AK103" i="18" s="1"/>
  <c r="G43" i="9" l="1"/>
  <c r="G47" i="9" s="1"/>
  <c r="K34" i="9"/>
  <c r="K43" i="9" s="1"/>
  <c r="K47" i="9" s="1"/>
  <c r="W123" i="16"/>
  <c r="W132" i="16" s="1"/>
  <c r="W135" i="16" s="1"/>
  <c r="AI34" i="2"/>
  <c r="X42" i="2"/>
  <c r="X111" i="18"/>
  <c r="X117" i="18" s="1"/>
  <c r="F34" i="2"/>
  <c r="F42" i="2" s="1"/>
  <c r="F45" i="2" s="1"/>
  <c r="F27" i="3"/>
  <c r="AI120" i="18"/>
  <c r="AK120" i="18" s="1"/>
  <c r="AI26" i="2"/>
  <c r="AG26" i="2"/>
  <c r="AG34" i="2" s="1"/>
  <c r="AG42" i="2" s="1"/>
  <c r="G29" i="7"/>
  <c r="K29" i="7" s="1"/>
  <c r="AI111" i="18"/>
  <c r="X120" i="18" l="1"/>
  <c r="X138" i="18" s="1"/>
  <c r="F55" i="2"/>
  <c r="AI42" i="2"/>
  <c r="W123" i="17"/>
  <c r="F35" i="3"/>
  <c r="T27" i="3"/>
  <c r="AK111" i="18"/>
  <c r="AI117" i="18"/>
  <c r="AK117" i="18" s="1"/>
  <c r="K34" i="7"/>
  <c r="K37" i="7" s="1"/>
  <c r="G34" i="7"/>
  <c r="W132" i="17" l="1"/>
  <c r="W135" i="17" s="1"/>
  <c r="W145" i="17" s="1"/>
  <c r="F43" i="3"/>
  <c r="F46" i="3" s="1"/>
  <c r="F55" i="3" s="1"/>
  <c r="V50" i="2"/>
  <c r="U140" i="16" s="1"/>
  <c r="AI138" i="18"/>
  <c r="AK138" i="18" s="1"/>
  <c r="AD27" i="3"/>
  <c r="T35" i="3"/>
  <c r="T43" i="3" s="1"/>
  <c r="G37" i="7"/>
  <c r="Q142" i="16" l="1"/>
  <c r="Q146" i="16" s="1"/>
  <c r="S142" i="16"/>
  <c r="V51" i="2"/>
  <c r="U142" i="16"/>
  <c r="G29" i="8"/>
  <c r="T46" i="3"/>
  <c r="T55" i="3" s="1"/>
  <c r="AF27" i="3"/>
  <c r="AD35" i="3"/>
  <c r="AD43" i="3" s="1"/>
  <c r="AF43" i="3" s="1"/>
  <c r="G34" i="8" l="1"/>
  <c r="K29" i="8"/>
  <c r="K34" i="8" s="1"/>
  <c r="K46" i="8" s="1"/>
  <c r="AD46" i="3"/>
  <c r="AF46" i="3" s="1"/>
  <c r="AF35" i="3"/>
  <c r="AD55" i="3" l="1"/>
  <c r="AF55" i="3" s="1"/>
  <c r="G46" i="8"/>
  <c r="G37" i="8"/>
  <c r="K37" i="8"/>
  <c r="D26" i="18" l="1"/>
  <c r="K93" i="30" l="1"/>
  <c r="E100" i="30"/>
  <c r="Y145" i="17"/>
  <c r="D55" i="18"/>
  <c r="D97" i="18" s="1"/>
  <c r="D120" i="18" s="1"/>
  <c r="D138" i="18" s="1"/>
  <c r="N21" i="5" l="1"/>
  <c r="N32" i="5" s="1"/>
  <c r="N42" i="5" s="1"/>
  <c r="E23" i="23" l="1"/>
  <c r="E33" i="23" l="1"/>
  <c r="E65" i="23" s="1"/>
  <c r="E89" i="23" s="1"/>
  <c r="E101" i="23" s="1"/>
  <c r="AB114" i="19" l="1"/>
  <c r="AB118" i="19" s="1"/>
  <c r="AB120" i="19" s="1"/>
  <c r="N26" i="18" l="1"/>
  <c r="N37" i="18" l="1"/>
  <c r="N55" i="18" l="1"/>
  <c r="N97" i="18" s="1"/>
  <c r="N111" i="18" l="1"/>
  <c r="N117" i="18" s="1"/>
  <c r="N120" i="18" l="1"/>
  <c r="N138" i="18" l="1"/>
  <c r="V20" i="15" l="1"/>
  <c r="V18" i="15"/>
  <c r="V16" i="15"/>
  <c r="V17" i="15"/>
  <c r="V19" i="15"/>
  <c r="T26" i="18"/>
  <c r="V21" i="15" l="1"/>
  <c r="T55" i="18"/>
  <c r="T97" i="18" s="1"/>
  <c r="T120" i="18" s="1"/>
  <c r="T138"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J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H27" i="17"/>
  <c r="AJ27"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J33" i="17" s="1"/>
  <c r="AB120" i="16"/>
  <c r="AH120" i="16" s="1"/>
  <c r="AJ120" i="16" s="1"/>
  <c r="AH102" i="16"/>
  <c r="AJ102" i="16" s="1"/>
  <c r="AB119" i="17"/>
  <c r="AH119" i="17" s="1"/>
  <c r="AJ119" i="17" s="1"/>
  <c r="V26" i="18"/>
  <c r="D14" i="2" s="1"/>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B58" i="17" l="1"/>
  <c r="AH126" i="17"/>
  <c r="AH23" i="17"/>
  <c r="AJ23" i="17" s="1"/>
  <c r="AB26" i="17"/>
  <c r="V55" i="18"/>
  <c r="V97" i="18" s="1"/>
  <c r="V120" i="18" s="1"/>
  <c r="V138"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AJ107" i="17" s="1"/>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H141" i="17"/>
  <c r="AJ141" i="17" s="1"/>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9" i="26" s="1"/>
  <c r="U53" i="26" s="1"/>
  <c r="B32" i="5"/>
  <c r="B42" i="5" s="1"/>
  <c r="AB28" i="16" l="1"/>
  <c r="AH28" i="16" s="1"/>
  <c r="AH30" i="16" s="1"/>
  <c r="O30" i="17"/>
  <c r="O60" i="17" s="1"/>
  <c r="N26" i="22"/>
  <c r="N49" i="22" s="1"/>
  <c r="N60" i="22" s="1"/>
  <c r="N72" i="22" s="1"/>
  <c r="O109" i="17" l="1"/>
  <c r="O135" i="17" s="1"/>
  <c r="O145" i="17" s="1"/>
  <c r="AB60" i="17"/>
  <c r="AJ30" i="16"/>
  <c r="O30" i="16"/>
  <c r="AB30" i="16" s="1"/>
  <c r="L20" i="2"/>
  <c r="L45" i="2" s="1"/>
  <c r="L55" i="2" s="1"/>
  <c r="L15" i="3"/>
  <c r="AB28" i="17"/>
  <c r="O60" i="16" l="1"/>
  <c r="AB109" i="17"/>
  <c r="AB135" i="17" s="1"/>
  <c r="AH60" i="17"/>
  <c r="R15" i="3"/>
  <c r="R21" i="3" s="1"/>
  <c r="R46" i="3" s="1"/>
  <c r="R55" i="3" s="1"/>
  <c r="L21" i="3"/>
  <c r="L46" i="3" s="1"/>
  <c r="L55" i="3" s="1"/>
  <c r="AH28" i="17"/>
  <c r="AH30" i="17" s="1"/>
  <c r="AJ30" i="17" s="1"/>
  <c r="AB30" i="17"/>
  <c r="AJ60" i="17" l="1"/>
  <c r="AH109" i="17"/>
  <c r="AJ109" i="17" s="1"/>
  <c r="AB145" i="17"/>
  <c r="AH135" i="17"/>
  <c r="AJ135" i="17" s="1"/>
  <c r="AH145" i="17" l="1"/>
  <c r="AJ145" i="17" s="1"/>
  <c r="R36" i="43" l="1"/>
  <c r="R42" i="43" s="1"/>
  <c r="Z21" i="43"/>
  <c r="X44" i="43" l="1"/>
  <c r="H17" i="32" l="1"/>
  <c r="G40" i="31" l="1"/>
  <c r="E90" i="30"/>
  <c r="E102" i="30" s="1"/>
  <c r="E40" i="31"/>
  <c r="Y21" i="3"/>
  <c r="K151" i="30"/>
  <c r="K18" i="31"/>
  <c r="K106" i="30"/>
  <c r="K46" i="30"/>
  <c r="K115" i="30"/>
  <c r="K97" i="30"/>
  <c r="K73" i="30"/>
  <c r="K52" i="30"/>
  <c r="K71" i="30"/>
  <c r="K78" i="30"/>
  <c r="AG82" i="25"/>
  <c r="K76" i="30"/>
  <c r="R40" i="35"/>
  <c r="K65" i="30"/>
  <c r="K32" i="30"/>
  <c r="K47" i="30"/>
  <c r="K57" i="30"/>
  <c r="K56" i="30"/>
  <c r="H24" i="32"/>
  <c r="R25" i="35"/>
  <c r="V25" i="35" s="1"/>
  <c r="AG120" i="20"/>
  <c r="AG13" i="19"/>
  <c r="AG120" i="19" s="1"/>
  <c r="K51" i="30"/>
  <c r="K28" i="30"/>
  <c r="G90" i="30"/>
  <c r="K58" i="30"/>
  <c r="M202" i="42"/>
  <c r="AB46" i="15"/>
  <c r="K79" i="30"/>
  <c r="M177" i="42"/>
  <c r="K69" i="30"/>
  <c r="K89" i="30"/>
  <c r="K33" i="30"/>
  <c r="K87" i="30"/>
  <c r="I20" i="11"/>
  <c r="M48" i="34"/>
  <c r="K42" i="30"/>
  <c r="K41" i="30"/>
  <c r="R15" i="35"/>
  <c r="V15" i="35" s="1"/>
  <c r="K35" i="30"/>
  <c r="I190" i="42"/>
  <c r="K68" i="30"/>
  <c r="K38" i="30"/>
  <c r="K82" i="30"/>
  <c r="K53" i="30"/>
  <c r="K54" i="30"/>
  <c r="R39" i="35"/>
  <c r="V39" i="35" s="1"/>
  <c r="D43" i="35"/>
  <c r="K80" i="30"/>
  <c r="M16" i="34"/>
  <c r="K72" i="30"/>
  <c r="K31" i="30"/>
  <c r="K48" i="30"/>
  <c r="K33" i="31"/>
  <c r="M26" i="34"/>
  <c r="R38" i="35"/>
  <c r="K29" i="30"/>
  <c r="K37" i="30"/>
  <c r="K43" i="30"/>
  <c r="K36" i="30"/>
  <c r="K84" i="30"/>
  <c r="K86" i="30"/>
  <c r="K70" i="30"/>
  <c r="K63" i="30"/>
  <c r="K44" i="30"/>
  <c r="K96" i="30"/>
  <c r="K39" i="31"/>
  <c r="M199" i="42"/>
  <c r="M143" i="42"/>
  <c r="K117" i="30"/>
  <c r="K45" i="30"/>
  <c r="K30" i="30"/>
  <c r="K49" i="30"/>
  <c r="P43" i="35"/>
  <c r="N45" i="5"/>
  <c r="AG92" i="21"/>
  <c r="K77" i="30"/>
  <c r="R30" i="35"/>
  <c r="V30" i="35" s="1"/>
  <c r="K60" i="30"/>
  <c r="M105" i="42"/>
  <c r="K55" i="30"/>
  <c r="K81" i="30"/>
  <c r="R20" i="35"/>
  <c r="V20" i="35" s="1"/>
  <c r="L43" i="35"/>
  <c r="M154" i="42"/>
  <c r="K190" i="42"/>
  <c r="K66" i="30"/>
  <c r="K75" i="30"/>
  <c r="R17" i="35"/>
  <c r="V17" i="35" s="1"/>
  <c r="K83" i="30"/>
  <c r="R36" i="35"/>
  <c r="M53" i="34"/>
  <c r="K40" i="30"/>
  <c r="B46" i="37"/>
  <c r="Z12" i="37"/>
  <c r="Z46" i="37" s="1"/>
  <c r="I214" i="42"/>
  <c r="M22" i="42"/>
  <c r="I260" i="42"/>
  <c r="K102" i="42"/>
  <c r="I11" i="42"/>
  <c r="M198" i="42"/>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M204" i="42" l="1"/>
  <c r="R41" i="1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M14" i="24"/>
  <c r="M102" i="24" s="1"/>
  <c r="L13" i="21"/>
  <c r="L92" i="21" s="1"/>
  <c r="H120" i="20"/>
  <c r="L12" i="37" l="1"/>
  <c r="L46" i="37" s="1"/>
  <c r="O14" i="24"/>
  <c r="N13" i="21"/>
  <c r="N92" i="21" s="1"/>
  <c r="J13" i="20"/>
  <c r="N12" i="37" l="1"/>
  <c r="N46" i="37" s="1"/>
  <c r="P13" i="21"/>
  <c r="P92" i="21" s="1"/>
  <c r="J120" i="20"/>
  <c r="F17" i="32"/>
  <c r="P12" i="37" l="1"/>
  <c r="P46" i="37" s="1"/>
  <c r="R13" i="21"/>
  <c r="R92" i="21" s="1"/>
  <c r="L13" i="20"/>
  <c r="I22" i="12"/>
  <c r="R12" i="37" l="1"/>
  <c r="R46" i="37" s="1"/>
  <c r="T13" i="21"/>
  <c r="T92" i="21" s="1"/>
  <c r="L120" i="20"/>
  <c r="AB59" i="2"/>
  <c r="M21" i="42"/>
  <c r="T12" i="37" l="1"/>
  <c r="T46" i="37" s="1"/>
  <c r="V46" i="37" s="1"/>
  <c r="X46" i="37" s="1"/>
  <c r="V13" i="21"/>
  <c r="V92" i="21" s="1"/>
  <c r="X92" i="21" s="1"/>
  <c r="Z92" i="21" s="1"/>
  <c r="N13" i="20"/>
  <c r="X120" i="19"/>
  <c r="Z120" i="19"/>
  <c r="V22" i="15"/>
  <c r="V25" i="15" s="1"/>
  <c r="H20" i="2"/>
  <c r="H45" i="2" s="1"/>
  <c r="H55" i="2" s="1"/>
  <c r="F37" i="19"/>
  <c r="F84" i="19" s="1"/>
  <c r="F108" i="19" s="1"/>
  <c r="F118" i="19" s="1"/>
  <c r="F120" i="19" s="1"/>
  <c r="H13" i="19" s="1"/>
  <c r="AD17" i="19"/>
  <c r="AJ17" i="19" s="1"/>
  <c r="AJ37" i="19" l="1"/>
  <c r="AL37" i="19" s="1"/>
  <c r="AL17" i="19"/>
  <c r="N120" i="20"/>
  <c r="H120" i="19"/>
  <c r="J13" i="19" s="1"/>
  <c r="J14" i="2"/>
  <c r="H25" i="15"/>
  <c r="H58" i="15" s="1"/>
  <c r="J22" i="15"/>
  <c r="AD37" i="19"/>
  <c r="AD84" i="19" s="1"/>
  <c r="AD108" i="19" s="1"/>
  <c r="AD118" i="19" s="1"/>
  <c r="V14" i="2"/>
  <c r="AJ84" i="19" l="1"/>
  <c r="AL84" i="19" s="1"/>
  <c r="P13" i="20"/>
  <c r="P120" i="20" s="1"/>
  <c r="J120" i="19"/>
  <c r="L13" i="19" s="1"/>
  <c r="J20" i="2"/>
  <c r="J45" i="2" s="1"/>
  <c r="J55" i="2" s="1"/>
  <c r="J59" i="2" s="1"/>
  <c r="X14" i="2"/>
  <c r="AD120" i="19"/>
  <c r="AJ120" i="19" s="1"/>
  <c r="AL120" i="19" s="1"/>
  <c r="AJ118" i="19"/>
  <c r="AL118" i="19" s="1"/>
  <c r="X22" i="15"/>
  <c r="J25" i="15"/>
  <c r="J58" i="15" s="1"/>
  <c r="AJ108" i="19" l="1"/>
  <c r="AL108" i="19" s="1"/>
  <c r="L120" i="19"/>
  <c r="N13" i="19" s="1"/>
  <c r="AH22" i="15"/>
  <c r="AJ22" i="15" s="1"/>
  <c r="X25" i="15"/>
  <c r="AI14" i="2"/>
  <c r="AG14" i="2"/>
  <c r="R13" i="20" l="1"/>
  <c r="N120" i="19"/>
  <c r="P13" i="19" s="1"/>
  <c r="AH25" i="15"/>
  <c r="AJ25" i="15" s="1"/>
  <c r="R120" i="20" l="1"/>
  <c r="P120" i="19"/>
  <c r="R13" i="19" s="1"/>
  <c r="Y35" i="3"/>
  <c r="V36" i="35"/>
  <c r="V40" i="35"/>
  <c r="T13" i="20" l="1"/>
  <c r="R120" i="19"/>
  <c r="T13" i="19" s="1"/>
  <c r="Y43" i="3"/>
  <c r="Y46" i="3" s="1"/>
  <c r="Y55" i="3" s="1"/>
  <c r="T120" i="19" l="1"/>
  <c r="V13" i="19" s="1"/>
  <c r="T120" i="20"/>
  <c r="V13" i="20" l="1"/>
  <c r="H57" i="3" s="1"/>
  <c r="H59" i="3" s="1"/>
  <c r="H57" i="2"/>
  <c r="H59" i="2" s="1"/>
  <c r="V120" i="19"/>
  <c r="G26" i="31"/>
  <c r="G43" i="31" s="1"/>
  <c r="V120" i="20" l="1"/>
  <c r="X120" i="20" s="1"/>
  <c r="Z120" i="20" s="1"/>
  <c r="I23" i="11"/>
  <c r="K95" i="30" l="1"/>
  <c r="Y59" i="3" l="1"/>
  <c r="K38" i="31" l="1"/>
  <c r="K152" i="30"/>
  <c r="K36" i="31"/>
  <c r="M14" i="42" l="1"/>
  <c r="Y103" i="23" l="1"/>
  <c r="AA103" i="23"/>
  <c r="Y102" i="24"/>
  <c r="AA102" i="24"/>
  <c r="O22" i="24"/>
  <c r="O32" i="24" s="1"/>
  <c r="O64" i="24" s="1"/>
  <c r="O88" i="24" s="1"/>
  <c r="O100" i="24" s="1"/>
  <c r="O102" i="24" s="1"/>
  <c r="Q14" i="24" s="1"/>
  <c r="Q102" i="24" s="1"/>
  <c r="S14" i="24" s="1"/>
  <c r="S102" i="24" s="1"/>
  <c r="U14" i="24" s="1"/>
  <c r="U102" i="24" s="1"/>
  <c r="W14" i="24" s="1"/>
  <c r="W102" i="24" s="1"/>
  <c r="O20" i="23"/>
  <c r="V29" i="15" l="1"/>
  <c r="V38" i="15" s="1"/>
  <c r="V58" i="15" s="1"/>
  <c r="P38" i="15"/>
  <c r="P58" i="15" s="1"/>
  <c r="M33" i="16"/>
  <c r="O23" i="23"/>
  <c r="AF20" i="23"/>
  <c r="AB33" i="16" l="1"/>
  <c r="M42" i="16"/>
  <c r="M60" i="16" s="1"/>
  <c r="M109" i="16" s="1"/>
  <c r="M135" i="16" s="1"/>
  <c r="M146" i="16" s="1"/>
  <c r="O33" i="23"/>
  <c r="O65" i="23" s="1"/>
  <c r="O89" i="23" s="1"/>
  <c r="O101" i="23" s="1"/>
  <c r="AF23" i="23"/>
  <c r="R29" i="15"/>
  <c r="AL20" i="23"/>
  <c r="AN20" i="23" s="1"/>
  <c r="I112" i="30" l="1"/>
  <c r="AH33" i="16"/>
  <c r="AB42" i="16"/>
  <c r="AB60" i="16" s="1"/>
  <c r="X29" i="15"/>
  <c r="R38" i="15"/>
  <c r="R58" i="15" s="1"/>
  <c r="AL23" i="23"/>
  <c r="AN23" i="23" s="1"/>
  <c r="R15" i="2"/>
  <c r="AF33" i="23"/>
  <c r="V15" i="2"/>
  <c r="AH42" i="16" l="1"/>
  <c r="AJ42" i="16" s="1"/>
  <c r="AJ33" i="16"/>
  <c r="AH29" i="15"/>
  <c r="AJ29" i="15" s="1"/>
  <c r="X38" i="15"/>
  <c r="AL33" i="23"/>
  <c r="X15" i="2"/>
  <c r="AH60" i="16" l="1"/>
  <c r="AJ60" i="16" s="1"/>
  <c r="AH38" i="15"/>
  <c r="AJ38" i="15" s="1"/>
  <c r="X58" i="15"/>
  <c r="AH58" i="15" s="1"/>
  <c r="AJ58" i="15" s="1"/>
  <c r="AG15" i="2"/>
  <c r="AI15" i="2"/>
  <c r="AN33" i="23"/>
  <c r="M49" i="34" l="1"/>
  <c r="M39" i="34"/>
  <c r="M34" i="34"/>
  <c r="M51" i="34"/>
  <c r="M23" i="34"/>
  <c r="M52" i="34"/>
  <c r="M22" i="34"/>
  <c r="M41" i="34"/>
  <c r="M43" i="34"/>
  <c r="M62" i="34"/>
  <c r="M21" i="34"/>
  <c r="M29" i="34"/>
  <c r="M38" i="34"/>
  <c r="M50" i="34"/>
  <c r="M19" i="34"/>
  <c r="M45" i="34"/>
  <c r="M35" i="34"/>
  <c r="M30" i="34"/>
  <c r="M56" i="34"/>
  <c r="M59" i="34"/>
  <c r="M57" i="34"/>
  <c r="M31" i="34"/>
  <c r="E26" i="31" l="1"/>
  <c r="E43" i="31" s="1"/>
  <c r="G100" i="30"/>
  <c r="G102" i="30" s="1"/>
  <c r="G65" i="34"/>
  <c r="AB21" i="15" l="1"/>
  <c r="AB25" i="15" s="1"/>
  <c r="R19" i="35"/>
  <c r="V19" i="35" s="1"/>
  <c r="H43" i="35"/>
  <c r="Y82" i="25"/>
  <c r="AA82" i="25"/>
  <c r="Q42" i="25"/>
  <c r="Q46" i="25" s="1"/>
  <c r="Q70" i="25" s="1"/>
  <c r="Q80" i="25" s="1"/>
  <c r="Q37" i="23"/>
  <c r="Q61" i="23" s="1"/>
  <c r="K37" i="31" l="1"/>
  <c r="O65" i="16"/>
  <c r="AF37" i="23"/>
  <c r="AL37" i="23" s="1"/>
  <c r="Q65" i="23"/>
  <c r="Q89" i="23" s="1"/>
  <c r="Q101" i="23" s="1"/>
  <c r="AL61" i="23" l="1"/>
  <c r="AN61" i="23" s="1"/>
  <c r="AN37" i="23"/>
  <c r="AB65" i="16"/>
  <c r="O105" i="16"/>
  <c r="O109" i="16" s="1"/>
  <c r="O135" i="16" s="1"/>
  <c r="O146" i="16" s="1"/>
  <c r="V18" i="2"/>
  <c r="V20" i="2" s="1"/>
  <c r="V45" i="2" s="1"/>
  <c r="V55" i="2" s="1"/>
  <c r="P20" i="2"/>
  <c r="P45" i="2" s="1"/>
  <c r="P55" i="2" s="1"/>
  <c r="AF61" i="23"/>
  <c r="AF65" i="23" s="1"/>
  <c r="AF89" i="23" s="1"/>
  <c r="AF101" i="23" s="1"/>
  <c r="V38" i="35" l="1"/>
  <c r="AL65" i="23"/>
  <c r="AL89" i="23" s="1"/>
  <c r="AN89" i="23" s="1"/>
  <c r="R18" i="2"/>
  <c r="X18" i="2" s="1"/>
  <c r="X20" i="2" s="1"/>
  <c r="AH65" i="16"/>
  <c r="AB105" i="16"/>
  <c r="AB109" i="16" s="1"/>
  <c r="AB135" i="16" s="1"/>
  <c r="AH135" i="16" s="1"/>
  <c r="AL101" i="23"/>
  <c r="AN65" i="23" l="1"/>
  <c r="R20" i="2"/>
  <c r="R45" i="2" s="1"/>
  <c r="R55" i="2" s="1"/>
  <c r="AH105" i="16"/>
  <c r="AJ105" i="16" s="1"/>
  <c r="AJ65" i="16"/>
  <c r="AI18" i="2"/>
  <c r="AG18" i="2"/>
  <c r="AG20" i="2" s="1"/>
  <c r="AJ135" i="16"/>
  <c r="AB146" i="16"/>
  <c r="AN101" i="23"/>
  <c r="X45" i="2"/>
  <c r="AI20" i="2"/>
  <c r="I100" i="30" l="1"/>
  <c r="T43" i="35"/>
  <c r="I24" i="30"/>
  <c r="I26" i="31"/>
  <c r="I154" i="30"/>
  <c r="G24" i="30"/>
  <c r="F45" i="32"/>
  <c r="F48" i="32" s="1"/>
  <c r="K65" i="34"/>
  <c r="F43" i="35"/>
  <c r="E154" i="30"/>
  <c r="I90" i="30"/>
  <c r="G154" i="30"/>
  <c r="Q65" i="34"/>
  <c r="I65" i="34"/>
  <c r="E24" i="30"/>
  <c r="C26" i="11"/>
  <c r="M147" i="42"/>
  <c r="J43" i="35"/>
  <c r="R26" i="35"/>
  <c r="V26" i="35" s="1"/>
  <c r="M88" i="42"/>
  <c r="M160" i="42"/>
  <c r="M220" i="42"/>
  <c r="M84" i="42"/>
  <c r="K19" i="30"/>
  <c r="M221" i="42"/>
  <c r="M117" i="42"/>
  <c r="M247" i="42"/>
  <c r="M137" i="42"/>
  <c r="C22" i="8"/>
  <c r="I22" i="8" s="1"/>
  <c r="I22" i="9"/>
  <c r="M136" i="42"/>
  <c r="M135" i="42"/>
  <c r="B38" i="28"/>
  <c r="D13" i="28" s="1"/>
  <c r="D38" i="28" s="1"/>
  <c r="F13" i="28" s="1"/>
  <c r="F38" i="28" s="1"/>
  <c r="H13" i="28" s="1"/>
  <c r="H38" i="28" s="1"/>
  <c r="J13" i="28" s="1"/>
  <c r="J38" i="28" s="1"/>
  <c r="L13" i="28" s="1"/>
  <c r="L38" i="28" s="1"/>
  <c r="N13" i="28" s="1"/>
  <c r="N38" i="28" s="1"/>
  <c r="P13" i="28" s="1"/>
  <c r="P38" i="28" s="1"/>
  <c r="R13" i="28" s="1"/>
  <c r="R38" i="28" s="1"/>
  <c r="T13" i="28" s="1"/>
  <c r="B41" i="6" s="1"/>
  <c r="AA13" i="28"/>
  <c r="AG13" i="28" s="1"/>
  <c r="AI13" i="28" s="1"/>
  <c r="M41" i="42"/>
  <c r="AB56" i="15"/>
  <c r="AB58" i="15" s="1"/>
  <c r="M148" i="42"/>
  <c r="M235" i="42"/>
  <c r="M139" i="42"/>
  <c r="K98" i="30"/>
  <c r="M40" i="42"/>
  <c r="T29" i="11"/>
  <c r="N34" i="11"/>
  <c r="M130" i="42"/>
  <c r="M171" i="42"/>
  <c r="M120" i="42"/>
  <c r="M239" i="42"/>
  <c r="M47" i="42"/>
  <c r="M60" i="42"/>
  <c r="M42" i="42"/>
  <c r="M110" i="42"/>
  <c r="M151" i="42"/>
  <c r="AE16" i="17"/>
  <c r="AE147" i="17" s="1"/>
  <c r="AD75" i="22"/>
  <c r="AA57" i="3"/>
  <c r="AA59" i="3" s="1"/>
  <c r="AE16" i="16"/>
  <c r="AE148" i="16" s="1"/>
  <c r="AD57" i="2"/>
  <c r="AD59" i="2" s="1"/>
  <c r="M145" i="42"/>
  <c r="L36" i="32"/>
  <c r="M155" i="42"/>
  <c r="M72" i="42"/>
  <c r="M208" i="42"/>
  <c r="M186" i="42"/>
  <c r="M111" i="42"/>
  <c r="L42" i="32"/>
  <c r="M123" i="42"/>
  <c r="I24" i="12"/>
  <c r="M76" i="42"/>
  <c r="M101" i="42"/>
  <c r="M184" i="42"/>
  <c r="M230" i="42"/>
  <c r="J17" i="32"/>
  <c r="L15" i="32"/>
  <c r="L17" i="32" s="1"/>
  <c r="M67" i="42"/>
  <c r="M231" i="42"/>
  <c r="M59" i="42"/>
  <c r="M79" i="42"/>
  <c r="M65" i="42"/>
  <c r="K105" i="30"/>
  <c r="E112" i="30"/>
  <c r="R22" i="35"/>
  <c r="V22" i="35" s="1"/>
  <c r="M81" i="42"/>
  <c r="M250" i="42"/>
  <c r="C23" i="10"/>
  <c r="M23" i="10" s="1"/>
  <c r="T23" i="11"/>
  <c r="M229" i="42"/>
  <c r="S31" i="14"/>
  <c r="I27" i="9"/>
  <c r="M38" i="42"/>
  <c r="M251" i="42"/>
  <c r="M16" i="42"/>
  <c r="M252" i="42"/>
  <c r="M248" i="42"/>
  <c r="M180" i="42"/>
  <c r="M114" i="42"/>
  <c r="M10" i="42"/>
  <c r="M11" i="42" s="1"/>
  <c r="O11" i="42"/>
  <c r="C55" i="26"/>
  <c r="E16" i="26" s="1"/>
  <c r="E55" i="26" s="1"/>
  <c r="G16" i="26" s="1"/>
  <c r="G55" i="26" s="1"/>
  <c r="I16" i="26" s="1"/>
  <c r="I55" i="26" s="1"/>
  <c r="K16" i="26" s="1"/>
  <c r="K55" i="26" s="1"/>
  <c r="M16" i="26" s="1"/>
  <c r="M55" i="26" s="1"/>
  <c r="O16" i="26" s="1"/>
  <c r="O55" i="26" s="1"/>
  <c r="Q16" i="26" s="1"/>
  <c r="Q55" i="26" s="1"/>
  <c r="S16" i="26" s="1"/>
  <c r="S55" i="26" s="1"/>
  <c r="U16" i="26" s="1"/>
  <c r="B44" i="5" s="1"/>
  <c r="B45" i="5" s="1"/>
  <c r="AB16" i="26"/>
  <c r="D44" i="5" s="1"/>
  <c r="D45" i="5" s="1"/>
  <c r="M32" i="42"/>
  <c r="M26" i="42"/>
  <c r="M17" i="42"/>
  <c r="C31" i="8"/>
  <c r="I31" i="8" s="1"/>
  <c r="I36" i="9"/>
  <c r="M223" i="42"/>
  <c r="S65" i="34"/>
  <c r="L44" i="32"/>
  <c r="K99" i="30"/>
  <c r="C25" i="8"/>
  <c r="I25" i="8" s="1"/>
  <c r="I25" i="9"/>
  <c r="K129" i="30"/>
  <c r="K139" i="30"/>
  <c r="C24" i="13"/>
  <c r="M24" i="13" s="1"/>
  <c r="I24" i="14"/>
  <c r="M170" i="42"/>
  <c r="M107" i="42"/>
  <c r="K145" i="30"/>
  <c r="M152" i="42"/>
  <c r="N57" i="2"/>
  <c r="N59" i="2" s="1"/>
  <c r="B75" i="22"/>
  <c r="D12" i="22" s="1"/>
  <c r="D75" i="22" s="1"/>
  <c r="F12" i="22" s="1"/>
  <c r="F75" i="22" s="1"/>
  <c r="H12" i="22" s="1"/>
  <c r="H75" i="22" s="1"/>
  <c r="J12" i="22" s="1"/>
  <c r="J75" i="22" s="1"/>
  <c r="L12" i="22" s="1"/>
  <c r="L75" i="22" s="1"/>
  <c r="N12" i="22" s="1"/>
  <c r="N75" i="22" s="1"/>
  <c r="P12" i="22" s="1"/>
  <c r="P75" i="22" s="1"/>
  <c r="R12" i="22" s="1"/>
  <c r="R75" i="22" s="1"/>
  <c r="T12" i="22" s="1"/>
  <c r="L57" i="2" s="1"/>
  <c r="AA12" i="22"/>
  <c r="AA75" i="22" s="1"/>
  <c r="M97" i="42"/>
  <c r="I40" i="9"/>
  <c r="K142" i="30"/>
  <c r="L40" i="32"/>
  <c r="M125" i="42"/>
  <c r="M161" i="42"/>
  <c r="F57" i="2"/>
  <c r="E49" i="9"/>
  <c r="C16" i="17"/>
  <c r="C147" i="17" s="1"/>
  <c r="E16" i="17" s="1"/>
  <c r="E147" i="17" s="1"/>
  <c r="G16" i="17" s="1"/>
  <c r="G147" i="17" s="1"/>
  <c r="I16" i="17" s="1"/>
  <c r="I147" i="17" s="1"/>
  <c r="K16" i="17" s="1"/>
  <c r="K147" i="17" s="1"/>
  <c r="M16" i="17" s="1"/>
  <c r="M147" i="17" s="1"/>
  <c r="O16" i="17" s="1"/>
  <c r="O147" i="17" s="1"/>
  <c r="Q16" i="17" s="1"/>
  <c r="Q147" i="17" s="1"/>
  <c r="S16" i="17" s="1"/>
  <c r="S147" i="17" s="1"/>
  <c r="U16" i="17" s="1"/>
  <c r="U147" i="17" s="1"/>
  <c r="W147" i="17" s="1"/>
  <c r="Y147" i="17" s="1"/>
  <c r="C49" i="9"/>
  <c r="C48" i="8" s="1"/>
  <c r="D140" i="18"/>
  <c r="F12" i="18" s="1"/>
  <c r="F140" i="18" s="1"/>
  <c r="H12" i="18" s="1"/>
  <c r="H140" i="18" s="1"/>
  <c r="J12" i="18" s="1"/>
  <c r="J140" i="18" s="1"/>
  <c r="L12" i="18" s="1"/>
  <c r="L140" i="18" s="1"/>
  <c r="N12" i="18" s="1"/>
  <c r="N140" i="18" s="1"/>
  <c r="P12" i="18" s="1"/>
  <c r="P140" i="18" s="1"/>
  <c r="R12" i="18" s="1"/>
  <c r="R140" i="18" s="1"/>
  <c r="T12" i="18" s="1"/>
  <c r="T140" i="18" s="1"/>
  <c r="V12" i="18" s="1"/>
  <c r="D57" i="2" s="1"/>
  <c r="AC12" i="18"/>
  <c r="AI12" i="18" s="1"/>
  <c r="AK12" i="18" s="1"/>
  <c r="K153" i="30"/>
  <c r="C21" i="13"/>
  <c r="M21" i="13" s="1"/>
  <c r="I21" i="14"/>
  <c r="M256" i="42"/>
  <c r="M77" i="42"/>
  <c r="M96" i="42"/>
  <c r="R31" i="35"/>
  <c r="V31" i="35" s="1"/>
  <c r="K110" i="30"/>
  <c r="M63" i="34"/>
  <c r="M225" i="42"/>
  <c r="M176" i="42"/>
  <c r="K130" i="30"/>
  <c r="M121" i="42"/>
  <c r="M218" i="42"/>
  <c r="M20" i="42"/>
  <c r="M99" i="42"/>
  <c r="K25" i="31"/>
  <c r="M142" i="42"/>
  <c r="I20" i="12"/>
  <c r="C26" i="12"/>
  <c r="M64" i="42"/>
  <c r="M257" i="42"/>
  <c r="K120" i="30"/>
  <c r="K19" i="31"/>
  <c r="I31" i="14"/>
  <c r="C31" i="13"/>
  <c r="M31" i="13" s="1"/>
  <c r="T24" i="11"/>
  <c r="I29" i="11"/>
  <c r="C34" i="11"/>
  <c r="C29" i="10"/>
  <c r="M29" i="10" s="1"/>
  <c r="M112" i="42"/>
  <c r="K127" i="30"/>
  <c r="M29" i="42"/>
  <c r="K148" i="30"/>
  <c r="L21" i="32"/>
  <c r="J24" i="32"/>
  <c r="M153" i="42"/>
  <c r="S22" i="14"/>
  <c r="M138" i="42"/>
  <c r="I30" i="12"/>
  <c r="C32" i="7"/>
  <c r="I32" i="7" s="1"/>
  <c r="C32" i="8"/>
  <c r="I32" i="8" s="1"/>
  <c r="S32" i="14"/>
  <c r="AD50" i="27"/>
  <c r="N26" i="11"/>
  <c r="C20" i="10"/>
  <c r="C20" i="7" s="1"/>
  <c r="I20" i="7" s="1"/>
  <c r="T20" i="11"/>
  <c r="M63" i="42"/>
  <c r="K124" i="30"/>
  <c r="T31" i="11"/>
  <c r="M185" i="42"/>
  <c r="M166" i="42"/>
  <c r="M18" i="42"/>
  <c r="M162" i="42"/>
  <c r="M249" i="42"/>
  <c r="M163" i="42"/>
  <c r="M134" i="42"/>
  <c r="T32" i="11"/>
  <c r="M52" i="42"/>
  <c r="I29" i="9"/>
  <c r="M169" i="42"/>
  <c r="R37" i="35"/>
  <c r="V37" i="35" s="1"/>
  <c r="C32" i="10"/>
  <c r="M32" i="10" s="1"/>
  <c r="C33" i="8"/>
  <c r="I33" i="8" s="1"/>
  <c r="I32" i="11"/>
  <c r="M181" i="42"/>
  <c r="E82" i="25"/>
  <c r="G14" i="25" s="1"/>
  <c r="G82" i="25" s="1"/>
  <c r="I14" i="25" s="1"/>
  <c r="I82" i="25" s="1"/>
  <c r="K14" i="25" s="1"/>
  <c r="K82" i="25" s="1"/>
  <c r="M14" i="25" s="1"/>
  <c r="M82" i="25" s="1"/>
  <c r="O14" i="25" s="1"/>
  <c r="O82" i="25" s="1"/>
  <c r="Q14" i="25" s="1"/>
  <c r="Q82" i="25" s="1"/>
  <c r="S14" i="25" s="1"/>
  <c r="S82" i="25" s="1"/>
  <c r="U14" i="25" s="1"/>
  <c r="U82" i="25" s="1"/>
  <c r="W14" i="25" s="1"/>
  <c r="W82" i="25" s="1"/>
  <c r="AD14" i="25"/>
  <c r="AJ14" i="25" s="1"/>
  <c r="AL14" i="25" s="1"/>
  <c r="Q39" i="14"/>
  <c r="Q40" i="14" s="1"/>
  <c r="E15" i="23"/>
  <c r="G39" i="13" s="1"/>
  <c r="K39" i="13" s="1"/>
  <c r="O39" i="13" s="1"/>
  <c r="K146" i="30"/>
  <c r="M86" i="42"/>
  <c r="M53" i="42"/>
  <c r="M159" i="42"/>
  <c r="C29" i="8"/>
  <c r="I29" i="8" s="1"/>
  <c r="I34" i="9"/>
  <c r="M80" i="42"/>
  <c r="M188" i="42"/>
  <c r="M150" i="42"/>
  <c r="M28" i="42"/>
  <c r="M133" i="42"/>
  <c r="M213" i="42"/>
  <c r="M30" i="42"/>
  <c r="M113" i="42"/>
  <c r="M157" i="42"/>
  <c r="I33" i="11"/>
  <c r="C33" i="10"/>
  <c r="M33" i="10" s="1"/>
  <c r="M71" i="42"/>
  <c r="M83" i="42"/>
  <c r="I20" i="14"/>
  <c r="C20" i="13"/>
  <c r="M20" i="13" s="1"/>
  <c r="C27" i="14"/>
  <c r="M244" i="42"/>
  <c r="K22" i="31"/>
  <c r="R35" i="35"/>
  <c r="V35" i="35" s="1"/>
  <c r="M156" i="42"/>
  <c r="M93" i="42"/>
  <c r="M158" i="42"/>
  <c r="M66" i="42"/>
  <c r="I21" i="9"/>
  <c r="C21" i="8"/>
  <c r="I21" i="8" s="1"/>
  <c r="S26" i="14"/>
  <c r="M165" i="42"/>
  <c r="M36" i="42"/>
  <c r="L39" i="32"/>
  <c r="O102" i="42"/>
  <c r="M15" i="42"/>
  <c r="S20" i="14"/>
  <c r="M27" i="14"/>
  <c r="M189" i="42"/>
  <c r="L33" i="32"/>
  <c r="K16" i="30"/>
  <c r="M94" i="42"/>
  <c r="K34" i="31"/>
  <c r="M70" i="42"/>
  <c r="T33" i="11"/>
  <c r="M78" i="42"/>
  <c r="M69" i="42"/>
  <c r="M45" i="42"/>
  <c r="M258" i="42"/>
  <c r="I24" i="9"/>
  <c r="C24" i="8"/>
  <c r="I24" i="8" s="1"/>
  <c r="L41" i="32"/>
  <c r="M61" i="42"/>
  <c r="M54" i="42"/>
  <c r="M46" i="42"/>
  <c r="I30" i="14"/>
  <c r="C33" i="14"/>
  <c r="C37" i="14" s="1"/>
  <c r="C40" i="14" s="1"/>
  <c r="C30" i="13"/>
  <c r="M30" i="13" s="1"/>
  <c r="M182" i="42"/>
  <c r="M115" i="42"/>
  <c r="M246" i="42"/>
  <c r="M183" i="42"/>
  <c r="M253" i="42"/>
  <c r="I41" i="9"/>
  <c r="M108" i="42"/>
  <c r="M56" i="42"/>
  <c r="T30" i="11"/>
  <c r="R41" i="35"/>
  <c r="V41" i="35" s="1"/>
  <c r="M168" i="42"/>
  <c r="K20" i="30"/>
  <c r="M178" i="42"/>
  <c r="M234" i="42"/>
  <c r="R21" i="35"/>
  <c r="V21" i="35" s="1"/>
  <c r="K136" i="30"/>
  <c r="I39" i="9"/>
  <c r="I25" i="12"/>
  <c r="M90" i="42"/>
  <c r="K108" i="30"/>
  <c r="K149" i="30"/>
  <c r="I20" i="9"/>
  <c r="C20" i="8"/>
  <c r="I20" i="8" s="1"/>
  <c r="C23" i="8"/>
  <c r="I23" i="8" s="1"/>
  <c r="I23" i="9"/>
  <c r="M122" i="42"/>
  <c r="M34" i="42"/>
  <c r="M24" i="42"/>
  <c r="K122" i="30"/>
  <c r="M126" i="42"/>
  <c r="AA14" i="27"/>
  <c r="AG14" i="27" s="1"/>
  <c r="AI14" i="27" s="1"/>
  <c r="B50" i="27"/>
  <c r="D14" i="27" s="1"/>
  <c r="D50" i="27" s="1"/>
  <c r="F14" i="27" s="1"/>
  <c r="F50" i="27" s="1"/>
  <c r="H14" i="27" s="1"/>
  <c r="H50" i="27" s="1"/>
  <c r="J14" i="27" s="1"/>
  <c r="J50" i="27" s="1"/>
  <c r="L14" i="27" s="1"/>
  <c r="L50" i="27" s="1"/>
  <c r="N14" i="27" s="1"/>
  <c r="N50" i="27" s="1"/>
  <c r="P14" i="27" s="1"/>
  <c r="M226" i="42"/>
  <c r="K22" i="30"/>
  <c r="M236" i="42"/>
  <c r="M259" i="42"/>
  <c r="M57" i="42"/>
  <c r="M62" i="42"/>
  <c r="L29" i="32"/>
  <c r="M91" i="42"/>
  <c r="M128" i="42"/>
  <c r="K24" i="31"/>
  <c r="I23" i="12"/>
  <c r="M27" i="42"/>
  <c r="I31" i="11"/>
  <c r="C31" i="10"/>
  <c r="M31" i="10" s="1"/>
  <c r="L30" i="32"/>
  <c r="M33" i="42"/>
  <c r="K123" i="30"/>
  <c r="M68" i="42"/>
  <c r="R24" i="35"/>
  <c r="V24" i="35" s="1"/>
  <c r="M109" i="42"/>
  <c r="M173" i="42"/>
  <c r="K128" i="30"/>
  <c r="M74" i="42"/>
  <c r="K132" i="30"/>
  <c r="R32" i="35"/>
  <c r="V32" i="35" s="1"/>
  <c r="L43" i="32"/>
  <c r="M73" i="42"/>
  <c r="M43" i="42"/>
  <c r="M237" i="42"/>
  <c r="R23" i="35"/>
  <c r="V23" i="35" s="1"/>
  <c r="K141" i="30"/>
  <c r="S25" i="14"/>
  <c r="I40" i="31"/>
  <c r="I43" i="31" s="1"/>
  <c r="K32" i="31"/>
  <c r="K85" i="30"/>
  <c r="K90" i="30" s="1"/>
  <c r="M207" i="42"/>
  <c r="O209" i="42"/>
  <c r="M19" i="42"/>
  <c r="M149" i="42"/>
  <c r="M119" i="42"/>
  <c r="N43" i="35"/>
  <c r="R18" i="35"/>
  <c r="V18" i="35" s="1"/>
  <c r="K119" i="30"/>
  <c r="I21" i="12"/>
  <c r="I28" i="9"/>
  <c r="T22" i="11"/>
  <c r="J45" i="32"/>
  <c r="M167" i="42"/>
  <c r="S30" i="14"/>
  <c r="M33" i="14"/>
  <c r="K23" i="30"/>
  <c r="M219" i="42"/>
  <c r="M232" i="42"/>
  <c r="S23" i="14"/>
  <c r="K121" i="30"/>
  <c r="M23" i="42"/>
  <c r="M95" i="42"/>
  <c r="AD38" i="29"/>
  <c r="P41" i="6"/>
  <c r="P42" i="6" s="1"/>
  <c r="M98" i="42"/>
  <c r="I22" i="11"/>
  <c r="C22" i="10"/>
  <c r="M22" i="10" s="1"/>
  <c r="AA13" i="29"/>
  <c r="AA38" i="29" s="1"/>
  <c r="B38" i="29"/>
  <c r="D13" i="29" s="1"/>
  <c r="D38" i="29" s="1"/>
  <c r="F13" i="29" s="1"/>
  <c r="F38" i="29" s="1"/>
  <c r="H13" i="29" s="1"/>
  <c r="H38" i="29" s="1"/>
  <c r="J13" i="29" s="1"/>
  <c r="J38" i="29" s="1"/>
  <c r="L13" i="29" s="1"/>
  <c r="L38" i="29" s="1"/>
  <c r="N13" i="29" s="1"/>
  <c r="N38" i="29" s="1"/>
  <c r="P13" i="29" s="1"/>
  <c r="P38" i="29" s="1"/>
  <c r="R13" i="29" s="1"/>
  <c r="R38" i="29" s="1"/>
  <c r="T13" i="29" s="1"/>
  <c r="F41" i="6" s="1"/>
  <c r="F42" i="6" s="1"/>
  <c r="M51" i="42"/>
  <c r="N34" i="6"/>
  <c r="N39" i="6" s="1"/>
  <c r="M255" i="42"/>
  <c r="L34" i="32"/>
  <c r="M85" i="42"/>
  <c r="I24" i="11"/>
  <c r="C24" i="10"/>
  <c r="M24" i="10" s="1"/>
  <c r="K144" i="30"/>
  <c r="T25" i="11"/>
  <c r="R34" i="35"/>
  <c r="V34" i="35" s="1"/>
  <c r="S24" i="14"/>
  <c r="M224" i="42"/>
  <c r="M187" i="42"/>
  <c r="L38" i="32"/>
  <c r="K138" i="30"/>
  <c r="M254" i="42"/>
  <c r="M241" i="42"/>
  <c r="M212" i="42"/>
  <c r="O214" i="42"/>
  <c r="G112" i="30"/>
  <c r="M25" i="42"/>
  <c r="K143" i="30"/>
  <c r="M75" i="42"/>
  <c r="L32" i="32"/>
  <c r="M131" i="42"/>
  <c r="M55" i="42"/>
  <c r="K118" i="30"/>
  <c r="M217" i="42"/>
  <c r="O260" i="42"/>
  <c r="K17" i="30"/>
  <c r="S21" i="14"/>
  <c r="M48" i="42"/>
  <c r="M124" i="42"/>
  <c r="M82" i="42"/>
  <c r="M50" i="42"/>
  <c r="M243" i="42"/>
  <c r="I31" i="12"/>
  <c r="M127" i="42"/>
  <c r="K134" i="30"/>
  <c r="M228" i="42"/>
  <c r="M227" i="42"/>
  <c r="M49" i="42"/>
  <c r="M233" i="42"/>
  <c r="M44" i="42"/>
  <c r="M39" i="42"/>
  <c r="K150" i="30"/>
  <c r="C23" i="13"/>
  <c r="M23" i="13" s="1"/>
  <c r="I23" i="14"/>
  <c r="M87" i="42"/>
  <c r="O190" i="42"/>
  <c r="M106" i="42"/>
  <c r="I32" i="14"/>
  <c r="C32" i="13"/>
  <c r="M32" i="13" s="1"/>
  <c r="C25" i="10"/>
  <c r="M25" i="10" s="1"/>
  <c r="I25" i="11"/>
  <c r="M146" i="42"/>
  <c r="C25" i="13"/>
  <c r="M25" i="13" s="1"/>
  <c r="I25" i="14"/>
  <c r="C40" i="7"/>
  <c r="I40" i="7" s="1"/>
  <c r="L37" i="32"/>
  <c r="M37" i="42"/>
  <c r="M172" i="42"/>
  <c r="L35" i="32"/>
  <c r="M35" i="42"/>
  <c r="M58" i="42"/>
  <c r="M132" i="42"/>
  <c r="M141" i="42"/>
  <c r="K133" i="30"/>
  <c r="M174" i="42"/>
  <c r="M116" i="42"/>
  <c r="K126" i="30"/>
  <c r="M179" i="42"/>
  <c r="M118" i="42"/>
  <c r="L22" i="32"/>
  <c r="I26" i="14"/>
  <c r="K26" i="13" s="1"/>
  <c r="G41" i="7" s="1"/>
  <c r="K41" i="7" s="1"/>
  <c r="K43" i="7" s="1"/>
  <c r="K47" i="7" s="1"/>
  <c r="K50" i="7" s="1"/>
  <c r="C26" i="13"/>
  <c r="M31" i="42"/>
  <c r="M240" i="42"/>
  <c r="M222" i="42"/>
  <c r="I38" i="9"/>
  <c r="C32" i="12"/>
  <c r="I29" i="12"/>
  <c r="M140" i="42"/>
  <c r="M144" i="42"/>
  <c r="C30" i="8"/>
  <c r="I30" i="8" s="1"/>
  <c r="I35" i="9"/>
  <c r="K20" i="31"/>
  <c r="M164" i="42"/>
  <c r="K35" i="31"/>
  <c r="T21" i="11"/>
  <c r="M245" i="42"/>
  <c r="M238" i="42"/>
  <c r="R28" i="35"/>
  <c r="V28" i="35" s="1"/>
  <c r="K125" i="30"/>
  <c r="M175" i="42"/>
  <c r="AE55" i="26"/>
  <c r="P44" i="5"/>
  <c r="P45" i="5" s="1"/>
  <c r="L28" i="32"/>
  <c r="H45" i="32"/>
  <c r="H48" i="32" s="1"/>
  <c r="M92" i="42"/>
  <c r="K21" i="30"/>
  <c r="K21" i="31"/>
  <c r="I30" i="11"/>
  <c r="C30" i="10"/>
  <c r="M30" i="10" s="1"/>
  <c r="M129" i="42"/>
  <c r="K18" i="30"/>
  <c r="L31" i="32"/>
  <c r="M89" i="42"/>
  <c r="M242" i="42"/>
  <c r="I22" i="14"/>
  <c r="C22" i="13"/>
  <c r="M22" i="13" s="1"/>
  <c r="K23" i="31"/>
  <c r="C21" i="10"/>
  <c r="M21" i="10" s="1"/>
  <c r="I21" i="11"/>
  <c r="K27" i="13"/>
  <c r="K37" i="13" s="1"/>
  <c r="AF15" i="23"/>
  <c r="G49" i="9"/>
  <c r="G38" i="12"/>
  <c r="G39" i="12" s="1"/>
  <c r="U39" i="14"/>
  <c r="U40" i="14" s="1"/>
  <c r="H44" i="5"/>
  <c r="H45" i="5" s="1"/>
  <c r="AH16" i="26"/>
  <c r="AJ16" i="26" s="1"/>
  <c r="E49" i="7"/>
  <c r="E50" i="7" s="1"/>
  <c r="AJ82" i="25"/>
  <c r="AH109" i="16"/>
  <c r="AJ109" i="16" s="1"/>
  <c r="AG45" i="2"/>
  <c r="AG55" i="2" s="1"/>
  <c r="AI45" i="2"/>
  <c r="X55" i="2"/>
  <c r="AH146" i="16"/>
  <c r="AJ146" i="16" s="1"/>
  <c r="AG12" i="22" l="1"/>
  <c r="AG75" i="22" s="1"/>
  <c r="C31" i="7"/>
  <c r="I31" i="7" s="1"/>
  <c r="M65" i="34"/>
  <c r="S39" i="14"/>
  <c r="AI75" i="22"/>
  <c r="AB16" i="17"/>
  <c r="AB147" i="17" s="1"/>
  <c r="AH147" i="17" s="1"/>
  <c r="AJ147" i="17" s="1"/>
  <c r="AB55" i="26"/>
  <c r="AH55" i="26" s="1"/>
  <c r="AJ55" i="26" s="1"/>
  <c r="AA50" i="27"/>
  <c r="AG50" i="27" s="1"/>
  <c r="AI50" i="27" s="1"/>
  <c r="I102" i="30"/>
  <c r="I156" i="30" s="1"/>
  <c r="M37" i="14"/>
  <c r="M40" i="14" s="1"/>
  <c r="S33" i="14"/>
  <c r="K24" i="30"/>
  <c r="C36" i="12"/>
  <c r="C39" i="12" s="1"/>
  <c r="AC140" i="18"/>
  <c r="AI140" i="18" s="1"/>
  <c r="AK140" i="18" s="1"/>
  <c r="G40" i="13"/>
  <c r="K40" i="13"/>
  <c r="K112" i="30"/>
  <c r="AG38" i="29"/>
  <c r="AI38" i="29" s="1"/>
  <c r="V43" i="35"/>
  <c r="K40" i="31"/>
  <c r="H41" i="6"/>
  <c r="H42" i="6" s="1"/>
  <c r="I26" i="12"/>
  <c r="E156" i="30"/>
  <c r="N57" i="3"/>
  <c r="N59" i="3" s="1"/>
  <c r="AD82" i="25"/>
  <c r="AL82" i="25" s="1"/>
  <c r="G156" i="30"/>
  <c r="C25" i="7"/>
  <c r="I25" i="7" s="1"/>
  <c r="K26" i="31"/>
  <c r="L45" i="32"/>
  <c r="I34" i="11"/>
  <c r="T34" i="11"/>
  <c r="I32" i="12"/>
  <c r="I49" i="9"/>
  <c r="N38" i="11"/>
  <c r="N41" i="11" s="1"/>
  <c r="C24" i="7"/>
  <c r="I24" i="7" s="1"/>
  <c r="C38" i="11"/>
  <c r="C41" i="11" s="1"/>
  <c r="R43" i="35"/>
  <c r="K154" i="30"/>
  <c r="AG13" i="29"/>
  <c r="AI13" i="29" s="1"/>
  <c r="I33" i="14"/>
  <c r="M26" i="13"/>
  <c r="M27" i="13" s="1"/>
  <c r="I26" i="11"/>
  <c r="O263" i="42"/>
  <c r="M260" i="42"/>
  <c r="M102" i="42"/>
  <c r="I34" i="8"/>
  <c r="L24" i="32"/>
  <c r="M190" i="42"/>
  <c r="J48" i="32"/>
  <c r="K100" i="30"/>
  <c r="K102" i="30" s="1"/>
  <c r="I27" i="14"/>
  <c r="S27" i="14"/>
  <c r="M34" i="10"/>
  <c r="I26" i="8"/>
  <c r="M33" i="13"/>
  <c r="O26" i="13"/>
  <c r="O27" i="13" s="1"/>
  <c r="O37" i="13" s="1"/>
  <c r="O40" i="13" s="1"/>
  <c r="C49" i="7"/>
  <c r="C31" i="9"/>
  <c r="C43" i="9"/>
  <c r="C22" i="7"/>
  <c r="I22" i="7" s="1"/>
  <c r="C33" i="13"/>
  <c r="C26" i="8"/>
  <c r="C34" i="10"/>
  <c r="T26" i="11"/>
  <c r="R57" i="2"/>
  <c r="X57" i="2" s="1"/>
  <c r="X59" i="2" s="1"/>
  <c r="AI59" i="2" s="1"/>
  <c r="E103" i="23"/>
  <c r="G15" i="23" s="1"/>
  <c r="G103" i="23" s="1"/>
  <c r="I15" i="23" s="1"/>
  <c r="I103" i="23" s="1"/>
  <c r="K15" i="23" s="1"/>
  <c r="K103" i="23" s="1"/>
  <c r="M15" i="23" s="1"/>
  <c r="M103" i="23" s="1"/>
  <c r="O15" i="23" s="1"/>
  <c r="O103" i="23" s="1"/>
  <c r="Q15" i="23" s="1"/>
  <c r="Q103" i="23" s="1"/>
  <c r="S15" i="23" s="1"/>
  <c r="S103" i="23" s="1"/>
  <c r="U15" i="23" s="1"/>
  <c r="U103" i="23" s="1"/>
  <c r="W15" i="23" s="1"/>
  <c r="P57" i="2" s="1"/>
  <c r="P59" i="2" s="1"/>
  <c r="C16" i="16"/>
  <c r="C148" i="16" s="1"/>
  <c r="E16" i="16" s="1"/>
  <c r="E148" i="16" s="1"/>
  <c r="G16" i="16" s="1"/>
  <c r="G148" i="16" s="1"/>
  <c r="I16" i="16" s="1"/>
  <c r="I148" i="16" s="1"/>
  <c r="K16" i="16" s="1"/>
  <c r="K148" i="16" s="1"/>
  <c r="M16" i="16" s="1"/>
  <c r="M148" i="16" s="1"/>
  <c r="O16" i="16" s="1"/>
  <c r="O148" i="16" s="1"/>
  <c r="Q16" i="16" s="1"/>
  <c r="Q148" i="16" s="1"/>
  <c r="S16" i="16" s="1"/>
  <c r="S148" i="16" s="1"/>
  <c r="U16" i="16" s="1"/>
  <c r="U148" i="16" s="1"/>
  <c r="W148" i="16" s="1"/>
  <c r="Y148" i="16" s="1"/>
  <c r="M39" i="13"/>
  <c r="C23" i="7"/>
  <c r="I23" i="7" s="1"/>
  <c r="G43" i="7"/>
  <c r="G47" i="7" s="1"/>
  <c r="C26" i="10"/>
  <c r="M20" i="10"/>
  <c r="M26" i="10" s="1"/>
  <c r="C29" i="7"/>
  <c r="I29" i="7" s="1"/>
  <c r="C30" i="7"/>
  <c r="I30" i="7" s="1"/>
  <c r="C34" i="8"/>
  <c r="C33" i="7"/>
  <c r="I33" i="7" s="1"/>
  <c r="C21" i="7"/>
  <c r="I21" i="7" s="1"/>
  <c r="C27" i="13"/>
  <c r="C40" i="8"/>
  <c r="I40" i="8" s="1"/>
  <c r="I30" i="9"/>
  <c r="I31" i="9" s="1"/>
  <c r="C41" i="7"/>
  <c r="I41" i="7" s="1"/>
  <c r="N42" i="6"/>
  <c r="I42" i="9"/>
  <c r="I43" i="9" s="1"/>
  <c r="C41" i="8"/>
  <c r="I41" i="8" s="1"/>
  <c r="C42" i="7"/>
  <c r="I42" i="7" s="1"/>
  <c r="M214" i="42"/>
  <c r="E50" i="9"/>
  <c r="E48" i="8"/>
  <c r="E49" i="8" s="1"/>
  <c r="M209" i="42"/>
  <c r="AA38" i="28"/>
  <c r="AG38" i="28" s="1"/>
  <c r="AI38" i="28" s="1"/>
  <c r="D41" i="6"/>
  <c r="D42" i="6" s="1"/>
  <c r="F57" i="3"/>
  <c r="F59" i="3" s="1"/>
  <c r="F59" i="2"/>
  <c r="K38" i="12"/>
  <c r="K39" i="12" s="1"/>
  <c r="G50" i="9"/>
  <c r="AL15" i="23"/>
  <c r="AF103" i="23"/>
  <c r="AN103" i="23" s="1"/>
  <c r="G49" i="7"/>
  <c r="I38" i="12"/>
  <c r="K49" i="9"/>
  <c r="K50" i="9" s="1"/>
  <c r="AI12" i="22"/>
  <c r="L44" i="5"/>
  <c r="L45" i="5" s="1"/>
  <c r="T38" i="29"/>
  <c r="V38" i="29" s="1"/>
  <c r="X38" i="29" s="1"/>
  <c r="B42" i="6"/>
  <c r="J41" i="6"/>
  <c r="J42" i="6" s="1"/>
  <c r="T38" i="28"/>
  <c r="V38" i="28" s="1"/>
  <c r="X38" i="28" s="1"/>
  <c r="U55" i="26"/>
  <c r="W55" i="26" s="1"/>
  <c r="Y55" i="26" s="1"/>
  <c r="L57" i="3"/>
  <c r="L59" i="3" s="1"/>
  <c r="L59" i="2"/>
  <c r="T75" i="22"/>
  <c r="V75" i="22" s="1"/>
  <c r="X75" i="22" s="1"/>
  <c r="D57" i="3"/>
  <c r="D59" i="2"/>
  <c r="V140" i="18"/>
  <c r="X140" i="18" s="1"/>
  <c r="Z140" i="18" s="1"/>
  <c r="AI55" i="2"/>
  <c r="AH16" i="17" l="1"/>
  <c r="AJ16" i="17" s="1"/>
  <c r="S37" i="14"/>
  <c r="S40" i="14" s="1"/>
  <c r="C38" i="10"/>
  <c r="C41" i="10" s="1"/>
  <c r="I36" i="12"/>
  <c r="K43" i="31"/>
  <c r="K156" i="30"/>
  <c r="I38" i="11"/>
  <c r="I41" i="11" s="1"/>
  <c r="L48" i="32"/>
  <c r="M37" i="13"/>
  <c r="M40" i="13" s="1"/>
  <c r="AB16" i="16"/>
  <c r="AH16" i="16" s="1"/>
  <c r="AJ16" i="16" s="1"/>
  <c r="T38" i="11"/>
  <c r="T41" i="11" s="1"/>
  <c r="I37" i="8"/>
  <c r="C37" i="8"/>
  <c r="C47" i="9"/>
  <c r="C50" i="9" s="1"/>
  <c r="I37" i="14"/>
  <c r="I40" i="14" s="1"/>
  <c r="M38" i="10"/>
  <c r="M41" i="10" s="1"/>
  <c r="I49" i="7"/>
  <c r="I26" i="7"/>
  <c r="W103" i="23"/>
  <c r="I34" i="7"/>
  <c r="V57" i="2"/>
  <c r="V59" i="2" s="1"/>
  <c r="M263" i="42"/>
  <c r="L41" i="6"/>
  <c r="L42" i="6" s="1"/>
  <c r="T57" i="3"/>
  <c r="T59" i="3" s="1"/>
  <c r="C26" i="7"/>
  <c r="C37" i="13"/>
  <c r="C40" i="13" s="1"/>
  <c r="R59" i="2"/>
  <c r="C34" i="7"/>
  <c r="I42" i="8"/>
  <c r="I46" i="8" s="1"/>
  <c r="I47" i="9"/>
  <c r="I50" i="9" s="1"/>
  <c r="I43" i="7"/>
  <c r="C43" i="7"/>
  <c r="C42" i="8"/>
  <c r="C46" i="8" s="1"/>
  <c r="C49" i="8" s="1"/>
  <c r="AI57" i="2"/>
  <c r="AG57" i="2"/>
  <c r="AG59" i="2" s="1"/>
  <c r="I39" i="12"/>
  <c r="G50" i="7"/>
  <c r="AN15" i="23"/>
  <c r="AL103" i="23"/>
  <c r="S44" i="5"/>
  <c r="U44" i="5" s="1"/>
  <c r="D59" i="3"/>
  <c r="R57" i="3"/>
  <c r="R59" i="3" s="1"/>
  <c r="V50" i="27"/>
  <c r="X50" i="27"/>
  <c r="P19" i="27"/>
  <c r="P34" i="27" s="1"/>
  <c r="P48" i="27" s="1"/>
  <c r="P50" i="27" s="1"/>
  <c r="R14" i="27" s="1"/>
  <c r="F21" i="5"/>
  <c r="F32" i="5" s="1"/>
  <c r="F42" i="5" s="1"/>
  <c r="AB148" i="16" l="1"/>
  <c r="AH148" i="16" s="1"/>
  <c r="AJ148" i="16" s="1"/>
  <c r="I47" i="7"/>
  <c r="I50" i="7" s="1"/>
  <c r="I37" i="7"/>
  <c r="AD57" i="3"/>
  <c r="AF57" i="3" s="1"/>
  <c r="C47" i="7"/>
  <c r="C50" i="7" s="1"/>
  <c r="G48" i="8"/>
  <c r="G49" i="8" s="1"/>
  <c r="C37" i="7"/>
  <c r="S41" i="6"/>
  <c r="S42" i="6" s="1"/>
  <c r="U42" i="6" s="1"/>
  <c r="S45" i="5"/>
  <c r="U45" i="5" s="1"/>
  <c r="R50" i="27"/>
  <c r="T14" i="27" s="1"/>
  <c r="J18" i="5"/>
  <c r="J21" i="5" s="1"/>
  <c r="J32" i="5" s="1"/>
  <c r="J42" i="5" s="1"/>
  <c r="P16" i="43"/>
  <c r="P44" i="43" s="1"/>
  <c r="R12" i="43" s="1"/>
  <c r="R44" i="43" s="1"/>
  <c r="Z16" i="43"/>
  <c r="I48" i="8" l="1"/>
  <c r="I49" i="8" s="1"/>
  <c r="AD59" i="3"/>
  <c r="AF59" i="3" s="1"/>
  <c r="K48" i="8"/>
  <c r="K49" i="8" s="1"/>
  <c r="U41" i="6"/>
  <c r="T12" i="43"/>
  <c r="F44" i="5"/>
  <c r="T50" i="27"/>
  <c r="F45" i="5" l="1"/>
  <c r="J44" i="5"/>
  <c r="J45" i="5" s="1"/>
  <c r="V44" i="43" l="1"/>
  <c r="Z27" i="43"/>
  <c r="Z36" i="43" s="1"/>
  <c r="Z42" i="43" s="1"/>
  <c r="Z44" i="43" s="1"/>
  <c r="T36" i="43"/>
  <c r="T42" i="43" s="1"/>
  <c r="T44" i="43" s="1"/>
</calcChain>
</file>

<file path=xl/sharedStrings.xml><?xml version="1.0" encoding="utf-8"?>
<sst xmlns="http://schemas.openxmlformats.org/spreadsheetml/2006/main" count="3973" uniqueCount="1621">
  <si>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</si>
  <si>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</si>
  <si>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</si>
  <si>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</si>
  <si>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</si>
  <si>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</si>
  <si>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</si>
  <si>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</si>
  <si>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</si>
  <si>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</si>
  <si>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</si>
  <si>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</si>
  <si>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</si>
  <si>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</si>
  <si>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</si>
  <si>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</si>
  <si>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</si>
  <si>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</si>
  <si>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</si>
  <si>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</si>
  <si>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</si>
  <si>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</si>
  <si>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</si>
  <si>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</si>
  <si>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</si>
  <si>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</si>
  <si>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</si>
  <si>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</si>
  <si>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</si>
  <si>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</si>
  <si>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</si>
  <si>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</si>
  <si>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</si>
  <si>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</si>
  <si>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</si>
  <si>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</si>
  <si>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</si>
  <si>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</si>
  <si>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</si>
  <si>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</si>
  <si>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</si>
  <si>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</si>
  <si>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</si>
  <si>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</si>
  <si>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</si>
  <si>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</si>
  <si>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</si>
  <si>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</si>
  <si>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</si>
  <si>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</si>
  <si>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</si>
  <si>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</si>
  <si>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</si>
  <si>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</si>
  <si>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</si>
  <si>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</si>
  <si>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</si>
  <si>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</si>
  <si>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</si>
  <si>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</si>
  <si>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</si>
  <si>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</si>
  <si>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</si>
  <si>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</si>
  <si>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</si>
  <si>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</si>
  <si>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</si>
  <si>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</si>
  <si>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</si>
  <si>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</si>
  <si>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</si>
  <si>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</si>
  <si>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</si>
  <si>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</si>
  <si>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</si>
  <si>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</si>
  <si>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</si>
  <si>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</si>
  <si>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</si>
  <si>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</si>
  <si>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</si>
  <si>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</si>
  <si>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</si>
  <si>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</si>
  <si>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</si>
  <si>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</si>
  <si>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</si>
  <si>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</si>
  <si>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</si>
  <si>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</si>
  <si>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</si>
  <si>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</si>
  <si>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</si>
  <si>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</si>
  <si>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</si>
  <si>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</si>
  <si>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</si>
  <si>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</si>
  <si>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</si>
  <si>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</si>
  <si>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</si>
  <si>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</si>
  <si>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</si>
  <si>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</si>
  <si>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</si>
  <si>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</si>
  <si>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</si>
  <si>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</si>
  <si>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</si>
  <si>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</si>
  <si>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</si>
  <si>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</si>
  <si>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</si>
  <si>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</si>
  <si>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</si>
  <si>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</si>
  <si>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</si>
  <si>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</si>
  <si>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</si>
  <si>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</si>
  <si>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</si>
  <si>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</si>
  <si>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</si>
  <si>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</si>
  <si>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</si>
  <si>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</si>
  <si>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</si>
  <si>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</si>
  <si>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</si>
  <si>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</si>
  <si>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</si>
  <si>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</si>
  <si>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</si>
  <si>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</si>
  <si>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</si>
  <si>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</si>
  <si>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</si>
  <si>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</si>
  <si>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</si>
  <si>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</si>
  <si>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</si>
  <si>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</si>
  <si>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</si>
  <si>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</si>
  <si>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</si>
  <si>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</si>
  <si>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</si>
  <si>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</si>
  <si>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</si>
  <si>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</si>
  <si>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</si>
  <si>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</si>
  <si>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</si>
  <si>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</si>
  <si>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</si>
  <si>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</si>
  <si>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</si>
  <si>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</si>
  <si>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</si>
  <si>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</si>
  <si>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</si>
  <si>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</si>
  <si>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</si>
  <si>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</si>
  <si>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</si>
  <si>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</si>
  <si>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</si>
  <si>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</si>
  <si>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</si>
  <si>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</si>
  <si>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</si>
  <si>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</si>
  <si>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</si>
  <si>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</si>
  <si>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</si>
  <si>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</si>
  <si>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</si>
  <si>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</si>
  <si>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</si>
  <si>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</si>
  <si>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</si>
  <si>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</si>
  <si>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</si>
  <si>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</si>
  <si>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</si>
  <si>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</si>
  <si>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</si>
  <si>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</si>
  <si>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</si>
  <si>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</si>
  <si>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</si>
  <si>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</si>
  <si>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</si>
  <si>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</si>
  <si>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</si>
  <si>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</si>
  <si>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</si>
  <si>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</si>
  <si>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</si>
  <si>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</si>
  <si>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</si>
  <si>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</si>
  <si>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</si>
  <si>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</si>
  <si>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</si>
  <si>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</si>
  <si>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</si>
  <si>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</si>
  <si>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</si>
  <si>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</si>
  <si>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</si>
  <si>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</si>
  <si>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</si>
  <si>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</si>
  <si>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</si>
  <si>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</si>
  <si>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</si>
  <si>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</si>
  <si>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</si>
  <si>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</si>
  <si>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</si>
  <si>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</si>
  <si>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</si>
  <si>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</si>
  <si>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</si>
  <si>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</si>
  <si>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</si>
  <si>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</si>
  <si>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</si>
  <si>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</si>
  <si>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</si>
  <si>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</si>
  <si>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</si>
  <si>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</si>
  <si>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</si>
  <si>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</si>
  <si>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</si>
  <si>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</si>
  <si>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</si>
  <si>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</si>
  <si>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</si>
  <si>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</si>
  <si>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</si>
  <si>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</si>
  <si>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</si>
  <si>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</si>
  <si>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</si>
  <si>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</si>
  <si>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</si>
  <si>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</si>
  <si>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</si>
  <si>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</si>
  <si>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</si>
  <si>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</si>
  <si>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</si>
  <si>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</si>
  <si>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</si>
  <si>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</si>
  <si>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</si>
  <si>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</si>
  <si>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</si>
  <si>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</si>
  <si>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</si>
  <si>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</si>
  <si>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</si>
  <si>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</si>
  <si>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</si>
  <si>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</si>
  <si>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</si>
  <si>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</si>
  <si>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</si>
  <si>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</si>
  <si>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</si>
  <si>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</si>
  <si>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</si>
  <si>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</si>
  <si>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</si>
  <si>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</si>
  <si>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</si>
  <si>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</si>
  <si>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</si>
  <si>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</si>
  <si>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</si>
  <si>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</si>
  <si>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</si>
  <si>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</si>
  <si>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</si>
  <si>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</si>
  <si>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</si>
  <si>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</si>
  <si>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</si>
  <si>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</si>
  <si>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</si>
  <si>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</si>
  <si>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</si>
  <si>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</si>
  <si>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</si>
  <si>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</si>
  <si>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</si>
  <si>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</si>
  <si>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</si>
  <si>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</si>
  <si>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</si>
  <si>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</si>
  <si>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</si>
  <si>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</si>
  <si>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</si>
  <si>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</si>
  <si>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</si>
  <si>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</si>
  <si>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</si>
  <si>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</si>
  <si>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</si>
  <si>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</si>
  <si>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</si>
  <si>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</si>
  <si>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</si>
  <si>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</si>
  <si>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</si>
  <si>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</si>
  <si>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</si>
  <si>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</si>
  <si>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</si>
  <si>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</si>
  <si>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</si>
  <si>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</si>
  <si>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</si>
  <si>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</si>
  <si>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</si>
  <si>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</si>
  <si>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</si>
  <si>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</si>
  <si>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</si>
  <si>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</si>
  <si>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</si>
  <si>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</si>
  <si>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</si>
  <si>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</si>
  <si>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</si>
  <si>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</si>
  <si>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</si>
  <si>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</si>
  <si>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</si>
  <si>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</si>
  <si>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</si>
  <si>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</si>
  <si>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</si>
  <si>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</si>
  <si>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</si>
  <si>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</si>
  <si>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</si>
  <si>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</si>
  <si>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</si>
  <si>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</si>
  <si>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</si>
  <si>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</si>
  <si>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</si>
  <si>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</si>
  <si>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</si>
  <si>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</si>
  <si>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</si>
  <si>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</si>
  <si>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</si>
  <si>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</si>
  <si>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</si>
  <si>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</si>
  <si>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</si>
  <si>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</si>
  <si>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</si>
  <si>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</si>
  <si>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</si>
  <si>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</si>
  <si>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</si>
  <si>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</si>
  <si>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</si>
  <si>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</si>
  <si>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</si>
  <si>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</si>
  <si>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</si>
  <si>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</si>
  <si>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</si>
  <si>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</si>
  <si>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</si>
  <si>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</si>
  <si>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</si>
  <si>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</si>
  <si>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</si>
  <si>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</si>
  <si>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</si>
  <si>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</si>
  <si>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</si>
  <si>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</si>
  <si>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</si>
  <si>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</si>
  <si>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</si>
  <si>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</si>
  <si>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</si>
  <si>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</si>
  <si>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</si>
  <si>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</si>
  <si>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</si>
  <si>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</si>
  <si>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</si>
  <si>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</si>
  <si>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</si>
  <si>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</si>
  <si>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</si>
  <si>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</si>
  <si>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</si>
  <si>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</si>
  <si>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</si>
  <si>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</si>
  <si>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</si>
  <si>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</si>
  <si>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</si>
  <si>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</si>
  <si>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</si>
  <si>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</si>
  <si>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</si>
  <si>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</si>
  <si>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</si>
  <si>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</si>
  <si>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</si>
  <si>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</si>
  <si>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</si>
  <si>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</si>
  <si>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</si>
  <si>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</si>
  <si>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</si>
  <si>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</si>
  <si>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</si>
  <si>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</si>
  <si>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</si>
  <si>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</si>
  <si>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</si>
  <si>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</si>
  <si>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</si>
  <si>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</si>
  <si>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</si>
  <si>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</si>
  <si>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</si>
  <si>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</si>
  <si>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</si>
  <si>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</si>
  <si>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</si>
  <si>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</si>
  <si>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</si>
  <si>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</si>
  <si>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</si>
  <si>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</si>
  <si>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</si>
  <si>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</si>
  <si>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</si>
  <si>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</si>
  <si>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</si>
  <si>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</si>
  <si>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</si>
  <si>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</si>
  <si>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</si>
  <si>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</si>
  <si>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</si>
  <si>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</si>
  <si>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</si>
  <si>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</si>
  <si>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</si>
  <si>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</si>
  <si>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</si>
  <si>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</si>
  <si>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</si>
  <si>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</si>
  <si>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</si>
  <si>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</si>
  <si>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</si>
  <si>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</si>
  <si>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</si>
  <si>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</si>
  <si>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</si>
  <si>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</si>
  <si>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</si>
  <si>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</si>
  <si>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</si>
  <si>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</si>
  <si>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</si>
  <si>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</si>
  <si>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</si>
  <si>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</si>
  <si>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</si>
  <si>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</si>
  <si>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</si>
  <si>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</si>
  <si>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</si>
  <si>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</si>
  <si>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</si>
  <si>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</si>
  <si>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</si>
  <si>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</si>
  <si>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</si>
  <si>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</si>
  <si>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</si>
  <si>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</si>
  <si>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</si>
  <si>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</si>
  <si>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</si>
  <si>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</si>
  <si>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</si>
  <si>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</si>
  <si>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</si>
  <si>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</si>
  <si>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</si>
  <si>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</si>
  <si>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</si>
  <si>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</si>
  <si>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</si>
  <si>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</si>
  <si>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</si>
  <si>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</si>
  <si>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</si>
  <si>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</si>
  <si>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</si>
  <si>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</si>
  <si>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</si>
  <si>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</si>
  <si>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</si>
  <si>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</si>
  <si>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</si>
  <si>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</si>
  <si>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</si>
  <si>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</si>
  <si>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</si>
  <si>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</si>
  <si>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</si>
  <si>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</si>
  <si>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</si>
  <si>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</si>
  <si>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</si>
  <si>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</si>
  <si>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</si>
  <si>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</si>
  <si>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</si>
  <si>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</si>
  <si>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</si>
  <si>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</si>
  <si>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</si>
  <si>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</si>
  <si>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</si>
  <si>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</si>
  <si>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</si>
  <si>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</si>
  <si>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</si>
  <si>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</si>
  <si>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</si>
  <si>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</si>
  <si>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</si>
  <si>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</si>
  <si>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</si>
  <si>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</si>
  <si>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</si>
  <si>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</si>
  <si>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</si>
  <si>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</si>
  <si>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</si>
  <si>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</si>
  <si>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</si>
  <si>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</si>
  <si>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</si>
  <si>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</si>
  <si>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</si>
  <si>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</si>
  <si>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</si>
  <si>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</si>
  <si>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</si>
  <si>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</si>
  <si>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</si>
  <si>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</si>
  <si>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</si>
  <si>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</si>
  <si>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</si>
  <si>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</si>
  <si>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</si>
  <si>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</si>
  <si>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</si>
  <si>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</si>
  <si>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</si>
  <si>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</si>
  <si>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</si>
  <si>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</si>
  <si>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</si>
  <si>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</si>
  <si>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</si>
  <si>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</si>
  <si>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</si>
  <si>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</si>
  <si>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</si>
  <si>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</si>
  <si>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</si>
  <si>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</si>
  <si>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</si>
  <si>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</si>
  <si>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</si>
  <si>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</si>
  <si>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</si>
  <si>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</si>
  <si>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</si>
  <si>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</si>
  <si>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</si>
  <si>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</si>
  <si>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</si>
  <si>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</si>
  <si>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</si>
  <si>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</si>
  <si>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</si>
  <si>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</si>
  <si>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</si>
  <si>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</si>
  <si>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</si>
  <si>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</si>
  <si>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</si>
  <si>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</si>
  <si>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</si>
  <si>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</si>
  <si>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</si>
  <si>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</si>
  <si>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</si>
  <si>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</si>
  <si>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</si>
  <si>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</si>
  <si>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</si>
  <si>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</si>
  <si>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</si>
  <si>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</si>
  <si>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</si>
  <si>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</si>
  <si>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</si>
  <si>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</si>
  <si>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</si>
  <si>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</si>
  <si>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</si>
  <si>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</si>
  <si>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</si>
  <si>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</si>
  <si>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</si>
  <si>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</si>
  <si>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</si>
  <si>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</si>
  <si>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</si>
  <si>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</si>
  <si>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</si>
  <si>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</si>
  <si>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</si>
  <si>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</si>
  <si>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</si>
  <si>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</si>
  <si>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</si>
  <si>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</si>
  <si>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</si>
  <si>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</si>
  <si>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</si>
  <si>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</si>
  <si>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</si>
  <si>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</si>
  <si>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</si>
  <si>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</si>
  <si>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</si>
  <si>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</si>
  <si>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</si>
  <si>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</si>
  <si>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</si>
  <si>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</si>
  <si>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</si>
  <si>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</si>
  <si>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</si>
  <si>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</si>
  <si>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</si>
  <si>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</si>
  <si>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</si>
  <si>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</si>
  <si>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</si>
  <si>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</si>
  <si>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</si>
  <si>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</si>
  <si>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</si>
  <si>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</si>
  <si>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</si>
  <si>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</si>
  <si>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</si>
  <si>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</si>
  <si>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</si>
  <si>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</si>
  <si>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</si>
  <si>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</si>
  <si>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</si>
  <si>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</si>
  <si>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</si>
  <si>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</si>
  <si>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</si>
  <si>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</si>
  <si>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</si>
  <si>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</si>
  <si>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</si>
  <si>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</si>
  <si>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</si>
  <si>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</si>
  <si>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</si>
  <si>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</si>
  <si>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</si>
  <si>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</si>
  <si>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</si>
  <si>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</si>
  <si>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</si>
  <si>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</si>
  <si>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</si>
  <si>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</si>
  <si>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</si>
  <si>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</si>
  <si>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</si>
  <si>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</si>
  <si>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</si>
  <si>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</si>
  <si>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</si>
  <si>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</si>
  <si>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</si>
  <si>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</si>
  <si>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</si>
  <si>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</si>
  <si>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</si>
  <si>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</si>
  <si>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</si>
  <si>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</si>
  <si>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</si>
  <si>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</si>
  <si>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</si>
  <si>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</si>
  <si>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</si>
  <si>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</si>
  <si>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</si>
  <si>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</si>
  <si>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</si>
  <si>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</si>
  <si>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</si>
  <si>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</si>
  <si>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</si>
  <si>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</si>
  <si>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</si>
  <si>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</si>
  <si>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</si>
  <si>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</si>
  <si>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</si>
  <si>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</si>
  <si>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</si>
  <si>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</si>
  <si>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</si>
  <si>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</si>
  <si>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</si>
  <si>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</si>
  <si>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</si>
  <si>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</si>
  <si>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</si>
  <si>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</si>
  <si>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</si>
  <si>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</si>
  <si>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</si>
  <si>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</si>
  <si>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</si>
  <si>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</si>
  <si>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</si>
  <si>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</si>
  <si>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</si>
  <si>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</si>
  <si>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</si>
  <si>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</si>
  <si>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</si>
  <si>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</si>
  <si>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</si>
  <si>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</si>
  <si>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</si>
  <si>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</si>
  <si>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</si>
  <si>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</si>
  <si>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</si>
  <si>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</si>
  <si>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</si>
  <si>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</si>
  <si>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</si>
  <si>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</si>
  <si>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</si>
  <si>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</si>
  <si>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</si>
  <si>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</si>
  <si>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</si>
  <si>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</si>
  <si>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</si>
  <si>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</si>
  <si>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</si>
  <si>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</si>
  <si>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</si>
  <si>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</si>
  <si>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</si>
  <si>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</si>
  <si>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</si>
  <si>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</si>
  <si>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</si>
  <si>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</si>
  <si>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</si>
  <si>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</si>
  <si>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</si>
  <si>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</si>
  <si>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</si>
  <si>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</si>
  <si>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</si>
  <si>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</si>
  <si>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</si>
  <si>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</si>
  <si>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</si>
  <si>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</si>
  <si>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</si>
  <si>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</si>
  <si>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</si>
  <si>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</si>
  <si>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</si>
  <si>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</si>
  <si>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</si>
  <si>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</si>
  <si>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</si>
  <si>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</si>
  <si>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</si>
  <si>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</si>
  <si>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</si>
  <si>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</si>
  <si>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</si>
  <si>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</si>
  <si>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</si>
  <si>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</si>
  <si>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</si>
  <si>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</si>
  <si>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</si>
  <si>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</si>
  <si>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</si>
  <si>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</si>
  <si>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</si>
  <si>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</si>
  <si>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</si>
  <si>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</si>
  <si>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</si>
  <si>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</si>
  <si>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</si>
  <si>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</si>
  <si>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</si>
  <si>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</si>
  <si>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</si>
  <si>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</si>
  <si>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</si>
  <si>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</si>
  <si>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</si>
  <si>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</si>
  <si>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</si>
  <si>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</si>
  <si>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</si>
  <si>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</si>
  <si>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</si>
  <si>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</si>
  <si>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</si>
  <si>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</si>
  <si>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</si>
  <si>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</si>
  <si>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</si>
  <si>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</si>
  <si>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</si>
  <si>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</si>
  <si>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</si>
  <si>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</si>
  <si>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</si>
  <si>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</si>
  <si>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</si>
  <si>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</si>
  <si>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</si>
  <si>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</si>
  <si>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</si>
  <si>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</si>
  <si>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</si>
  <si>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</si>
  <si>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</si>
  <si>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</si>
  <si>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</si>
  <si>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</si>
  <si>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</si>
  <si>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</si>
  <si>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</si>
  <si>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</si>
  <si>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</si>
  <si>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</si>
  <si>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</si>
  <si>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</si>
  <si>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</si>
  <si>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</si>
  <si>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</si>
  <si>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</si>
  <si>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</si>
  <si>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</si>
  <si>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</si>
  <si>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</si>
  <si>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</si>
  <si>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</si>
  <si>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</si>
  <si>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</si>
  <si>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</si>
  <si>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</si>
  <si>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</si>
  <si>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</si>
  <si>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</si>
  <si>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</si>
  <si>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</si>
  <si>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</si>
  <si>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</si>
  <si>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</si>
  <si>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</si>
  <si>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</si>
  <si>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</si>
  <si>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</si>
  <si>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</si>
  <si>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</si>
  <si>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</si>
  <si>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</si>
  <si>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</si>
  <si>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</si>
  <si>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</si>
  <si>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</si>
  <si>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</si>
  <si>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</si>
  <si>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</si>
  <si>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</si>
  <si>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</si>
  <si>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</si>
  <si>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</si>
  <si>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</si>
  <si>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</si>
  <si>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</si>
  <si>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</si>
  <si>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</si>
  <si>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</si>
  <si>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</si>
  <si>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</si>
  <si>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</si>
  <si>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</si>
  <si>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</si>
  <si>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</si>
  <si>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</si>
  <si>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</si>
  <si>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</si>
  <si>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</si>
  <si>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</si>
  <si>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</si>
  <si>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</si>
  <si>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</si>
  <si>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</si>
  <si>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</si>
  <si>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</si>
  <si>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</si>
  <si>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</si>
  <si>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</si>
  <si>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</si>
  <si>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</si>
  <si>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</si>
  <si>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</si>
  <si>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</si>
  <si>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</si>
  <si>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</si>
  <si>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</si>
  <si>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</si>
  <si>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</si>
  <si>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</si>
  <si>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</si>
  <si>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</si>
  <si>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</si>
  <si>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</si>
  <si>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</si>
  <si>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</si>
  <si>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</si>
  <si>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</si>
  <si>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</si>
  <si>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</si>
  <si>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</si>
  <si>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</si>
  <si>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</si>
  <si>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</si>
  <si>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</si>
  <si>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</si>
  <si>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</si>
  <si>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</si>
  <si>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</si>
  <si>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</si>
  <si>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</si>
  <si>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</si>
  <si>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</si>
  <si>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</si>
  <si>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</si>
  <si>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</si>
  <si>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</si>
  <si>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</si>
  <si>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</si>
  <si>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</si>
  <si>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</si>
  <si>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</si>
  <si>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</si>
  <si>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</si>
  <si>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</si>
  <si>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</si>
  <si>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</si>
  <si>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</si>
  <si>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</si>
  <si>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</si>
  <si>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</si>
  <si>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</si>
  <si>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</si>
  <si>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</si>
  <si>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</si>
  <si>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</si>
  <si>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</si>
  <si>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</si>
  <si>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</si>
  <si>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</si>
  <si>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</si>
  <si>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</si>
  <si>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</si>
  <si>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</si>
  <si>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</si>
  <si>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</si>
  <si>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</si>
  <si>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</si>
  <si>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</si>
  <si>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</si>
  <si>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</si>
  <si>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</si>
  <si>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</si>
  <si>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</si>
  <si>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</si>
  <si>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</si>
  <si>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</si>
  <si>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</si>
  <si>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</si>
  <si>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</si>
  <si>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</si>
  <si>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</si>
  <si>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</si>
  <si>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</si>
  <si>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</si>
  <si>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</si>
  <si>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</si>
  <si>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</si>
  <si>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</si>
  <si>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</si>
  <si>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</si>
  <si>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</si>
  <si>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</si>
  <si>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</si>
  <si>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</si>
  <si>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</si>
  <si>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</si>
  <si>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</si>
  <si>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</si>
  <si>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</si>
  <si>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</si>
  <si>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</si>
  <si>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</si>
  <si>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</si>
  <si>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</si>
  <si>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</si>
  <si>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</si>
  <si>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</si>
  <si>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</si>
  <si>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</si>
  <si>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</si>
  <si>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</si>
  <si>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</si>
  <si>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</si>
  <si>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</si>
  <si>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</si>
  <si>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</si>
  <si>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</si>
  <si>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</si>
  <si>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</si>
  <si>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</si>
  <si>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</si>
  <si>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</si>
  <si>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</si>
  <si>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</si>
  <si>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</si>
  <si>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</si>
  <si>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</si>
  <si>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</si>
  <si>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</si>
  <si>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</si>
  <si>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</si>
  <si>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</si>
  <si>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</si>
  <si>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</si>
  <si>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</si>
  <si>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</si>
  <si>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</si>
  <si>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</si>
  <si>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</si>
  <si>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</si>
  <si>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</si>
  <si>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</si>
  <si>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</si>
  <si>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</si>
  <si>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</si>
  <si>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</si>
  <si>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</si>
  <si>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</si>
  <si>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</si>
  <si>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</si>
  <si>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</si>
  <si>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</si>
  <si>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</si>
  <si>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</si>
  <si>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</si>
  <si>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</si>
  <si>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</si>
  <si>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</si>
  <si>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</si>
  <si>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</si>
  <si>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</si>
  <si>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</si>
  <si>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</si>
  <si>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</si>
  <si>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</si>
  <si>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</si>
  <si>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</si>
  <si>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</si>
  <si>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</si>
  <si>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</si>
  <si>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</si>
  <si>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</si>
  <si>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</si>
  <si>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</si>
  <si>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</si>
  <si>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</si>
  <si>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</si>
  <si>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</si>
  <si>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</si>
  <si>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</si>
  <si>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</si>
  <si>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</si>
  <si>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</si>
  <si>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</si>
  <si>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</si>
  <si>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</si>
  <si>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</si>
  <si>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</si>
  <si>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</si>
  <si>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</si>
  <si>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</si>
  <si>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</si>
  <si>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</si>
  <si>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</si>
  <si>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</si>
  <si>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</si>
  <si>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</si>
  <si>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</si>
  <si>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</si>
  <si>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</si>
  <si>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</si>
  <si>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</si>
  <si>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</si>
  <si>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</si>
  <si>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</si>
  <si>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</si>
  <si>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</si>
  <si>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</si>
  <si>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</si>
  <si>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</si>
  <si>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</si>
  <si>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</si>
  <si>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</si>
  <si>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</si>
  <si>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</si>
  <si>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</si>
  <si>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</si>
  <si>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</si>
  <si>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</si>
  <si>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</si>
  <si>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</si>
  <si>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</si>
  <si>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</si>
  <si>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</si>
  <si>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</si>
  <si>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</si>
  <si>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</si>
  <si>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</si>
  <si>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</si>
  <si>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</si>
  <si>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</si>
  <si>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</si>
  <si>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</si>
  <si>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</si>
  <si>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</si>
  <si>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</si>
  <si>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</si>
  <si>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</si>
  <si>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</si>
  <si>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</si>
  <si>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</si>
  <si>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</si>
  <si>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</si>
  <si>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</si>
  <si>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</si>
  <si>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</si>
  <si>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</si>
  <si>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</si>
  <si>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</si>
  <si>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</si>
  <si>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</si>
  <si>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</si>
  <si>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</si>
  <si>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</si>
  <si>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</si>
  <si>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</si>
  <si>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</si>
  <si>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</si>
  <si>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</si>
  <si>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</si>
  <si>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</si>
  <si>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</si>
  <si>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</si>
  <si>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</si>
  <si>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</si>
  <si>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</si>
  <si>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</si>
  <si>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</si>
  <si>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</si>
  <si>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</si>
  <si>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</si>
  <si>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</si>
  <si>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</si>
  <si>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</si>
  <si>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</si>
  <si>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</si>
  <si>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</si>
  <si>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</si>
  <si>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</si>
  <si>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</si>
  <si>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</si>
  <si>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</si>
  <si>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</si>
  <si>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</si>
  <si>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</si>
  <si>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</si>
  <si>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</si>
  <si>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</si>
  <si>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</si>
  <si>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</si>
  <si>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</si>
  <si>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</si>
  <si>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</si>
  <si>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</si>
  <si>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</si>
  <si>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</si>
  <si>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</si>
  <si>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</si>
  <si>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</si>
  <si>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</si>
  <si>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</si>
  <si>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</si>
  <si>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</si>
  <si>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</si>
  <si>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</si>
  <si>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</si>
  <si>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</si>
  <si>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</si>
  <si>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</si>
  <si>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</si>
  <si>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</si>
  <si>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</si>
  <si>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</si>
  <si>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</si>
  <si>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</si>
  <si>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</si>
  <si>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</si>
  <si>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</si>
  <si>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</si>
  <si>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</si>
  <si>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</si>
  <si>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</si>
  <si>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</si>
  <si>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</si>
  <si>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</si>
  <si>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</si>
  <si>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</si>
  <si>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</si>
  <si>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</si>
  <si>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</si>
  <si>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</si>
  <si>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</si>
  <si>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</si>
  <si>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</si>
  <si>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</si>
  <si>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</si>
  <si>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</si>
  <si>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</si>
  <si>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</si>
  <si>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</si>
  <si>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</si>
  <si>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</si>
  <si>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</si>
  <si>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</si>
  <si>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</si>
  <si>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</si>
  <si>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</si>
  <si>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</si>
  <si>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</si>
  <si>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</si>
  <si>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</si>
  <si>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</si>
  <si>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</si>
  <si>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</si>
  <si>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</si>
  <si>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</si>
  <si>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</si>
  <si>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</si>
  <si>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</si>
  <si>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</si>
  <si>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</si>
  <si>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</si>
  <si>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</si>
  <si>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</si>
  <si>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</si>
  <si>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</si>
  <si>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</si>
  <si>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</si>
  <si>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</si>
  <si>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</si>
  <si>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</si>
  <si>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</si>
  <si>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</si>
  <si>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</si>
  <si>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</si>
  <si>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</si>
  <si>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</si>
  <si>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</si>
  <si>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</si>
  <si>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</si>
  <si>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</si>
  <si>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</si>
  <si>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</si>
  <si>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</si>
  <si>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</si>
  <si>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</si>
  <si>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</si>
  <si>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</si>
  <si>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</si>
  <si>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</si>
  <si>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</si>
  <si>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</si>
  <si>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</si>
  <si>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</si>
  <si>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</si>
  <si>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</si>
  <si>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</si>
  <si>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</si>
  <si>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</si>
  <si>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</si>
  <si>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</si>
  <si>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</si>
  <si>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</si>
  <si>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</si>
  <si>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</si>
  <si>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</si>
  <si>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</si>
  <si>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</si>
  <si>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</si>
  <si>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</si>
  <si>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</si>
  <si>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</si>
  <si>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</si>
  <si>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</si>
  <si>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</si>
  <si>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</si>
  <si>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</si>
  <si>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</si>
  <si>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</si>
  <si>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</si>
  <si>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</si>
  <si>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</si>
  <si>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</si>
  <si>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</si>
  <si>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</si>
  <si>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</si>
  <si>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</si>
  <si>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</si>
  <si>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</si>
  <si>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</si>
  <si>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</si>
  <si>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</si>
  <si>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</si>
  <si>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</si>
  <si>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</si>
  <si>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</si>
  <si>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</si>
  <si>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</si>
  <si>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</si>
  <si>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</si>
  <si>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</si>
  <si>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</si>
  <si>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</si>
  <si>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</si>
  <si>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</si>
  <si>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</si>
  <si>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</si>
  <si>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</si>
  <si>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</si>
  <si>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</si>
  <si>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</si>
  <si>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</si>
  <si>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</si>
  <si>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</si>
  <si>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</si>
  <si>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</si>
  <si>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</si>
  <si>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</si>
  <si>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</si>
  <si>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</si>
  <si>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</si>
  <si>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</si>
  <si>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</si>
  <si>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</si>
  <si>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</si>
  <si>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</si>
  <si>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</si>
  <si>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</si>
  <si>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</si>
  <si>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</si>
  <si>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</si>
  <si>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</si>
  <si>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</si>
  <si>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</si>
  <si>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</si>
  <si>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</si>
  <si>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</si>
  <si>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</si>
  <si>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</si>
  <si>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</si>
  <si>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</si>
  <si>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CORR. FACILITIES CAPITAL CLOSURE</t>
  </si>
  <si>
    <t>1st Quarter</t>
  </si>
  <si>
    <t>APRIL - JUNE</t>
  </si>
  <si>
    <t xml:space="preserve">agree…state operating is </t>
  </si>
  <si>
    <t>Chemical Dependence Service Fund</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</si>
  <si>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</si>
  <si>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</si>
  <si>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</si>
  <si>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</si>
  <si>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</si>
  <si>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</si>
  <si>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</si>
  <si>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</si>
  <si>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</si>
  <si>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</si>
  <si>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</si>
  <si>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</si>
  <si>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</si>
  <si>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</si>
  <si>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6.</t>
  </si>
  <si>
    <t>activity is now reported in Schedule 4 as part of the MTA State Assistance fund group.</t>
  </si>
  <si>
    <t>Part OOO of Chapter 59 of the Laws of 2019 added to and amended Tax Law Article 31.  Section 1402-b added an</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</si>
  <si>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</si>
  <si>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</si>
  <si>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</si>
  <si>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</si>
  <si>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</si>
  <si>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Housing Debt Service Fund</t>
  </si>
  <si>
    <t>Debt Services Fund ($6.9m), Medicaid Management Information System Escrow Fund ($57.3m), SUNY</t>
  </si>
  <si>
    <t>Unemployment Insurance, Interest &amp; Penalty</t>
  </si>
  <si>
    <t xml:space="preserve">DEDICATED INFRASTRUCTURE INVESTMENT FUND(*)   </t>
  </si>
  <si>
    <t>(*)    Fund created pursuant to Chapter 60, Laws of 2015-16, Part H and SFL § 93-b</t>
  </si>
  <si>
    <t>NY Central Business District Trust</t>
  </si>
  <si>
    <t xml:space="preserve">Section 1421(b) of the tax law was amended directing these taxes be remitted to the MTA pursuant to statute but </t>
  </si>
  <si>
    <t xml:space="preserve">FISCAL YEAR 2019-2020   </t>
  </si>
  <si>
    <t xml:space="preserve">   Debt Service, Including Payments on</t>
  </si>
  <si>
    <t>October 31, 2019</t>
  </si>
  <si>
    <t>2nd Quarter</t>
  </si>
  <si>
    <t>JULY - SEPTEMBER</t>
  </si>
  <si>
    <t>A portion of Personal Income Tax receipts is transferred to the State Special Revenue School Tax Relief (STAR)</t>
  </si>
  <si>
    <t>Fund to be used to reimburse school districts for the STAR property tax exemptions for homeowners and payments</t>
  </si>
  <si>
    <t>7.</t>
  </si>
  <si>
    <t>November 30, 2019</t>
  </si>
  <si>
    <t>DEBT ISSUED (*)</t>
  </si>
  <si>
    <t>(*) Includes the net effect of the October 2019 refunding transaction of $914,300,000, which was used to refund $888,520,000 of previously issued general obligation bonds.</t>
  </si>
  <si>
    <t>Training and Education Program on OSHA</t>
  </si>
  <si>
    <t>Federal Employment &amp; Training Grants</t>
  </si>
  <si>
    <t>Environmental Protection Fund</t>
  </si>
  <si>
    <t xml:space="preserve">      Health Care / Hospital Initiatives (***)</t>
  </si>
  <si>
    <t>December 31, 2019</t>
  </si>
  <si>
    <t>(***)   November and December disbursement amounts include repayment of a loan pursuant to Public Health Law §2815.</t>
  </si>
  <si>
    <t>State Funds. This activity is reported in Schedule 4 as part of the MTA State Assistance fund group.</t>
  </si>
  <si>
    <t xml:space="preserve">without appropriation.  The result is that neither the tax nor the related disbursements to the MTA are recorded in </t>
  </si>
  <si>
    <t>Business &amp; Licensing Services Account</t>
  </si>
  <si>
    <t>HESC Insurance Premium Account</t>
  </si>
  <si>
    <t xml:space="preserve">Workers Comp Account </t>
  </si>
  <si>
    <t>Public Service Account</t>
  </si>
  <si>
    <t>System and Technology Account</t>
  </si>
  <si>
    <t>Patron Services Account</t>
  </si>
  <si>
    <t>State Lottery Fund</t>
  </si>
  <si>
    <t>Encon Special Revenue</t>
  </si>
  <si>
    <t>MTA Operating Assistance</t>
  </si>
  <si>
    <t>Federal Operating Grants Fund</t>
  </si>
  <si>
    <t xml:space="preserve">  50650-50699-Unemployment Insurance</t>
  </si>
  <si>
    <t xml:space="preserve">FISCAL YEAR 2019-2020 </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</si>
  <si>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</si>
  <si>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</si>
  <si>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</si>
  <si>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</si>
  <si>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</si>
  <si>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</si>
  <si>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</si>
  <si>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</si>
  <si>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</si>
  <si>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</si>
  <si>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</si>
  <si>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</si>
  <si>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</si>
  <si>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</si>
  <si>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</si>
  <si>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</si>
  <si>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</si>
  <si>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</si>
  <si>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</si>
  <si>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</si>
  <si>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</si>
  <si>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</si>
  <si>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</si>
  <si>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</si>
  <si>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</si>
  <si>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</si>
  <si>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</si>
  <si>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</si>
  <si>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</si>
  <si>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</si>
  <si>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</si>
  <si>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</si>
  <si>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</si>
  <si>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</si>
  <si>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</si>
  <si>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</si>
  <si>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</si>
  <si>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</si>
  <si>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</si>
  <si>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</si>
  <si>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</si>
  <si>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</si>
  <si>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</si>
  <si>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</si>
  <si>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</si>
  <si>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</si>
  <si>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</si>
  <si>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</si>
  <si>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</si>
  <si>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</si>
  <si>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January 31, 2020</t>
  </si>
  <si>
    <t>JAN. 2020</t>
  </si>
  <si>
    <t>10 MOS. ENDED</t>
  </si>
  <si>
    <t>JAN. 31, 2020</t>
  </si>
  <si>
    <t>JAN. 2019</t>
  </si>
  <si>
    <t>JAN. 31, 2019</t>
  </si>
  <si>
    <t>January 2020</t>
  </si>
  <si>
    <t>FOR TEN MONTHS ENDED JANUARY 31, 2020</t>
  </si>
  <si>
    <t>Fund Balances (Deficits) at January 31, 2020</t>
  </si>
  <si>
    <t>10 Months Ended January 31</t>
  </si>
  <si>
    <t>FOR THE MONTH OF JANUARY 2020</t>
  </si>
  <si>
    <t>JANUARY 1, 2020</t>
  </si>
  <si>
    <t>JANUARY 31, 2020</t>
  </si>
  <si>
    <t>10 MONTHS ENDED</t>
  </si>
  <si>
    <t>10 MONTHS ENDED JANUARY 31</t>
  </si>
  <si>
    <t>JANUARY 2020</t>
  </si>
  <si>
    <t>JANUARY 2019</t>
  </si>
  <si>
    <t>10 Months Ended</t>
  </si>
  <si>
    <t xml:space="preserve">FOR THE TEN MONTHS ENDED JANUARY 31, 2020     </t>
  </si>
  <si>
    <t>Non-Institutional &amp; Other</t>
  </si>
  <si>
    <t xml:space="preserve">Non-Institutional &amp; Other </t>
  </si>
  <si>
    <t>January</t>
  </si>
  <si>
    <t>3rd Quarter</t>
  </si>
  <si>
    <t>OCTOBER - DECEMBER</t>
  </si>
  <si>
    <t xml:space="preserve">As of January 31, 2020, $9,489,624.95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</si>
  <si>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2020-21 Executive Budget dated January 21, 2020.</t>
  </si>
  <si>
    <t>as of January 31, 2020.</t>
  </si>
  <si>
    <t xml:space="preserve">to homeowners for the STAR Property Rebate Program.  School Tax Relief payments were ($2,149.1m) </t>
  </si>
  <si>
    <t xml:space="preserve">the current fiscal quarter.  As of January 31, 2020 - pursuant to a certification of the Budget Director - </t>
  </si>
  <si>
    <t>the reserve amount is ($213.2m), which was funded by a transfer from the General Fund.</t>
  </si>
  <si>
    <t>10 Months Ended January 31, 2020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</si>
  <si>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</si>
  <si>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</si>
  <si>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</si>
  <si>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</si>
  <si>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</si>
  <si>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</si>
  <si>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</si>
  <si>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</si>
  <si>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 xml:space="preserve">the State University Income Fund ($265.8m). </t>
  </si>
  <si>
    <t>Indigent Legal Services</t>
  </si>
  <si>
    <t>Health Insiurnace Revolving Fund</t>
  </si>
  <si>
    <t xml:space="preserve">Fund and Department of Health Income Fund ($1,242.3m) representing the federal share of Medicaid </t>
  </si>
  <si>
    <t>Capital Projects Fund ($68.4m), State Capital Projects Fund ($1.1m) and All Other Capital Projects ($97.4m).</t>
  </si>
  <si>
    <t xml:space="preserve">of Health ($129.6m). </t>
  </si>
  <si>
    <r>
      <t>Capital Projects Funds</t>
    </r>
    <r>
      <rPr>
        <sz val="9"/>
        <rFont val="Arial"/>
        <family val="2"/>
      </rPr>
      <t xml:space="preserve"> “Transfers To Other Funds” includes transfers to the General Fund ($61.1m),</t>
    </r>
  </si>
  <si>
    <t xml:space="preserve"> the General Debt Service Fund - Lease Purchase ($465.8m), and the Revenue Bond Tax Fund ($213.4m).</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</si>
  <si>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</si>
  <si>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</si>
  <si>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</si>
  <si>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</si>
  <si>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</si>
  <si>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</si>
  <si>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</si>
  <si>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</si>
  <si>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</si>
  <si>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</si>
  <si>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</si>
  <si>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Recruitment Incentive Fund</t>
  </si>
  <si>
    <t>Federal USDA/Food and Nutrition Services Fund</t>
  </si>
  <si>
    <t>State Police Motor Vehicle Law Enforcement Fund</t>
  </si>
  <si>
    <t xml:space="preserve">operated health, mental hygiene and State University facilities to Debt Service funds ($7.8m), and  </t>
  </si>
  <si>
    <t xml:space="preserve">    Department of Health regularly reclassifies spending between programs,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</si>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</sst>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0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5" fillId="0" borderId="0"/>
    <xf numFmtId="0" fontId="43" fillId="0" borderId="97" applyNumberFormat="0" applyFont="0" applyBorder="0">
      <alignment horizontal="right"/>
    </xf>
    <xf numFmtId="0" fontId="199" fillId="0" borderId="0" applyFill="0"/>
    <xf numFmtId="0" fontId="42" fillId="0" borderId="0" applyNumberFormat="0" applyFont="0" applyBorder="0" applyAlignment="0"/>
    <xf numFmtId="0" fontId="200" fillId="0" borderId="0" applyFill="0">
      <alignment horizontal="left" indent="1"/>
    </xf>
    <xf numFmtId="44" fontId="195" fillId="0" borderId="0" applyFont="0" applyFill="0" applyBorder="0" applyAlignment="0" applyProtection="0"/>
    <xf numFmtId="43" fontId="195"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46">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164" fontId="110" fillId="0" borderId="0" xfId="0" applyFont="1" applyBorder="1" applyAlignment="1">
      <alignment horizontal="left"/>
    </xf>
    <xf numFmtId="43" fontId="42" fillId="0" borderId="0" xfId="0" applyNumberFormat="1" applyFont="1" applyBorder="1"/>
    <xf numFmtId="43" fontId="110" fillId="0" borderId="0" xfId="0" applyNumberFormat="1" applyFont="1" applyBorder="1"/>
    <xf numFmtId="43" fontId="42" fillId="0" borderId="10" xfId="0" applyNumberFormat="1" applyFont="1" applyBorder="1"/>
    <xf numFmtId="43" fontId="110" fillId="0" borderId="0" xfId="0" applyNumberFormat="1" applyFont="1" applyFill="1" applyBorder="1"/>
    <xf numFmtId="0" fontId="49" fillId="0" borderId="0" xfId="0" applyNumberFormat="1" applyFont="1"/>
    <xf numFmtId="43" fontId="37" fillId="0" borderId="0" xfId="9049" applyFont="1" applyFill="1" applyAlignment="1" applyProtection="1">
      <alignment horizontal="right"/>
    </xf>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110" fillId="0" borderId="0" xfId="0" applyFont="1" applyFill="1" applyBorder="1" applyAlignment="1">
      <alignment horizontal="left"/>
    </xf>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4" fillId="0" borderId="0" xfId="8" applyFont="1" applyAlignment="1">
      <alignment horizontal="left"/>
    </xf>
    <xf numFmtId="191" fontId="194" fillId="0" borderId="0" xfId="8" applyNumberFormat="1" applyFont="1" applyAlignment="1">
      <alignment horizontal="right"/>
    </xf>
    <xf numFmtId="0" fontId="194" fillId="0" borderId="0" xfId="8" applyFont="1"/>
    <xf numFmtId="4" fontId="110" fillId="0" borderId="0" xfId="0" applyNumberFormat="1" applyFont="1" applyFill="1" applyBorder="1"/>
    <xf numFmtId="44" fontId="110" fillId="0" borderId="0" xfId="0" applyNumberFormat="1" applyFont="1" applyBorder="1"/>
    <xf numFmtId="170" fontId="37" fillId="0" borderId="0" xfId="0" applyNumberFormat="1" applyFont="1" applyAlignment="1">
      <alignment horizontal="right"/>
    </xf>
    <xf numFmtId="0" fontId="35" fillId="0" borderId="0" xfId="25863" applyFont="1" applyBorder="1" applyAlignment="1">
      <alignment horizontal="left"/>
    </xf>
    <xf numFmtId="0" fontId="195" fillId="0" borderId="0" xfId="25863"/>
    <xf numFmtId="0" fontId="42" fillId="0" borderId="0" xfId="25863" applyFont="1"/>
    <xf numFmtId="0" fontId="196" fillId="0" borderId="0" xfId="25863" applyFont="1" applyBorder="1" applyAlignment="1">
      <alignment horizontal="left"/>
    </xf>
    <xf numFmtId="0" fontId="195" fillId="0" borderId="0" xfId="25863" applyFill="1"/>
    <xf numFmtId="0" fontId="197" fillId="0" borderId="0" xfId="25863" applyFont="1" applyFill="1" applyAlignment="1">
      <alignment horizontal="left"/>
    </xf>
    <xf numFmtId="0" fontId="197" fillId="0" borderId="0" xfId="25863" applyFont="1" applyFill="1" applyBorder="1" applyAlignment="1">
      <alignment horizontal="left"/>
    </xf>
    <xf numFmtId="7" fontId="195" fillId="0" borderId="0" xfId="25863" applyNumberFormat="1" applyFill="1"/>
    <xf numFmtId="0" fontId="196" fillId="0" borderId="0" xfId="25863" applyFont="1" applyAlignment="1">
      <alignment horizontal="left"/>
    </xf>
    <xf numFmtId="0" fontId="197" fillId="0" borderId="0" xfId="25863" applyFont="1" applyAlignment="1">
      <alignment horizontal="left"/>
    </xf>
    <xf numFmtId="0" fontId="197" fillId="0" borderId="0" xfId="25863" applyFont="1" applyBorder="1" applyAlignment="1">
      <alignment horizontal="left"/>
    </xf>
    <xf numFmtId="7" fontId="195" fillId="0" borderId="0" xfId="25863" applyNumberFormat="1"/>
    <xf numFmtId="0" fontId="198"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0" fontId="42" fillId="0" borderId="0" xfId="25866" applyFont="1"/>
    <xf numFmtId="0" fontId="42" fillId="0" borderId="0" xfId="25866" applyFont="1" applyBorder="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7"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201" fillId="0" borderId="0" xfId="25863" applyFont="1" applyBorder="1" applyAlignment="1">
      <alignment horizontal="center"/>
    </xf>
    <xf numFmtId="0" fontId="201"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43" fontId="44" fillId="0" borderId="0" xfId="25870" applyNumberFormat="1" applyFont="1" applyFill="1" applyBorder="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148" fillId="0" borderId="0" xfId="25863" applyNumberFormat="1" applyFont="1" applyBorder="1" applyAlignment="1">
      <alignment horizontal="left"/>
    </xf>
    <xf numFmtId="44" fontId="37" fillId="0" borderId="0" xfId="25863" applyNumberFormat="1" applyFont="1"/>
    <xf numFmtId="44" fontId="48" fillId="0" borderId="0" xfId="25872" applyNumberFormat="1" applyFont="1" applyBorder="1" applyAlignment="1">
      <alignment horizontal="left"/>
    </xf>
    <xf numFmtId="44" fontId="48" fillId="0" borderId="0" xfId="25873"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3" fillId="0" borderId="0" xfId="25863" applyFont="1" applyBorder="1" applyAlignment="1">
      <alignment horizontal="left"/>
    </xf>
    <xf numFmtId="0" fontId="204" fillId="0" borderId="0" xfId="25863" applyFont="1" applyBorder="1" applyAlignment="1">
      <alignment horizontal="center"/>
    </xf>
    <xf numFmtId="0" fontId="148" fillId="0" borderId="0" xfId="25864" applyFont="1" applyBorder="1">
      <alignment horizontal="right"/>
    </xf>
    <xf numFmtId="7" fontId="37" fillId="0" borderId="0" xfId="25864" applyNumberFormat="1" applyFont="1" applyBorder="1">
      <alignment horizontal="right"/>
    </xf>
    <xf numFmtId="44" fontId="37" fillId="0" borderId="0" xfId="25874" applyNumberFormat="1" applyFont="1" applyBorder="1"/>
    <xf numFmtId="43" fontId="44" fillId="0" borderId="103" xfId="25874" applyNumberFormat="1" applyFont="1" applyBorder="1" applyAlignment="1">
      <alignment horizontal="right"/>
    </xf>
    <xf numFmtId="43" fontId="44" fillId="0" borderId="0" xfId="25874" applyNumberFormat="1" applyFont="1" applyBorder="1" applyAlignment="1">
      <alignment horizontal="right"/>
    </xf>
    <xf numFmtId="0" fontId="203" fillId="0" borderId="0" xfId="25863" applyFont="1" applyBorder="1"/>
    <xf numFmtId="43" fontId="148" fillId="0" borderId="0" xfId="25863" applyNumberFormat="1" applyFont="1" applyBorder="1" applyAlignment="1">
      <alignment horizontal="left"/>
    </xf>
    <xf numFmtId="43" fontId="37" fillId="0" borderId="0" xfId="25863" applyNumberFormat="1" applyFont="1"/>
    <xf numFmtId="43" fontId="48" fillId="0" borderId="0" xfId="25872" applyNumberFormat="1" applyFont="1" applyBorder="1" applyAlignment="1">
      <alignment horizontal="left"/>
    </xf>
    <xf numFmtId="43" fontId="37" fillId="0" borderId="0" xfId="25876" applyNumberFormat="1" applyFont="1" applyFill="1" applyBorder="1" applyAlignment="1"/>
    <xf numFmtId="43" fontId="37" fillId="0" borderId="0" xfId="25872" applyNumberFormat="1" applyFont="1" applyBorder="1"/>
    <xf numFmtId="37" fontId="48" fillId="0" borderId="0" xfId="25872" applyNumberFormat="1" applyFont="1" applyBorder="1" applyAlignment="1">
      <alignment horizontal="left"/>
    </xf>
    <xf numFmtId="37" fontId="37" fillId="0" borderId="0" xfId="25872" applyNumberFormat="1" applyFont="1" applyBorder="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37" fillId="0" borderId="0" xfId="25866" applyFont="1" applyFill="1" applyBorder="1" applyAlignment="1">
      <alignment horizontal="left"/>
    </xf>
    <xf numFmtId="200" fontId="37" fillId="0" borderId="0" xfId="2" applyNumberFormat="1" applyFont="1" applyFill="1" applyAlignment="1" applyProtection="1"/>
    <xf numFmtId="0" fontId="37" fillId="0" borderId="0" xfId="2" applyFont="1" applyFill="1" applyAlignment="1">
      <alignment horizontal="left"/>
    </xf>
    <xf numFmtId="37" fontId="37" fillId="0" borderId="0" xfId="2" applyNumberFormat="1" applyFont="1" applyFill="1" applyAlignment="1">
      <alignment horizontal="center"/>
    </xf>
    <xf numFmtId="44" fontId="110" fillId="0" borderId="87" xfId="25862" applyFont="1" applyBorder="1"/>
    <xf numFmtId="43" fontId="195" fillId="0" borderId="0" xfId="25863" applyNumberFormat="1"/>
    <xf numFmtId="43" fontId="37" fillId="0" borderId="0" xfId="25873" applyNumberFormat="1" applyFont="1" applyFill="1" applyBorder="1"/>
    <xf numFmtId="43" fontId="48" fillId="0" borderId="0" xfId="25873" applyNumberFormat="1" applyFont="1" applyFill="1" applyBorder="1" applyAlignment="1">
      <alignment horizontal="left"/>
    </xf>
    <xf numFmtId="43" fontId="37" fillId="0" borderId="0" xfId="25876" applyNumberFormat="1" applyFont="1" applyFill="1" applyAlignment="1">
      <alignment horizontal="right"/>
    </xf>
    <xf numFmtId="43" fontId="37" fillId="0" borderId="0" xfId="4579" applyNumberFormat="1" applyFont="1" applyFill="1" applyAlignment="1">
      <alignment wrapText="1"/>
    </xf>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4" fillId="0" borderId="0" xfId="8" applyNumberFormat="1" applyFont="1" applyFill="1" applyAlignment="1">
      <alignment horizontal="right" vertical="top"/>
    </xf>
    <xf numFmtId="0" fontId="207"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5"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Normal="100" workbookViewId="0"/>
  </sheetViews>
  <sheetFormatPr defaultColWidth="8.88671875" defaultRowHeight="12.75"/>
  <cols>
    <col min="1" max="1" width="2.109375" style="596" customWidth="1"/>
    <col min="2" max="2" width="22.886718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88671875" style="596" customWidth="1"/>
    <col min="11" max="11" width="28.44140625" style="596" customWidth="1"/>
    <col min="12" max="16384" width="8.886718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940</v>
      </c>
      <c r="B4" s="591"/>
      <c r="C4" s="591"/>
      <c r="D4" s="591"/>
      <c r="E4" s="591"/>
      <c r="F4" s="591"/>
      <c r="G4" s="591"/>
      <c r="H4" s="591"/>
      <c r="I4" s="787" t="s">
        <v>936</v>
      </c>
      <c r="J4" s="592"/>
    </row>
    <row r="5" spans="1:10" ht="18">
      <c r="A5" s="591" t="s">
        <v>938</v>
      </c>
      <c r="B5" s="594"/>
      <c r="C5" s="594"/>
      <c r="D5" s="594"/>
      <c r="E5" s="594"/>
      <c r="F5" s="594"/>
      <c r="G5" s="594"/>
      <c r="H5" s="594"/>
      <c r="I5" s="787" t="s">
        <v>937</v>
      </c>
      <c r="J5" s="595"/>
    </row>
    <row r="6" spans="1:10" ht="18">
      <c r="A6" s="591" t="s">
        <v>812</v>
      </c>
      <c r="B6" s="594"/>
      <c r="C6" s="594"/>
      <c r="D6" s="594"/>
      <c r="E6" s="594"/>
      <c r="F6" s="594"/>
      <c r="G6" s="594"/>
      <c r="H6" s="594"/>
      <c r="I6" s="594"/>
      <c r="J6" s="595"/>
    </row>
    <row r="7" spans="1:10" ht="18">
      <c r="A7" s="591" t="s">
        <v>813</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814</v>
      </c>
      <c r="B9" s="598"/>
      <c r="C9" s="598"/>
      <c r="D9" s="598"/>
      <c r="E9" s="598"/>
      <c r="F9" s="598"/>
      <c r="G9" s="598"/>
      <c r="H9" s="598"/>
      <c r="I9" s="598"/>
      <c r="J9" s="599"/>
    </row>
    <row r="10" spans="1:10" ht="18.75" thickBot="1">
      <c r="A10" s="1582" t="s">
        <v>1557</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815</v>
      </c>
      <c r="B12" s="594"/>
      <c r="C12" s="594"/>
      <c r="D12" s="594"/>
      <c r="E12" s="591"/>
      <c r="F12" s="591"/>
      <c r="G12" s="591"/>
      <c r="H12" s="594"/>
      <c r="I12" s="594"/>
      <c r="J12" s="603"/>
    </row>
    <row r="13" spans="1:10">
      <c r="A13" s="593"/>
      <c r="J13" s="603"/>
    </row>
    <row r="14" spans="1:10">
      <c r="A14" s="593" t="s">
        <v>816</v>
      </c>
      <c r="B14" s="606"/>
      <c r="J14" s="604"/>
    </row>
    <row r="15" spans="1:10">
      <c r="A15" s="593"/>
      <c r="B15" s="665"/>
      <c r="J15" s="604"/>
    </row>
    <row r="16" spans="1:10">
      <c r="A16" s="593"/>
      <c r="B16" s="1411" t="s">
        <v>847</v>
      </c>
      <c r="D16" s="605" t="s">
        <v>817</v>
      </c>
      <c r="F16" s="606"/>
      <c r="J16" s="666">
        <v>2</v>
      </c>
    </row>
    <row r="17" spans="1:255">
      <c r="A17" s="593"/>
      <c r="B17" s="1411" t="s">
        <v>848</v>
      </c>
      <c r="D17" s="596" t="s">
        <v>1171</v>
      </c>
      <c r="E17" s="608"/>
      <c r="F17" s="609"/>
      <c r="G17" s="608"/>
      <c r="H17" s="608"/>
      <c r="I17" s="608"/>
      <c r="J17" s="666">
        <v>3</v>
      </c>
      <c r="M17" s="610"/>
    </row>
    <row r="18" spans="1:255">
      <c r="A18" s="611"/>
      <c r="B18" s="1406" t="s">
        <v>1305</v>
      </c>
      <c r="D18" s="613" t="s">
        <v>977</v>
      </c>
      <c r="E18" s="605"/>
      <c r="F18" s="605"/>
      <c r="G18" s="605"/>
      <c r="H18" s="605"/>
      <c r="I18" s="605"/>
      <c r="J18" s="666">
        <v>4</v>
      </c>
    </row>
    <row r="19" spans="1:255">
      <c r="A19" s="593"/>
      <c r="B19" s="1406" t="s">
        <v>849</v>
      </c>
      <c r="D19" s="612" t="s">
        <v>818</v>
      </c>
      <c r="E19" s="612"/>
      <c r="F19" s="612"/>
      <c r="G19" s="612"/>
      <c r="H19" s="612"/>
      <c r="I19" s="612"/>
      <c r="J19" s="666">
        <v>6</v>
      </c>
      <c r="M19" s="610"/>
    </row>
    <row r="20" spans="1:255">
      <c r="A20" s="593"/>
      <c r="B20" s="1406" t="s">
        <v>850</v>
      </c>
      <c r="D20" s="612" t="s">
        <v>819</v>
      </c>
      <c r="E20" s="612"/>
      <c r="F20" s="612"/>
      <c r="G20" s="612"/>
      <c r="H20" s="612"/>
      <c r="I20" s="612"/>
      <c r="J20" s="666">
        <v>7</v>
      </c>
      <c r="M20" s="610"/>
    </row>
    <row r="21" spans="1:255">
      <c r="A21" s="593"/>
      <c r="B21" s="1406" t="s">
        <v>1135</v>
      </c>
      <c r="D21" s="613" t="s">
        <v>1172</v>
      </c>
      <c r="E21" s="612"/>
      <c r="F21" s="612"/>
      <c r="G21" s="612"/>
      <c r="H21" s="612"/>
      <c r="I21" s="612"/>
      <c r="J21" s="666">
        <v>8</v>
      </c>
      <c r="M21" s="610"/>
    </row>
    <row r="22" spans="1:255">
      <c r="A22" s="593"/>
      <c r="B22" s="1406" t="s">
        <v>1136</v>
      </c>
      <c r="D22" s="613" t="s">
        <v>1173</v>
      </c>
      <c r="E22" s="612"/>
      <c r="F22" s="612"/>
      <c r="G22" s="612"/>
      <c r="H22" s="612"/>
      <c r="I22" s="612"/>
      <c r="J22" s="666">
        <v>9</v>
      </c>
      <c r="M22" s="610"/>
    </row>
    <row r="23" spans="1:255">
      <c r="A23" s="593"/>
      <c r="B23" s="1406" t="s">
        <v>1137</v>
      </c>
      <c r="D23" s="613" t="s">
        <v>1180</v>
      </c>
      <c r="E23" s="612"/>
      <c r="F23" s="612"/>
      <c r="G23" s="612"/>
      <c r="H23" s="612"/>
      <c r="I23" s="612"/>
      <c r="J23" s="666">
        <v>10</v>
      </c>
      <c r="M23" s="610"/>
    </row>
    <row r="24" spans="1:255">
      <c r="A24" s="593"/>
      <c r="B24" s="1406" t="s">
        <v>1138</v>
      </c>
      <c r="D24" s="613" t="s">
        <v>1174</v>
      </c>
      <c r="E24" s="612"/>
      <c r="F24" s="612"/>
      <c r="G24" s="612"/>
      <c r="H24" s="612"/>
      <c r="I24" s="612"/>
      <c r="J24" s="666">
        <v>11</v>
      </c>
      <c r="M24" s="610"/>
    </row>
    <row r="25" spans="1:255">
      <c r="A25" s="593"/>
      <c r="B25" s="1406" t="s">
        <v>1139</v>
      </c>
      <c r="D25" s="613" t="s">
        <v>1175</v>
      </c>
      <c r="E25" s="612"/>
      <c r="F25" s="612"/>
      <c r="G25" s="612"/>
      <c r="H25" s="612"/>
      <c r="I25" s="612"/>
      <c r="J25" s="666">
        <v>12</v>
      </c>
      <c r="M25" s="610"/>
    </row>
    <row r="26" spans="1:255">
      <c r="A26" s="593"/>
      <c r="B26" s="1406" t="s">
        <v>1140</v>
      </c>
      <c r="D26" s="613" t="s">
        <v>1176</v>
      </c>
      <c r="E26" s="612"/>
      <c r="F26" s="612"/>
      <c r="G26" s="612"/>
      <c r="H26" s="612"/>
      <c r="I26" s="612"/>
      <c r="J26" s="666">
        <v>13</v>
      </c>
      <c r="M26" s="610"/>
    </row>
    <row r="27" spans="1:255">
      <c r="A27" s="593"/>
      <c r="B27" s="1406" t="s">
        <v>1141</v>
      </c>
      <c r="D27" s="613" t="s">
        <v>1177</v>
      </c>
      <c r="E27" s="612"/>
      <c r="F27" s="612"/>
      <c r="G27" s="612"/>
      <c r="H27" s="612"/>
      <c r="I27" s="612"/>
      <c r="J27" s="666">
        <v>14</v>
      </c>
      <c r="M27" s="610"/>
    </row>
    <row r="28" spans="1:255">
      <c r="A28" s="593"/>
      <c r="B28" s="1406" t="s">
        <v>1142</v>
      </c>
      <c r="D28" s="613" t="s">
        <v>1178</v>
      </c>
      <c r="E28" s="612"/>
      <c r="F28" s="612"/>
      <c r="G28" s="612"/>
      <c r="H28" s="612"/>
      <c r="I28" s="612"/>
      <c r="J28" s="666">
        <v>15</v>
      </c>
      <c r="M28" s="610"/>
    </row>
    <row r="29" spans="1:255">
      <c r="A29" s="593"/>
      <c r="B29" s="1406" t="s">
        <v>851</v>
      </c>
      <c r="D29" s="614" t="s">
        <v>820</v>
      </c>
      <c r="E29" s="612"/>
      <c r="F29" s="612"/>
      <c r="G29" s="612"/>
      <c r="H29" s="612"/>
      <c r="I29" s="612"/>
      <c r="J29" s="666">
        <v>16</v>
      </c>
      <c r="M29" s="610"/>
    </row>
    <row r="30" spans="1:255">
      <c r="A30" s="593"/>
      <c r="B30" s="1411" t="s">
        <v>869</v>
      </c>
      <c r="D30" s="613" t="s">
        <v>1179</v>
      </c>
      <c r="E30" s="613"/>
      <c r="F30" s="613"/>
      <c r="G30" s="613"/>
      <c r="H30" s="613"/>
      <c r="I30" s="613"/>
      <c r="J30" s="666">
        <v>17</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6" t="s">
        <v>1143</v>
      </c>
      <c r="D31" s="613" t="s">
        <v>1171</v>
      </c>
      <c r="E31" s="608"/>
      <c r="F31" s="608"/>
      <c r="G31" s="608"/>
      <c r="H31" s="608"/>
      <c r="I31" s="608"/>
      <c r="J31" s="666">
        <v>19</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6"/>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07"/>
      <c r="D33" s="615"/>
      <c r="E33" s="615"/>
      <c r="F33" s="615"/>
      <c r="G33" s="615"/>
      <c r="H33" s="615"/>
      <c r="I33" s="615"/>
      <c r="J33" s="666"/>
      <c r="M33" s="610"/>
    </row>
    <row r="34" spans="1:255">
      <c r="A34" s="593" t="s">
        <v>821</v>
      </c>
      <c r="B34" s="1408"/>
      <c r="C34" s="593"/>
      <c r="D34" s="593"/>
      <c r="E34" s="593"/>
      <c r="F34" s="593"/>
      <c r="G34" s="593"/>
      <c r="H34" s="593"/>
      <c r="I34" s="593"/>
      <c r="J34" s="667"/>
      <c r="M34" s="610"/>
    </row>
    <row r="35" spans="1:255">
      <c r="A35" s="593"/>
      <c r="B35" s="1408"/>
      <c r="C35" s="593"/>
      <c r="D35" s="616"/>
      <c r="E35" s="616"/>
      <c r="F35" s="616"/>
      <c r="G35" s="616"/>
      <c r="H35" s="616"/>
      <c r="I35" s="616"/>
      <c r="J35" s="668"/>
      <c r="M35" s="610"/>
    </row>
    <row r="36" spans="1:255">
      <c r="A36" s="593"/>
      <c r="B36" s="1411" t="s">
        <v>852</v>
      </c>
      <c r="D36" s="605" t="s">
        <v>873</v>
      </c>
      <c r="E36" s="605"/>
      <c r="F36" s="605"/>
      <c r="G36" s="605"/>
      <c r="H36" s="605"/>
      <c r="I36" s="605"/>
      <c r="J36" s="666">
        <v>21</v>
      </c>
      <c r="M36" s="610"/>
    </row>
    <row r="37" spans="1:255">
      <c r="A37" s="593"/>
      <c r="B37" s="1411" t="s">
        <v>822</v>
      </c>
      <c r="D37" s="615" t="s">
        <v>868</v>
      </c>
      <c r="E37" s="615"/>
      <c r="F37" s="615"/>
      <c r="G37" s="615"/>
      <c r="H37" s="615"/>
      <c r="I37" s="615"/>
      <c r="J37" s="666">
        <v>23</v>
      </c>
      <c r="M37" s="610"/>
    </row>
    <row r="38" spans="1:255">
      <c r="A38" s="593"/>
      <c r="B38" s="1411" t="s">
        <v>853</v>
      </c>
      <c r="D38" s="612" t="s">
        <v>1306</v>
      </c>
      <c r="E38" s="612"/>
      <c r="F38" s="612"/>
      <c r="G38" s="612"/>
      <c r="H38" s="612"/>
      <c r="I38" s="612"/>
      <c r="J38" s="666">
        <v>25</v>
      </c>
      <c r="M38" s="610"/>
    </row>
    <row r="39" spans="1:255">
      <c r="A39" s="593"/>
      <c r="B39" s="1411" t="s">
        <v>854</v>
      </c>
      <c r="D39" s="612" t="s">
        <v>1307</v>
      </c>
      <c r="E39" s="612"/>
      <c r="F39" s="612"/>
      <c r="G39" s="612"/>
      <c r="H39" s="612"/>
      <c r="I39" s="612"/>
      <c r="J39" s="666">
        <v>27</v>
      </c>
      <c r="M39" s="610"/>
    </row>
    <row r="40" spans="1:255">
      <c r="A40" s="593"/>
      <c r="B40" s="1406" t="s">
        <v>823</v>
      </c>
      <c r="D40" s="612" t="s">
        <v>1028</v>
      </c>
      <c r="E40" s="612"/>
      <c r="F40" s="612"/>
      <c r="G40" s="612"/>
      <c r="H40" s="612"/>
      <c r="I40" s="612"/>
      <c r="J40" s="666">
        <v>29</v>
      </c>
      <c r="M40" s="610"/>
    </row>
    <row r="41" spans="1:255">
      <c r="A41" s="593"/>
      <c r="B41" s="1411" t="s">
        <v>824</v>
      </c>
      <c r="D41" s="612" t="s">
        <v>986</v>
      </c>
      <c r="E41" s="612"/>
      <c r="F41" s="612"/>
      <c r="G41" s="612"/>
      <c r="H41" s="612"/>
      <c r="I41" s="612"/>
      <c r="J41" s="666">
        <v>30</v>
      </c>
      <c r="M41" s="610"/>
    </row>
    <row r="42" spans="1:255">
      <c r="A42" s="593"/>
      <c r="B42" s="1411" t="s">
        <v>855</v>
      </c>
      <c r="D42" s="612" t="s">
        <v>1308</v>
      </c>
      <c r="E42" s="612"/>
      <c r="F42" s="612"/>
      <c r="G42" s="612"/>
      <c r="H42" s="612"/>
      <c r="I42" s="612"/>
      <c r="J42" s="666">
        <v>32</v>
      </c>
      <c r="M42" s="610"/>
    </row>
    <row r="43" spans="1:255">
      <c r="A43" s="593"/>
      <c r="B43" s="1411" t="s">
        <v>856</v>
      </c>
      <c r="D43" s="612" t="s">
        <v>1309</v>
      </c>
      <c r="E43" s="612"/>
      <c r="F43" s="612"/>
      <c r="G43" s="612"/>
      <c r="H43" s="612"/>
      <c r="I43" s="612"/>
      <c r="J43" s="666">
        <v>34</v>
      </c>
      <c r="M43" s="610"/>
    </row>
    <row r="44" spans="1:255">
      <c r="A44" s="593"/>
      <c r="B44" s="1406" t="s">
        <v>825</v>
      </c>
      <c r="D44" s="612" t="s">
        <v>874</v>
      </c>
      <c r="E44" s="612"/>
      <c r="F44" s="612"/>
      <c r="G44" s="612"/>
      <c r="H44" s="612"/>
      <c r="I44" s="612"/>
      <c r="J44" s="666">
        <v>35</v>
      </c>
      <c r="M44" s="610"/>
    </row>
    <row r="45" spans="1:255">
      <c r="A45" s="593"/>
      <c r="B45" s="1411" t="s">
        <v>826</v>
      </c>
      <c r="D45" s="612" t="s">
        <v>870</v>
      </c>
      <c r="E45" s="612"/>
      <c r="F45" s="612"/>
      <c r="G45" s="612"/>
      <c r="H45" s="612"/>
      <c r="I45" s="612"/>
      <c r="J45" s="666">
        <v>36</v>
      </c>
      <c r="M45" s="610"/>
    </row>
    <row r="46" spans="1:255">
      <c r="A46" s="593"/>
      <c r="B46" s="1406" t="s">
        <v>827</v>
      </c>
      <c r="D46" s="612" t="s">
        <v>871</v>
      </c>
      <c r="E46" s="612"/>
      <c r="F46" s="612"/>
      <c r="G46" s="612"/>
      <c r="H46" s="612"/>
      <c r="I46" s="612"/>
      <c r="J46" s="666">
        <v>37</v>
      </c>
      <c r="M46" s="610"/>
    </row>
    <row r="47" spans="1:255">
      <c r="A47" s="593"/>
      <c r="B47" s="1406" t="s">
        <v>828</v>
      </c>
      <c r="D47" s="613" t="s">
        <v>872</v>
      </c>
      <c r="E47" s="613"/>
      <c r="F47" s="613"/>
      <c r="G47" s="613"/>
      <c r="H47" s="613"/>
      <c r="I47" s="613"/>
      <c r="J47" s="666">
        <v>38</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07"/>
      <c r="D48" s="615"/>
      <c r="E48" s="615"/>
      <c r="F48" s="615"/>
      <c r="G48" s="615"/>
      <c r="H48" s="615"/>
      <c r="I48" s="615"/>
      <c r="J48" s="666"/>
      <c r="M48" s="610"/>
    </row>
    <row r="49" spans="1:13">
      <c r="A49" s="593" t="s">
        <v>829</v>
      </c>
      <c r="B49" s="1407"/>
      <c r="D49" s="615"/>
      <c r="E49" s="615"/>
      <c r="F49" s="615"/>
      <c r="G49" s="615"/>
      <c r="H49" s="615"/>
      <c r="I49" s="615"/>
      <c r="J49" s="666"/>
      <c r="M49" s="610"/>
    </row>
    <row r="50" spans="1:13">
      <c r="A50" s="593"/>
      <c r="B50" s="1408"/>
      <c r="C50" s="593"/>
      <c r="D50" s="616"/>
      <c r="E50" s="616"/>
      <c r="F50" s="616"/>
      <c r="G50" s="616"/>
      <c r="H50" s="616"/>
      <c r="I50" s="616"/>
      <c r="J50" s="667"/>
      <c r="M50" s="610"/>
    </row>
    <row r="51" spans="1:13">
      <c r="A51" s="593"/>
      <c r="B51" s="1406" t="s">
        <v>830</v>
      </c>
      <c r="D51" s="615" t="s">
        <v>875</v>
      </c>
      <c r="E51" s="615"/>
      <c r="F51" s="615"/>
      <c r="G51" s="615"/>
      <c r="H51" s="615"/>
      <c r="I51" s="615"/>
      <c r="J51" s="666">
        <v>39</v>
      </c>
      <c r="M51" s="610"/>
    </row>
    <row r="52" spans="1:13">
      <c r="A52" s="593"/>
      <c r="B52" s="1406" t="s">
        <v>831</v>
      </c>
      <c r="D52" s="612" t="s">
        <v>876</v>
      </c>
      <c r="E52" s="612"/>
      <c r="F52" s="612"/>
      <c r="G52" s="612"/>
      <c r="H52" s="612"/>
      <c r="I52" s="612"/>
      <c r="J52" s="666">
        <v>42</v>
      </c>
      <c r="M52" s="610"/>
    </row>
    <row r="53" spans="1:13">
      <c r="A53" s="593"/>
      <c r="B53" s="1406" t="s">
        <v>832</v>
      </c>
      <c r="D53" s="612" t="s">
        <v>877</v>
      </c>
      <c r="E53" s="612"/>
      <c r="F53" s="612"/>
      <c r="G53" s="612"/>
      <c r="H53" s="612"/>
      <c r="I53" s="612"/>
      <c r="J53" s="666">
        <v>43</v>
      </c>
      <c r="M53" s="610"/>
    </row>
    <row r="54" spans="1:13">
      <c r="A54" s="593"/>
      <c r="B54" s="1406" t="s">
        <v>833</v>
      </c>
      <c r="D54" s="612" t="s">
        <v>880</v>
      </c>
      <c r="E54" s="612"/>
      <c r="F54" s="612"/>
      <c r="G54" s="612"/>
      <c r="H54" s="612"/>
      <c r="I54" s="612"/>
      <c r="J54" s="666">
        <v>44</v>
      </c>
      <c r="M54" s="610"/>
    </row>
    <row r="55" spans="1:13">
      <c r="A55" s="593"/>
      <c r="B55" s="1406" t="s">
        <v>834</v>
      </c>
      <c r="D55" s="612" t="s">
        <v>878</v>
      </c>
      <c r="E55" s="612"/>
      <c r="F55" s="612"/>
      <c r="G55" s="612"/>
      <c r="H55" s="612"/>
      <c r="I55" s="612"/>
      <c r="J55" s="666">
        <v>45</v>
      </c>
      <c r="K55" s="617"/>
      <c r="M55" s="610"/>
    </row>
    <row r="56" spans="1:13">
      <c r="A56" s="593"/>
      <c r="B56" s="1411" t="s">
        <v>835</v>
      </c>
      <c r="D56" s="612" t="s">
        <v>879</v>
      </c>
      <c r="E56" s="612"/>
      <c r="F56" s="612"/>
      <c r="G56" s="612"/>
      <c r="H56" s="612"/>
      <c r="I56" s="612"/>
      <c r="J56" s="666">
        <v>46</v>
      </c>
      <c r="K56" s="603"/>
    </row>
    <row r="57" spans="1:13">
      <c r="A57" s="593"/>
      <c r="B57" s="1406" t="s">
        <v>836</v>
      </c>
      <c r="D57" s="613" t="s">
        <v>837</v>
      </c>
      <c r="E57" s="613"/>
      <c r="F57" s="613"/>
      <c r="G57" s="613"/>
      <c r="H57" s="613"/>
      <c r="I57" s="613"/>
      <c r="J57" s="666">
        <v>47</v>
      </c>
      <c r="K57" s="603"/>
    </row>
    <row r="58" spans="1:13">
      <c r="A58" s="593"/>
      <c r="B58" s="1409" t="s">
        <v>857</v>
      </c>
      <c r="D58" s="605" t="s">
        <v>838</v>
      </c>
      <c r="E58" s="605"/>
      <c r="F58" s="605"/>
      <c r="G58" s="605"/>
      <c r="H58" s="605"/>
      <c r="I58" s="605"/>
      <c r="J58" s="666">
        <v>48</v>
      </c>
      <c r="K58" s="603"/>
      <c r="M58" s="610"/>
    </row>
    <row r="59" spans="1:13">
      <c r="A59" s="593"/>
      <c r="B59" s="1410" t="s">
        <v>858</v>
      </c>
      <c r="D59" s="608" t="s">
        <v>839</v>
      </c>
      <c r="E59" s="608"/>
      <c r="F59" s="608"/>
      <c r="G59" s="608"/>
      <c r="H59" s="608"/>
      <c r="I59" s="608"/>
      <c r="J59" s="666">
        <v>49</v>
      </c>
      <c r="K59" s="603"/>
      <c r="M59" s="610"/>
    </row>
    <row r="60" spans="1:13">
      <c r="A60" s="593"/>
      <c r="B60" s="1410" t="s">
        <v>859</v>
      </c>
      <c r="D60" s="618" t="s">
        <v>840</v>
      </c>
      <c r="E60" s="608"/>
      <c r="F60" s="618"/>
      <c r="G60" s="608"/>
      <c r="H60" s="608"/>
      <c r="I60" s="608"/>
      <c r="J60" s="666">
        <v>50</v>
      </c>
      <c r="K60" s="603"/>
      <c r="M60" s="610"/>
    </row>
    <row r="61" spans="1:13">
      <c r="A61" s="593"/>
      <c r="B61" s="1410" t="s">
        <v>860</v>
      </c>
      <c r="D61" s="608" t="s">
        <v>841</v>
      </c>
      <c r="E61" s="608"/>
      <c r="F61" s="608"/>
      <c r="G61" s="608"/>
      <c r="H61" s="608"/>
      <c r="I61" s="608"/>
      <c r="J61" s="666">
        <v>51</v>
      </c>
      <c r="K61" s="615"/>
      <c r="M61" s="610"/>
    </row>
    <row r="62" spans="1:13">
      <c r="A62" s="593"/>
      <c r="B62" s="1681" t="s">
        <v>861</v>
      </c>
      <c r="D62" s="608" t="s">
        <v>1310</v>
      </c>
      <c r="E62" s="608"/>
      <c r="F62" s="608"/>
      <c r="G62" s="608"/>
      <c r="H62" s="609"/>
      <c r="I62" s="608"/>
      <c r="J62" s="666">
        <v>52</v>
      </c>
      <c r="K62" s="615"/>
      <c r="M62" s="610"/>
    </row>
    <row r="63" spans="1:13">
      <c r="A63" s="593"/>
      <c r="B63" s="1681" t="s">
        <v>862</v>
      </c>
      <c r="D63" s="608" t="s">
        <v>842</v>
      </c>
      <c r="E63" s="608"/>
      <c r="F63" s="608"/>
      <c r="G63" s="608"/>
      <c r="H63" s="609"/>
      <c r="I63" s="608"/>
      <c r="J63" s="666">
        <v>53</v>
      </c>
      <c r="K63" s="615"/>
      <c r="M63" s="610"/>
    </row>
    <row r="64" spans="1:13">
      <c r="A64" s="593"/>
      <c r="B64" s="1411" t="s">
        <v>863</v>
      </c>
      <c r="D64" s="608" t="s">
        <v>1248</v>
      </c>
      <c r="E64" s="608"/>
      <c r="F64" s="608"/>
      <c r="G64" s="608"/>
      <c r="H64" s="609"/>
      <c r="I64" s="608"/>
      <c r="J64" s="666">
        <v>57</v>
      </c>
      <c r="K64" s="615"/>
      <c r="M64" s="610"/>
    </row>
    <row r="65" spans="1:13" ht="13.35" customHeight="1">
      <c r="A65" s="593"/>
      <c r="B65" s="1411" t="s">
        <v>1546</v>
      </c>
      <c r="D65" s="608" t="s">
        <v>1613</v>
      </c>
      <c r="E65" s="608"/>
      <c r="F65" s="608"/>
      <c r="G65" s="608"/>
      <c r="H65" s="609"/>
      <c r="I65" s="608"/>
      <c r="J65" s="666">
        <v>58</v>
      </c>
      <c r="K65" s="615"/>
      <c r="M65" s="610"/>
    </row>
    <row r="66" spans="1:13" ht="13.35" customHeight="1">
      <c r="A66" s="593"/>
      <c r="B66" s="1411" t="s">
        <v>1547</v>
      </c>
      <c r="D66" s="608" t="s">
        <v>1614</v>
      </c>
      <c r="E66" s="608"/>
      <c r="F66" s="608"/>
      <c r="G66" s="608"/>
      <c r="H66" s="609"/>
      <c r="I66" s="608"/>
      <c r="J66" s="666">
        <v>59</v>
      </c>
      <c r="K66" s="615"/>
      <c r="M66" s="610"/>
    </row>
    <row r="67" spans="1:13" ht="13.35" customHeight="1">
      <c r="A67" s="593"/>
      <c r="B67" s="619"/>
      <c r="D67" s="620"/>
      <c r="E67" s="620"/>
      <c r="F67" s="620"/>
      <c r="G67" s="620"/>
      <c r="H67" s="620"/>
      <c r="I67" s="620"/>
      <c r="J67" s="607"/>
      <c r="K67" s="615"/>
      <c r="M67" s="610"/>
    </row>
    <row r="68" spans="1:13" ht="13.35" customHeight="1">
      <c r="A68" s="593"/>
      <c r="B68" s="619"/>
      <c r="D68" s="620"/>
      <c r="E68" s="620"/>
      <c r="F68" s="620"/>
      <c r="G68" s="620"/>
      <c r="H68" s="620"/>
      <c r="I68" s="620"/>
      <c r="J68" s="607"/>
      <c r="K68" s="615"/>
      <c r="M68" s="610"/>
    </row>
    <row r="69" spans="1:13" ht="13.35" customHeight="1">
      <c r="A69" s="593"/>
      <c r="B69" s="619"/>
      <c r="D69" s="620"/>
      <c r="E69" s="620"/>
      <c r="F69" s="620"/>
      <c r="G69" s="620"/>
      <c r="H69" s="620"/>
      <c r="I69" s="620"/>
      <c r="J69" s="607"/>
      <c r="K69" s="615"/>
      <c r="M69" s="610"/>
    </row>
    <row r="70" spans="1:13" ht="13.35" customHeight="1">
      <c r="A70" s="593"/>
      <c r="B70" s="619"/>
      <c r="D70" s="620"/>
      <c r="E70" s="620"/>
      <c r="F70" s="620"/>
      <c r="G70" s="620"/>
      <c r="H70" s="620"/>
      <c r="I70" s="620"/>
      <c r="J70" s="607"/>
      <c r="K70" s="615"/>
      <c r="M70" s="610"/>
    </row>
    <row r="71" spans="1:13" ht="13.35" customHeight="1">
      <c r="A71" s="593"/>
      <c r="B71" s="619"/>
      <c r="D71" s="620"/>
      <c r="E71" s="620"/>
      <c r="F71" s="620"/>
      <c r="G71" s="620"/>
      <c r="H71" s="620"/>
      <c r="I71" s="620"/>
      <c r="J71" s="607"/>
      <c r="K71" s="615"/>
      <c r="M71" s="610"/>
    </row>
    <row r="72" spans="1:13" ht="13.35" customHeight="1">
      <c r="A72" s="593"/>
      <c r="B72" s="619"/>
      <c r="D72" s="620"/>
      <c r="E72" s="620"/>
      <c r="F72" s="620"/>
      <c r="G72" s="620"/>
      <c r="H72" s="620"/>
      <c r="I72" s="620"/>
      <c r="J72" s="607"/>
      <c r="K72" s="615"/>
      <c r="M72" s="610"/>
    </row>
    <row r="73" spans="1:13" ht="13.35" customHeight="1">
      <c r="A73" s="593"/>
      <c r="B73" s="619"/>
      <c r="D73" s="620"/>
      <c r="E73" s="620"/>
      <c r="F73" s="620"/>
      <c r="G73" s="620"/>
      <c r="H73" s="620"/>
      <c r="I73" s="620"/>
      <c r="J73" s="607"/>
      <c r="K73" s="615"/>
      <c r="M73" s="610"/>
    </row>
    <row r="74" spans="1:13" ht="13.35" customHeight="1">
      <c r="A74" s="593"/>
      <c r="B74" s="619"/>
      <c r="D74" s="620"/>
      <c r="E74" s="620"/>
      <c r="F74" s="620"/>
      <c r="G74" s="620"/>
      <c r="H74" s="620"/>
      <c r="I74" s="620"/>
      <c r="J74" s="607"/>
      <c r="K74" s="615"/>
      <c r="M74" s="610"/>
    </row>
    <row r="75" spans="1:13" ht="13.35" customHeight="1">
      <c r="A75" s="593"/>
      <c r="B75" s="619"/>
      <c r="D75" s="620"/>
      <c r="E75" s="620"/>
      <c r="F75" s="620"/>
      <c r="G75" s="620"/>
      <c r="H75" s="620"/>
      <c r="I75" s="620"/>
      <c r="J75" s="607"/>
      <c r="K75" s="615"/>
      <c r="M75" s="610"/>
    </row>
    <row r="76" spans="1:13" ht="13.35" customHeight="1">
      <c r="A76" s="593"/>
      <c r="B76" s="619"/>
      <c r="D76" s="620"/>
      <c r="E76" s="620"/>
      <c r="F76" s="620"/>
      <c r="G76" s="620"/>
      <c r="H76" s="620"/>
      <c r="I76" s="620"/>
      <c r="J76" s="607"/>
      <c r="K76" s="615"/>
      <c r="M76" s="610"/>
    </row>
    <row r="77" spans="1:13" ht="13.35" customHeight="1">
      <c r="A77" s="593"/>
      <c r="B77" s="619"/>
      <c r="D77" s="620"/>
      <c r="E77" s="620"/>
      <c r="F77" s="620"/>
      <c r="G77" s="620"/>
      <c r="H77" s="620"/>
      <c r="I77" s="620"/>
      <c r="J77" s="607"/>
      <c r="K77" s="615"/>
      <c r="M77" s="610"/>
    </row>
    <row r="78" spans="1:13" ht="13.35" customHeight="1">
      <c r="A78" s="593"/>
      <c r="B78" s="619"/>
      <c r="D78" s="620"/>
      <c r="E78" s="620"/>
      <c r="F78" s="620"/>
      <c r="G78" s="620"/>
      <c r="H78" s="620"/>
      <c r="I78" s="620"/>
      <c r="J78" s="607"/>
      <c r="K78" s="615"/>
      <c r="M78" s="610"/>
    </row>
    <row r="79" spans="1:13" ht="13.35" customHeight="1">
      <c r="A79" s="593"/>
      <c r="B79" s="619"/>
      <c r="D79" s="620"/>
      <c r="E79" s="620"/>
      <c r="F79" s="620"/>
      <c r="G79" s="620"/>
      <c r="H79" s="620"/>
      <c r="I79" s="620"/>
      <c r="J79" s="607"/>
      <c r="K79" s="615"/>
      <c r="M79" s="610"/>
    </row>
    <row r="80" spans="1:13" ht="13.35" customHeight="1">
      <c r="A80" s="593"/>
      <c r="B80" s="619"/>
      <c r="D80" s="620"/>
      <c r="E80" s="620"/>
      <c r="F80" s="620"/>
      <c r="G80" s="620"/>
      <c r="H80" s="620"/>
      <c r="I80" s="620"/>
      <c r="J80" s="607"/>
      <c r="K80" s="615"/>
      <c r="M80" s="610"/>
    </row>
    <row r="81" spans="1:13" ht="13.35" customHeight="1">
      <c r="A81" s="593"/>
      <c r="B81" s="619"/>
      <c r="D81" s="620"/>
      <c r="E81" s="620"/>
      <c r="F81" s="620"/>
      <c r="G81" s="620"/>
      <c r="H81" s="620"/>
      <c r="I81" s="620"/>
      <c r="J81" s="607"/>
      <c r="K81" s="615"/>
      <c r="M81" s="610"/>
    </row>
    <row r="82" spans="1:13" ht="13.35" customHeight="1">
      <c r="A82" s="593"/>
      <c r="B82" s="619"/>
      <c r="D82" s="620"/>
      <c r="E82" s="620"/>
      <c r="F82" s="620"/>
      <c r="G82" s="620"/>
      <c r="H82" s="620"/>
      <c r="I82" s="620"/>
      <c r="J82" s="607"/>
      <c r="K82" s="615"/>
      <c r="M82" s="610"/>
    </row>
    <row r="83" spans="1:13" ht="13.35" customHeight="1">
      <c r="A83" s="593"/>
      <c r="B83" s="619"/>
      <c r="D83" s="620"/>
      <c r="E83" s="620"/>
      <c r="F83" s="620"/>
      <c r="G83" s="620"/>
      <c r="H83" s="620"/>
      <c r="I83" s="620"/>
      <c r="J83" s="607"/>
      <c r="K83" s="615"/>
      <c r="M83" s="610"/>
    </row>
    <row r="84" spans="1:13" ht="13.35" customHeight="1">
      <c r="A84" s="593"/>
      <c r="B84" s="619"/>
      <c r="D84" s="620"/>
      <c r="E84" s="620"/>
      <c r="F84" s="620"/>
      <c r="G84" s="620"/>
      <c r="H84" s="620"/>
      <c r="I84" s="620"/>
      <c r="J84" s="607"/>
      <c r="K84" s="615"/>
      <c r="M84" s="610"/>
    </row>
    <row r="85" spans="1:13" ht="13.35" customHeight="1">
      <c r="A85" s="593"/>
      <c r="B85" s="619"/>
      <c r="D85" s="620"/>
      <c r="E85" s="620"/>
      <c r="F85" s="620"/>
      <c r="G85" s="620"/>
      <c r="H85" s="620"/>
      <c r="I85" s="620"/>
      <c r="J85" s="607"/>
      <c r="K85" s="615"/>
      <c r="M85" s="610"/>
    </row>
    <row r="86" spans="1:13" ht="13.35" customHeight="1">
      <c r="A86" s="593"/>
      <c r="B86" s="619"/>
      <c r="D86" s="620"/>
      <c r="E86" s="620"/>
      <c r="F86" s="620"/>
      <c r="G86" s="620"/>
      <c r="H86" s="620"/>
      <c r="I86" s="620"/>
      <c r="J86" s="607"/>
      <c r="K86" s="615"/>
      <c r="M86" s="610"/>
    </row>
    <row r="87" spans="1:13" ht="13.35" customHeight="1">
      <c r="A87" s="593"/>
      <c r="B87" s="619"/>
      <c r="D87" s="620"/>
      <c r="E87" s="620"/>
      <c r="F87" s="620"/>
      <c r="G87" s="620"/>
      <c r="H87" s="620"/>
      <c r="I87" s="620"/>
      <c r="J87" s="607"/>
      <c r="K87" s="615"/>
      <c r="M87" s="610"/>
    </row>
    <row r="88" spans="1:13" ht="13.35" customHeight="1">
      <c r="A88" s="593"/>
      <c r="B88" s="619"/>
      <c r="D88" s="620"/>
      <c r="E88" s="620"/>
      <c r="F88" s="620"/>
      <c r="G88" s="620"/>
      <c r="H88" s="620"/>
      <c r="I88" s="620"/>
      <c r="J88" s="607"/>
      <c r="K88" s="615"/>
      <c r="M88" s="610"/>
    </row>
    <row r="89" spans="1:13" ht="13.35" customHeight="1">
      <c r="A89" s="593"/>
      <c r="B89" s="619"/>
      <c r="D89" s="620"/>
      <c r="E89" s="620"/>
      <c r="F89" s="620"/>
      <c r="G89" s="620"/>
      <c r="H89" s="620"/>
      <c r="I89" s="620"/>
      <c r="J89" s="607"/>
      <c r="K89" s="615"/>
      <c r="M89" s="610"/>
    </row>
    <row r="90" spans="1:13" ht="13.35" customHeight="1">
      <c r="A90" s="593"/>
      <c r="B90" s="619"/>
      <c r="D90" s="620"/>
      <c r="E90" s="620"/>
      <c r="F90" s="620"/>
      <c r="G90" s="620"/>
      <c r="H90" s="620"/>
      <c r="I90" s="620"/>
      <c r="J90" s="607"/>
      <c r="K90" s="615"/>
      <c r="M90" s="610"/>
    </row>
    <row r="91" spans="1:13" ht="13.35" customHeight="1">
      <c r="A91" s="593"/>
      <c r="B91" s="619"/>
      <c r="D91" s="620"/>
      <c r="E91" s="620"/>
      <c r="F91" s="620"/>
      <c r="G91" s="620"/>
      <c r="H91" s="620"/>
      <c r="I91" s="620"/>
      <c r="J91" s="607"/>
      <c r="K91" s="615"/>
      <c r="M91" s="610"/>
    </row>
    <row r="92" spans="1:13" ht="13.35" customHeight="1">
      <c r="A92" s="593"/>
      <c r="B92" s="619"/>
      <c r="D92" s="620"/>
      <c r="E92" s="620"/>
      <c r="F92" s="620"/>
      <c r="G92" s="620"/>
      <c r="H92" s="620"/>
      <c r="I92" s="620"/>
      <c r="J92" s="607"/>
      <c r="M92" s="610"/>
    </row>
    <row r="93" spans="1:13" ht="13.35" customHeight="1">
      <c r="A93" s="593"/>
      <c r="B93" s="619"/>
      <c r="D93" s="620"/>
      <c r="E93" s="620"/>
      <c r="F93" s="620"/>
      <c r="G93" s="620"/>
      <c r="H93" s="620"/>
      <c r="I93" s="620"/>
      <c r="J93" s="607"/>
      <c r="M93" s="610"/>
    </row>
    <row r="94" spans="1:13" ht="13.35" customHeight="1">
      <c r="A94" s="593"/>
      <c r="B94" s="619"/>
      <c r="D94" s="620"/>
      <c r="E94" s="620"/>
      <c r="F94" s="620"/>
      <c r="G94" s="620"/>
      <c r="H94" s="620"/>
      <c r="I94" s="620"/>
      <c r="J94" s="607"/>
      <c r="M94" s="610"/>
    </row>
    <row r="95" spans="1:13" ht="13.35" customHeight="1">
      <c r="A95" s="593"/>
      <c r="B95" s="619"/>
      <c r="D95" s="620"/>
      <c r="E95" s="620"/>
      <c r="F95" s="620"/>
      <c r="G95" s="620"/>
      <c r="H95" s="620"/>
      <c r="I95" s="620"/>
      <c r="J95" s="607"/>
      <c r="M95" s="610"/>
    </row>
    <row r="96" spans="1:13" ht="13.35" customHeight="1">
      <c r="A96" s="593"/>
      <c r="B96" s="619"/>
      <c r="D96" s="620"/>
      <c r="E96" s="620"/>
      <c r="F96" s="620"/>
      <c r="G96" s="620"/>
      <c r="H96" s="620"/>
      <c r="I96" s="620"/>
      <c r="J96" s="607"/>
      <c r="M96" s="610"/>
    </row>
    <row r="97" spans="1:13" ht="13.35" customHeight="1">
      <c r="A97" s="593"/>
      <c r="B97" s="619"/>
      <c r="D97" s="620"/>
      <c r="E97" s="620"/>
      <c r="F97" s="620"/>
      <c r="G97" s="620"/>
      <c r="H97" s="620"/>
      <c r="I97" s="620"/>
      <c r="J97" s="607"/>
      <c r="M97" s="610"/>
    </row>
    <row r="98" spans="1:13" ht="13.35" customHeight="1">
      <c r="A98" s="593"/>
      <c r="B98" s="619"/>
      <c r="D98" s="620"/>
      <c r="E98" s="620"/>
      <c r="F98" s="620"/>
      <c r="G98" s="620"/>
      <c r="H98" s="620"/>
      <c r="I98" s="620"/>
      <c r="J98" s="607"/>
      <c r="M98" s="610"/>
    </row>
    <row r="99" spans="1:13" ht="13.35" customHeight="1">
      <c r="A99" s="593"/>
      <c r="B99" s="619"/>
      <c r="D99" s="620"/>
      <c r="E99" s="620"/>
      <c r="F99" s="620"/>
      <c r="G99" s="620"/>
      <c r="H99" s="620"/>
      <c r="I99" s="620"/>
      <c r="J99" s="607"/>
      <c r="M99" s="610"/>
    </row>
    <row r="100" spans="1:13" ht="13.3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8671875" defaultRowHeight="11.25"/>
  <cols>
    <col min="1" max="1" width="35.109375" style="2295" customWidth="1"/>
    <col min="2" max="2" width="9.109375" style="2295" customWidth="1"/>
    <col min="3" max="3" width="5.5546875" style="2295" customWidth="1"/>
    <col min="4" max="4" width="12.88671875" style="2296" bestFit="1" customWidth="1"/>
    <col min="5" max="5" width="1.88671875" style="2295" customWidth="1"/>
    <col min="6" max="6" width="13.44140625" style="2295" customWidth="1"/>
    <col min="7" max="7" width="2.109375" style="2295" customWidth="1"/>
    <col min="8" max="8" width="12.88671875" style="2296" bestFit="1" customWidth="1"/>
    <col min="9" max="9" width="1.88671875" style="2295" customWidth="1"/>
    <col min="10" max="10" width="13.88671875" style="2295" customWidth="1"/>
    <col min="11" max="11" width="1.88671875" style="2295" customWidth="1"/>
    <col min="12" max="12" width="11.88671875" style="2296" customWidth="1"/>
    <col min="13" max="13" width="2" style="2295" customWidth="1"/>
    <col min="14" max="14" width="13.88671875" style="2295" customWidth="1"/>
    <col min="15" max="15" width="1.88671875" style="2295" customWidth="1"/>
    <col min="16" max="16" width="13" style="2295" customWidth="1"/>
    <col min="17" max="17" width="1.88671875" style="2295" customWidth="1"/>
    <col min="18" max="18" width="13.109375" style="2295" customWidth="1"/>
    <col min="19" max="21" width="1.109375" style="2295" customWidth="1"/>
    <col min="22" max="22" width="12.88671875" style="2296" bestFit="1" customWidth="1"/>
    <col min="23" max="23" width="1.88671875" style="2295" customWidth="1"/>
    <col min="24" max="24" width="13.88671875" style="2295" customWidth="1"/>
    <col min="25" max="27" width="1.109375" style="2295" customWidth="1"/>
    <col min="28" max="28" width="12.109375" style="3587" customWidth="1"/>
    <col min="29" max="29" width="1.88671875" style="2297" customWidth="1"/>
    <col min="30" max="30" width="13.88671875" style="2297" customWidth="1"/>
    <col min="31" max="31" width="1" style="2297" customWidth="1"/>
    <col min="32" max="32" width="1" style="2295" customWidth="1"/>
    <col min="33" max="33" width="13.109375" style="2295" bestFit="1" customWidth="1"/>
    <col min="34" max="34" width="1.88671875" style="2295" customWidth="1"/>
    <col min="35" max="35" width="12.88671875" style="2298" customWidth="1"/>
    <col min="36" max="36" width="19.109375" style="2295" customWidth="1"/>
    <col min="37" max="16384" width="8.88671875" style="2295"/>
  </cols>
  <sheetData>
    <row r="1" spans="1:38" ht="15">
      <c r="A1" s="2294" t="s">
        <v>979</v>
      </c>
    </row>
    <row r="2" spans="1:38" ht="15">
      <c r="A2" s="2294"/>
    </row>
    <row r="3" spans="1:38" ht="20.25">
      <c r="A3" s="2299" t="s">
        <v>0</v>
      </c>
      <c r="B3" s="2300"/>
      <c r="C3" s="2300"/>
      <c r="D3" s="2300"/>
      <c r="E3" s="2300"/>
      <c r="F3" s="2300"/>
      <c r="G3" s="2300"/>
      <c r="H3" s="2300"/>
      <c r="I3" s="2300"/>
      <c r="J3" s="2300"/>
      <c r="K3" s="2300"/>
      <c r="L3" s="2300"/>
      <c r="M3" s="2300"/>
      <c r="N3" s="2300"/>
      <c r="O3" s="2300"/>
      <c r="P3" s="2300"/>
      <c r="Q3" s="2300"/>
      <c r="R3" s="2300"/>
      <c r="S3" s="2300"/>
      <c r="T3" s="2300"/>
      <c r="U3" s="2300"/>
      <c r="V3" s="2300"/>
      <c r="W3" s="2300"/>
      <c r="X3" s="2300"/>
      <c r="Y3" s="2300"/>
      <c r="Z3" s="2300"/>
      <c r="AA3" s="2300"/>
      <c r="AB3" s="3544"/>
      <c r="AC3" s="3544"/>
      <c r="AD3" s="3544"/>
      <c r="AE3" s="2300"/>
      <c r="AF3" s="2300"/>
      <c r="AG3" s="2300"/>
      <c r="AH3" s="2300"/>
      <c r="AI3" s="2301" t="s">
        <v>2</v>
      </c>
      <c r="AJ3" s="2302"/>
    </row>
    <row r="4" spans="1:38" ht="20.25" customHeight="1">
      <c r="A4" s="3884" t="s">
        <v>1</v>
      </c>
      <c r="B4" s="3885"/>
      <c r="C4" s="3885"/>
      <c r="D4" s="3885"/>
      <c r="E4" s="3885"/>
      <c r="F4" s="3885"/>
      <c r="G4" s="3885"/>
      <c r="H4" s="3885"/>
      <c r="I4" s="3885"/>
      <c r="J4" s="3885"/>
      <c r="K4" s="3885"/>
      <c r="L4" s="3885"/>
      <c r="M4" s="3885"/>
      <c r="N4" s="3885"/>
      <c r="O4" s="3885"/>
      <c r="P4" s="3885"/>
      <c r="Q4" s="3885"/>
      <c r="R4" s="3885"/>
      <c r="S4" s="3885"/>
      <c r="T4" s="3885"/>
      <c r="U4" s="3885"/>
      <c r="V4" s="3885"/>
      <c r="W4" s="3885"/>
      <c r="X4" s="3885"/>
      <c r="Y4" s="3885"/>
      <c r="Z4" s="3885"/>
      <c r="AA4" s="3885"/>
      <c r="AB4" s="3885"/>
      <c r="AC4" s="3885"/>
      <c r="AD4" s="3885"/>
      <c r="AE4" s="3885"/>
      <c r="AF4" s="3885"/>
      <c r="AG4" s="3885"/>
      <c r="AH4" s="3885"/>
      <c r="AI4" s="3885"/>
      <c r="AJ4" s="2302"/>
    </row>
    <row r="5" spans="1:38" ht="20.25">
      <c r="A5" s="3884" t="s">
        <v>884</v>
      </c>
      <c r="B5" s="3886"/>
      <c r="C5" s="3886"/>
      <c r="D5" s="3886"/>
      <c r="E5" s="3886"/>
      <c r="F5" s="3886"/>
      <c r="G5" s="3886"/>
      <c r="H5" s="3886"/>
      <c r="I5" s="3886"/>
      <c r="J5" s="3886"/>
      <c r="K5" s="3886"/>
      <c r="L5" s="3886"/>
      <c r="M5" s="3886"/>
      <c r="N5" s="3886"/>
      <c r="O5" s="3886"/>
      <c r="P5" s="3886"/>
      <c r="Q5" s="3886"/>
      <c r="R5" s="3886"/>
      <c r="S5" s="3886"/>
      <c r="T5" s="3886"/>
      <c r="U5" s="3886"/>
      <c r="V5" s="3886"/>
      <c r="W5" s="3886"/>
      <c r="X5" s="3886"/>
      <c r="Y5" s="3886"/>
      <c r="Z5" s="3886"/>
      <c r="AA5" s="3886"/>
      <c r="AB5" s="3886"/>
      <c r="AC5" s="3886"/>
      <c r="AD5" s="3886"/>
      <c r="AE5" s="3885"/>
      <c r="AF5" s="3885"/>
      <c r="AG5" s="3885"/>
      <c r="AH5" s="3885"/>
      <c r="AI5" s="3885"/>
      <c r="AJ5" s="2302"/>
    </row>
    <row r="6" spans="1:38" ht="21" customHeight="1">
      <c r="A6" s="3884" t="s">
        <v>1416</v>
      </c>
      <c r="B6" s="3885"/>
      <c r="C6" s="3885"/>
      <c r="D6" s="3885"/>
      <c r="E6" s="3885"/>
      <c r="F6" s="3885"/>
      <c r="G6" s="3885"/>
      <c r="H6" s="3885"/>
      <c r="I6" s="3885"/>
      <c r="J6" s="3885"/>
      <c r="K6" s="3885"/>
      <c r="L6" s="3885"/>
      <c r="M6" s="3885"/>
      <c r="N6" s="3885"/>
      <c r="O6" s="3885"/>
      <c r="P6" s="3885"/>
      <c r="Q6" s="3885"/>
      <c r="R6" s="3885"/>
      <c r="S6" s="3885"/>
      <c r="T6" s="3885"/>
      <c r="U6" s="3885"/>
      <c r="V6" s="3885"/>
      <c r="W6" s="3885"/>
      <c r="X6" s="3885"/>
      <c r="Y6" s="3885"/>
      <c r="Z6" s="3885"/>
      <c r="AA6" s="3885"/>
      <c r="AB6" s="3885"/>
      <c r="AC6" s="3885"/>
      <c r="AD6" s="3885"/>
      <c r="AE6" s="3885"/>
      <c r="AF6" s="3885"/>
      <c r="AG6" s="3885"/>
      <c r="AH6" s="3885"/>
      <c r="AI6" s="3885"/>
      <c r="AJ6" s="2302"/>
    </row>
    <row r="7" spans="1:38" ht="15.75">
      <c r="A7" s="1"/>
      <c r="B7" s="1"/>
      <c r="C7" s="1"/>
      <c r="D7" s="2303"/>
      <c r="E7" s="1"/>
      <c r="F7" s="1"/>
      <c r="G7" s="1"/>
      <c r="H7" s="2304"/>
      <c r="I7" s="2"/>
      <c r="J7" s="2"/>
      <c r="K7" s="2"/>
      <c r="L7" s="2304"/>
      <c r="M7" s="1"/>
      <c r="N7" s="2"/>
      <c r="O7" s="2"/>
      <c r="P7" s="2"/>
      <c r="Q7" s="2"/>
      <c r="R7" s="2"/>
      <c r="S7" s="1"/>
      <c r="T7" s="1"/>
      <c r="U7" s="1"/>
      <c r="V7" s="2303"/>
      <c r="W7" s="1"/>
      <c r="X7" s="1"/>
      <c r="Y7" s="1"/>
      <c r="Z7" s="1"/>
      <c r="AA7" s="1"/>
      <c r="AB7" s="3588"/>
      <c r="AC7" s="2310"/>
      <c r="AD7" s="2305"/>
      <c r="AE7" s="2305"/>
      <c r="AF7" s="2306"/>
      <c r="AG7" s="2306"/>
      <c r="AJ7" s="2302"/>
      <c r="AK7" s="2302"/>
      <c r="AL7" s="2302"/>
    </row>
    <row r="8" spans="1:38" ht="16.350000000000001" customHeight="1">
      <c r="A8" s="2"/>
      <c r="B8" s="1"/>
      <c r="C8" s="1"/>
      <c r="D8" s="2304"/>
      <c r="E8" s="1"/>
      <c r="F8" s="1"/>
      <c r="G8" s="1"/>
      <c r="H8" s="2304"/>
      <c r="I8" s="2"/>
      <c r="J8" s="2"/>
      <c r="K8" s="2"/>
      <c r="L8" s="2304"/>
      <c r="M8" s="1"/>
      <c r="N8" s="2"/>
      <c r="O8" s="2"/>
      <c r="P8" s="2"/>
      <c r="Q8" s="2"/>
      <c r="R8" s="2"/>
      <c r="S8" s="1"/>
      <c r="T8" s="1"/>
      <c r="U8" s="1"/>
      <c r="V8" s="2303"/>
      <c r="W8" s="1"/>
      <c r="X8" s="1"/>
      <c r="Y8" s="1"/>
      <c r="Z8" s="1"/>
      <c r="AA8" s="1"/>
      <c r="AB8" s="3588"/>
      <c r="AC8" s="2310"/>
      <c r="AD8" s="2307"/>
      <c r="AE8" s="2307"/>
      <c r="AF8" s="2308"/>
      <c r="AG8" s="2308"/>
      <c r="AI8" s="2302"/>
      <c r="AJ8" s="2302"/>
      <c r="AK8" s="2302"/>
      <c r="AL8" s="2302"/>
    </row>
    <row r="9" spans="1:38" ht="16.350000000000001" customHeight="1">
      <c r="A9" s="1"/>
      <c r="B9" s="1"/>
      <c r="C9" s="1"/>
      <c r="D9" s="1"/>
      <c r="E9" s="1"/>
      <c r="F9" s="1"/>
      <c r="G9" s="1"/>
      <c r="H9" s="2"/>
      <c r="I9" s="2"/>
      <c r="J9" s="2"/>
      <c r="K9" s="2"/>
      <c r="L9" s="2"/>
      <c r="M9" s="1"/>
      <c r="N9" s="2"/>
      <c r="O9" s="2"/>
      <c r="P9" s="2"/>
      <c r="Q9" s="2"/>
      <c r="R9" s="2"/>
      <c r="S9" s="1"/>
      <c r="T9" s="1"/>
      <c r="U9" s="2309"/>
      <c r="V9" s="1"/>
      <c r="W9" s="1"/>
      <c r="X9" s="1"/>
      <c r="Y9" s="1"/>
      <c r="Z9" s="1"/>
      <c r="AA9" s="1"/>
      <c r="AB9" s="2310"/>
      <c r="AC9" s="2310"/>
      <c r="AD9" s="2311"/>
      <c r="AE9" s="2311"/>
      <c r="AF9" s="2312"/>
      <c r="AG9" s="2312"/>
      <c r="AI9" s="2294"/>
      <c r="AJ9" s="2302"/>
      <c r="AK9" s="2302"/>
      <c r="AL9" s="2302"/>
    </row>
    <row r="10" spans="1:38" ht="16.350000000000001" customHeight="1">
      <c r="A10" s="2313"/>
      <c r="B10" s="2313"/>
      <c r="C10" s="2313"/>
      <c r="D10" s="3" t="s">
        <v>3</v>
      </c>
      <c r="E10" s="3"/>
      <c r="F10" s="3"/>
      <c r="G10" s="2312"/>
      <c r="H10" s="3" t="s">
        <v>4</v>
      </c>
      <c r="I10" s="3"/>
      <c r="J10" s="3"/>
      <c r="K10" s="2312"/>
      <c r="L10" s="3" t="s">
        <v>5</v>
      </c>
      <c r="M10" s="3"/>
      <c r="N10" s="3"/>
      <c r="O10" s="2312"/>
      <c r="P10" s="3" t="s">
        <v>6</v>
      </c>
      <c r="Q10" s="3"/>
      <c r="R10" s="3"/>
      <c r="S10" s="2312"/>
      <c r="T10" s="2314"/>
      <c r="U10" s="2314"/>
      <c r="V10" s="3887" t="s">
        <v>1187</v>
      </c>
      <c r="W10" s="3888"/>
      <c r="X10" s="3888"/>
      <c r="Y10" s="3888"/>
      <c r="Z10" s="3888"/>
      <c r="AA10" s="3888"/>
      <c r="AB10" s="3888"/>
      <c r="AC10" s="3888"/>
      <c r="AD10" s="3888"/>
      <c r="AE10" s="3888"/>
      <c r="AF10" s="3888"/>
      <c r="AG10" s="3888"/>
      <c r="AH10" s="3888"/>
      <c r="AI10" s="3888"/>
      <c r="AJ10" s="1465"/>
      <c r="AK10" s="2302"/>
      <c r="AL10" s="2302"/>
    </row>
    <row r="11" spans="1:38" ht="16.350000000000001" customHeight="1">
      <c r="A11" s="2313"/>
      <c r="B11" s="2313"/>
      <c r="C11" s="2313"/>
      <c r="D11" s="5" t="s">
        <v>7</v>
      </c>
      <c r="E11" s="5"/>
      <c r="F11" s="4" t="s">
        <v>1559</v>
      </c>
      <c r="G11" s="2308"/>
      <c r="H11" s="5" t="s">
        <v>7</v>
      </c>
      <c r="I11" s="5"/>
      <c r="J11" s="5" t="str">
        <f>F11</f>
        <v>10 MOS. ENDED</v>
      </c>
      <c r="K11" s="2308"/>
      <c r="L11" s="5" t="s">
        <v>7</v>
      </c>
      <c r="M11" s="5"/>
      <c r="N11" s="5" t="str">
        <f>F11</f>
        <v>10 MOS. ENDED</v>
      </c>
      <c r="O11" s="2308"/>
      <c r="P11" s="5" t="s">
        <v>7</v>
      </c>
      <c r="Q11" s="5"/>
      <c r="R11" s="5" t="str">
        <f>J11</f>
        <v>10 MOS. ENDED</v>
      </c>
      <c r="S11" s="2308"/>
      <c r="T11" s="2308"/>
      <c r="U11" s="2315"/>
      <c r="V11" s="5" t="s">
        <v>7</v>
      </c>
      <c r="W11" s="5"/>
      <c r="X11" s="5" t="str">
        <f>F11</f>
        <v>10 MOS. ENDED</v>
      </c>
      <c r="Y11" s="5"/>
      <c r="Z11" s="5"/>
      <c r="AA11" s="5"/>
      <c r="AB11" s="3598" t="s">
        <v>7</v>
      </c>
      <c r="AC11" s="3598"/>
      <c r="AD11" s="3638" t="str">
        <f>F11</f>
        <v>10 MOS. ENDED</v>
      </c>
      <c r="AE11" s="2316"/>
      <c r="AF11" s="5"/>
      <c r="AG11" s="5" t="s">
        <v>8</v>
      </c>
      <c r="AH11" s="2317"/>
      <c r="AI11" s="5" t="s">
        <v>9</v>
      </c>
      <c r="AJ11" s="2302"/>
      <c r="AK11" s="2302"/>
      <c r="AL11" s="2302"/>
    </row>
    <row r="12" spans="1:38" ht="16.350000000000001" customHeight="1">
      <c r="A12" s="2313"/>
      <c r="B12" s="2313"/>
      <c r="C12" s="2313"/>
      <c r="D12" s="920" t="s">
        <v>1558</v>
      </c>
      <c r="E12" s="2308"/>
      <c r="F12" s="920" t="s">
        <v>1560</v>
      </c>
      <c r="G12" s="2308"/>
      <c r="H12" s="6" t="str">
        <f>D12</f>
        <v>JAN. 2020</v>
      </c>
      <c r="I12" s="2308"/>
      <c r="J12" s="6" t="str">
        <f>F12</f>
        <v>JAN. 31, 2020</v>
      </c>
      <c r="K12" s="2308"/>
      <c r="L12" s="6" t="str">
        <f>D12</f>
        <v>JAN. 2020</v>
      </c>
      <c r="M12" s="2308"/>
      <c r="N12" s="6" t="str">
        <f>F12</f>
        <v>JAN. 31, 2020</v>
      </c>
      <c r="O12" s="2308"/>
      <c r="P12" s="6" t="str">
        <f>D12</f>
        <v>JAN. 2020</v>
      </c>
      <c r="Q12" s="2308"/>
      <c r="R12" s="6" t="str">
        <f>J12</f>
        <v>JAN. 31, 2020</v>
      </c>
      <c r="S12" s="2308"/>
      <c r="T12" s="2308"/>
      <c r="U12" s="2318"/>
      <c r="V12" s="6" t="str">
        <f>D12</f>
        <v>JAN. 2020</v>
      </c>
      <c r="W12" s="2308"/>
      <c r="X12" s="6" t="str">
        <f>F12</f>
        <v>JAN. 31, 2020</v>
      </c>
      <c r="Y12" s="2308"/>
      <c r="Z12" s="2308"/>
      <c r="AA12" s="2308"/>
      <c r="AB12" s="3585" t="s">
        <v>1561</v>
      </c>
      <c r="AC12" s="2420"/>
      <c r="AD12" s="3585" t="s">
        <v>1562</v>
      </c>
      <c r="AE12" s="4"/>
      <c r="AF12" s="4"/>
      <c r="AG12" s="6" t="s">
        <v>12</v>
      </c>
      <c r="AH12" s="2294"/>
      <c r="AI12" s="920" t="s">
        <v>13</v>
      </c>
      <c r="AJ12" s="1465"/>
      <c r="AK12" s="2302"/>
      <c r="AL12" s="2302"/>
    </row>
    <row r="13" spans="1:38" ht="16.350000000000001" customHeight="1">
      <c r="A13" s="2312" t="s">
        <v>14</v>
      </c>
      <c r="B13" s="2313"/>
      <c r="C13" s="2313"/>
      <c r="D13" s="2319" t="s">
        <v>15</v>
      </c>
      <c r="E13" s="2313"/>
      <c r="F13" s="7"/>
      <c r="G13" s="2313"/>
      <c r="H13" s="2319" t="s">
        <v>15</v>
      </c>
      <c r="I13" s="2313"/>
      <c r="J13" s="7"/>
      <c r="K13" s="2313"/>
      <c r="L13" s="2319" t="s">
        <v>15</v>
      </c>
      <c r="M13" s="2313"/>
      <c r="N13" s="7"/>
      <c r="O13" s="2313"/>
      <c r="P13" s="627" t="s">
        <v>15</v>
      </c>
      <c r="Q13" s="2320"/>
      <c r="R13" s="627"/>
      <c r="S13" s="2321"/>
      <c r="T13" s="2321"/>
      <c r="U13" s="7"/>
      <c r="V13" s="2319"/>
      <c r="W13" s="2313"/>
      <c r="X13" s="7"/>
      <c r="Y13" s="2321"/>
      <c r="Z13" s="2322"/>
      <c r="AA13" s="7"/>
      <c r="AB13" s="3589"/>
      <c r="AC13" s="2362"/>
      <c r="AD13" s="2323"/>
      <c r="AE13" s="2323"/>
      <c r="AF13" s="2324"/>
      <c r="AG13" s="7"/>
      <c r="AI13" s="1465"/>
      <c r="AJ13" s="1465"/>
      <c r="AK13" s="2302"/>
      <c r="AL13" s="2302"/>
    </row>
    <row r="14" spans="1:38" ht="18" customHeight="1">
      <c r="A14" s="2313" t="s">
        <v>16</v>
      </c>
      <c r="B14" s="2325">
        <v>-7</v>
      </c>
      <c r="C14" s="2313"/>
      <c r="D14" s="1397">
        <f>+'Exhibit F'!V26</f>
        <v>2342.1999999999998</v>
      </c>
      <c r="E14" s="2326" t="s">
        <v>15</v>
      </c>
      <c r="F14" s="669">
        <f>+'Exhibit F'!AC26</f>
        <v>20959.099999999999</v>
      </c>
      <c r="G14" s="2326"/>
      <c r="H14" s="1397">
        <f>'Exhibit G'!V17</f>
        <v>2107.4</v>
      </c>
      <c r="I14" s="2327"/>
      <c r="J14" s="669">
        <f>'Exhibit G'!AD17</f>
        <v>2149.1</v>
      </c>
      <c r="K14" s="2326"/>
      <c r="L14" s="1458">
        <f>+'Exhibit H'!T16</f>
        <v>4449.6000000000013</v>
      </c>
      <c r="M14" s="669"/>
      <c r="N14" s="669">
        <f>+'Exhibit H'!AA16</f>
        <v>23108.2</v>
      </c>
      <c r="O14" s="669"/>
      <c r="P14" s="687">
        <v>0</v>
      </c>
      <c r="Q14" s="1397"/>
      <c r="R14" s="687">
        <v>0</v>
      </c>
      <c r="S14" s="2328"/>
      <c r="T14" s="2328"/>
      <c r="U14" s="2329"/>
      <c r="V14" s="1397">
        <f t="shared" ref="V14:V19" si="0">ROUND(SUM(D14)+SUM(H14)+SUM(L14)+SUM(P14),1)</f>
        <v>8899.2000000000007</v>
      </c>
      <c r="W14" s="669" t="s">
        <v>15</v>
      </c>
      <c r="X14" s="669">
        <f>ROUND(SUM(F14)+SUM(J14)+SUM(N14)+SUM(R14),1)</f>
        <v>46216.4</v>
      </c>
      <c r="Y14" s="2330"/>
      <c r="Z14" s="2331"/>
      <c r="AA14" s="2332"/>
      <c r="AB14" s="3590">
        <v>8612.5</v>
      </c>
      <c r="AC14" s="3545"/>
      <c r="AD14" s="1857">
        <f>'Exhibit F'!AF26+'Exhibit G'!AG17+'Exhibit H'!AD16</f>
        <v>41142.5</v>
      </c>
      <c r="AE14" s="1857"/>
      <c r="AF14" s="2333"/>
      <c r="AG14" s="2326">
        <f t="shared" ref="AG14:AG19" si="1">ROUND(SUM(X14-AD14),1)</f>
        <v>5073.8999999999996</v>
      </c>
      <c r="AH14" s="2334"/>
      <c r="AI14" s="1462">
        <f t="shared" ref="AI14:AI19" si="2">ROUND(SUM((+X14-AD14)/ABS(AD14)),3)</f>
        <v>0.123</v>
      </c>
      <c r="AJ14" s="2335"/>
      <c r="AK14" s="2302"/>
      <c r="AL14" s="2302"/>
    </row>
    <row r="15" spans="1:38" ht="18" customHeight="1">
      <c r="A15" s="2313" t="s">
        <v>17</v>
      </c>
      <c r="B15" s="2325">
        <v>-4</v>
      </c>
      <c r="C15" s="2313"/>
      <c r="D15" s="629">
        <f>+'Exhibit F'!V37</f>
        <v>711</v>
      </c>
      <c r="E15" s="9"/>
      <c r="F15" s="9">
        <f>+'Exhibit F'!AC37</f>
        <v>6822</v>
      </c>
      <c r="G15" s="9"/>
      <c r="H15" s="629">
        <f>'Exhibit G'!V28</f>
        <v>155.1</v>
      </c>
      <c r="I15" s="9"/>
      <c r="J15" s="9">
        <f>+'Exhibit G'!AD28</f>
        <v>1660.6</v>
      </c>
      <c r="K15" s="9"/>
      <c r="L15" s="1457">
        <f>'Exhibit H'!T20</f>
        <v>635</v>
      </c>
      <c r="M15" s="9"/>
      <c r="N15" s="9">
        <f>+'Exhibit H'!AA20</f>
        <v>6293.8</v>
      </c>
      <c r="O15" s="9"/>
      <c r="P15" s="1457">
        <f>'Exhibit I'!W23</f>
        <v>45.7</v>
      </c>
      <c r="Q15" s="629"/>
      <c r="R15" s="1457">
        <f>+'Exhibit I'!AF23</f>
        <v>537.79999999999995</v>
      </c>
      <c r="S15" s="2337"/>
      <c r="T15" s="2337"/>
      <c r="U15" s="14"/>
      <c r="V15" s="629">
        <f>ROUND(SUM(D15)+SUM(H15)+SUM(L15)+SUM(P15),1)</f>
        <v>1546.8</v>
      </c>
      <c r="W15" s="9" t="s">
        <v>15</v>
      </c>
      <c r="X15" s="9">
        <f t="shared" ref="X15:X19" si="3">ROUND(SUM(F15)+SUM(J15)+SUM(N15)+SUM(R15),1)</f>
        <v>15314.2</v>
      </c>
      <c r="Y15" s="2337"/>
      <c r="Z15" s="2338"/>
      <c r="AA15" s="14"/>
      <c r="AB15" s="2095">
        <v>1417.7</v>
      </c>
      <c r="AC15" s="22"/>
      <c r="AD15" s="2323">
        <f>'Exhibit F'!AF37+'Exhibit G'!AG28+'Exhibit H'!AD20+'Exhibit I'!AI23</f>
        <v>14684</v>
      </c>
      <c r="AE15" s="1461"/>
      <c r="AF15" s="2339"/>
      <c r="AG15" s="9">
        <f t="shared" si="1"/>
        <v>630.20000000000005</v>
      </c>
      <c r="AI15" s="1462">
        <f t="shared" si="2"/>
        <v>4.2999999999999997E-2</v>
      </c>
      <c r="AJ15" s="7"/>
      <c r="AK15" s="2302"/>
      <c r="AL15" s="2302"/>
    </row>
    <row r="16" spans="1:38" ht="18" customHeight="1">
      <c r="A16" s="2313" t="s">
        <v>18</v>
      </c>
      <c r="B16" s="2340"/>
      <c r="C16" s="2313"/>
      <c r="D16" s="629">
        <f>+'Exhibit F'!V44</f>
        <v>123.5</v>
      </c>
      <c r="E16" s="9"/>
      <c r="F16" s="9">
        <f>+'Exhibit F'!AC44</f>
        <v>4533.8999999999996</v>
      </c>
      <c r="G16" s="9"/>
      <c r="H16" s="629">
        <f>'Exhibit G'!V35</f>
        <v>73.099999999999994</v>
      </c>
      <c r="I16" s="9"/>
      <c r="J16" s="9">
        <f>'Exhibit G'!AD35</f>
        <v>1491.6</v>
      </c>
      <c r="K16" s="9"/>
      <c r="L16" s="632">
        <v>0</v>
      </c>
      <c r="M16" s="9"/>
      <c r="N16" s="10">
        <v>0</v>
      </c>
      <c r="O16" s="9"/>
      <c r="P16" s="1457">
        <f>'Exhibit I'!W28</f>
        <v>54.9</v>
      </c>
      <c r="Q16" s="629"/>
      <c r="R16" s="1457">
        <f>'Exhibit I'!AF28</f>
        <v>569.70000000000005</v>
      </c>
      <c r="S16" s="2337"/>
      <c r="T16" s="2337"/>
      <c r="U16" s="14"/>
      <c r="V16" s="629">
        <f t="shared" si="0"/>
        <v>251.5</v>
      </c>
      <c r="W16" s="9" t="s">
        <v>15</v>
      </c>
      <c r="X16" s="9">
        <f t="shared" si="3"/>
        <v>6595.2</v>
      </c>
      <c r="Y16" s="2337"/>
      <c r="Z16" s="2338"/>
      <c r="AA16" s="14"/>
      <c r="AB16" s="2095">
        <v>338.3</v>
      </c>
      <c r="AC16" s="22"/>
      <c r="AD16" s="2323">
        <f>'Exhibit F'!AF44+'Exhibit G'!AG35+'Exhibit I'!AI28</f>
        <v>5844.2</v>
      </c>
      <c r="AE16" s="1461"/>
      <c r="AF16" s="2339"/>
      <c r="AG16" s="9">
        <f t="shared" si="1"/>
        <v>751</v>
      </c>
      <c r="AI16" s="1462">
        <f t="shared" si="2"/>
        <v>0.129</v>
      </c>
      <c r="AJ16" s="7"/>
      <c r="AK16" s="2302"/>
      <c r="AL16" s="2302"/>
    </row>
    <row r="17" spans="1:38" ht="18" customHeight="1">
      <c r="A17" s="2313" t="s">
        <v>19</v>
      </c>
      <c r="B17" s="2325">
        <v>-3</v>
      </c>
      <c r="C17" s="2313"/>
      <c r="D17" s="629">
        <f>+'Exhibit F'!V53</f>
        <v>94.3</v>
      </c>
      <c r="E17" s="9"/>
      <c r="F17" s="9">
        <f>+'Exhibit F'!AC53</f>
        <v>922.7</v>
      </c>
      <c r="G17" s="9"/>
      <c r="H17" s="629">
        <v>0</v>
      </c>
      <c r="I17" s="9"/>
      <c r="J17" s="9">
        <v>0</v>
      </c>
      <c r="K17" s="9"/>
      <c r="L17" s="1457">
        <f>'Exhibit H'!T24</f>
        <v>83.2</v>
      </c>
      <c r="M17" s="9"/>
      <c r="N17" s="9">
        <f>+'Exhibit H'!AA24</f>
        <v>857.7</v>
      </c>
      <c r="O17" s="9"/>
      <c r="P17" s="1457">
        <f>'Exhibit I'!W31</f>
        <v>11.9</v>
      </c>
      <c r="Q17" s="629"/>
      <c r="R17" s="1457">
        <f>'Exhibit I'!AF31</f>
        <v>95.3</v>
      </c>
      <c r="S17" s="2337"/>
      <c r="T17" s="2337"/>
      <c r="U17" s="14"/>
      <c r="V17" s="629">
        <f t="shared" si="0"/>
        <v>189.4</v>
      </c>
      <c r="W17" s="9" t="s">
        <v>15</v>
      </c>
      <c r="X17" s="9">
        <f t="shared" si="3"/>
        <v>1875.7</v>
      </c>
      <c r="Y17" s="2337"/>
      <c r="Z17" s="2338"/>
      <c r="AA17" s="14"/>
      <c r="AB17" s="2095">
        <v>210.1</v>
      </c>
      <c r="AC17" s="22"/>
      <c r="AD17" s="1461">
        <f>'Exhibit F'!AF53+'Exhibit H'!AD24+'Exhibit I'!AI31</f>
        <v>1951.3999999999999</v>
      </c>
      <c r="AE17" s="1461"/>
      <c r="AF17" s="2339"/>
      <c r="AG17" s="9">
        <f t="shared" si="1"/>
        <v>-75.7</v>
      </c>
      <c r="AI17" s="1462">
        <f t="shared" si="2"/>
        <v>-3.9E-2</v>
      </c>
      <c r="AJ17" s="2323"/>
      <c r="AK17" s="2302"/>
      <c r="AL17" s="2302"/>
    </row>
    <row r="18" spans="1:38" ht="18" customHeight="1">
      <c r="A18" s="2313" t="s">
        <v>20</v>
      </c>
      <c r="B18" s="2325">
        <v>-4</v>
      </c>
      <c r="C18" s="2313"/>
      <c r="D18" s="629">
        <f>+'Exhibit F'!V93</f>
        <v>77</v>
      </c>
      <c r="E18" s="9"/>
      <c r="F18" s="9">
        <f>+'Exhibit F'!AC93</f>
        <v>2593.8000000000002</v>
      </c>
      <c r="G18" s="9"/>
      <c r="H18" s="629">
        <f>'Exhibit G'!V80</f>
        <v>2211.4</v>
      </c>
      <c r="I18" s="9"/>
      <c r="J18" s="9">
        <f>+'Exhibit G'!AD80</f>
        <v>15972.6</v>
      </c>
      <c r="K18" s="9"/>
      <c r="L18" s="1457">
        <f>+'Exhibit H'!T45</f>
        <v>37.799999999999997</v>
      </c>
      <c r="M18" s="9"/>
      <c r="N18" s="9">
        <f>+'Exhibit H'!AA45</f>
        <v>411.7</v>
      </c>
      <c r="O18" s="9"/>
      <c r="P18" s="1457">
        <f>+'Exhibit I'!W61</f>
        <v>619.5</v>
      </c>
      <c r="Q18" s="629"/>
      <c r="R18" s="629">
        <f>+'Exhibit I'!AF61</f>
        <v>4512</v>
      </c>
      <c r="S18" s="2337"/>
      <c r="T18" s="2337"/>
      <c r="U18" s="14"/>
      <c r="V18" s="629">
        <f>ROUND(SUM(D18)+SUM(H18)+SUM(L18)+SUM(P18),1)</f>
        <v>2945.7</v>
      </c>
      <c r="W18" s="9" t="s">
        <v>15</v>
      </c>
      <c r="X18" s="9">
        <f t="shared" si="3"/>
        <v>23490.1</v>
      </c>
      <c r="Y18" s="2337"/>
      <c r="Z18" s="2338"/>
      <c r="AA18" s="14"/>
      <c r="AB18" s="2095">
        <v>2906.8</v>
      </c>
      <c r="AC18" s="22"/>
      <c r="AD18" s="1461">
        <f>'Exhibit F'!AF93+'Exhibit G'!AG80+'Exhibit H'!AD45+'Exhibit I'!AI61</f>
        <v>24468.3</v>
      </c>
      <c r="AE18" s="1461"/>
      <c r="AF18" s="2339"/>
      <c r="AG18" s="9">
        <f t="shared" si="1"/>
        <v>-978.2</v>
      </c>
      <c r="AI18" s="1462">
        <f t="shared" si="2"/>
        <v>-0.04</v>
      </c>
      <c r="AJ18" s="7"/>
      <c r="AK18" s="2302"/>
      <c r="AL18" s="2302"/>
    </row>
    <row r="19" spans="1:38" ht="18" customHeight="1">
      <c r="A19" s="2313" t="s">
        <v>21</v>
      </c>
      <c r="B19" s="2341"/>
      <c r="C19" s="2313"/>
      <c r="D19" s="629">
        <f>+'Exhibit F'!V95</f>
        <v>-0.20000000000000004</v>
      </c>
      <c r="E19" s="14"/>
      <c r="F19" s="9">
        <f>+'Exhibit F'!AC95</f>
        <v>0.3</v>
      </c>
      <c r="G19" s="9"/>
      <c r="H19" s="629">
        <f>'Exhibit G'!V82</f>
        <v>5382.9999999999982</v>
      </c>
      <c r="I19" s="9"/>
      <c r="J19" s="9">
        <f>+'Exhibit G'!AD82</f>
        <v>53575</v>
      </c>
      <c r="K19" s="9"/>
      <c r="L19" s="1457">
        <f>+'Exhibit H'!T47</f>
        <v>1.6000000000000014</v>
      </c>
      <c r="M19" s="14"/>
      <c r="N19" s="9">
        <f>+'Exhibit H'!AA47</f>
        <v>38.4</v>
      </c>
      <c r="O19" s="9"/>
      <c r="P19" s="1457">
        <f>+'Exhibit I'!W63</f>
        <v>344.40000000000009</v>
      </c>
      <c r="Q19" s="629"/>
      <c r="R19" s="629">
        <f>+'Exhibit I'!AF63</f>
        <v>1850.5</v>
      </c>
      <c r="S19" s="2337"/>
      <c r="T19" s="2337"/>
      <c r="U19" s="14"/>
      <c r="V19" s="630">
        <f t="shared" si="0"/>
        <v>5728.8</v>
      </c>
      <c r="W19" s="9" t="s">
        <v>15</v>
      </c>
      <c r="X19" s="14">
        <f t="shared" si="3"/>
        <v>55464.2</v>
      </c>
      <c r="Y19" s="2337"/>
      <c r="Z19" s="2338"/>
      <c r="AA19" s="14"/>
      <c r="AB19" s="2095">
        <v>4788.2</v>
      </c>
      <c r="AC19" s="22"/>
      <c r="AD19" s="1461">
        <f>'Exhibit F'!AF95+'Exhibit G'!AG82+'Exhibit H'!AD47+'Exhibit I'!AI63</f>
        <v>51433.7</v>
      </c>
      <c r="AE19" s="1461"/>
      <c r="AF19" s="2339"/>
      <c r="AG19" s="9">
        <f t="shared" si="1"/>
        <v>4030.5</v>
      </c>
      <c r="AI19" s="1462">
        <f t="shared" si="2"/>
        <v>7.8E-2</v>
      </c>
      <c r="AJ19" s="7"/>
      <c r="AK19" s="2302"/>
      <c r="AL19" s="2302"/>
    </row>
    <row r="20" spans="1:38" ht="18" customHeight="1">
      <c r="A20" s="2312" t="s">
        <v>22</v>
      </c>
      <c r="B20" s="2313"/>
      <c r="C20" s="2313"/>
      <c r="D20" s="11">
        <f>ROUND(SUM(D14:D19),1)</f>
        <v>3347.8</v>
      </c>
      <c r="E20" s="2342"/>
      <c r="F20" s="11">
        <f>ROUND(SUM(F14:F19),1)</f>
        <v>35831.800000000003</v>
      </c>
      <c r="G20" s="1399"/>
      <c r="H20" s="12">
        <f>ROUND(SUM(H14:H19),1)</f>
        <v>9930</v>
      </c>
      <c r="I20" s="1399"/>
      <c r="J20" s="12">
        <f>ROUND(SUM(J14:J19),1)</f>
        <v>74848.899999999994</v>
      </c>
      <c r="K20" s="1399"/>
      <c r="L20" s="11">
        <f>ROUND(SUM(L14:L19),1)</f>
        <v>5207.2</v>
      </c>
      <c r="M20" s="1399"/>
      <c r="N20" s="12">
        <f>ROUND(SUM(N14:N19),1)</f>
        <v>30709.8</v>
      </c>
      <c r="O20" s="1399"/>
      <c r="P20" s="12">
        <f>ROUND(SUM(P14:P19),1)</f>
        <v>1076.4000000000001</v>
      </c>
      <c r="Q20" s="1399"/>
      <c r="R20" s="12">
        <f>ROUND(SUM(R14:R19),1)</f>
        <v>7565.3</v>
      </c>
      <c r="S20" s="2343"/>
      <c r="T20" s="2343"/>
      <c r="U20" s="2344"/>
      <c r="V20" s="12">
        <f>ROUND(SUM(V14:V19),1)</f>
        <v>19561.400000000001</v>
      </c>
      <c r="W20" s="1399"/>
      <c r="X20" s="12">
        <f>ROUND(SUM(X14:X19),1)</f>
        <v>148955.79999999999</v>
      </c>
      <c r="Y20" s="2343"/>
      <c r="Z20" s="2345"/>
      <c r="AA20" s="2344"/>
      <c r="AB20" s="1605">
        <f>ROUND(SUM(AB14:AB19),1)</f>
        <v>18273.599999999999</v>
      </c>
      <c r="AC20" s="23"/>
      <c r="AD20" s="1605">
        <f>ROUND(SUM(AD14:AD19),1)</f>
        <v>139524.1</v>
      </c>
      <c r="AE20" s="1517"/>
      <c r="AF20" s="2346"/>
      <c r="AG20" s="12">
        <f>ROUND(SUM(AG14:AG19),1)</f>
        <v>9431.7000000000007</v>
      </c>
      <c r="AH20" s="2347"/>
      <c r="AI20" s="1479">
        <f>(+X20-AD20)/ABS(AD20)</f>
        <v>6.7599074281790614E-2</v>
      </c>
      <c r="AJ20" s="2348"/>
      <c r="AK20" s="2302"/>
      <c r="AL20" s="2302"/>
    </row>
    <row r="21" spans="1:38" ht="16.350000000000001" customHeight="1">
      <c r="A21" s="2312"/>
      <c r="B21" s="2313"/>
      <c r="C21" s="2313"/>
      <c r="D21" s="630"/>
      <c r="E21" s="14"/>
      <c r="F21" s="14"/>
      <c r="G21" s="9"/>
      <c r="H21" s="630"/>
      <c r="I21" s="9"/>
      <c r="J21" s="14"/>
      <c r="K21" s="9"/>
      <c r="L21" s="630"/>
      <c r="M21" s="9"/>
      <c r="N21" s="14"/>
      <c r="O21" s="9"/>
      <c r="P21" s="630"/>
      <c r="Q21" s="629"/>
      <c r="R21" s="630"/>
      <c r="S21" s="2337"/>
      <c r="T21" s="2337"/>
      <c r="U21" s="14"/>
      <c r="V21" s="630"/>
      <c r="W21" s="9"/>
      <c r="X21" s="14"/>
      <c r="Y21" s="2337"/>
      <c r="Z21" s="2338"/>
      <c r="AA21" s="14"/>
      <c r="AB21" s="1456"/>
      <c r="AC21" s="22"/>
      <c r="AD21" s="1461"/>
      <c r="AE21" s="1461"/>
      <c r="AF21" s="2339"/>
      <c r="AG21" s="14"/>
      <c r="AI21" s="1465"/>
      <c r="AJ21" s="7"/>
      <c r="AK21" s="2302"/>
      <c r="AL21" s="2302"/>
    </row>
    <row r="22" spans="1:38" ht="16.350000000000001" customHeight="1">
      <c r="A22" s="2312" t="s">
        <v>23</v>
      </c>
      <c r="B22" s="2313"/>
      <c r="C22" s="2313"/>
      <c r="D22" s="629"/>
      <c r="E22" s="9"/>
      <c r="F22" s="9"/>
      <c r="G22" s="9"/>
      <c r="H22" s="629"/>
      <c r="I22" s="9"/>
      <c r="J22" s="9"/>
      <c r="K22" s="9"/>
      <c r="L22" s="629"/>
      <c r="M22" s="9"/>
      <c r="N22" s="9"/>
      <c r="O22" s="9"/>
      <c r="P22" s="629"/>
      <c r="Q22" s="629"/>
      <c r="R22" s="629"/>
      <c r="S22" s="2337"/>
      <c r="T22" s="2337"/>
      <c r="U22" s="14"/>
      <c r="V22" s="629"/>
      <c r="W22" s="9"/>
      <c r="X22" s="9"/>
      <c r="Y22" s="2337"/>
      <c r="Z22" s="2338"/>
      <c r="AA22" s="14"/>
      <c r="AB22" s="634"/>
      <c r="AC22" s="22"/>
      <c r="AD22" s="1461"/>
      <c r="AE22" s="1461"/>
      <c r="AF22" s="2339"/>
      <c r="AG22" s="9"/>
      <c r="AI22" s="1465"/>
      <c r="AJ22" s="7"/>
      <c r="AK22" s="2302"/>
      <c r="AL22" s="2302"/>
    </row>
    <row r="23" spans="1:38" ht="16.350000000000001" customHeight="1">
      <c r="A23" s="2313" t="s">
        <v>24</v>
      </c>
      <c r="B23" s="2349" t="s">
        <v>1415</v>
      </c>
      <c r="C23" s="2313"/>
      <c r="D23" s="632" t="s">
        <v>15</v>
      </c>
      <c r="E23" s="9"/>
      <c r="F23" s="10" t="s">
        <v>15</v>
      </c>
      <c r="G23" s="9"/>
      <c r="H23" s="631"/>
      <c r="I23" s="9"/>
      <c r="J23" s="15"/>
      <c r="K23" s="9"/>
      <c r="L23" s="631"/>
      <c r="M23" s="9"/>
      <c r="N23" s="15"/>
      <c r="O23" s="9"/>
      <c r="P23" s="631"/>
      <c r="Q23" s="629"/>
      <c r="R23" s="631"/>
      <c r="S23" s="2337"/>
      <c r="T23" s="2337"/>
      <c r="U23" s="14"/>
      <c r="V23" s="631"/>
      <c r="W23" s="9"/>
      <c r="X23" s="15"/>
      <c r="Y23" s="2337"/>
      <c r="Z23" s="2338"/>
      <c r="AA23" s="14"/>
      <c r="AB23" s="1840"/>
      <c r="AC23" s="22"/>
      <c r="AD23" s="2449"/>
      <c r="AE23" s="1461"/>
      <c r="AF23" s="2339"/>
      <c r="AG23" s="15"/>
      <c r="AI23" s="2350"/>
      <c r="AJ23" s="7"/>
      <c r="AK23" s="2302"/>
      <c r="AL23" s="2302"/>
    </row>
    <row r="24" spans="1:38" ht="18" customHeight="1">
      <c r="A24" s="2351" t="s">
        <v>25</v>
      </c>
      <c r="B24" s="2313"/>
      <c r="C24" s="2313"/>
      <c r="D24" s="1402">
        <f>+'Exhibit F'!V101</f>
        <v>790.99999999999636</v>
      </c>
      <c r="E24" s="9"/>
      <c r="F24" s="9">
        <f>+'Exhibit F'!AC101</f>
        <v>17584.899999999998</v>
      </c>
      <c r="G24" s="9"/>
      <c r="H24" s="1457">
        <f>'Exhibit G'!V88</f>
        <v>2554.9000000000005</v>
      </c>
      <c r="I24" s="9"/>
      <c r="J24" s="9">
        <f>+'Exhibit G'!AD88</f>
        <v>8558.7999999999993</v>
      </c>
      <c r="K24" s="9"/>
      <c r="L24" s="1398">
        <v>0</v>
      </c>
      <c r="M24" s="14"/>
      <c r="N24" s="16">
        <v>0</v>
      </c>
      <c r="O24" s="9"/>
      <c r="P24" s="1457">
        <f>'Exhibit I'!W69</f>
        <v>19.900000000000006</v>
      </c>
      <c r="Q24" s="1457"/>
      <c r="R24" s="629">
        <f>+'Exhibit I'!AF69</f>
        <v>165.2</v>
      </c>
      <c r="S24" s="2337"/>
      <c r="T24" s="2337"/>
      <c r="U24" s="14"/>
      <c r="V24" s="629">
        <f>ROUND(SUM(D24)+SUM(H24)+SUM(L24)+SUM(P24),1)</f>
        <v>3365.8</v>
      </c>
      <c r="W24" s="9" t="s">
        <v>15</v>
      </c>
      <c r="X24" s="9">
        <f>ROUND(SUM(F24)+SUM(J24)+SUM(N24)+SUM(R24),1)</f>
        <v>26308.9</v>
      </c>
      <c r="Y24" s="2337"/>
      <c r="Z24" s="2338"/>
      <c r="AA24" s="14"/>
      <c r="AB24" s="2095">
        <v>3550</v>
      </c>
      <c r="AC24" s="22"/>
      <c r="AD24" s="1461">
        <f>'Exhibit F'!AF101+'Exhibit G'!AG88+'Exhibit I'!AI69</f>
        <v>26024.800000000003</v>
      </c>
      <c r="AE24" s="2352"/>
      <c r="AF24" s="2353"/>
      <c r="AG24" s="9">
        <f>ROUND(SUM(X24-AD24),1)</f>
        <v>284.10000000000002</v>
      </c>
      <c r="AI24" s="1462">
        <f>ROUND(SUM((+X24-AD24)/ABS(AD24)),3)</f>
        <v>1.0999999999999999E-2</v>
      </c>
      <c r="AJ24" s="7"/>
      <c r="AK24" s="2302"/>
      <c r="AL24" s="2302"/>
    </row>
    <row r="25" spans="1:38" ht="18" customHeight="1">
      <c r="A25" s="2351" t="s">
        <v>26</v>
      </c>
      <c r="B25" s="2354"/>
      <c r="C25" s="2313"/>
      <c r="D25" s="1402">
        <f>+'Exhibit F'!V102</f>
        <v>0.20000000000000018</v>
      </c>
      <c r="E25" s="9"/>
      <c r="F25" s="9">
        <f>+'Exhibit F'!AC102</f>
        <v>2.5</v>
      </c>
      <c r="G25" s="9"/>
      <c r="H25" s="1457">
        <f>'Exhibit G'!V89</f>
        <v>0.49999999999999989</v>
      </c>
      <c r="I25" s="9"/>
      <c r="J25" s="9">
        <f>+'Exhibit G'!AD89</f>
        <v>2.9</v>
      </c>
      <c r="K25" s="9"/>
      <c r="L25" s="1398">
        <v>0</v>
      </c>
      <c r="M25" s="14"/>
      <c r="N25" s="16">
        <v>0</v>
      </c>
      <c r="O25" s="9"/>
      <c r="P25" s="1457">
        <f>'Exhibit I'!W70</f>
        <v>232.6</v>
      </c>
      <c r="Q25" s="1457"/>
      <c r="R25" s="629">
        <f>+'Exhibit I'!AF70</f>
        <v>379.9</v>
      </c>
      <c r="S25" s="2337"/>
      <c r="T25" s="2337"/>
      <c r="U25" s="14"/>
      <c r="V25" s="629">
        <f t="shared" ref="V25:V32" si="4">ROUND(SUM(D25)+SUM(H25)+SUM(L25)+SUM(P25),1)</f>
        <v>233.3</v>
      </c>
      <c r="W25" s="9" t="s">
        <v>15</v>
      </c>
      <c r="X25" s="9">
        <f t="shared" ref="X25:X32" si="5">ROUND(SUM(F25)+SUM(J25)+SUM(N25)+SUM(R25),1)</f>
        <v>385.3</v>
      </c>
      <c r="Y25" s="2337"/>
      <c r="Z25" s="2338"/>
      <c r="AA25" s="14"/>
      <c r="AB25" s="2095">
        <v>225.5</v>
      </c>
      <c r="AC25" s="3546"/>
      <c r="AD25" s="1461">
        <f>'Exhibit F'!AF102+'Exhibit G'!AG89+'Exhibit I'!AI70</f>
        <v>378.70000000000005</v>
      </c>
      <c r="AE25" s="14"/>
      <c r="AF25" s="2339"/>
      <c r="AG25" s="9">
        <f t="shared" ref="AG25:AG33" si="6">ROUND(SUM(X25-AD25),1)</f>
        <v>6.6</v>
      </c>
      <c r="AI25" s="1462">
        <f t="shared" ref="AI25:AI32" si="7">ROUND(SUM((+X25-AD25)/ABS(AD25)),3)</f>
        <v>1.7000000000000001E-2</v>
      </c>
      <c r="AJ25" s="7"/>
      <c r="AK25" s="2302"/>
      <c r="AL25" s="2302"/>
    </row>
    <row r="26" spans="1:38" ht="18" customHeight="1">
      <c r="A26" s="2351" t="s">
        <v>27</v>
      </c>
      <c r="B26" s="2355"/>
      <c r="C26" s="2313"/>
      <c r="D26" s="1402">
        <f>+'Exhibit F'!V103</f>
        <v>10.399999999999977</v>
      </c>
      <c r="E26" s="9"/>
      <c r="F26" s="9">
        <f>+'Exhibit F'!AC103</f>
        <v>954</v>
      </c>
      <c r="G26" s="9"/>
      <c r="H26" s="1457">
        <f>'Exhibit G'!V90</f>
        <v>22.19999999999996</v>
      </c>
      <c r="I26" s="9"/>
      <c r="J26" s="9">
        <f>+'Exhibit G'!AD90</f>
        <v>230.6</v>
      </c>
      <c r="K26" s="9"/>
      <c r="L26" s="1398">
        <v>0</v>
      </c>
      <c r="M26" s="14"/>
      <c r="N26" s="16">
        <v>0</v>
      </c>
      <c r="O26" s="9"/>
      <c r="P26" s="1457">
        <f>'Exhibit I'!W71</f>
        <v>55.300000000000068</v>
      </c>
      <c r="Q26" s="1457"/>
      <c r="R26" s="629">
        <f>+'Exhibit I'!AF71</f>
        <v>761.2</v>
      </c>
      <c r="S26" s="2337"/>
      <c r="T26" s="2337"/>
      <c r="U26" s="14"/>
      <c r="V26" s="629">
        <f t="shared" si="4"/>
        <v>87.9</v>
      </c>
      <c r="W26" s="9" t="s">
        <v>15</v>
      </c>
      <c r="X26" s="9">
        <f t="shared" si="5"/>
        <v>1945.8</v>
      </c>
      <c r="Y26" s="2337"/>
      <c r="Z26" s="2338"/>
      <c r="AA26" s="14"/>
      <c r="AB26" s="2095">
        <v>70.3</v>
      </c>
      <c r="AC26" s="22"/>
      <c r="AD26" s="1461">
        <f>'Exhibit F'!AF103+'Exhibit G'!AG90+'Exhibit I'!AI71</f>
        <v>1926.3000000000002</v>
      </c>
      <c r="AE26" s="14"/>
      <c r="AF26" s="2339"/>
      <c r="AG26" s="9">
        <f t="shared" si="6"/>
        <v>19.5</v>
      </c>
      <c r="AI26" s="1462">
        <f t="shared" si="7"/>
        <v>0.01</v>
      </c>
      <c r="AJ26" s="7"/>
      <c r="AK26" s="2302"/>
      <c r="AL26" s="2302"/>
    </row>
    <row r="27" spans="1:38" ht="18" customHeight="1">
      <c r="A27" s="2351" t="s">
        <v>28</v>
      </c>
      <c r="B27" s="2356"/>
      <c r="C27" s="2313"/>
      <c r="D27" s="629"/>
      <c r="E27" s="9"/>
      <c r="F27" s="9"/>
      <c r="G27" s="9"/>
      <c r="H27" s="1457"/>
      <c r="I27" s="9"/>
      <c r="J27" s="9" t="s">
        <v>15</v>
      </c>
      <c r="K27" s="9"/>
      <c r="L27" s="1454" t="s">
        <v>15</v>
      </c>
      <c r="M27" s="14"/>
      <c r="N27" s="17" t="s">
        <v>15</v>
      </c>
      <c r="O27" s="9"/>
      <c r="P27" s="1457"/>
      <c r="Q27" s="1457"/>
      <c r="R27" s="629"/>
      <c r="S27" s="2337"/>
      <c r="T27" s="2337"/>
      <c r="U27" s="14"/>
      <c r="V27" s="629" t="s">
        <v>15</v>
      </c>
      <c r="W27" s="9"/>
      <c r="X27" s="629" t="s">
        <v>15</v>
      </c>
      <c r="Y27" s="2337"/>
      <c r="Z27" s="2338"/>
      <c r="AA27" s="14"/>
      <c r="AB27" s="634"/>
      <c r="AC27" s="22"/>
      <c r="AD27" s="22"/>
      <c r="AE27" s="14"/>
      <c r="AF27" s="2339"/>
      <c r="AG27" s="9"/>
      <c r="AI27" s="1475" t="s">
        <v>15</v>
      </c>
      <c r="AJ27" s="7"/>
      <c r="AK27" s="2302"/>
      <c r="AL27" s="2302"/>
    </row>
    <row r="28" spans="1:38" ht="18" customHeight="1">
      <c r="A28" s="2357" t="s">
        <v>29</v>
      </c>
      <c r="B28" s="2336"/>
      <c r="C28" s="2313"/>
      <c r="D28" s="1402">
        <f>+'Exhibit F'!V105</f>
        <v>1662</v>
      </c>
      <c r="E28" s="9"/>
      <c r="F28" s="9">
        <f>+'Exhibit F'!AC105</f>
        <v>16526.900000000001</v>
      </c>
      <c r="G28" s="9"/>
      <c r="H28" s="1457">
        <f>'Exhibit G'!V92</f>
        <v>4491.3999999999978</v>
      </c>
      <c r="I28" s="9"/>
      <c r="J28" s="9">
        <f>+'Exhibit G'!AD92</f>
        <v>39144</v>
      </c>
      <c r="K28" s="9"/>
      <c r="L28" s="1398">
        <v>0</v>
      </c>
      <c r="M28" s="14"/>
      <c r="N28" s="16">
        <v>0</v>
      </c>
      <c r="O28" s="9"/>
      <c r="P28" s="1457">
        <f>'Exhibit I'!W73</f>
        <v>0</v>
      </c>
      <c r="Q28" s="1457"/>
      <c r="R28" s="631">
        <f>+'Exhibit I'!AF73</f>
        <v>0</v>
      </c>
      <c r="S28" s="2337"/>
      <c r="T28" s="2337"/>
      <c r="U28" s="14"/>
      <c r="V28" s="629">
        <f t="shared" si="4"/>
        <v>6153.4</v>
      </c>
      <c r="W28" s="9" t="s">
        <v>15</v>
      </c>
      <c r="X28" s="9">
        <f t="shared" si="5"/>
        <v>55670.9</v>
      </c>
      <c r="Y28" s="2337"/>
      <c r="Z28" s="2338"/>
      <c r="AA28" s="14"/>
      <c r="AB28" s="2095">
        <v>4874.8</v>
      </c>
      <c r="AC28" s="22"/>
      <c r="AD28" s="1461">
        <f>'Exhibit F'!AF105+'Exhibit G'!AG92+'Exhibit I'!AI73</f>
        <v>51565.3</v>
      </c>
      <c r="AE28" s="14"/>
      <c r="AF28" s="2339"/>
      <c r="AG28" s="9">
        <f t="shared" si="6"/>
        <v>4105.6000000000004</v>
      </c>
      <c r="AI28" s="1462">
        <f t="shared" si="7"/>
        <v>0.08</v>
      </c>
      <c r="AJ28" s="7"/>
      <c r="AK28" s="2358"/>
      <c r="AL28" s="2302"/>
    </row>
    <row r="29" spans="1:38" ht="18" customHeight="1">
      <c r="A29" s="2351" t="s">
        <v>30</v>
      </c>
      <c r="B29" s="2336"/>
      <c r="C29" s="2313"/>
      <c r="D29" s="1402">
        <f>+'Exhibit F'!V106</f>
        <v>119.8000000000003</v>
      </c>
      <c r="E29" s="9"/>
      <c r="F29" s="9">
        <f>+'Exhibit F'!AC106</f>
        <v>1873.8000000000002</v>
      </c>
      <c r="G29" s="9"/>
      <c r="H29" s="1457">
        <f>'Exhibit G'!V93</f>
        <v>617.40000000000032</v>
      </c>
      <c r="I29" s="9"/>
      <c r="J29" s="9">
        <f>+'Exhibit G'!AD93</f>
        <v>6056.1</v>
      </c>
      <c r="K29" s="9"/>
      <c r="L29" s="1398">
        <v>0</v>
      </c>
      <c r="M29" s="14"/>
      <c r="N29" s="16">
        <v>0</v>
      </c>
      <c r="O29" s="9"/>
      <c r="P29" s="1457">
        <f>'Exhibit I'!W74</f>
        <v>88.399999999999991</v>
      </c>
      <c r="Q29" s="1457"/>
      <c r="R29" s="629">
        <f>+'Exhibit I'!AF74</f>
        <v>446.7</v>
      </c>
      <c r="S29" s="2337"/>
      <c r="T29" s="2337"/>
      <c r="U29" s="14"/>
      <c r="V29" s="629">
        <f t="shared" si="4"/>
        <v>825.6</v>
      </c>
      <c r="W29" s="9" t="s">
        <v>15</v>
      </c>
      <c r="X29" s="9">
        <f t="shared" si="5"/>
        <v>8376.6</v>
      </c>
      <c r="Y29" s="2337"/>
      <c r="Z29" s="2338"/>
      <c r="AA29" s="14"/>
      <c r="AB29" s="2095">
        <v>693.2</v>
      </c>
      <c r="AC29" s="22"/>
      <c r="AD29" s="1461">
        <f>'Exhibit F'!AF106+'Exhibit G'!AG93+'Exhibit I'!AI74</f>
        <v>8425.2999999999993</v>
      </c>
      <c r="AE29" s="14"/>
      <c r="AF29" s="2339"/>
      <c r="AG29" s="9">
        <f t="shared" si="6"/>
        <v>-48.7</v>
      </c>
      <c r="AI29" s="1462">
        <f t="shared" si="7"/>
        <v>-6.0000000000000001E-3</v>
      </c>
      <c r="AJ29" s="7"/>
      <c r="AK29" s="2302"/>
      <c r="AL29" s="2302"/>
    </row>
    <row r="30" spans="1:38" ht="18" customHeight="1">
      <c r="A30" s="2351" t="s">
        <v>31</v>
      </c>
      <c r="B30" s="2356"/>
      <c r="C30" s="2313"/>
      <c r="D30" s="1402">
        <f>+'Exhibit F'!V107</f>
        <v>6.1999999999999886</v>
      </c>
      <c r="E30" s="9"/>
      <c r="F30" s="9">
        <f>+'Exhibit F'!AC107</f>
        <v>143.1</v>
      </c>
      <c r="G30" s="9"/>
      <c r="H30" s="1457">
        <f>'Exhibit G'!V94</f>
        <v>188.3</v>
      </c>
      <c r="I30" s="9"/>
      <c r="J30" s="9">
        <f>+'Exhibit G'!AD94</f>
        <v>1228.5999999999999</v>
      </c>
      <c r="K30" s="9"/>
      <c r="L30" s="1398">
        <v>0</v>
      </c>
      <c r="M30" s="14"/>
      <c r="N30" s="16">
        <v>0</v>
      </c>
      <c r="O30" s="9"/>
      <c r="P30" s="1457">
        <f>'Exhibit I'!W75</f>
        <v>44.7</v>
      </c>
      <c r="Q30" s="1457"/>
      <c r="R30" s="631">
        <f>+'Exhibit I'!AF75</f>
        <v>84.1</v>
      </c>
      <c r="S30" s="2337"/>
      <c r="T30" s="2337"/>
      <c r="U30" s="14"/>
      <c r="V30" s="629">
        <f t="shared" si="4"/>
        <v>239.2</v>
      </c>
      <c r="W30" s="9" t="s">
        <v>15</v>
      </c>
      <c r="X30" s="9">
        <f t="shared" si="5"/>
        <v>1455.8</v>
      </c>
      <c r="Y30" s="2337"/>
      <c r="Z30" s="2338"/>
      <c r="AA30" s="14"/>
      <c r="AB30" s="2095">
        <v>85</v>
      </c>
      <c r="AC30" s="22"/>
      <c r="AD30" s="1461">
        <f>'Exhibit F'!AF107+'Exhibit G'!AG94+'Exhibit I'!AI75</f>
        <v>1344.8</v>
      </c>
      <c r="AE30" s="14"/>
      <c r="AF30" s="2339"/>
      <c r="AG30" s="9">
        <f t="shared" si="6"/>
        <v>111</v>
      </c>
      <c r="AI30" s="1462">
        <f t="shared" si="7"/>
        <v>8.3000000000000004E-2</v>
      </c>
      <c r="AJ30" s="7"/>
      <c r="AK30" s="2302"/>
      <c r="AL30" s="2302"/>
    </row>
    <row r="31" spans="1:38" ht="18" customHeight="1">
      <c r="A31" s="2351" t="s">
        <v>32</v>
      </c>
      <c r="B31" s="2313"/>
      <c r="C31" s="2313"/>
      <c r="D31" s="1402">
        <f>+'Exhibit F'!V108</f>
        <v>171.5</v>
      </c>
      <c r="E31" s="9"/>
      <c r="F31" s="9">
        <f>+'Exhibit F'!AC108</f>
        <v>2007.3</v>
      </c>
      <c r="G31" s="9"/>
      <c r="H31" s="1457">
        <f>'Exhibit G'!V95</f>
        <v>402.4000000000002</v>
      </c>
      <c r="I31" s="9"/>
      <c r="J31" s="9">
        <f>+'Exhibit G'!AD95</f>
        <v>3635</v>
      </c>
      <c r="K31" s="9"/>
      <c r="L31" s="1398">
        <v>0</v>
      </c>
      <c r="M31" s="14"/>
      <c r="N31" s="16">
        <v>0</v>
      </c>
      <c r="O31" s="9"/>
      <c r="P31" s="1457">
        <f>'Exhibit I'!W76</f>
        <v>98.899999999999977</v>
      </c>
      <c r="Q31" s="1457"/>
      <c r="R31" s="629">
        <f>+'Exhibit I'!AF76</f>
        <v>353.4</v>
      </c>
      <c r="S31" s="2337"/>
      <c r="T31" s="2337"/>
      <c r="U31" s="14"/>
      <c r="V31" s="629">
        <f t="shared" si="4"/>
        <v>672.8</v>
      </c>
      <c r="W31" s="9" t="s">
        <v>15</v>
      </c>
      <c r="X31" s="9">
        <f t="shared" si="5"/>
        <v>5995.7</v>
      </c>
      <c r="Y31" s="2337"/>
      <c r="Z31" s="2338"/>
      <c r="AA31" s="14"/>
      <c r="AB31" s="2095">
        <v>376.8</v>
      </c>
      <c r="AC31" s="22"/>
      <c r="AD31" s="1461">
        <f>'Exhibit F'!AF108+'Exhibit G'!AG95+'Exhibit I'!AI76</f>
        <v>6258</v>
      </c>
      <c r="AE31" s="14"/>
      <c r="AF31" s="2339"/>
      <c r="AG31" s="9">
        <f t="shared" si="6"/>
        <v>-262.3</v>
      </c>
      <c r="AI31" s="1462">
        <f t="shared" si="7"/>
        <v>-4.2000000000000003E-2</v>
      </c>
      <c r="AJ31" s="7"/>
      <c r="AK31" s="2302"/>
      <c r="AL31" s="2302"/>
    </row>
    <row r="32" spans="1:38" ht="18" customHeight="1">
      <c r="A32" s="2351" t="s">
        <v>33</v>
      </c>
      <c r="B32" s="2356"/>
      <c r="C32" s="2313"/>
      <c r="D32" s="1402">
        <f>+'Exhibit F'!V109</f>
        <v>3.4999999999999858</v>
      </c>
      <c r="E32" s="9"/>
      <c r="F32" s="9">
        <f>+'Exhibit F'!AC109</f>
        <v>114.3</v>
      </c>
      <c r="G32" s="9"/>
      <c r="H32" s="1457">
        <f>'Exhibit G'!V96</f>
        <v>1.1000000000000032</v>
      </c>
      <c r="I32" s="9"/>
      <c r="J32" s="9">
        <f>+'Exhibit G'!AD96</f>
        <v>53.1</v>
      </c>
      <c r="K32" s="9"/>
      <c r="L32" s="1398">
        <v>0</v>
      </c>
      <c r="M32" s="14" t="s">
        <v>15</v>
      </c>
      <c r="N32" s="16">
        <v>0</v>
      </c>
      <c r="O32" s="9"/>
      <c r="P32" s="1457">
        <f>'Exhibit I'!W77</f>
        <v>31.799999999999926</v>
      </c>
      <c r="Q32" s="1457"/>
      <c r="R32" s="629">
        <f>+'Exhibit I'!AF77</f>
        <v>731.5</v>
      </c>
      <c r="S32" s="2337"/>
      <c r="T32" s="2337"/>
      <c r="U32" s="14"/>
      <c r="V32" s="629">
        <f t="shared" si="4"/>
        <v>36.4</v>
      </c>
      <c r="W32" s="9" t="s">
        <v>15</v>
      </c>
      <c r="X32" s="9">
        <f t="shared" si="5"/>
        <v>898.9</v>
      </c>
      <c r="Y32" s="2337"/>
      <c r="Z32" s="2338"/>
      <c r="AA32" s="14"/>
      <c r="AB32" s="2095">
        <v>304.8</v>
      </c>
      <c r="AC32" s="22"/>
      <c r="AD32" s="1461">
        <f>'Exhibit F'!AF109+'Exhibit G'!AG96+'Exhibit I'!AI77</f>
        <v>1031.5</v>
      </c>
      <c r="AE32" s="14"/>
      <c r="AF32" s="2339"/>
      <c r="AG32" s="9">
        <f t="shared" si="6"/>
        <v>-132.6</v>
      </c>
      <c r="AI32" s="1462">
        <f t="shared" si="7"/>
        <v>-0.129</v>
      </c>
      <c r="AJ32" s="7"/>
      <c r="AK32" s="2302"/>
      <c r="AL32" s="2302"/>
    </row>
    <row r="33" spans="1:38" ht="18" customHeight="1">
      <c r="A33" s="2351" t="s">
        <v>34</v>
      </c>
      <c r="B33" s="2313"/>
      <c r="C33" s="2313"/>
      <c r="D33" s="1402">
        <f>+'Exhibit F'!V110</f>
        <v>0</v>
      </c>
      <c r="E33" s="9"/>
      <c r="F33" s="9">
        <f>+'Exhibit F'!AC110</f>
        <v>97.5</v>
      </c>
      <c r="G33" s="9"/>
      <c r="H33" s="1457">
        <f>'Exhibit G'!V97</f>
        <v>70.90000000000046</v>
      </c>
      <c r="I33" s="9"/>
      <c r="J33" s="9">
        <f>+'Exhibit G'!AD97</f>
        <v>3297.1</v>
      </c>
      <c r="K33" s="9"/>
      <c r="L33" s="1398">
        <v>0</v>
      </c>
      <c r="M33" s="14"/>
      <c r="N33" s="16">
        <v>0</v>
      </c>
      <c r="O33" s="9"/>
      <c r="P33" s="1457">
        <f>'Exhibit I'!W78</f>
        <v>49.800000000000125</v>
      </c>
      <c r="Q33" s="1457"/>
      <c r="R33" s="629">
        <f>+'Exhibit I'!AF78</f>
        <v>1407</v>
      </c>
      <c r="S33" s="2337"/>
      <c r="T33" s="2337"/>
      <c r="U33" s="14"/>
      <c r="V33" s="629">
        <f>ROUND(SUM(D33)+SUM(H33)+SUM(L33)+SUM(P33),1)</f>
        <v>120.7</v>
      </c>
      <c r="W33" s="9" t="s">
        <v>15</v>
      </c>
      <c r="X33" s="9">
        <f>ROUND(SUM(F33)+SUM(J33)+SUM(N33)+SUM(R33),1)</f>
        <v>4801.6000000000004</v>
      </c>
      <c r="Y33" s="2337"/>
      <c r="Z33" s="2338"/>
      <c r="AA33" s="14"/>
      <c r="AB33" s="2095">
        <v>141.5</v>
      </c>
      <c r="AC33" s="22"/>
      <c r="AD33" s="1461">
        <f>'Exhibit F'!AF110+'Exhibit G'!AG97+'Exhibit I'!AI78</f>
        <v>5018.6000000000004</v>
      </c>
      <c r="AE33" s="14"/>
      <c r="AF33" s="2339"/>
      <c r="AG33" s="9">
        <f t="shared" si="6"/>
        <v>-217</v>
      </c>
      <c r="AI33" s="1462">
        <f>ROUND(SUM((+X33-AD33)/ABS(AD33)),3)</f>
        <v>-4.2999999999999997E-2</v>
      </c>
      <c r="AJ33" s="7"/>
      <c r="AK33" s="2302"/>
      <c r="AL33" s="2302"/>
    </row>
    <row r="34" spans="1:38" ht="18" customHeight="1">
      <c r="A34" s="2312" t="s">
        <v>35</v>
      </c>
      <c r="B34" s="2313"/>
      <c r="C34" s="2313"/>
      <c r="D34" s="12">
        <f>ROUND(SUM(D24:D33),1)</f>
        <v>2764.6</v>
      </c>
      <c r="E34" s="2344"/>
      <c r="F34" s="12">
        <f>ROUND(SUM(F24:F33),1)</f>
        <v>39304.300000000003</v>
      </c>
      <c r="G34" s="1399"/>
      <c r="H34" s="12">
        <f>ROUND(SUM(H24:H33),1)</f>
        <v>8349.1</v>
      </c>
      <c r="I34" s="1399"/>
      <c r="J34" s="12">
        <f>ROUND(SUM(J24:J33),1)</f>
        <v>62206.2</v>
      </c>
      <c r="K34" s="1399"/>
      <c r="L34" s="12">
        <f>ROUND(SUM(L24:L33),1)</f>
        <v>0</v>
      </c>
      <c r="M34" s="1399"/>
      <c r="N34" s="1459">
        <f>ROUND(SUM(N24:N33),1)</f>
        <v>0</v>
      </c>
      <c r="O34" s="1399"/>
      <c r="P34" s="11">
        <f>ROUND(SUM(P24:P33),1)</f>
        <v>621.4</v>
      </c>
      <c r="Q34" s="1399"/>
      <c r="R34" s="11">
        <f>ROUND(SUM(R24:R33),1)</f>
        <v>4329</v>
      </c>
      <c r="S34" s="2343"/>
      <c r="T34" s="2343"/>
      <c r="U34" s="2344"/>
      <c r="V34" s="12">
        <f>ROUND(SUM(V24:V33),1)</f>
        <v>11735.1</v>
      </c>
      <c r="W34" s="1399"/>
      <c r="X34" s="12">
        <f>ROUND(SUM(X24:X33),1)</f>
        <v>105839.5</v>
      </c>
      <c r="Y34" s="2343"/>
      <c r="Z34" s="2345"/>
      <c r="AA34" s="2344"/>
      <c r="AB34" s="1605">
        <f>ROUND(SUM(AB23:AB33),1)</f>
        <v>10321.9</v>
      </c>
      <c r="AC34" s="23"/>
      <c r="AD34" s="1605">
        <f>ROUND(SUM(AD23:AD33),1)</f>
        <v>101973.3</v>
      </c>
      <c r="AE34" s="1517"/>
      <c r="AF34" s="2346"/>
      <c r="AG34" s="12">
        <f>ROUND(SUM(AG24:AG33),1)</f>
        <v>3866.2</v>
      </c>
      <c r="AH34" s="2347"/>
      <c r="AI34" s="1479">
        <f>ROUND(SUM((+X34-AD34)/ABS(AD34)),3)</f>
        <v>3.7999999999999999E-2</v>
      </c>
      <c r="AJ34" s="2314"/>
      <c r="AK34" s="2302"/>
      <c r="AL34" s="2302"/>
    </row>
    <row r="35" spans="1:38" ht="18" customHeight="1">
      <c r="A35" s="2313" t="s">
        <v>36</v>
      </c>
      <c r="B35" s="2355"/>
      <c r="C35" s="2313"/>
      <c r="D35" s="629"/>
      <c r="E35" s="9"/>
      <c r="F35" s="9"/>
      <c r="G35" s="9"/>
      <c r="H35" s="629"/>
      <c r="I35" s="9"/>
      <c r="J35" s="9"/>
      <c r="K35" s="9"/>
      <c r="L35" s="629"/>
      <c r="M35" s="9"/>
      <c r="N35" s="9"/>
      <c r="O35" s="9"/>
      <c r="P35" s="629"/>
      <c r="Q35" s="629"/>
      <c r="R35" s="629"/>
      <c r="S35" s="2337"/>
      <c r="T35" s="2337"/>
      <c r="U35" s="14"/>
      <c r="V35" s="629"/>
      <c r="W35" s="9"/>
      <c r="X35" s="9"/>
      <c r="Y35" s="2337"/>
      <c r="Z35" s="2338"/>
      <c r="AA35" s="14"/>
      <c r="AB35" s="634"/>
      <c r="AC35" s="22"/>
      <c r="AD35" s="1461"/>
      <c r="AE35" s="1461"/>
      <c r="AF35" s="2339"/>
      <c r="AG35" s="9"/>
      <c r="AI35" s="1465"/>
      <c r="AJ35" s="7"/>
      <c r="AK35" s="2302"/>
      <c r="AL35" s="2302"/>
    </row>
    <row r="36" spans="1:38" ht="18" customHeight="1">
      <c r="A36" s="2313" t="s">
        <v>37</v>
      </c>
      <c r="B36" s="2354"/>
      <c r="C36" s="2313"/>
      <c r="D36" s="629">
        <f>+'Exhibit F'!V113</f>
        <v>794.00000000000023</v>
      </c>
      <c r="E36" s="9"/>
      <c r="F36" s="9">
        <f>+'Exhibit F'!AC113</f>
        <v>7634.1</v>
      </c>
      <c r="G36" s="9"/>
      <c r="H36" s="1457">
        <f>'Exhibit G'!V100</f>
        <v>447.70000000000061</v>
      </c>
      <c r="I36" s="9"/>
      <c r="J36" s="9">
        <f>+'Exhibit G'!AD100</f>
        <v>4867.2</v>
      </c>
      <c r="K36" s="9"/>
      <c r="L36" s="632">
        <v>0</v>
      </c>
      <c r="M36" s="9"/>
      <c r="N36" s="10">
        <v>0</v>
      </c>
      <c r="O36" s="9"/>
      <c r="P36" s="632">
        <f>'Exhibit I'!W81</f>
        <v>0</v>
      </c>
      <c r="Q36" s="629"/>
      <c r="R36" s="632">
        <f>+'Exhibit I'!AF81</f>
        <v>0</v>
      </c>
      <c r="S36" s="2337"/>
      <c r="T36" s="2337"/>
      <c r="U36" s="14"/>
      <c r="V36" s="629">
        <f>ROUND(SUM(D36)+SUM(H36)+SUM(L36)+SUM(P36),1)</f>
        <v>1241.7</v>
      </c>
      <c r="W36" s="9" t="s">
        <v>15</v>
      </c>
      <c r="X36" s="9">
        <f>ROUND(SUM(F36)+SUM(J36)+SUM(N36)+SUM(R36),1)</f>
        <v>12501.3</v>
      </c>
      <c r="Y36" s="2337"/>
      <c r="Z36" s="2338"/>
      <c r="AA36" s="14"/>
      <c r="AB36" s="2095">
        <v>1223.5999999999999</v>
      </c>
      <c r="AC36" s="3547"/>
      <c r="AD36" s="22">
        <f>'Exhibit F'!AF113+'Exhibit G'!AG100+'Exhibit I'!AI81</f>
        <v>12134.9</v>
      </c>
      <c r="AE36" s="14"/>
      <c r="AF36" s="2339"/>
      <c r="AG36" s="9">
        <f>ROUND(SUM(X36-AD36),1)</f>
        <v>366.4</v>
      </c>
      <c r="AI36" s="1462">
        <f>ROUND(SUM((+X36-AD36)/ABS(AD36)),3)</f>
        <v>0.03</v>
      </c>
      <c r="AJ36" s="7"/>
      <c r="AK36" s="2302"/>
      <c r="AL36" s="2302"/>
    </row>
    <row r="37" spans="1:38" ht="18" customHeight="1">
      <c r="A37" s="2313" t="s">
        <v>38</v>
      </c>
      <c r="B37" s="2355"/>
      <c r="C37" s="2313"/>
      <c r="D37" s="629">
        <f>+'Exhibit F'!V114</f>
        <v>233.59999999999991</v>
      </c>
      <c r="E37" s="9"/>
      <c r="F37" s="9">
        <f>+'Exhibit F'!AC114</f>
        <v>2044.7</v>
      </c>
      <c r="G37" s="9"/>
      <c r="H37" s="1457">
        <f>'Exhibit G'!V101</f>
        <v>449.49999999999977</v>
      </c>
      <c r="I37" s="9"/>
      <c r="J37" s="9">
        <f>+'Exhibit G'!AD101</f>
        <v>3555.1</v>
      </c>
      <c r="K37" s="9"/>
      <c r="L37" s="1457">
        <f>+'Exhibit H'!T53</f>
        <v>0.19999999999999574</v>
      </c>
      <c r="M37" s="9"/>
      <c r="N37" s="9">
        <f>+'Exhibit H'!AA53</f>
        <v>27</v>
      </c>
      <c r="O37" s="9" t="s">
        <v>15</v>
      </c>
      <c r="P37" s="632">
        <f>'Exhibit I'!W82</f>
        <v>0</v>
      </c>
      <c r="Q37" s="629"/>
      <c r="R37" s="632">
        <f>+'Exhibit I'!AF82</f>
        <v>0</v>
      </c>
      <c r="S37" s="2337"/>
      <c r="T37" s="2337"/>
      <c r="U37" s="14"/>
      <c r="V37" s="629">
        <f>ROUND(SUM(D37)+SUM(H37)+SUM(L37)+SUM(P37),1)</f>
        <v>683.3</v>
      </c>
      <c r="W37" s="9" t="s">
        <v>15</v>
      </c>
      <c r="X37" s="9">
        <f>ROUND(SUM(F37)+SUM(J37)+SUM(N37)+SUM(R37),1)</f>
        <v>5626.8</v>
      </c>
      <c r="Y37" s="2337"/>
      <c r="Z37" s="2338"/>
      <c r="AA37" s="14"/>
      <c r="AB37" s="2095">
        <v>594.19999999999993</v>
      </c>
      <c r="AC37" s="3547"/>
      <c r="AD37" s="22">
        <f>'Exhibit F'!AF114+'Exhibit G'!AG101+'Exhibit I'!AI82+'Exhibit H'!AD53</f>
        <v>5424.9</v>
      </c>
      <c r="AE37" s="14"/>
      <c r="AF37" s="2339"/>
      <c r="AG37" s="9">
        <f>ROUND(SUM(X37-AD37),1)</f>
        <v>201.9</v>
      </c>
      <c r="AI37" s="1462">
        <f>ROUND(SUM((+X37-AD37)/ABS(AD37)),3)</f>
        <v>3.6999999999999998E-2</v>
      </c>
      <c r="AJ37" s="7"/>
      <c r="AK37" s="2302"/>
      <c r="AL37" s="2302"/>
    </row>
    <row r="38" spans="1:38" ht="18" customHeight="1">
      <c r="A38" s="2313" t="s">
        <v>39</v>
      </c>
      <c r="B38" s="2356"/>
      <c r="C38" s="2313"/>
      <c r="D38" s="629">
        <f>+'Exhibit F'!V115</f>
        <v>447.40000000000055</v>
      </c>
      <c r="E38" s="9"/>
      <c r="F38" s="9">
        <f>+'Exhibit F'!AC115</f>
        <v>6566.1</v>
      </c>
      <c r="G38" s="2359"/>
      <c r="H38" s="1457">
        <f>'Exhibit G'!V102</f>
        <v>119.09999999999991</v>
      </c>
      <c r="I38" s="9"/>
      <c r="J38" s="9">
        <f>+'Exhibit G'!AD102</f>
        <v>1114.8</v>
      </c>
      <c r="K38" s="9"/>
      <c r="L38" s="632">
        <v>0</v>
      </c>
      <c r="M38" s="9"/>
      <c r="N38" s="10">
        <v>0</v>
      </c>
      <c r="O38" s="9"/>
      <c r="P38" s="632">
        <f>'Exhibit I'!W83</f>
        <v>0</v>
      </c>
      <c r="Q38" s="629"/>
      <c r="R38" s="632">
        <f>+'Exhibit I'!AF83</f>
        <v>0</v>
      </c>
      <c r="S38" s="2337"/>
      <c r="T38" s="2337"/>
      <c r="U38" s="14"/>
      <c r="V38" s="629">
        <f>ROUND(SUM(D38)+SUM(H38)+SUM(L38)+SUM(P38),1)</f>
        <v>566.5</v>
      </c>
      <c r="W38" s="9" t="s">
        <v>15</v>
      </c>
      <c r="X38" s="9">
        <f>ROUND(SUM(F38)+SUM(J38)+SUM(N38)+SUM(R38),1)</f>
        <v>7680.9</v>
      </c>
      <c r="Y38" s="2337"/>
      <c r="Z38" s="2338"/>
      <c r="AA38" s="14"/>
      <c r="AB38" s="2095">
        <v>570.6</v>
      </c>
      <c r="AC38" s="22"/>
      <c r="AD38" s="22">
        <f>'Exhibit F'!AF115+'Exhibit G'!AG102+'Exhibit I'!AI83</f>
        <v>7571.1</v>
      </c>
      <c r="AE38" s="14"/>
      <c r="AF38" s="2339"/>
      <c r="AG38" s="9">
        <f>ROUND(SUM(X38-AD38),1)</f>
        <v>109.8</v>
      </c>
      <c r="AI38" s="1462">
        <f>ROUND(SUM((+X38-AD38)/ABS(AD38)),3)</f>
        <v>1.4999999999999999E-2</v>
      </c>
      <c r="AJ38" s="7"/>
      <c r="AK38" s="2302"/>
      <c r="AL38" s="2302"/>
    </row>
    <row r="39" spans="1:38" ht="18" customHeight="1">
      <c r="A39" s="2313" t="s">
        <v>40</v>
      </c>
      <c r="B39" s="2313"/>
      <c r="C39" s="2313"/>
      <c r="D39" s="629"/>
      <c r="E39" s="9"/>
      <c r="F39" s="9"/>
      <c r="G39" s="9"/>
      <c r="H39" s="629"/>
      <c r="I39" s="9"/>
      <c r="J39" s="18"/>
      <c r="K39" s="9"/>
      <c r="L39" s="629"/>
      <c r="M39" s="9"/>
      <c r="N39" s="9"/>
      <c r="O39" s="9"/>
      <c r="P39" s="632"/>
      <c r="Q39" s="629"/>
      <c r="R39" s="629"/>
      <c r="S39" s="2337"/>
      <c r="T39" s="2337"/>
      <c r="U39" s="14"/>
      <c r="V39" s="629"/>
      <c r="W39" s="9"/>
      <c r="X39" s="9"/>
      <c r="Y39" s="2337"/>
      <c r="Z39" s="2338"/>
      <c r="AA39" s="14"/>
      <c r="AB39" s="634"/>
      <c r="AC39" s="22"/>
      <c r="AD39" s="1461"/>
      <c r="AE39" s="14"/>
      <c r="AF39" s="2339"/>
      <c r="AG39" s="9"/>
      <c r="AI39" s="1462"/>
      <c r="AJ39" s="7"/>
      <c r="AK39" s="2302"/>
      <c r="AL39" s="2302"/>
    </row>
    <row r="40" spans="1:38" ht="18" customHeight="1">
      <c r="A40" s="2313" t="s">
        <v>41</v>
      </c>
      <c r="B40" s="2356"/>
      <c r="C40" s="2313"/>
      <c r="D40" s="632">
        <v>0</v>
      </c>
      <c r="E40" s="9"/>
      <c r="F40" s="10">
        <v>0</v>
      </c>
      <c r="G40" s="9"/>
      <c r="H40" s="1457">
        <v>0</v>
      </c>
      <c r="I40" s="9"/>
      <c r="J40" s="10">
        <v>0</v>
      </c>
      <c r="K40" s="9"/>
      <c r="L40" s="629">
        <f>+'Exhibit H'!T55</f>
        <v>44.599999999999909</v>
      </c>
      <c r="M40" s="9"/>
      <c r="N40" s="9">
        <f>+'Exhibit H'!AA55</f>
        <v>1556.8</v>
      </c>
      <c r="O40" s="9" t="s">
        <v>15</v>
      </c>
      <c r="P40" s="632">
        <v>0</v>
      </c>
      <c r="Q40" s="629"/>
      <c r="R40" s="632">
        <v>0</v>
      </c>
      <c r="S40" s="2337"/>
      <c r="T40" s="2337"/>
      <c r="U40" s="14"/>
      <c r="V40" s="629">
        <f>ROUND(SUM(D40)+SUM(H40)+SUM(L40)+SUM(P40),1)</f>
        <v>44.6</v>
      </c>
      <c r="W40" s="9" t="s">
        <v>15</v>
      </c>
      <c r="X40" s="9">
        <f>ROUND(SUM(F40)+SUM(J40)+SUM(N40)+SUM(R40),1)</f>
        <v>1556.8</v>
      </c>
      <c r="Y40" s="2337"/>
      <c r="Z40" s="2338"/>
      <c r="AA40" s="14"/>
      <c r="AB40" s="2095">
        <v>16.399999999999999</v>
      </c>
      <c r="AC40" s="22"/>
      <c r="AD40" s="1461">
        <f>'Exhibit H'!AD55</f>
        <v>1768.9</v>
      </c>
      <c r="AE40" s="14"/>
      <c r="AF40" s="2339"/>
      <c r="AG40" s="9">
        <f>ROUND(SUM(X40-AD40),1)</f>
        <v>-212.1</v>
      </c>
      <c r="AI40" s="1462">
        <f>ROUND(SUM((+X40-AD40)/ABS(AD40)),3)</f>
        <v>-0.12</v>
      </c>
      <c r="AJ40" s="2360"/>
      <c r="AK40" s="2302"/>
      <c r="AL40" s="2302"/>
    </row>
    <row r="41" spans="1:38" ht="18" customHeight="1">
      <c r="A41" s="2313" t="s">
        <v>42</v>
      </c>
      <c r="B41" s="2356" t="s">
        <v>963</v>
      </c>
      <c r="C41" s="2313"/>
      <c r="D41" s="1454">
        <v>0</v>
      </c>
      <c r="E41" s="9"/>
      <c r="F41" s="17">
        <v>0</v>
      </c>
      <c r="G41" s="9"/>
      <c r="H41" s="1457">
        <f>'Exhibit G'!V103</f>
        <v>0</v>
      </c>
      <c r="I41" s="9"/>
      <c r="J41" s="9">
        <f>+'Exhibit G'!AD103</f>
        <v>0</v>
      </c>
      <c r="K41" s="9"/>
      <c r="L41" s="1454">
        <v>0</v>
      </c>
      <c r="M41" s="9"/>
      <c r="N41" s="17">
        <v>0</v>
      </c>
      <c r="O41" s="9"/>
      <c r="P41" s="1457">
        <f>'Exhibit I'!W84</f>
        <v>551.7999999999995</v>
      </c>
      <c r="Q41" s="629"/>
      <c r="R41" s="633">
        <f>+'Exhibit I'!AF84</f>
        <v>5976.8</v>
      </c>
      <c r="S41" s="2337"/>
      <c r="T41" s="2337"/>
      <c r="U41" s="14"/>
      <c r="V41" s="629">
        <f>ROUND(SUM(D41)+SUM(H41)+SUM(L41)+SUM(P41),1)</f>
        <v>551.79999999999995</v>
      </c>
      <c r="W41" s="9" t="s">
        <v>15</v>
      </c>
      <c r="X41" s="9">
        <f>ROUND(SUM(F41)+SUM(J41)+SUM(N41)+SUM(R41),1)</f>
        <v>5976.8</v>
      </c>
      <c r="Y41" s="2337"/>
      <c r="Z41" s="2338"/>
      <c r="AA41" s="14"/>
      <c r="AB41" s="2095">
        <v>557.79999999999995</v>
      </c>
      <c r="AC41" s="22"/>
      <c r="AD41" s="1461">
        <f>'Exhibit G'!AG103+'Exhibit I'!AI84</f>
        <v>5968.3</v>
      </c>
      <c r="AE41" s="14"/>
      <c r="AF41" s="2339"/>
      <c r="AG41" s="9">
        <f>ROUND(SUM(X41-AD41),1)</f>
        <v>8.5</v>
      </c>
      <c r="AI41" s="1462">
        <f>ROUND(SUM((+X41-AD41)/ABS(AD41)),3)</f>
        <v>1E-3</v>
      </c>
      <c r="AJ41" s="2360"/>
      <c r="AK41" s="2302"/>
      <c r="AL41" s="2302"/>
    </row>
    <row r="42" spans="1:38" ht="18" customHeight="1">
      <c r="A42" s="2312" t="s">
        <v>43</v>
      </c>
      <c r="B42" s="2313"/>
      <c r="C42" s="2313"/>
      <c r="D42" s="12">
        <f>ROUND(SUM(D34:D41),1)</f>
        <v>4239.6000000000004</v>
      </c>
      <c r="E42" s="1399"/>
      <c r="F42" s="12">
        <f>ROUND(SUM(F34:F41),1)</f>
        <v>55549.2</v>
      </c>
      <c r="G42" s="1399"/>
      <c r="H42" s="12">
        <f>ROUND(SUM(H34:H41),1)</f>
        <v>9365.4</v>
      </c>
      <c r="I42" s="1399"/>
      <c r="J42" s="12">
        <f>ROUND(SUM(J34:J41),1)</f>
        <v>71743.3</v>
      </c>
      <c r="K42" s="1399"/>
      <c r="L42" s="12">
        <f>ROUND(SUM(L34:L41),1)</f>
        <v>44.8</v>
      </c>
      <c r="M42" s="1399"/>
      <c r="N42" s="12">
        <f>ROUND(SUM(N34:N41),1)</f>
        <v>1583.8</v>
      </c>
      <c r="O42" s="1399"/>
      <c r="P42" s="12">
        <f>ROUND(SUM(P34:P41),1)</f>
        <v>1173.2</v>
      </c>
      <c r="Q42" s="1399"/>
      <c r="R42" s="12">
        <f>ROUND(SUM(R34:R41),1)</f>
        <v>10305.799999999999</v>
      </c>
      <c r="S42" s="2343"/>
      <c r="T42" s="2343"/>
      <c r="U42" s="2344"/>
      <c r="V42" s="12">
        <f>ROUND(SUM(V34:V41),1)</f>
        <v>14823</v>
      </c>
      <c r="W42" s="1399"/>
      <c r="X42" s="12">
        <f>ROUND(SUM(X34:X41),1)</f>
        <v>139182.1</v>
      </c>
      <c r="Y42" s="2343"/>
      <c r="Z42" s="2345"/>
      <c r="AA42" s="2344"/>
      <c r="AB42" s="1605">
        <f>ROUND(SUM(AB34:AB41),1)</f>
        <v>13284.5</v>
      </c>
      <c r="AC42" s="23"/>
      <c r="AD42" s="1605">
        <f>ROUND(SUM(AD34:AD41),1)</f>
        <v>134841.4</v>
      </c>
      <c r="AE42" s="1517"/>
      <c r="AF42" s="2346"/>
      <c r="AG42" s="12">
        <f>ROUND(SUM(AG34:AG41),1)</f>
        <v>4340.7</v>
      </c>
      <c r="AH42" s="2347"/>
      <c r="AI42" s="1479">
        <f>ROUND(SUM((+X42-AD42)/ABS(AD42)),3)</f>
        <v>3.2000000000000001E-2</v>
      </c>
      <c r="AJ42" s="2314"/>
      <c r="AK42" s="2302"/>
      <c r="AL42" s="2302"/>
    </row>
    <row r="43" spans="1:38" ht="16.350000000000001" customHeight="1">
      <c r="A43" s="2312"/>
      <c r="B43" s="2313"/>
      <c r="C43" s="2313"/>
      <c r="D43" s="630"/>
      <c r="E43" s="9"/>
      <c r="F43" s="14"/>
      <c r="G43" s="9"/>
      <c r="H43" s="630"/>
      <c r="I43" s="9"/>
      <c r="J43" s="14"/>
      <c r="K43" s="9"/>
      <c r="L43" s="630"/>
      <c r="M43" s="9"/>
      <c r="N43" s="14"/>
      <c r="O43" s="9"/>
      <c r="P43" s="1460"/>
      <c r="Q43" s="629"/>
      <c r="R43" s="630"/>
      <c r="S43" s="2337"/>
      <c r="T43" s="2337"/>
      <c r="U43" s="14"/>
      <c r="V43" s="630"/>
      <c r="W43" s="9"/>
      <c r="X43" s="14"/>
      <c r="Y43" s="2337"/>
      <c r="Z43" s="2338"/>
      <c r="AA43" s="14"/>
      <c r="AB43" s="1456" t="s">
        <v>15</v>
      </c>
      <c r="AC43" s="22"/>
      <c r="AD43" s="1461"/>
      <c r="AE43" s="1461"/>
      <c r="AF43" s="2339"/>
      <c r="AG43" s="14"/>
      <c r="AI43" s="1465"/>
      <c r="AJ43" s="7"/>
      <c r="AK43" s="2302"/>
      <c r="AL43" s="2302"/>
    </row>
    <row r="44" spans="1:38" ht="16.350000000000001" customHeight="1">
      <c r="A44" s="2312" t="s">
        <v>44</v>
      </c>
      <c r="B44" s="2312"/>
      <c r="C44" s="2313"/>
      <c r="D44" s="629"/>
      <c r="E44" s="9"/>
      <c r="F44" s="9"/>
      <c r="G44" s="9"/>
      <c r="H44" s="629"/>
      <c r="I44" s="9"/>
      <c r="J44" s="9"/>
      <c r="K44" s="9"/>
      <c r="L44" s="629"/>
      <c r="M44" s="9"/>
      <c r="N44" s="9"/>
      <c r="O44" s="9"/>
      <c r="P44" s="1457"/>
      <c r="Q44" s="629"/>
      <c r="R44" s="629"/>
      <c r="S44" s="2337"/>
      <c r="T44" s="2337"/>
      <c r="U44" s="14"/>
      <c r="V44" s="629"/>
      <c r="W44" s="9"/>
      <c r="X44" s="9"/>
      <c r="Y44" s="2337"/>
      <c r="Z44" s="2338"/>
      <c r="AA44" s="14"/>
      <c r="AB44" s="634"/>
      <c r="AC44" s="22"/>
      <c r="AD44" s="1461"/>
      <c r="AE44" s="1461"/>
      <c r="AF44" s="2339"/>
      <c r="AG44" s="9"/>
      <c r="AI44" s="1465"/>
      <c r="AJ44" s="7"/>
      <c r="AK44" s="2302"/>
      <c r="AL44" s="2302"/>
    </row>
    <row r="45" spans="1:38" ht="16.350000000000001" customHeight="1">
      <c r="A45" s="2312" t="s">
        <v>45</v>
      </c>
      <c r="B45" s="2312"/>
      <c r="C45" s="2313"/>
      <c r="D45" s="19">
        <f>ROUND(SUM(D20-D42),1)</f>
        <v>-891.8</v>
      </c>
      <c r="E45" s="1399"/>
      <c r="F45" s="19">
        <f>ROUND(SUM(F20-F42),1)</f>
        <v>-19717.400000000001</v>
      </c>
      <c r="G45" s="1399"/>
      <c r="H45" s="19">
        <f>ROUND(SUM(H20-H42),1)</f>
        <v>564.6</v>
      </c>
      <c r="I45" s="1399"/>
      <c r="J45" s="19">
        <f>ROUND(SUM(J20-J42),1)</f>
        <v>3105.6</v>
      </c>
      <c r="K45" s="1399"/>
      <c r="L45" s="19">
        <f>ROUND(SUM(L20-L42),1)</f>
        <v>5162.3999999999996</v>
      </c>
      <c r="M45" s="1399" t="s">
        <v>15</v>
      </c>
      <c r="N45" s="19">
        <f>ROUND(SUM(N20-N42),1)</f>
        <v>29126</v>
      </c>
      <c r="O45" s="1399" t="s">
        <v>15</v>
      </c>
      <c r="P45" s="20">
        <f>ROUND(SUM(P20-P42),1)</f>
        <v>-96.8</v>
      </c>
      <c r="Q45" s="1399" t="s">
        <v>15</v>
      </c>
      <c r="R45" s="20">
        <f>ROUND(SUM(R20-R42),1)</f>
        <v>-2740.5</v>
      </c>
      <c r="S45" s="2343"/>
      <c r="T45" s="2343"/>
      <c r="U45" s="2344"/>
      <c r="V45" s="19">
        <f>ROUND(SUM(V20-V42),1)</f>
        <v>4738.3999999999996</v>
      </c>
      <c r="W45" s="1399" t="s">
        <v>15</v>
      </c>
      <c r="X45" s="19">
        <f>ROUND(SUM(X20-X42),1)</f>
        <v>9773.7000000000007</v>
      </c>
      <c r="Y45" s="2343"/>
      <c r="Z45" s="2345"/>
      <c r="AA45" s="2344"/>
      <c r="AB45" s="1701">
        <f>ROUND(SUM(AB20-AB42),1)</f>
        <v>4989.1000000000004</v>
      </c>
      <c r="AC45" s="23"/>
      <c r="AD45" s="1701">
        <f>ROUND(SUM(AD20-AD42),1)</f>
        <v>4682.7</v>
      </c>
      <c r="AE45" s="1517"/>
      <c r="AF45" s="2346"/>
      <c r="AG45" s="19">
        <f>ROUND(SUM(X45-AD45),1)</f>
        <v>5091</v>
      </c>
      <c r="AH45" s="2361"/>
      <c r="AI45" s="1464">
        <f>ROUND(SUM((+X45-AD45)/ABS(AD45)),3)</f>
        <v>1.087</v>
      </c>
      <c r="AJ45" s="2314"/>
      <c r="AK45" s="2302"/>
      <c r="AL45" s="2302"/>
    </row>
    <row r="46" spans="1:38" ht="16.350000000000001" customHeight="1">
      <c r="A46" s="2313"/>
      <c r="B46" s="2313"/>
      <c r="C46" s="2313"/>
      <c r="D46" s="630"/>
      <c r="E46" s="9"/>
      <c r="F46" s="14"/>
      <c r="G46" s="9"/>
      <c r="H46" s="1456"/>
      <c r="I46" s="9"/>
      <c r="J46" s="14"/>
      <c r="K46" s="9"/>
      <c r="L46" s="630"/>
      <c r="M46" s="9"/>
      <c r="N46" s="14"/>
      <c r="O46" s="9"/>
      <c r="P46" s="1460"/>
      <c r="Q46" s="629"/>
      <c r="R46" s="630"/>
      <c r="S46" s="2337"/>
      <c r="T46" s="2337"/>
      <c r="U46" s="14"/>
      <c r="V46" s="630"/>
      <c r="W46" s="9"/>
      <c r="X46" s="14"/>
      <c r="Y46" s="2337"/>
      <c r="Z46" s="2338"/>
      <c r="AA46" s="14"/>
      <c r="AB46" s="1456"/>
      <c r="AC46" s="22"/>
      <c r="AD46" s="1461"/>
      <c r="AE46" s="1461"/>
      <c r="AF46" s="2339"/>
      <c r="AG46" s="14"/>
      <c r="AI46" s="1465"/>
      <c r="AJ46" s="7"/>
      <c r="AK46" s="2302"/>
      <c r="AL46" s="2302"/>
    </row>
    <row r="47" spans="1:38" ht="16.350000000000001" customHeight="1">
      <c r="A47" s="2312" t="s">
        <v>46</v>
      </c>
      <c r="B47" s="2312"/>
      <c r="C47" s="2313"/>
      <c r="D47" s="629"/>
      <c r="E47" s="9"/>
      <c r="F47" s="22"/>
      <c r="G47" s="22"/>
      <c r="H47" s="634"/>
      <c r="I47" s="22"/>
      <c r="J47" s="22"/>
      <c r="K47" s="22"/>
      <c r="L47" s="634"/>
      <c r="M47" s="22"/>
      <c r="N47" s="22"/>
      <c r="O47" s="22"/>
      <c r="P47" s="3659"/>
      <c r="Q47" s="634"/>
      <c r="R47" s="1456"/>
      <c r="S47" s="2337"/>
      <c r="T47" s="2337"/>
      <c r="U47" s="14"/>
      <c r="V47" s="629"/>
      <c r="W47" s="9"/>
      <c r="X47" s="22"/>
      <c r="Y47" s="2337"/>
      <c r="Z47" s="2338"/>
      <c r="AA47" s="14"/>
      <c r="AB47" s="634"/>
      <c r="AC47" s="22"/>
      <c r="AD47" s="1461"/>
      <c r="AE47" s="1461"/>
      <c r="AF47" s="2339"/>
      <c r="AG47" s="9"/>
      <c r="AI47" s="1465"/>
      <c r="AJ47" s="7"/>
      <c r="AK47" s="2302"/>
      <c r="AL47" s="2302"/>
    </row>
    <row r="48" spans="1:38" ht="18" customHeight="1">
      <c r="A48" s="2362" t="s">
        <v>47</v>
      </c>
      <c r="B48" s="2313"/>
      <c r="C48" s="2313"/>
      <c r="D48" s="1455">
        <v>0</v>
      </c>
      <c r="E48" s="9"/>
      <c r="F48" s="21">
        <v>0</v>
      </c>
      <c r="G48" s="22"/>
      <c r="H48" s="1455">
        <v>0</v>
      </c>
      <c r="I48" s="22"/>
      <c r="J48" s="21">
        <v>0</v>
      </c>
      <c r="K48" s="22"/>
      <c r="L48" s="1455">
        <v>0</v>
      </c>
      <c r="M48" s="1461"/>
      <c r="N48" s="21">
        <v>0</v>
      </c>
      <c r="O48" s="1461"/>
      <c r="P48" s="1455">
        <f>+'Exhibit I'!W92</f>
        <v>0</v>
      </c>
      <c r="Q48" s="1456"/>
      <c r="R48" s="1455">
        <f>'Exhibit I'!AF92</f>
        <v>0</v>
      </c>
      <c r="S48" s="2337"/>
      <c r="T48" s="2337"/>
      <c r="U48" s="14"/>
      <c r="V48" s="629">
        <f>ROUND(SUM(D48)+SUM(H48)+SUM(L48)+SUM(P48),1)</f>
        <v>0</v>
      </c>
      <c r="W48" s="17"/>
      <c r="X48" s="9">
        <f>ROUND(SUM(F48)+SUM(J48)+SUM(N48)+SUM(R48),1)</f>
        <v>0</v>
      </c>
      <c r="Y48" s="2337"/>
      <c r="Z48" s="2338"/>
      <c r="AA48" s="14"/>
      <c r="AB48" s="2095">
        <v>0</v>
      </c>
      <c r="AC48" s="21"/>
      <c r="AD48" s="3672">
        <f>'Exhibit I'!AI92</f>
        <v>0</v>
      </c>
      <c r="AE48" s="17"/>
      <c r="AF48" s="2363"/>
      <c r="AG48" s="14">
        <f>X48-AD48</f>
        <v>0</v>
      </c>
      <c r="AH48" s="2364"/>
      <c r="AI48" s="1462">
        <f>ROUND(IF(AD48=0,0,AG48/ABS(AD48)),3)</f>
        <v>0</v>
      </c>
      <c r="AJ48" s="2365"/>
      <c r="AK48" s="2302"/>
      <c r="AL48" s="2302"/>
    </row>
    <row r="49" spans="1:40" ht="18" customHeight="1">
      <c r="A49" s="2362" t="s">
        <v>48</v>
      </c>
      <c r="B49" s="2366" t="s">
        <v>1268</v>
      </c>
      <c r="C49" s="2362"/>
      <c r="D49" s="634">
        <f>+'Exhibit F'!V124+'Exhibit F'!V125+'Exhibit F'!V126+'Exhibit F'!V127</f>
        <v>4121.2000000000007</v>
      </c>
      <c r="E49" s="9"/>
      <c r="F49" s="22">
        <f>+'Exhibit F'!AC124+'Exhibit F'!AC125+'Exhibit F'!AC126+'Exhibit F'!AC127</f>
        <v>29399.8</v>
      </c>
      <c r="G49" s="22"/>
      <c r="H49" s="634">
        <f>'Exhibit G'!V111-12.5</f>
        <v>71.599999999999909</v>
      </c>
      <c r="I49" s="22"/>
      <c r="J49" s="22">
        <f>+'Exhibit G'!AD111</f>
        <v>2064.6999999999998</v>
      </c>
      <c r="K49" s="1461"/>
      <c r="L49" s="1456">
        <f>+'Exhibit H'!T64</f>
        <v>453.5</v>
      </c>
      <c r="M49" s="1461"/>
      <c r="N49" s="22">
        <f>+'Exhibit H'!AA64</f>
        <v>2493.3000000000002</v>
      </c>
      <c r="O49" s="1461"/>
      <c r="P49" s="1455">
        <f>'Exhibit I'!W93</f>
        <v>322.89999999999986</v>
      </c>
      <c r="Q49" s="1456"/>
      <c r="R49" s="1456">
        <f>+'Exhibit I'!AF93</f>
        <v>3671.8</v>
      </c>
      <c r="S49" s="2367"/>
      <c r="T49" s="2367"/>
      <c r="U49" s="1461"/>
      <c r="V49" s="629">
        <f>ROUND(SUM(D49)+SUM(H49)+SUM(L49)+SUM(P49),1)</f>
        <v>4969.2</v>
      </c>
      <c r="W49" s="22" t="s">
        <v>15</v>
      </c>
      <c r="X49" s="9">
        <f>ROUND(SUM(F49)+SUM(J49)+SUM(N49)+SUM(R49),1)</f>
        <v>37629.599999999999</v>
      </c>
      <c r="Y49" s="2367"/>
      <c r="Z49" s="2368"/>
      <c r="AA49" s="1461"/>
      <c r="AB49" s="2095">
        <v>4047.7999999999997</v>
      </c>
      <c r="AC49" s="22"/>
      <c r="AD49" s="1461">
        <f>'Exhibit F'!AF124+'Exhibit F'!AF125+'Exhibit F'!AF126+'Exhibit F'!AF127+'Exhibit G'!AG111+'Exhibit H'!AD64+'Exhibit I'!AI93</f>
        <v>32494</v>
      </c>
      <c r="AE49" s="1461"/>
      <c r="AF49" s="2339"/>
      <c r="AG49" s="14">
        <f>ROUND(SUM(X49-AD49),1)</f>
        <v>5135.6000000000004</v>
      </c>
      <c r="AH49" s="2364"/>
      <c r="AI49" s="1462">
        <f>ROUND(SUM((+X49-AD49)/ABS(AD49)),3)</f>
        <v>0.158</v>
      </c>
      <c r="AJ49" s="7"/>
      <c r="AK49" s="2302"/>
      <c r="AL49" s="2302"/>
    </row>
    <row r="50" spans="1:40" ht="18" customHeight="1">
      <c r="A50" s="2362" t="s">
        <v>49</v>
      </c>
      <c r="B50" s="2366" t="s">
        <v>1268</v>
      </c>
      <c r="C50" s="2362"/>
      <c r="D50" s="1456">
        <f>+'Exhibit F'!V128+'Exhibit F'!V130+'Exhibit F'!V131+'Exhibit F'!V129</f>
        <v>-591.10000000000014</v>
      </c>
      <c r="E50" s="22"/>
      <c r="F50" s="22">
        <f>+'Exhibit F'!AC128+'Exhibit F'!AC130+'Exhibit F'!AC131+'Exhibit F'!AC129</f>
        <v>-6070.1</v>
      </c>
      <c r="G50" s="22"/>
      <c r="H50" s="634">
        <f>'Exhibit G'!V112+12.5</f>
        <v>-323.60000000000014</v>
      </c>
      <c r="I50" s="22"/>
      <c r="J50" s="22">
        <f>+'Exhibit G'!AD112</f>
        <v>-1837.3</v>
      </c>
      <c r="K50" s="22"/>
      <c r="L50" s="1456">
        <f>+'Exhibit H'!T65</f>
        <v>-4019.5</v>
      </c>
      <c r="M50" s="1461"/>
      <c r="N50" s="22">
        <f>+'Exhibit H'!AA65</f>
        <v>-29102.6</v>
      </c>
      <c r="O50" s="1461"/>
      <c r="P50" s="1455">
        <f>'Exhibit I'!W94</f>
        <v>-45.700000000000017</v>
      </c>
      <c r="Q50" s="634"/>
      <c r="R50" s="1456">
        <f>+'Exhibit I'!AF94</f>
        <v>-740.3</v>
      </c>
      <c r="S50" s="2367"/>
      <c r="T50" s="2367"/>
      <c r="U50" s="1461"/>
      <c r="V50" s="629">
        <f>ROUND(SUM(D50)+SUM(H50)+SUM(L50)+SUM(P50),1)</f>
        <v>-4979.8999999999996</v>
      </c>
      <c r="W50" s="2369" t="s">
        <v>15</v>
      </c>
      <c r="X50" s="9">
        <f>ROUND(SUM(F50)+SUM(J50)+SUM(N50)+SUM(R50),1)</f>
        <v>-37750.300000000003</v>
      </c>
      <c r="Y50" s="2367"/>
      <c r="Z50" s="2368"/>
      <c r="AA50" s="1461"/>
      <c r="AB50" s="2095">
        <v>-4073.1</v>
      </c>
      <c r="AC50" s="22"/>
      <c r="AD50" s="1461">
        <f>'Exhibit F'!AF128+'Exhibit F'!AF129+'Exhibit F'!AF130+'Exhibit F'!AF131+'Exhibit G'!AG112+'Exhibit H'!AD65+'Exhibit I'!AI94</f>
        <v>-32538.5</v>
      </c>
      <c r="AE50" s="1461"/>
      <c r="AF50" s="2339"/>
      <c r="AG50" s="2370">
        <f>ROUND(SUM(X50-AD50),1)*-1</f>
        <v>5211.8</v>
      </c>
      <c r="AI50" s="1463">
        <f>-ROUND(SUM((+X50-AD50)/ABS(AD50)),3)</f>
        <v>0.16</v>
      </c>
      <c r="AJ50" s="7"/>
      <c r="AK50" s="2302"/>
      <c r="AL50" s="2302"/>
    </row>
    <row r="51" spans="1:40" ht="18" customHeight="1">
      <c r="A51" s="2312" t="s">
        <v>50</v>
      </c>
      <c r="B51" s="2312"/>
      <c r="C51" s="2313"/>
      <c r="D51" s="12">
        <f>ROUND(SUM(D48:D50),1)</f>
        <v>3530.1</v>
      </c>
      <c r="E51" s="9"/>
      <c r="F51" s="1605">
        <f>ROUND(SUM(F48:F50),1)</f>
        <v>23329.7</v>
      </c>
      <c r="G51" s="23"/>
      <c r="H51" s="1605">
        <f>ROUND(SUM(H48:H50),1)</f>
        <v>-252</v>
      </c>
      <c r="I51" s="23"/>
      <c r="J51" s="1605">
        <f>ROUND(SUM(J48:J50),1)</f>
        <v>227.4</v>
      </c>
      <c r="K51" s="23"/>
      <c r="L51" s="1605">
        <f>ROUND(SUM(L48:L50),1)</f>
        <v>-3566</v>
      </c>
      <c r="M51" s="23"/>
      <c r="N51" s="1605">
        <f>ROUND(SUM(N48:N50),1)</f>
        <v>-26609.3</v>
      </c>
      <c r="O51" s="23"/>
      <c r="P51" s="1605">
        <f>ROUND(SUM(P48:P50),1)</f>
        <v>277.2</v>
      </c>
      <c r="Q51" s="23"/>
      <c r="R51" s="1605">
        <f>ROUND(SUM(R48:R50),1)</f>
        <v>2931.5</v>
      </c>
      <c r="S51" s="2343"/>
      <c r="T51" s="2343"/>
      <c r="U51" s="2344"/>
      <c r="V51" s="1542">
        <f>ROUND(SUM(V48+V49+V50),1)</f>
        <v>-10.7</v>
      </c>
      <c r="W51" s="1399"/>
      <c r="X51" s="1542">
        <f>ROUND(SUM(+X48+X49+X50),1)</f>
        <v>-120.7</v>
      </c>
      <c r="Y51" s="2343"/>
      <c r="Z51" s="2345"/>
      <c r="AA51" s="2344"/>
      <c r="AB51" s="2371">
        <f>ROUND(SUM(+AB48+AB49+AB50),1)</f>
        <v>-25.3</v>
      </c>
      <c r="AC51" s="23"/>
      <c r="AD51" s="2371">
        <f>ROUND(SUM(+AD48+AD49+AD50),1)</f>
        <v>-44.5</v>
      </c>
      <c r="AE51" s="2372"/>
      <c r="AF51" s="2346"/>
      <c r="AG51" s="11">
        <f>ROUND(SUM(+AG49-AG50+AG48),1)</f>
        <v>-76.2</v>
      </c>
      <c r="AH51" s="2347"/>
      <c r="AI51" s="1464">
        <f>-ROUND(SUM(AG51/AD51),3)</f>
        <v>-1.712</v>
      </c>
      <c r="AJ51" s="2314"/>
      <c r="AK51" s="2302"/>
      <c r="AL51" s="2302"/>
    </row>
    <row r="52" spans="1:40" ht="16.350000000000001" customHeight="1">
      <c r="A52" s="2313"/>
      <c r="B52" s="2313"/>
      <c r="C52" s="2313"/>
      <c r="D52" s="630"/>
      <c r="E52" s="9"/>
      <c r="F52" s="1461"/>
      <c r="G52" s="22"/>
      <c r="H52" s="1456"/>
      <c r="I52" s="22"/>
      <c r="J52" s="1461"/>
      <c r="K52" s="22"/>
      <c r="L52" s="1456"/>
      <c r="M52" s="22"/>
      <c r="N52" s="1461"/>
      <c r="O52" s="22"/>
      <c r="P52" s="1456"/>
      <c r="Q52" s="634"/>
      <c r="R52" s="1456"/>
      <c r="S52" s="2337"/>
      <c r="T52" s="2337"/>
      <c r="U52" s="14"/>
      <c r="V52" s="630"/>
      <c r="W52" s="9"/>
      <c r="X52" s="14"/>
      <c r="Y52" s="2337"/>
      <c r="Z52" s="2338"/>
      <c r="AA52" s="14"/>
      <c r="AB52" s="1456"/>
      <c r="AC52" s="22"/>
      <c r="AD52" s="1461"/>
      <c r="AE52" s="1461"/>
      <c r="AF52" s="2339"/>
      <c r="AG52" s="14"/>
      <c r="AI52" s="1465"/>
      <c r="AJ52" s="7"/>
      <c r="AK52" s="2302"/>
      <c r="AL52" s="2302"/>
    </row>
    <row r="53" spans="1:40" ht="18" customHeight="1">
      <c r="A53" s="2311" t="s">
        <v>44</v>
      </c>
      <c r="B53" s="2312"/>
      <c r="C53" s="2313"/>
      <c r="D53" s="629"/>
      <c r="E53" s="9"/>
      <c r="F53" s="9"/>
      <c r="G53" s="9"/>
      <c r="H53" s="629"/>
      <c r="I53" s="9"/>
      <c r="J53" s="9"/>
      <c r="K53" s="9"/>
      <c r="L53" s="629"/>
      <c r="M53" s="9"/>
      <c r="N53" s="9"/>
      <c r="O53" s="9"/>
      <c r="P53" s="629"/>
      <c r="Q53" s="629"/>
      <c r="R53" s="629"/>
      <c r="S53" s="2337"/>
      <c r="T53" s="2337"/>
      <c r="U53" s="14"/>
      <c r="V53" s="629"/>
      <c r="W53" s="9"/>
      <c r="X53" s="9"/>
      <c r="Y53" s="2337"/>
      <c r="Z53" s="2338"/>
      <c r="AA53" s="14"/>
      <c r="AB53" s="634"/>
      <c r="AC53" s="22"/>
      <c r="AD53" s="1461"/>
      <c r="AE53" s="1461"/>
      <c r="AF53" s="2339"/>
      <c r="AG53" s="9"/>
      <c r="AI53" s="1466"/>
      <c r="AJ53" s="7"/>
      <c r="AK53" s="2302"/>
      <c r="AL53" s="2302"/>
    </row>
    <row r="54" spans="1:40" ht="18" customHeight="1">
      <c r="A54" s="2311" t="s">
        <v>51</v>
      </c>
      <c r="B54" s="2311"/>
      <c r="C54" s="2362"/>
      <c r="D54" s="634"/>
      <c r="E54" s="22"/>
      <c r="F54" s="22"/>
      <c r="G54" s="22"/>
      <c r="H54" s="629"/>
      <c r="I54" s="9"/>
      <c r="J54" s="9"/>
      <c r="K54" s="9"/>
      <c r="L54" s="629"/>
      <c r="M54" s="9"/>
      <c r="N54" s="9"/>
      <c r="O54" s="9"/>
      <c r="P54" s="634"/>
      <c r="Q54" s="629"/>
      <c r="R54" s="629"/>
      <c r="S54" s="2337"/>
      <c r="T54" s="2337"/>
      <c r="U54" s="14"/>
      <c r="V54" s="629" t="s">
        <v>15</v>
      </c>
      <c r="W54" s="9"/>
      <c r="X54" s="9"/>
      <c r="Y54" s="2337"/>
      <c r="Z54" s="2338"/>
      <c r="AA54" s="14"/>
      <c r="AB54" s="634"/>
      <c r="AC54" s="22"/>
      <c r="AD54" s="1461"/>
      <c r="AE54" s="1461"/>
      <c r="AF54" s="2339"/>
      <c r="AG54" s="9"/>
      <c r="AI54" s="1465"/>
      <c r="AJ54" s="7"/>
      <c r="AK54" s="2302"/>
      <c r="AL54" s="2302"/>
    </row>
    <row r="55" spans="1:40" ht="18" customHeight="1">
      <c r="A55" s="2311" t="s">
        <v>52</v>
      </c>
      <c r="B55" s="2311"/>
      <c r="C55" s="2362"/>
      <c r="D55" s="23">
        <f>ROUND(SUM(D45+D51),1)</f>
        <v>2638.3</v>
      </c>
      <c r="E55" s="23"/>
      <c r="F55" s="23">
        <f>ROUND(SUM(F45)+SUM(F51),1)</f>
        <v>3612.3</v>
      </c>
      <c r="G55" s="23"/>
      <c r="H55" s="23">
        <f>ROUND(SUM(H45+H51),1)</f>
        <v>312.60000000000002</v>
      </c>
      <c r="I55" s="23"/>
      <c r="J55" s="23">
        <f>ROUND(SUM(J45)+SUM(J51),1)</f>
        <v>3333</v>
      </c>
      <c r="K55" s="23"/>
      <c r="L55" s="23">
        <f>ROUND(SUM(L45+L51),1)</f>
        <v>1596.4</v>
      </c>
      <c r="M55" s="23"/>
      <c r="N55" s="23">
        <f>ROUND(SUM(N45+N51),1)</f>
        <v>2516.6999999999998</v>
      </c>
      <c r="O55" s="23"/>
      <c r="P55" s="23">
        <f>ROUND(SUM(P45+P51),1)</f>
        <v>180.4</v>
      </c>
      <c r="Q55" s="23"/>
      <c r="R55" s="23">
        <f>ROUND(SUM(R45+R51),1)</f>
        <v>191</v>
      </c>
      <c r="S55" s="2373"/>
      <c r="T55" s="2373"/>
      <c r="U55" s="1517"/>
      <c r="V55" s="23">
        <f>ROUND(SUM(V45)+SUM(V51),1)</f>
        <v>4727.7</v>
      </c>
      <c r="W55" s="23"/>
      <c r="X55" s="23">
        <f>ROUND(SUM(X45)+SUM(X51),1)</f>
        <v>9653</v>
      </c>
      <c r="Y55" s="2373"/>
      <c r="Z55" s="2374"/>
      <c r="AA55" s="1517"/>
      <c r="AB55" s="23">
        <f>ROUND(SUM(AB45)+SUM(AB51),1)</f>
        <v>4963.8</v>
      </c>
      <c r="AC55" s="23"/>
      <c r="AD55" s="23">
        <f>ROUND(SUM(AD45)+SUM(AD51),1)</f>
        <v>4638.2</v>
      </c>
      <c r="AE55" s="1517"/>
      <c r="AF55" s="2346"/>
      <c r="AG55" s="2344">
        <f>ROUND(SUM(+AG45+AG51),1)</f>
        <v>5014.8</v>
      </c>
      <c r="AH55" s="2347"/>
      <c r="AI55" s="1530">
        <f>ROUND(SUM((+X55-AD55)/ABS(AD55)),3)</f>
        <v>1.081</v>
      </c>
      <c r="AJ55" s="2375"/>
      <c r="AK55" s="2376"/>
      <c r="AL55" s="2302"/>
    </row>
    <row r="56" spans="1:40" ht="16.350000000000001" customHeight="1">
      <c r="A56" s="2312"/>
      <c r="B56" s="2312"/>
      <c r="C56" s="2313"/>
      <c r="D56" s="634"/>
      <c r="E56" s="22"/>
      <c r="F56" s="1461"/>
      <c r="G56" s="22"/>
      <c r="H56" s="629"/>
      <c r="I56" s="9"/>
      <c r="J56" s="22"/>
      <c r="K56" s="22"/>
      <c r="L56" s="634"/>
      <c r="M56" s="22"/>
      <c r="N56" s="22"/>
      <c r="O56" s="22"/>
      <c r="P56" s="1456"/>
      <c r="Q56" s="629"/>
      <c r="R56" s="634"/>
      <c r="S56" s="2337"/>
      <c r="T56" s="2337"/>
      <c r="U56" s="14"/>
      <c r="V56" s="629"/>
      <c r="W56" s="9"/>
      <c r="X56" s="9"/>
      <c r="Y56" s="2367"/>
      <c r="Z56" s="2368"/>
      <c r="AA56" s="1461"/>
      <c r="AB56" s="634"/>
      <c r="AC56" s="22"/>
      <c r="AD56" s="1461"/>
      <c r="AE56" s="1461"/>
      <c r="AF56" s="2339"/>
      <c r="AG56" s="9"/>
      <c r="AI56" s="1465"/>
      <c r="AJ56" s="7"/>
      <c r="AK56" s="2302"/>
      <c r="AL56" s="2302"/>
    </row>
    <row r="57" spans="1:40" s="2297" customFormat="1" ht="18" customHeight="1">
      <c r="A57" s="2378" t="s">
        <v>53</v>
      </c>
      <c r="B57" s="3235"/>
      <c r="C57" s="2362"/>
      <c r="D57" s="1701">
        <f>+'Exhibit F'!V12</f>
        <v>8179.7</v>
      </c>
      <c r="E57" s="23"/>
      <c r="F57" s="1701">
        <f>'Exhibit F'!D12</f>
        <v>7205.7</v>
      </c>
      <c r="G57" s="23"/>
      <c r="H57" s="1701">
        <f>+'Exhibit G'!V13</f>
        <v>6862.8</v>
      </c>
      <c r="I57" s="23"/>
      <c r="J57" s="1701">
        <f>'Exhibit G'!D13</f>
        <v>3842.4000000000005</v>
      </c>
      <c r="K57" s="23"/>
      <c r="L57" s="1701">
        <f>'Exhibit H'!T12</f>
        <v>985.1</v>
      </c>
      <c r="M57" s="23"/>
      <c r="N57" s="1701">
        <f>'Exhibit H'!B12</f>
        <v>64.8</v>
      </c>
      <c r="O57" s="1517"/>
      <c r="P57" s="1701">
        <f>+'Exhibit I'!W15</f>
        <v>-1127.3</v>
      </c>
      <c r="Q57" s="1517"/>
      <c r="R57" s="1701">
        <f>'Exhibit I'!E15</f>
        <v>-1137.9000000000001</v>
      </c>
      <c r="S57" s="2373"/>
      <c r="T57" s="2373"/>
      <c r="U57" s="1517"/>
      <c r="V57" s="1701">
        <f>D57+H57+L57+P57</f>
        <v>14900.300000000001</v>
      </c>
      <c r="W57" s="23"/>
      <c r="X57" s="1701">
        <f>F57+J57+N57+R57</f>
        <v>9975</v>
      </c>
      <c r="Y57" s="2373"/>
      <c r="Z57" s="2374"/>
      <c r="AA57" s="1517"/>
      <c r="AB57" s="3734">
        <v>12423.400000000001</v>
      </c>
      <c r="AC57" s="23"/>
      <c r="AD57" s="1701">
        <f>'Exhibit F'!AF12+'Exhibit G'!AG13+'Exhibit H'!AD12+'Exhibit I'!AI15</f>
        <v>12749</v>
      </c>
      <c r="AE57" s="1517"/>
      <c r="AF57" s="3211"/>
      <c r="AG57" s="1701">
        <f>ROUND(SUM(X57-AD57),1)</f>
        <v>-2774</v>
      </c>
      <c r="AH57" s="3202"/>
      <c r="AI57" s="3212">
        <f>ROUND(SUM((+X57-AD57)/ABS(AD57)),3)</f>
        <v>-0.218</v>
      </c>
      <c r="AJ57" s="2375"/>
      <c r="AK57" s="3209"/>
      <c r="AL57" s="3209"/>
    </row>
    <row r="58" spans="1:40" s="2297" customFormat="1" ht="16.350000000000001" customHeight="1">
      <c r="A58" s="2362"/>
      <c r="B58" s="2362"/>
      <c r="C58" s="2362"/>
      <c r="D58" s="1456"/>
      <c r="E58" s="22"/>
      <c r="F58" s="1461"/>
      <c r="G58" s="22"/>
      <c r="H58" s="1456"/>
      <c r="I58" s="22"/>
      <c r="J58" s="1461"/>
      <c r="K58" s="22"/>
      <c r="L58" s="1456"/>
      <c r="M58" s="22"/>
      <c r="N58" s="1461"/>
      <c r="O58" s="22"/>
      <c r="P58" s="1456"/>
      <c r="Q58" s="634"/>
      <c r="R58" s="1456"/>
      <c r="S58" s="2367"/>
      <c r="T58" s="2367"/>
      <c r="U58" s="1461"/>
      <c r="V58" s="1456"/>
      <c r="W58" s="22"/>
      <c r="X58" s="1461"/>
      <c r="Y58" s="2367"/>
      <c r="Z58" s="2368"/>
      <c r="AA58" s="1461"/>
      <c r="AB58" s="1456"/>
      <c r="AC58" s="22"/>
      <c r="AD58" s="1461"/>
      <c r="AE58" s="1461"/>
      <c r="AF58" s="3210"/>
      <c r="AG58" s="1461"/>
      <c r="AI58" s="3208"/>
      <c r="AJ58" s="2323"/>
      <c r="AK58" s="3209"/>
      <c r="AL58" s="3209"/>
    </row>
    <row r="59" spans="1:40" s="2297" customFormat="1" ht="18" customHeight="1" thickBot="1">
      <c r="A59" s="2378" t="s">
        <v>54</v>
      </c>
      <c r="B59" s="2379"/>
      <c r="C59" s="3200"/>
      <c r="D59" s="25">
        <f>ROUND(SUM(D55+D57),1)</f>
        <v>10818</v>
      </c>
      <c r="E59" s="2380"/>
      <c r="F59" s="25">
        <f>ROUND(SUM(F55+F57),1)</f>
        <v>10818</v>
      </c>
      <c r="G59" s="2380"/>
      <c r="H59" s="25">
        <f>ROUND(SUM(H55+H57),1)</f>
        <v>7175.4</v>
      </c>
      <c r="I59" s="2380"/>
      <c r="J59" s="25">
        <f>ROUND(SUM(J55)+SUM(J57),1)</f>
        <v>7175.4</v>
      </c>
      <c r="K59" s="2380"/>
      <c r="L59" s="25">
        <f>ROUND(SUM(L55+L57),1)</f>
        <v>2581.5</v>
      </c>
      <c r="M59" s="2380"/>
      <c r="N59" s="25">
        <f>ROUND(SUM(N55+N57),1)</f>
        <v>2581.5</v>
      </c>
      <c r="O59" s="2380"/>
      <c r="P59" s="25">
        <f>ROUND(SUM(P55+P57),1)</f>
        <v>-946.9</v>
      </c>
      <c r="Q59" s="2380"/>
      <c r="R59" s="25">
        <f>ROUND(SUM(R55+R57),1)</f>
        <v>-946.9</v>
      </c>
      <c r="S59" s="2381"/>
      <c r="T59" s="2381"/>
      <c r="U59" s="2382"/>
      <c r="V59" s="25">
        <f>ROUND(SUM(V55+V57),1)</f>
        <v>19628</v>
      </c>
      <c r="W59" s="2380"/>
      <c r="X59" s="25">
        <f>ROUND(SUM(X55+X57),1)</f>
        <v>19628</v>
      </c>
      <c r="Y59" s="2381"/>
      <c r="Z59" s="2383"/>
      <c r="AA59" s="2382"/>
      <c r="AB59" s="25">
        <f>ROUND(SUM(AB55+AB57),1)</f>
        <v>17387.2</v>
      </c>
      <c r="AC59" s="2380"/>
      <c r="AD59" s="25">
        <f>ROUND(SUM(AD55+AD57),1)</f>
        <v>17387.2</v>
      </c>
      <c r="AE59" s="2382"/>
      <c r="AF59" s="3201"/>
      <c r="AG59" s="25">
        <f>ROUND(SUM(AG55+AG57),1)</f>
        <v>2240.8000000000002</v>
      </c>
      <c r="AH59" s="3202"/>
      <c r="AI59" s="3203">
        <f>ROUND(SUM((+X59-AD59)/ABS(AD59)),3)</f>
        <v>0.129</v>
      </c>
      <c r="AJ59" s="2385"/>
      <c r="AK59" s="3204"/>
      <c r="AL59" s="3204"/>
      <c r="AM59" s="3205"/>
      <c r="AN59" s="3202"/>
    </row>
    <row r="60" spans="1:40" s="2297" customFormat="1" ht="15.75" thickTop="1">
      <c r="A60" s="3206"/>
      <c r="B60" s="3206"/>
      <c r="C60" s="3206"/>
      <c r="D60" s="2389"/>
      <c r="E60" s="2390"/>
      <c r="F60" s="2390"/>
      <c r="G60" s="2390"/>
      <c r="H60" s="2389"/>
      <c r="I60" s="2390"/>
      <c r="J60" s="2390"/>
      <c r="K60" s="2390"/>
      <c r="L60" s="2389"/>
      <c r="M60" s="2390"/>
      <c r="N60" s="2390"/>
      <c r="O60" s="2390"/>
      <c r="P60" s="2390"/>
      <c r="Q60" s="2390"/>
      <c r="R60" s="2390"/>
      <c r="S60" s="2390"/>
      <c r="T60" s="2390"/>
      <c r="U60" s="2390"/>
      <c r="V60" s="2389"/>
      <c r="W60" s="2390"/>
      <c r="X60" s="2390"/>
      <c r="Y60" s="2390"/>
      <c r="Z60" s="2390"/>
      <c r="AA60" s="2390"/>
      <c r="AB60" s="2389"/>
      <c r="AC60" s="3548"/>
      <c r="AD60" s="2390"/>
      <c r="AE60" s="2390"/>
      <c r="AF60" s="2390"/>
      <c r="AG60" s="2390"/>
      <c r="AI60" s="3207"/>
      <c r="AJ60" s="3208"/>
      <c r="AK60" s="3209"/>
      <c r="AL60" s="3209"/>
    </row>
    <row r="61" spans="1:40" ht="15.75">
      <c r="A61" s="2392"/>
      <c r="B61" s="2361"/>
      <c r="C61" s="2361"/>
      <c r="D61" s="2394"/>
      <c r="E61" s="2403"/>
      <c r="F61" s="2403"/>
      <c r="G61" s="2403"/>
      <c r="H61" s="2393"/>
      <c r="I61" s="2364"/>
      <c r="J61" s="2364"/>
      <c r="K61" s="2364"/>
      <c r="L61" s="2393"/>
      <c r="M61" s="2403"/>
      <c r="N61" s="2403"/>
      <c r="O61" s="2364"/>
      <c r="P61" s="2392" t="s">
        <v>15</v>
      </c>
      <c r="Q61" s="2364"/>
      <c r="R61" s="2364"/>
      <c r="S61" s="2364"/>
      <c r="T61" s="2364"/>
      <c r="U61" s="2364"/>
      <c r="V61" s="2393"/>
      <c r="W61" s="2364"/>
      <c r="X61" s="2364"/>
      <c r="Y61" s="2364"/>
      <c r="Z61" s="2364"/>
      <c r="AA61" s="2364"/>
      <c r="AB61" s="2394"/>
      <c r="AC61" s="2403"/>
      <c r="AI61" s="2391"/>
      <c r="AJ61" s="1465"/>
      <c r="AK61" s="2302"/>
      <c r="AL61" s="2302"/>
    </row>
    <row r="62" spans="1:40" ht="15">
      <c r="A62" s="2364"/>
      <c r="B62" s="2364"/>
      <c r="C62" s="2364"/>
      <c r="D62" s="2393"/>
      <c r="E62" s="2364"/>
      <c r="F62" s="2364"/>
      <c r="G62" s="2364"/>
      <c r="H62" s="2393"/>
      <c r="I62" s="2364"/>
      <c r="J62" s="2364"/>
      <c r="K62" s="2364"/>
      <c r="L62" s="2393"/>
      <c r="M62" s="2364"/>
      <c r="N62" s="2364"/>
      <c r="O62" s="2364"/>
      <c r="P62" s="2364" t="s">
        <v>15</v>
      </c>
      <c r="Q62" s="2364"/>
      <c r="R62" s="2364"/>
      <c r="S62" s="2364"/>
      <c r="T62" s="2364"/>
      <c r="U62" s="2364"/>
      <c r="V62" s="2393"/>
      <c r="W62" s="2364"/>
      <c r="X62" s="2364"/>
      <c r="Y62" s="2364"/>
      <c r="Z62" s="2364"/>
      <c r="AA62" s="2364"/>
      <c r="AB62" s="3591"/>
      <c r="AC62" s="2403"/>
      <c r="AD62" s="2395"/>
      <c r="AI62" s="2391"/>
      <c r="AJ62" s="1465"/>
      <c r="AK62" s="2302"/>
      <c r="AL62" s="2302"/>
    </row>
    <row r="63" spans="1:40" ht="15">
      <c r="A63" s="2364"/>
      <c r="B63" s="2364"/>
      <c r="C63" s="2364"/>
      <c r="D63" s="2393"/>
      <c r="E63" s="2364"/>
      <c r="F63" s="2364"/>
      <c r="G63" s="2364"/>
      <c r="H63" s="2393"/>
      <c r="I63" s="2364"/>
      <c r="J63" s="2364"/>
      <c r="K63" s="2364"/>
      <c r="L63" s="2393"/>
      <c r="M63" s="2364"/>
      <c r="N63" s="2364"/>
      <c r="O63" s="2364"/>
      <c r="P63" s="2364" t="s">
        <v>15</v>
      </c>
      <c r="Q63" s="2364"/>
      <c r="R63" s="2364"/>
      <c r="S63" s="2364"/>
      <c r="T63" s="2364"/>
      <c r="U63" s="2364"/>
      <c r="V63" s="2393"/>
      <c r="W63" s="2364"/>
      <c r="X63" s="2364"/>
      <c r="Y63" s="2364"/>
      <c r="Z63" s="2364"/>
      <c r="AA63" s="2364"/>
      <c r="AB63" s="3591"/>
      <c r="AC63" s="2403"/>
      <c r="AI63" s="2396"/>
      <c r="AJ63" s="1465"/>
      <c r="AK63" s="2302"/>
      <c r="AL63" s="2302"/>
    </row>
    <row r="64" spans="1:40" ht="15.75">
      <c r="A64" s="2397"/>
      <c r="B64" s="2364"/>
      <c r="C64" s="2364"/>
      <c r="D64" s="2393"/>
      <c r="E64" s="2364"/>
      <c r="F64" s="2364"/>
      <c r="G64" s="2364"/>
      <c r="H64" s="2393"/>
      <c r="I64" s="2364"/>
      <c r="J64" s="2364"/>
      <c r="K64" s="2364"/>
      <c r="L64" s="2393"/>
      <c r="M64" s="2364"/>
      <c r="N64" s="2364"/>
      <c r="O64" s="2364"/>
      <c r="P64" s="2364"/>
      <c r="Q64" s="2364"/>
      <c r="R64" s="2364"/>
      <c r="S64" s="2364"/>
      <c r="T64" s="2364"/>
      <c r="U64" s="2364"/>
      <c r="V64" s="2393"/>
      <c r="W64" s="2364"/>
      <c r="X64" s="2364"/>
      <c r="Y64" s="2364"/>
      <c r="Z64" s="2364"/>
      <c r="AA64" s="2364"/>
      <c r="AB64" s="2394"/>
      <c r="AC64" s="2403"/>
      <c r="AI64" s="2396"/>
      <c r="AJ64" s="2302"/>
      <c r="AK64" s="2302"/>
      <c r="AL64" s="2302"/>
    </row>
    <row r="65" spans="1:38" ht="15.75">
      <c r="A65" s="2397"/>
      <c r="B65" s="2364"/>
      <c r="C65" s="2364"/>
      <c r="D65" s="2393"/>
      <c r="E65" s="2364"/>
      <c r="F65" s="2364"/>
      <c r="G65" s="2364"/>
      <c r="H65" s="2393"/>
      <c r="I65" s="2364"/>
      <c r="J65" s="2364"/>
      <c r="K65" s="2364"/>
      <c r="L65" s="2393"/>
      <c r="M65" s="2364"/>
      <c r="N65" s="2364"/>
      <c r="O65" s="2364"/>
      <c r="P65" s="2364"/>
      <c r="Q65" s="2364"/>
      <c r="R65" s="2364"/>
      <c r="S65" s="2364"/>
      <c r="T65" s="2364"/>
      <c r="U65" s="2364"/>
      <c r="V65" s="2393"/>
      <c r="W65" s="2364"/>
      <c r="X65" s="2364"/>
      <c r="Y65" s="2364"/>
      <c r="Z65" s="2364"/>
      <c r="AA65" s="2364"/>
      <c r="AB65" s="3591"/>
      <c r="AC65" s="2403"/>
      <c r="AI65" s="2396"/>
      <c r="AJ65" s="2302" t="s">
        <v>15</v>
      </c>
      <c r="AK65" s="2302"/>
      <c r="AL65" s="2302"/>
    </row>
    <row r="66" spans="1:38" ht="15.75">
      <c r="A66" s="2398"/>
      <c r="B66" s="2399"/>
      <c r="C66" s="2392"/>
      <c r="D66" s="2400"/>
      <c r="E66" s="2401"/>
      <c r="F66" s="2401"/>
      <c r="G66" s="2401"/>
      <c r="H66" s="2400"/>
      <c r="I66" s="2401"/>
      <c r="J66" s="2401"/>
      <c r="K66" s="2401"/>
      <c r="L66" s="2400"/>
      <c r="M66" s="2364"/>
      <c r="N66" s="2364"/>
      <c r="O66" s="2364"/>
      <c r="P66" s="2364"/>
      <c r="Q66" s="2364"/>
      <c r="R66" s="2364"/>
      <c r="S66" s="2364"/>
      <c r="T66" s="2364"/>
      <c r="U66" s="2364"/>
      <c r="V66" s="2393"/>
      <c r="W66" s="2364"/>
      <c r="X66" s="2364"/>
      <c r="Y66" s="2364"/>
      <c r="Z66" s="2364"/>
      <c r="AA66" s="2364"/>
      <c r="AB66" s="2394"/>
      <c r="AC66" s="2403"/>
      <c r="AI66" s="2396"/>
      <c r="AJ66" s="2302"/>
      <c r="AK66" s="2302"/>
      <c r="AL66" s="2302"/>
    </row>
    <row r="67" spans="1:38" ht="15">
      <c r="A67" s="1465"/>
      <c r="B67" s="1465"/>
      <c r="C67" s="1465"/>
      <c r="D67" s="2402"/>
      <c r="E67" s="1465"/>
      <c r="F67" s="1465"/>
      <c r="G67" s="1465"/>
      <c r="H67" s="2402"/>
      <c r="I67" s="1465"/>
      <c r="J67" s="1465"/>
      <c r="K67" s="1465"/>
      <c r="L67" s="2402"/>
      <c r="M67" s="2364"/>
      <c r="N67" s="2364"/>
      <c r="O67" s="2364"/>
      <c r="P67" s="2364"/>
      <c r="Q67" s="2364"/>
      <c r="R67" s="2364"/>
      <c r="S67" s="2364"/>
      <c r="T67" s="2364"/>
      <c r="U67" s="2364"/>
      <c r="V67" s="2393"/>
      <c r="W67" s="2364"/>
      <c r="X67" s="2364"/>
      <c r="Y67" s="2364"/>
      <c r="Z67" s="2364"/>
      <c r="AA67" s="2364"/>
      <c r="AB67" s="2394"/>
      <c r="AC67" s="2403"/>
      <c r="AI67" s="2396"/>
      <c r="AJ67" s="2302"/>
      <c r="AK67" s="2302"/>
      <c r="AL67" s="2302"/>
    </row>
    <row r="68" spans="1:38" ht="15">
      <c r="A68" s="1465"/>
      <c r="B68" s="1465"/>
      <c r="C68" s="1465"/>
      <c r="D68" s="2402"/>
      <c r="E68" s="1465"/>
      <c r="F68" s="1465"/>
      <c r="G68" s="1465"/>
      <c r="H68" s="2402"/>
      <c r="I68" s="1465"/>
      <c r="J68" s="1465"/>
      <c r="K68" s="1465"/>
      <c r="L68" s="2402"/>
      <c r="M68" s="2364"/>
      <c r="N68" s="2364"/>
      <c r="O68" s="2364"/>
      <c r="P68" s="2364"/>
      <c r="Q68" s="2364"/>
      <c r="R68" s="2364"/>
      <c r="S68" s="2364"/>
      <c r="T68" s="2364"/>
      <c r="U68" s="2364"/>
      <c r="V68" s="2393"/>
      <c r="W68" s="2364"/>
      <c r="X68" s="2364"/>
      <c r="Y68" s="2364"/>
      <c r="Z68" s="2364"/>
      <c r="AA68" s="2364"/>
      <c r="AB68" s="2394"/>
      <c r="AC68" s="2403"/>
      <c r="AI68" s="2396"/>
      <c r="AJ68" s="2302"/>
      <c r="AK68" s="2302"/>
      <c r="AL68" s="2302"/>
    </row>
    <row r="69" spans="1:38" ht="15">
      <c r="A69" s="1465"/>
      <c r="B69" s="1465"/>
      <c r="C69" s="1465"/>
      <c r="D69" s="2402"/>
      <c r="E69" s="1465"/>
      <c r="F69" s="1465"/>
      <c r="G69" s="1465"/>
      <c r="H69" s="2402"/>
      <c r="I69" s="1465"/>
      <c r="J69" s="1465"/>
      <c r="K69" s="1465"/>
      <c r="L69" s="2402"/>
      <c r="M69" s="2364"/>
      <c r="N69" s="2364"/>
      <c r="O69" s="2364"/>
      <c r="P69" s="2364"/>
      <c r="Q69" s="2364"/>
      <c r="R69" s="2364"/>
      <c r="S69" s="2364"/>
      <c r="T69" s="2364"/>
      <c r="U69" s="2364"/>
      <c r="V69" s="2393"/>
      <c r="W69" s="2364"/>
      <c r="X69" s="2364"/>
      <c r="Y69" s="2364"/>
      <c r="Z69" s="2364"/>
      <c r="AA69" s="2364"/>
      <c r="AB69" s="2394"/>
      <c r="AI69" s="2396"/>
      <c r="AJ69" s="2302"/>
      <c r="AK69" s="2302"/>
      <c r="AL69" s="2302"/>
    </row>
    <row r="70" spans="1:38" ht="15">
      <c r="AI70" s="2396"/>
      <c r="AJ70" s="2302"/>
      <c r="AK70" s="2302"/>
      <c r="AL70" s="2302"/>
    </row>
    <row r="71" spans="1:38" ht="15">
      <c r="AI71" s="2396"/>
      <c r="AJ71" s="2302"/>
      <c r="AK71" s="2302"/>
      <c r="AL71" s="2302"/>
    </row>
    <row r="72" spans="1:38" ht="15">
      <c r="AI72" s="2396"/>
      <c r="AJ72" s="2302"/>
      <c r="AK72" s="2302"/>
      <c r="AL72" s="2302"/>
    </row>
    <row r="73" spans="1:38" ht="15">
      <c r="AI73" s="2396"/>
      <c r="AJ73" s="2302"/>
      <c r="AK73" s="2302"/>
      <c r="AL73" s="2302"/>
    </row>
    <row r="74" spans="1:38" ht="15">
      <c r="AI74" s="2396"/>
      <c r="AJ74" s="2302"/>
      <c r="AK74" s="2302"/>
      <c r="AL74" s="2302"/>
    </row>
    <row r="75" spans="1:38" ht="15">
      <c r="AI75" s="2396"/>
      <c r="AJ75" s="2302"/>
      <c r="AK75" s="2302"/>
      <c r="AL75" s="2302"/>
    </row>
    <row r="76" spans="1:38" ht="15">
      <c r="AI76" s="2396"/>
      <c r="AJ76" s="2302"/>
      <c r="AK76" s="2302"/>
      <c r="AL76" s="2302"/>
    </row>
    <row r="77" spans="1:38" ht="15">
      <c r="AI77" s="2396"/>
      <c r="AJ77" s="2302"/>
      <c r="AK77" s="2302"/>
      <c r="AL77" s="2302"/>
    </row>
    <row r="78" spans="1:38" ht="15">
      <c r="AI78" s="2396"/>
      <c r="AJ78" s="2302"/>
      <c r="AK78" s="2302"/>
      <c r="AL78" s="2302"/>
    </row>
    <row r="79" spans="1:38" ht="15">
      <c r="AI79" s="2396"/>
      <c r="AJ79" s="2302"/>
      <c r="AK79" s="2302"/>
      <c r="AL79" s="2302"/>
    </row>
    <row r="80" spans="1:38" ht="15">
      <c r="AI80" s="2396"/>
      <c r="AJ80" s="2302"/>
      <c r="AK80" s="2302"/>
      <c r="AL80" s="2302"/>
    </row>
    <row r="81" spans="35:38" ht="15">
      <c r="AI81" s="2396"/>
      <c r="AJ81" s="2302"/>
      <c r="AK81" s="2302"/>
      <c r="AL81" s="2302"/>
    </row>
    <row r="82" spans="35:38" ht="15">
      <c r="AI82" s="2396"/>
      <c r="AJ82" s="2302"/>
      <c r="AK82" s="2302"/>
      <c r="AL82" s="2302"/>
    </row>
    <row r="83" spans="35:38" ht="15">
      <c r="AI83" s="2396"/>
      <c r="AJ83" s="2302"/>
      <c r="AK83" s="2302"/>
      <c r="AL83" s="2302"/>
    </row>
    <row r="84" spans="35:38" ht="15">
      <c r="AI84" s="2396"/>
      <c r="AJ84" s="2302"/>
      <c r="AK84" s="2302"/>
      <c r="AL84" s="2302"/>
    </row>
    <row r="85" spans="35:38" ht="15">
      <c r="AI85" s="2396"/>
      <c r="AJ85" s="2302"/>
      <c r="AK85" s="2302"/>
      <c r="AL85" s="2302"/>
    </row>
    <row r="86" spans="35:38" ht="15">
      <c r="AI86" s="2396"/>
      <c r="AJ86" s="2302"/>
      <c r="AK86" s="2302"/>
      <c r="AL86" s="2302"/>
    </row>
    <row r="87" spans="35:38" ht="15">
      <c r="AI87" s="2396"/>
      <c r="AJ87" s="2302"/>
      <c r="AK87" s="2302"/>
      <c r="AL87" s="2302"/>
    </row>
    <row r="88" spans="35:38" ht="15">
      <c r="AI88" s="2396"/>
      <c r="AJ88" s="2302"/>
      <c r="AK88" s="2302"/>
      <c r="AL88" s="2302"/>
    </row>
    <row r="89" spans="35:38" ht="15">
      <c r="AI89" s="2396"/>
      <c r="AJ89" s="2302"/>
      <c r="AK89" s="2302"/>
      <c r="AL89" s="2302"/>
    </row>
    <row r="90" spans="35:38" ht="15">
      <c r="AI90" s="2396"/>
      <c r="AJ90" s="2302"/>
      <c r="AK90" s="2302"/>
      <c r="AL90" s="2302"/>
    </row>
    <row r="91" spans="35:38" ht="15">
      <c r="AI91" s="2396"/>
      <c r="AJ91" s="2302"/>
      <c r="AK91" s="2302"/>
      <c r="AL91" s="2302"/>
    </row>
    <row r="92" spans="35:38" ht="15">
      <c r="AI92" s="2396"/>
      <c r="AJ92" s="2302"/>
      <c r="AK92" s="2302"/>
      <c r="AL92" s="2302"/>
    </row>
    <row r="93" spans="35:38" ht="15">
      <c r="AI93" s="2396"/>
      <c r="AJ93" s="2302"/>
      <c r="AK93" s="2302"/>
      <c r="AL93" s="2302"/>
    </row>
    <row r="94" spans="35:38" ht="15">
      <c r="AI94" s="2396"/>
      <c r="AJ94" s="2302"/>
      <c r="AK94" s="2302"/>
      <c r="AL94" s="2302"/>
    </row>
    <row r="95" spans="35:38" ht="15">
      <c r="AI95" s="2396"/>
      <c r="AJ95" s="2302"/>
      <c r="AK95" s="2302"/>
      <c r="AL95" s="2302"/>
    </row>
    <row r="96" spans="35:38" ht="15">
      <c r="AI96" s="2396"/>
      <c r="AJ96" s="2302"/>
      <c r="AK96" s="2302"/>
      <c r="AL96" s="2302"/>
    </row>
    <row r="97" spans="35:38" ht="15">
      <c r="AI97" s="2396"/>
      <c r="AJ97" s="2302"/>
      <c r="AK97" s="2302"/>
      <c r="AL97" s="2302"/>
    </row>
    <row r="98" spans="35:38" ht="15">
      <c r="AI98" s="2396"/>
      <c r="AJ98" s="2302"/>
      <c r="AK98" s="2302"/>
      <c r="AL98" s="2302"/>
    </row>
    <row r="99" spans="35:38" ht="15">
      <c r="AI99" s="2396"/>
      <c r="AJ99" s="2302"/>
      <c r="AK99" s="2302"/>
      <c r="AL99" s="2302"/>
    </row>
    <row r="100" spans="35:38" ht="15">
      <c r="AI100" s="2396"/>
      <c r="AJ100" s="2302"/>
      <c r="AK100" s="2302"/>
      <c r="AL100" s="2302"/>
    </row>
    <row r="101" spans="35:38" ht="15">
      <c r="AI101" s="2396"/>
      <c r="AJ101" s="2302"/>
      <c r="AK101" s="2302"/>
      <c r="AL101" s="2302"/>
    </row>
    <row r="102" spans="35:38" ht="15">
      <c r="AI102" s="2396"/>
      <c r="AJ102" s="2302"/>
      <c r="AK102" s="2302"/>
      <c r="AL102" s="2302"/>
    </row>
    <row r="103" spans="35:38" ht="15">
      <c r="AI103" s="2396"/>
      <c r="AJ103" s="2302"/>
      <c r="AK103" s="2302"/>
      <c r="AL103" s="2302"/>
    </row>
    <row r="104" spans="35:38" ht="15">
      <c r="AI104" s="2396"/>
      <c r="AJ104" s="2302"/>
      <c r="AK104" s="2302"/>
      <c r="AL104" s="2302"/>
    </row>
    <row r="105" spans="35:38" ht="15">
      <c r="AI105" s="2396"/>
      <c r="AJ105" s="2302"/>
      <c r="AK105" s="2302"/>
      <c r="AL105" s="2302"/>
    </row>
    <row r="106" spans="35:38" ht="15">
      <c r="AI106" s="2396"/>
      <c r="AJ106" s="2302"/>
      <c r="AK106" s="2302"/>
      <c r="AL106" s="2302"/>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88671875" defaultRowHeight="11.25"/>
  <cols>
    <col min="1" max="1" width="38.44140625" style="2295" customWidth="1"/>
    <col min="2" max="2" width="6.88671875" style="2295" customWidth="1"/>
    <col min="3" max="3" width="4.109375" style="2295" customWidth="1"/>
    <col min="4" max="4" width="14" style="2295" customWidth="1"/>
    <col min="5" max="5" width="1.109375" style="2295" customWidth="1"/>
    <col min="6" max="6" width="13.44140625" style="2295" customWidth="1"/>
    <col min="7" max="7" width="1.109375" style="2295" customWidth="1"/>
    <col min="8" max="8" width="13.44140625" style="2296" customWidth="1"/>
    <col min="9" max="9" width="1.88671875" style="2295" customWidth="1"/>
    <col min="10" max="10" width="13.44140625" style="2295" customWidth="1"/>
    <col min="11" max="11" width="1.109375" style="2295" customWidth="1"/>
    <col min="12" max="12" width="11.88671875" style="2295" customWidth="1"/>
    <col min="13" max="13" width="1.109375" style="2295" customWidth="1"/>
    <col min="14" max="14" width="13.5546875" style="2295" customWidth="1"/>
    <col min="15" max="15" width="1.109375" style="2295" customWidth="1"/>
    <col min="16" max="16" width="0.88671875" style="2295" customWidth="1"/>
    <col min="17" max="17" width="1.109375" style="2295" customWidth="1"/>
    <col min="18" max="18" width="14.44140625" style="2295" customWidth="1"/>
    <col min="19" max="19" width="1.109375" style="2295" customWidth="1"/>
    <col min="20" max="20" width="14.44140625" style="2295" customWidth="1"/>
    <col min="21" max="21" width="1.109375" style="2297" customWidth="1"/>
    <col min="22" max="22" width="0.88671875" style="2297" customWidth="1"/>
    <col min="23" max="24" width="1.109375" style="2297" customWidth="1"/>
    <col min="25" max="25" width="12.88671875" style="2297" customWidth="1"/>
    <col min="26" max="26" width="1.109375" style="2297" customWidth="1"/>
    <col min="27" max="27" width="16.88671875" style="2297" bestFit="1" customWidth="1"/>
    <col min="28" max="28" width="1.88671875" style="2297" customWidth="1"/>
    <col min="29" max="29" width="1.109375" style="2403" customWidth="1"/>
    <col min="30" max="30" width="13.109375" style="2297" customWidth="1"/>
    <col min="31" max="31" width="3" style="2297" customWidth="1"/>
    <col min="32" max="32" width="12" style="2297" customWidth="1"/>
    <col min="33" max="16384" width="8.88671875" style="2297"/>
  </cols>
  <sheetData>
    <row r="1" spans="1:33" ht="15">
      <c r="A1" s="2294" t="s">
        <v>979</v>
      </c>
    </row>
    <row r="2" spans="1:33" ht="15" customHeight="1">
      <c r="A2" s="2294"/>
    </row>
    <row r="3" spans="1:33" ht="21" customHeight="1">
      <c r="A3" s="3893" t="s">
        <v>0</v>
      </c>
      <c r="B3" s="3894"/>
      <c r="C3" s="3894"/>
      <c r="D3" s="3894"/>
      <c r="E3" s="3894"/>
      <c r="F3" s="3894"/>
      <c r="G3" s="3894"/>
      <c r="H3" s="3894"/>
      <c r="I3" s="3894"/>
      <c r="J3" s="3894"/>
      <c r="K3" s="3894"/>
      <c r="L3" s="3894"/>
      <c r="M3" s="3894"/>
      <c r="N3" s="3894"/>
      <c r="O3" s="3894"/>
      <c r="P3" s="3894"/>
      <c r="Q3" s="3894"/>
      <c r="R3" s="3894"/>
      <c r="S3" s="3894"/>
      <c r="T3" s="3894"/>
      <c r="U3" s="3894"/>
      <c r="V3" s="3894"/>
      <c r="W3" s="3894"/>
      <c r="X3" s="3894"/>
      <c r="Y3" s="3894"/>
      <c r="Z3" s="3894"/>
      <c r="AA3" s="3894"/>
      <c r="AB3" s="3894"/>
      <c r="AC3" s="2404"/>
      <c r="AF3" s="2301" t="s">
        <v>55</v>
      </c>
    </row>
    <row r="4" spans="1:33" ht="20.25">
      <c r="A4" s="3895" t="s">
        <v>1185</v>
      </c>
      <c r="B4" s="3894"/>
      <c r="C4" s="3894"/>
      <c r="D4" s="3894"/>
      <c r="E4" s="3894"/>
      <c r="F4" s="3894"/>
      <c r="G4" s="3894"/>
      <c r="H4" s="3894"/>
      <c r="I4" s="3894"/>
      <c r="J4" s="3894"/>
      <c r="K4" s="3894"/>
      <c r="L4" s="3894"/>
      <c r="M4" s="3894"/>
      <c r="N4" s="3894"/>
      <c r="O4" s="3894"/>
      <c r="P4" s="3894"/>
      <c r="Q4" s="3894"/>
      <c r="R4" s="3894"/>
      <c r="S4" s="3894"/>
      <c r="T4" s="3894"/>
      <c r="U4" s="3894"/>
      <c r="V4" s="3894"/>
      <c r="W4" s="3894"/>
      <c r="X4" s="3894"/>
      <c r="Y4" s="3894"/>
      <c r="Z4" s="3894"/>
      <c r="AA4" s="3894"/>
      <c r="AB4" s="3894"/>
      <c r="AC4" s="2404"/>
      <c r="AF4" s="2301" t="s">
        <v>56</v>
      </c>
    </row>
    <row r="5" spans="1:33" ht="21" customHeight="1">
      <c r="A5" s="3895" t="s">
        <v>882</v>
      </c>
      <c r="B5" s="3894"/>
      <c r="C5" s="3894"/>
      <c r="D5" s="3894"/>
      <c r="E5" s="3894"/>
      <c r="F5" s="3894"/>
      <c r="G5" s="3894"/>
      <c r="H5" s="3894"/>
      <c r="I5" s="3894"/>
      <c r="J5" s="3894"/>
      <c r="K5" s="3894"/>
      <c r="L5" s="3894"/>
      <c r="M5" s="3894"/>
      <c r="N5" s="3894"/>
      <c r="O5" s="3894"/>
      <c r="P5" s="3894"/>
      <c r="Q5" s="3894"/>
      <c r="R5" s="3894"/>
      <c r="S5" s="3894"/>
      <c r="T5" s="3894"/>
      <c r="U5" s="3894"/>
      <c r="V5" s="3894"/>
      <c r="W5" s="3894"/>
      <c r="X5" s="3894"/>
      <c r="Y5" s="3894"/>
      <c r="Z5" s="3894"/>
      <c r="AA5" s="3894"/>
      <c r="AB5" s="3894"/>
      <c r="AC5" s="2404"/>
    </row>
    <row r="6" spans="1:33" ht="21" customHeight="1">
      <c r="A6" s="2405" t="s">
        <v>1416</v>
      </c>
      <c r="B6" s="2406"/>
      <c r="C6" s="2406"/>
      <c r="D6" s="2406"/>
      <c r="E6" s="2406"/>
      <c r="F6" s="2406"/>
      <c r="G6" s="2406"/>
      <c r="H6" s="2406"/>
      <c r="I6" s="2406"/>
      <c r="J6" s="2406"/>
      <c r="K6" s="2406"/>
      <c r="L6" s="2406"/>
      <c r="M6" s="2406"/>
      <c r="N6" s="2406"/>
      <c r="O6" s="2406"/>
      <c r="P6" s="2406"/>
      <c r="Q6" s="2406"/>
      <c r="R6" s="2406"/>
      <c r="S6" s="2406"/>
      <c r="T6" s="2406"/>
      <c r="U6" s="2406"/>
      <c r="V6" s="2406"/>
      <c r="W6" s="2406"/>
      <c r="X6" s="2406"/>
      <c r="Y6" s="3639"/>
      <c r="Z6" s="3599"/>
      <c r="AA6" s="3599"/>
      <c r="AB6" s="2406"/>
      <c r="AC6" s="2404"/>
    </row>
    <row r="7" spans="1:33" ht="15.75" customHeight="1">
      <c r="A7" s="3895"/>
      <c r="B7" s="3894"/>
      <c r="C7" s="3894"/>
      <c r="D7" s="3894"/>
      <c r="E7" s="3894"/>
      <c r="F7" s="3894"/>
      <c r="G7" s="3894"/>
      <c r="H7" s="3894"/>
      <c r="I7" s="3894"/>
      <c r="J7" s="3894"/>
      <c r="K7" s="3894"/>
      <c r="L7" s="3894"/>
      <c r="M7" s="3894"/>
      <c r="N7" s="3894"/>
      <c r="O7" s="3894"/>
      <c r="P7" s="3894"/>
      <c r="Q7" s="3894"/>
      <c r="R7" s="3894"/>
      <c r="S7" s="3894"/>
      <c r="T7" s="3894"/>
      <c r="U7" s="3894"/>
      <c r="V7" s="3894"/>
      <c r="W7" s="3894"/>
      <c r="X7" s="3894"/>
      <c r="Y7" s="3894"/>
      <c r="Z7" s="3894"/>
      <c r="AA7" s="3894"/>
      <c r="AB7" s="3894"/>
      <c r="AC7" s="2404"/>
    </row>
    <row r="8" spans="1:33" ht="15.75" customHeight="1">
      <c r="A8" s="1"/>
      <c r="B8" s="1"/>
      <c r="C8" s="1"/>
      <c r="D8" s="1"/>
      <c r="E8" s="1"/>
      <c r="F8" s="1"/>
      <c r="G8" s="1"/>
      <c r="H8" s="2304"/>
      <c r="I8" s="2"/>
      <c r="J8" s="2"/>
      <c r="K8" s="2"/>
      <c r="L8" s="2"/>
      <c r="M8" s="1"/>
      <c r="N8" s="2"/>
      <c r="O8" s="2"/>
      <c r="P8" s="2"/>
      <c r="Q8" s="2"/>
      <c r="R8" s="2"/>
      <c r="S8" s="2"/>
      <c r="T8" s="2"/>
      <c r="U8" s="2407"/>
      <c r="V8" s="2407"/>
      <c r="W8" s="2407"/>
      <c r="X8" s="2407"/>
      <c r="Y8" s="2408"/>
      <c r="Z8" s="2408"/>
      <c r="AA8" s="2301"/>
      <c r="AB8" s="2408"/>
      <c r="AC8" s="2409"/>
    </row>
    <row r="9" spans="1:33" ht="15.75" customHeight="1">
      <c r="A9" s="1"/>
      <c r="B9" s="1"/>
      <c r="C9" s="1"/>
      <c r="D9" s="1"/>
      <c r="E9" s="1"/>
      <c r="F9" s="1"/>
      <c r="G9" s="1"/>
      <c r="H9" s="2304"/>
      <c r="I9" s="2"/>
      <c r="J9" s="2"/>
      <c r="K9" s="2"/>
      <c r="L9" s="2"/>
      <c r="M9" s="1"/>
      <c r="N9" s="2"/>
      <c r="O9" s="2410"/>
      <c r="P9" s="2410"/>
      <c r="Q9" s="2410"/>
      <c r="R9" s="2410"/>
      <c r="S9" s="2364"/>
      <c r="T9" s="2364"/>
      <c r="U9" s="2403"/>
      <c r="V9" s="2403"/>
      <c r="W9" s="2403"/>
      <c r="X9" s="2411"/>
      <c r="Y9" s="2408"/>
      <c r="Z9" s="2408"/>
      <c r="AA9" s="2301"/>
      <c r="AB9" s="2408"/>
      <c r="AC9" s="2409"/>
    </row>
    <row r="10" spans="1:33" ht="16.350000000000001" customHeight="1">
      <c r="A10" s="1"/>
      <c r="B10" s="1"/>
      <c r="C10" s="2309"/>
      <c r="D10" s="3890"/>
      <c r="E10" s="3891"/>
      <c r="F10" s="3891"/>
      <c r="G10" s="3891"/>
      <c r="H10" s="3891"/>
      <c r="I10" s="3891"/>
      <c r="J10" s="3891"/>
      <c r="K10" s="3891"/>
      <c r="L10" s="3891"/>
      <c r="M10" s="3891"/>
      <c r="N10" s="3891"/>
      <c r="O10" s="2411"/>
      <c r="P10" s="2412"/>
      <c r="Q10" s="2411"/>
      <c r="R10" s="3889"/>
      <c r="S10" s="3889"/>
      <c r="T10" s="3889"/>
      <c r="U10" s="3889"/>
      <c r="V10" s="3889"/>
      <c r="W10" s="3889"/>
      <c r="X10" s="3889"/>
      <c r="Y10" s="3889"/>
      <c r="Z10" s="3889"/>
      <c r="AA10" s="3889"/>
      <c r="AB10" s="3889"/>
      <c r="AC10" s="2413"/>
      <c r="AD10" s="2403"/>
      <c r="AE10" s="2403"/>
      <c r="AF10" s="2403"/>
      <c r="AG10" s="2403"/>
    </row>
    <row r="11" spans="1:33" ht="16.350000000000001" customHeight="1">
      <c r="A11" s="2320"/>
      <c r="B11" s="627"/>
      <c r="C11" s="627"/>
      <c r="D11" s="3" t="s">
        <v>3</v>
      </c>
      <c r="E11" s="3"/>
      <c r="F11" s="3"/>
      <c r="G11" s="2314"/>
      <c r="H11" s="2414" t="s">
        <v>1166</v>
      </c>
      <c r="I11" s="3"/>
      <c r="J11" s="3"/>
      <c r="K11" s="2364"/>
      <c r="L11" s="3892" t="s">
        <v>5</v>
      </c>
      <c r="M11" s="3892"/>
      <c r="N11" s="3892"/>
      <c r="O11" s="5"/>
      <c r="P11" s="2316"/>
      <c r="Q11" s="2316"/>
      <c r="R11" s="2415" t="s">
        <v>1184</v>
      </c>
      <c r="S11" s="2415"/>
      <c r="T11" s="2415"/>
      <c r="U11" s="2415"/>
      <c r="V11" s="2415"/>
      <c r="W11" s="2415"/>
      <c r="X11" s="2415"/>
      <c r="Y11" s="2415"/>
      <c r="Z11" s="2415"/>
      <c r="AA11" s="2415"/>
      <c r="AB11" s="2415"/>
      <c r="AC11" s="2416"/>
      <c r="AD11" s="2417"/>
      <c r="AE11" s="2417"/>
      <c r="AF11" s="2417"/>
    </row>
    <row r="12" spans="1:33" ht="15.75" customHeight="1">
      <c r="A12" s="2313"/>
      <c r="B12" s="2313"/>
      <c r="C12" s="7"/>
      <c r="D12" s="5" t="s">
        <v>7</v>
      </c>
      <c r="E12" s="5"/>
      <c r="F12" s="4" t="str">
        <f>'Exhibit A'!F11</f>
        <v>10 MOS. ENDED</v>
      </c>
      <c r="G12" s="2308"/>
      <c r="H12" s="5" t="s">
        <v>7</v>
      </c>
      <c r="I12" s="5"/>
      <c r="J12" s="5" t="str">
        <f>F12</f>
        <v>10 MOS. ENDED</v>
      </c>
      <c r="K12" s="2308"/>
      <c r="L12" s="5" t="s">
        <v>7</v>
      </c>
      <c r="M12" s="5"/>
      <c r="N12" s="5" t="str">
        <f>F12</f>
        <v>10 MOS. ENDED</v>
      </c>
      <c r="O12" s="5"/>
      <c r="P12" s="2418"/>
      <c r="Q12" s="5"/>
      <c r="R12" s="5" t="s">
        <v>7</v>
      </c>
      <c r="S12" s="5"/>
      <c r="T12" s="5" t="str">
        <f>F12</f>
        <v>10 MOS. ENDED</v>
      </c>
      <c r="U12" s="2316"/>
      <c r="V12" s="2316"/>
      <c r="W12" s="2316"/>
      <c r="X12" s="2316"/>
      <c r="Y12" s="3638" t="s">
        <v>7</v>
      </c>
      <c r="Z12" s="3598"/>
      <c r="AA12" s="3598" t="str">
        <f>'Exhibit A'!AD11</f>
        <v>10 MOS. ENDED</v>
      </c>
      <c r="AB12" s="2316"/>
      <c r="AC12" s="2419"/>
      <c r="AD12" s="2316" t="s">
        <v>8</v>
      </c>
      <c r="AE12" s="2317"/>
      <c r="AF12" s="5" t="s">
        <v>9</v>
      </c>
    </row>
    <row r="13" spans="1:33" ht="16.350000000000001" customHeight="1">
      <c r="A13" s="2313"/>
      <c r="B13" s="2313"/>
      <c r="C13" s="2313"/>
      <c r="D13" s="920" t="str">
        <f>'Exhibit A'!D12</f>
        <v>JAN. 2020</v>
      </c>
      <c r="E13" s="2308"/>
      <c r="F13" s="920" t="str">
        <f>'Exhibit A'!F12</f>
        <v>JAN. 31, 2020</v>
      </c>
      <c r="G13" s="2308"/>
      <c r="H13" s="6" t="str">
        <f>D13</f>
        <v>JAN. 2020</v>
      </c>
      <c r="I13" s="2308"/>
      <c r="J13" s="6" t="str">
        <f>F13</f>
        <v>JAN. 31, 2020</v>
      </c>
      <c r="K13" s="2308"/>
      <c r="L13" s="6" t="str">
        <f>D13</f>
        <v>JAN. 2020</v>
      </c>
      <c r="M13" s="2308"/>
      <c r="N13" s="6" t="str">
        <f>F13</f>
        <v>JAN. 31, 2020</v>
      </c>
      <c r="O13" s="5"/>
      <c r="P13" s="2418"/>
      <c r="Q13" s="5"/>
      <c r="R13" s="6" t="str">
        <f>D13</f>
        <v>JAN. 2020</v>
      </c>
      <c r="S13" s="2308"/>
      <c r="T13" s="6" t="str">
        <f>F13</f>
        <v>JAN. 31, 2020</v>
      </c>
      <c r="U13" s="2316"/>
      <c r="V13" s="2316"/>
      <c r="W13" s="2316"/>
      <c r="X13" s="2420"/>
      <c r="Y13" s="3585" t="str">
        <f>'Exhibit A'!AB12</f>
        <v>JAN. 2019</v>
      </c>
      <c r="Z13" s="2420"/>
      <c r="AA13" s="3585" t="str">
        <f>'Exhibit A'!AD12</f>
        <v>JAN. 31, 2019</v>
      </c>
      <c r="AB13" s="2420"/>
      <c r="AC13" s="2419"/>
      <c r="AD13" s="2421" t="s">
        <v>12</v>
      </c>
      <c r="AE13" s="2294"/>
      <c r="AF13" s="920" t="s">
        <v>13</v>
      </c>
    </row>
    <row r="14" spans="1:33" ht="16.350000000000001" customHeight="1">
      <c r="A14" s="2312" t="s">
        <v>14</v>
      </c>
      <c r="B14" s="2313"/>
      <c r="C14" s="2313"/>
      <c r="D14" s="2422" t="s">
        <v>15</v>
      </c>
      <c r="E14" s="2313"/>
      <c r="F14" s="7"/>
      <c r="G14" s="2313"/>
      <c r="H14" s="627" t="s">
        <v>15</v>
      </c>
      <c r="I14" s="2313"/>
      <c r="J14" s="7"/>
      <c r="K14" s="2313"/>
      <c r="L14" s="627" t="s">
        <v>15</v>
      </c>
      <c r="M14" s="2313"/>
      <c r="N14" s="7"/>
      <c r="O14" s="7"/>
      <c r="P14" s="2423"/>
      <c r="Q14" s="2424"/>
      <c r="R14" s="7"/>
      <c r="S14" s="7"/>
      <c r="T14" s="7"/>
      <c r="U14" s="2323"/>
      <c r="V14" s="2323"/>
      <c r="W14" s="2425"/>
      <c r="X14" s="2323"/>
      <c r="Y14" s="2323"/>
      <c r="Z14" s="2362"/>
      <c r="AA14" s="2323"/>
      <c r="AB14" s="2323"/>
      <c r="AC14" s="2426"/>
      <c r="AD14" s="2323"/>
      <c r="AE14" s="2295"/>
      <c r="AF14" s="1465"/>
    </row>
    <row r="15" spans="1:33" ht="18" customHeight="1">
      <c r="A15" s="2313" t="s">
        <v>16</v>
      </c>
      <c r="B15" s="2336">
        <v>-7</v>
      </c>
      <c r="C15" s="2313"/>
      <c r="D15" s="1397">
        <f>+'Exhibit A'!D14</f>
        <v>2342.1999999999998</v>
      </c>
      <c r="E15" s="669" t="s">
        <v>15</v>
      </c>
      <c r="F15" s="669">
        <f>+'Exhibit A'!F14</f>
        <v>20959.099999999999</v>
      </c>
      <c r="G15" s="669"/>
      <c r="H15" s="2427">
        <f>+'Exhibit G State'!V17</f>
        <v>2107.4</v>
      </c>
      <c r="I15" s="669"/>
      <c r="J15" s="2428">
        <f>'Exhibit G State'!AD17</f>
        <v>2149.1</v>
      </c>
      <c r="K15" s="669"/>
      <c r="L15" s="1458">
        <f>+'Exhibit A'!L14</f>
        <v>4449.6000000000013</v>
      </c>
      <c r="M15" s="669"/>
      <c r="N15" s="669">
        <f>+'Exhibit A'!N14</f>
        <v>23108.2</v>
      </c>
      <c r="O15" s="2329"/>
      <c r="P15" s="2429"/>
      <c r="Q15" s="2430"/>
      <c r="R15" s="669">
        <f t="shared" ref="R15:R20" si="0">ROUND(SUM(D15+H15+L15),1)</f>
        <v>8899.2000000000007</v>
      </c>
      <c r="S15" s="669"/>
      <c r="T15" s="2431">
        <f t="shared" ref="T15:T20" si="1">ROUND(SUM(F15+J15+N15),1)</f>
        <v>46216.4</v>
      </c>
      <c r="U15" s="2432"/>
      <c r="V15" s="2432"/>
      <c r="W15" s="2433"/>
      <c r="X15" s="2432"/>
      <c r="Y15" s="2432">
        <v>8612.5</v>
      </c>
      <c r="Z15" s="2432" t="s">
        <v>15</v>
      </c>
      <c r="AA15" s="2432">
        <f>'Exhibit F'!AF26+'Exhibit G State'!AG17+'Exhibit H'!AD16</f>
        <v>41142.5</v>
      </c>
      <c r="AB15" s="2434"/>
      <c r="AC15" s="2435"/>
      <c r="AD15" s="2432">
        <f t="shared" ref="AD15:AD20" si="2">ROUND(SUM(T15-AA15),1)</f>
        <v>5073.8999999999996</v>
      </c>
      <c r="AE15" s="2334"/>
      <c r="AF15" s="1462">
        <f>ROUND(+AD15/AA15,3)</f>
        <v>0.123</v>
      </c>
    </row>
    <row r="16" spans="1:33" ht="18" customHeight="1">
      <c r="A16" s="2313" t="s">
        <v>17</v>
      </c>
      <c r="B16" s="2336">
        <v>-4</v>
      </c>
      <c r="C16" s="2313"/>
      <c r="D16" s="629">
        <f>+'Exhibit A'!D15</f>
        <v>711</v>
      </c>
      <c r="E16" s="9"/>
      <c r="F16" s="9">
        <f>+'Exhibit A'!F15</f>
        <v>6822</v>
      </c>
      <c r="G16" s="9"/>
      <c r="H16" s="2436">
        <f>+'Exhibit G State'!V28</f>
        <v>155.1</v>
      </c>
      <c r="I16" s="9"/>
      <c r="J16" s="2437">
        <f>'Exhibit G State'!AD28</f>
        <v>1660.6</v>
      </c>
      <c r="K16" s="9"/>
      <c r="L16" s="629">
        <f>+'Exhibit A'!L15</f>
        <v>635</v>
      </c>
      <c r="M16" s="9"/>
      <c r="N16" s="9">
        <f>+'Exhibit A'!N15</f>
        <v>6293.8</v>
      </c>
      <c r="O16" s="14"/>
      <c r="P16" s="2438"/>
      <c r="Q16" s="2439"/>
      <c r="R16" s="9">
        <f t="shared" si="0"/>
        <v>1501.1</v>
      </c>
      <c r="S16" s="9"/>
      <c r="T16" s="2440">
        <f t="shared" si="1"/>
        <v>14776.4</v>
      </c>
      <c r="U16" s="22"/>
      <c r="V16" s="22"/>
      <c r="W16" s="2368"/>
      <c r="X16" s="22"/>
      <c r="Y16" s="22">
        <v>1371.7</v>
      </c>
      <c r="Z16" s="22" t="s">
        <v>15</v>
      </c>
      <c r="AA16" s="22">
        <f>'Exhibit F'!AF37+'Exhibit G State'!AG28+'Exhibit H'!AD20</f>
        <v>14134.4</v>
      </c>
      <c r="AB16" s="2323"/>
      <c r="AC16" s="2426"/>
      <c r="AD16" s="22">
        <f t="shared" si="2"/>
        <v>642</v>
      </c>
      <c r="AE16" s="2295"/>
      <c r="AF16" s="1462">
        <f t="shared" ref="AF16:AF21" si="3">ROUND(+AD16/AA16,3)</f>
        <v>4.4999999999999998E-2</v>
      </c>
    </row>
    <row r="17" spans="1:32" ht="18" customHeight="1">
      <c r="A17" s="2313" t="s">
        <v>18</v>
      </c>
      <c r="B17" s="2340"/>
      <c r="C17" s="2313"/>
      <c r="D17" s="629">
        <f>+'Exhibit A'!D16</f>
        <v>123.5</v>
      </c>
      <c r="E17" s="9"/>
      <c r="F17" s="9">
        <f>+'Exhibit A'!F16</f>
        <v>4533.8999999999996</v>
      </c>
      <c r="G17" s="9"/>
      <c r="H17" s="2436">
        <f>+'Exhibit G State'!V35</f>
        <v>73.099999999999994</v>
      </c>
      <c r="I17" s="9"/>
      <c r="J17" s="2437">
        <f>'Exhibit G State'!AD35</f>
        <v>1491.6</v>
      </c>
      <c r="K17" s="9"/>
      <c r="L17" s="629">
        <f>+'Exhibit A'!L16</f>
        <v>0</v>
      </c>
      <c r="M17" s="9"/>
      <c r="N17" s="9">
        <f>+'Exhibit A'!N16</f>
        <v>0</v>
      </c>
      <c r="O17" s="17"/>
      <c r="P17" s="2441"/>
      <c r="Q17" s="2442"/>
      <c r="R17" s="9">
        <f t="shared" si="0"/>
        <v>196.6</v>
      </c>
      <c r="S17" s="9"/>
      <c r="T17" s="2440">
        <f t="shared" si="1"/>
        <v>6025.5</v>
      </c>
      <c r="U17" s="22"/>
      <c r="V17" s="22"/>
      <c r="W17" s="2443"/>
      <c r="X17" s="21"/>
      <c r="Y17" s="22">
        <v>281.29999999999995</v>
      </c>
      <c r="Z17" s="22" t="s">
        <v>15</v>
      </c>
      <c r="AA17" s="22">
        <f>'Exhibit F'!AF44+'Exhibit G State'!AG35</f>
        <v>5287.9</v>
      </c>
      <c r="AB17" s="2323"/>
      <c r="AC17" s="2426"/>
      <c r="AD17" s="22">
        <f t="shared" si="2"/>
        <v>737.6</v>
      </c>
      <c r="AE17" s="2295"/>
      <c r="AF17" s="1462">
        <f t="shared" si="3"/>
        <v>0.13900000000000001</v>
      </c>
    </row>
    <row r="18" spans="1:32" ht="18" customHeight="1">
      <c r="A18" s="2313" t="s">
        <v>19</v>
      </c>
      <c r="B18" s="2336">
        <v>-3</v>
      </c>
      <c r="C18" s="2313"/>
      <c r="D18" s="629">
        <f>+'Exhibit A'!D17</f>
        <v>94.3</v>
      </c>
      <c r="E18" s="9"/>
      <c r="F18" s="9">
        <f>+'Exhibit A'!F17</f>
        <v>922.7</v>
      </c>
      <c r="G18" s="9"/>
      <c r="H18" s="2436">
        <v>0</v>
      </c>
      <c r="I18" s="9"/>
      <c r="J18" s="2437">
        <v>0</v>
      </c>
      <c r="K18" s="9"/>
      <c r="L18" s="629">
        <f>+'Exhibit A'!L17</f>
        <v>83.2</v>
      </c>
      <c r="M18" s="9"/>
      <c r="N18" s="9">
        <f>+'Exhibit A'!N17</f>
        <v>857.7</v>
      </c>
      <c r="O18" s="14"/>
      <c r="P18" s="2438"/>
      <c r="Q18" s="2439"/>
      <c r="R18" s="9">
        <f t="shared" si="0"/>
        <v>177.5</v>
      </c>
      <c r="S18" s="9"/>
      <c r="T18" s="2440">
        <f t="shared" si="1"/>
        <v>1780.4</v>
      </c>
      <c r="U18" s="22"/>
      <c r="V18" s="22"/>
      <c r="W18" s="2368"/>
      <c r="X18" s="22"/>
      <c r="Y18" s="22">
        <v>198.2</v>
      </c>
      <c r="Z18" s="22" t="s">
        <v>15</v>
      </c>
      <c r="AA18" s="22">
        <f>'Exhibit F'!AF53+'Exhibit H'!AD24</f>
        <v>1856.1</v>
      </c>
      <c r="AB18" s="2323"/>
      <c r="AC18" s="2426"/>
      <c r="AD18" s="22">
        <f t="shared" si="2"/>
        <v>-75.7</v>
      </c>
      <c r="AE18" s="2295"/>
      <c r="AF18" s="1462">
        <f t="shared" si="3"/>
        <v>-4.1000000000000002E-2</v>
      </c>
    </row>
    <row r="19" spans="1:32" ht="18" customHeight="1">
      <c r="A19" s="2313" t="s">
        <v>20</v>
      </c>
      <c r="B19" s="2336">
        <v>-4</v>
      </c>
      <c r="C19" s="2313"/>
      <c r="D19" s="629">
        <f>+'Exhibit A'!D18</f>
        <v>77</v>
      </c>
      <c r="E19" s="629" t="s">
        <v>1445</v>
      </c>
      <c r="F19" s="9">
        <f>+'Exhibit A'!F18</f>
        <v>2593.8000000000002</v>
      </c>
      <c r="G19" s="9"/>
      <c r="H19" s="2436">
        <f>+'Exhibit G State'!V80</f>
        <v>2198.8000000000002</v>
      </c>
      <c r="I19" s="9"/>
      <c r="J19" s="2437">
        <f>'Exhibit G State'!AD80</f>
        <v>15788.3</v>
      </c>
      <c r="K19" s="9"/>
      <c r="L19" s="629">
        <f>+'Exhibit A'!L18</f>
        <v>37.799999999999997</v>
      </c>
      <c r="M19" s="9"/>
      <c r="N19" s="9">
        <f>+'Exhibit A'!N18</f>
        <v>411.7</v>
      </c>
      <c r="O19" s="14"/>
      <c r="P19" s="2438"/>
      <c r="Q19" s="2439"/>
      <c r="R19" s="9">
        <f t="shared" si="0"/>
        <v>2313.6</v>
      </c>
      <c r="S19" s="9"/>
      <c r="T19" s="2440">
        <f t="shared" si="1"/>
        <v>18793.8</v>
      </c>
      <c r="U19" s="22"/>
      <c r="V19" s="22"/>
      <c r="W19" s="2368"/>
      <c r="X19" s="22"/>
      <c r="Y19" s="22">
        <v>2028.2</v>
      </c>
      <c r="Z19" s="22" t="s">
        <v>15</v>
      </c>
      <c r="AA19" s="22">
        <f>+'Exhibit F'!AF93+'Exhibit G State'!AG80+'Exhibit H'!AD45</f>
        <v>19565.400000000001</v>
      </c>
      <c r="AB19" s="2323"/>
      <c r="AC19" s="2426"/>
      <c r="AD19" s="22">
        <f t="shared" si="2"/>
        <v>-771.6</v>
      </c>
      <c r="AE19" s="2295"/>
      <c r="AF19" s="1462">
        <f t="shared" si="3"/>
        <v>-3.9E-2</v>
      </c>
    </row>
    <row r="20" spans="1:32" ht="18" customHeight="1">
      <c r="A20" s="2313" t="s">
        <v>21</v>
      </c>
      <c r="B20" s="2356"/>
      <c r="C20" s="2313"/>
      <c r="D20" s="629">
        <f>+'Exhibit A'!D19</f>
        <v>-0.20000000000000004</v>
      </c>
      <c r="E20" s="9"/>
      <c r="F20" s="9">
        <f>+'Exhibit A'!F19</f>
        <v>0.3</v>
      </c>
      <c r="G20" s="9"/>
      <c r="H20" s="2436">
        <f>+'Exhibit G State'!V82</f>
        <v>-26.699999999999996</v>
      </c>
      <c r="I20" s="9"/>
      <c r="J20" s="2437">
        <f>'Exhibit G State'!AD82</f>
        <v>-9</v>
      </c>
      <c r="K20" s="9"/>
      <c r="L20" s="629">
        <f>+'Exhibit A'!L19</f>
        <v>1.6000000000000014</v>
      </c>
      <c r="M20" s="10"/>
      <c r="N20" s="9">
        <f>+'Exhibit A'!N19</f>
        <v>38.4</v>
      </c>
      <c r="O20" s="17"/>
      <c r="P20" s="2441"/>
      <c r="Q20" s="2442"/>
      <c r="R20" s="10">
        <f t="shared" si="0"/>
        <v>-25.3</v>
      </c>
      <c r="S20" s="17"/>
      <c r="T20" s="2440">
        <f t="shared" si="1"/>
        <v>29.7</v>
      </c>
      <c r="U20" s="22"/>
      <c r="V20" s="22"/>
      <c r="W20" s="2443"/>
      <c r="X20" s="2444"/>
      <c r="Y20" s="22">
        <v>1.6</v>
      </c>
      <c r="Z20" s="22" t="s">
        <v>15</v>
      </c>
      <c r="AA20" s="22">
        <f>+'Exhibit F'!AF95+'Exhibit G State'!AG82+'Exhibit H'!AD47</f>
        <v>36</v>
      </c>
      <c r="AB20" s="2323"/>
      <c r="AC20" s="2426"/>
      <c r="AD20" s="22">
        <f t="shared" si="2"/>
        <v>-6.3</v>
      </c>
      <c r="AE20" s="2295"/>
      <c r="AF20" s="1502">
        <f>ROUND(IF(AA20=0,1,AD20/ABS(AA20)),3)</f>
        <v>-0.17499999999999999</v>
      </c>
    </row>
    <row r="21" spans="1:32" ht="18" customHeight="1">
      <c r="A21" s="2312" t="s">
        <v>22</v>
      </c>
      <c r="B21" s="2313"/>
      <c r="C21" s="2313"/>
      <c r="D21" s="12">
        <f>ROUND(SUM(D15:D20),1)</f>
        <v>3347.8</v>
      </c>
      <c r="E21" s="1399"/>
      <c r="F21" s="11">
        <f>ROUND(SUM(F15:F20),1)</f>
        <v>35831.800000000003</v>
      </c>
      <c r="G21" s="1399"/>
      <c r="H21" s="12">
        <f>ROUND(SUM(H15:H20),1)</f>
        <v>4507.7</v>
      </c>
      <c r="I21" s="1399"/>
      <c r="J21" s="12">
        <f>ROUND(SUM(J15:J20),1)</f>
        <v>21080.6</v>
      </c>
      <c r="K21" s="1399"/>
      <c r="L21" s="12">
        <f>ROUND(SUM(L15:L20),1)</f>
        <v>5207.2</v>
      </c>
      <c r="M21" s="1399"/>
      <c r="N21" s="12">
        <f>ROUND(SUM(N15:N20),1)</f>
        <v>30709.8</v>
      </c>
      <c r="O21" s="2344"/>
      <c r="P21" s="2445"/>
      <c r="Q21" s="2446"/>
      <c r="R21" s="12">
        <f>ROUND(SUM(R15:R20),1)</f>
        <v>13062.7</v>
      </c>
      <c r="S21" s="2344"/>
      <c r="T21" s="12">
        <f>ROUND(SUM(T15:T20),1)</f>
        <v>87622.2</v>
      </c>
      <c r="U21" s="1517"/>
      <c r="V21" s="1517"/>
      <c r="W21" s="2374"/>
      <c r="X21" s="1517"/>
      <c r="Y21" s="1605">
        <f>ROUND(SUM(Y15:Y20),1)</f>
        <v>12493.5</v>
      </c>
      <c r="Z21" s="23"/>
      <c r="AA21" s="1605">
        <f>ROUND(SUM(AA15:AA20),1)</f>
        <v>82022.3</v>
      </c>
      <c r="AB21" s="2375"/>
      <c r="AC21" s="2447"/>
      <c r="AD21" s="1605">
        <f>ROUND(SUM(AD15:AD20),1)</f>
        <v>5599.9</v>
      </c>
      <c r="AE21" s="2347"/>
      <c r="AF21" s="1479">
        <f t="shared" si="3"/>
        <v>6.8000000000000005E-2</v>
      </c>
    </row>
    <row r="22" spans="1:32" ht="16.350000000000001" customHeight="1">
      <c r="A22" s="2312"/>
      <c r="B22" s="2313"/>
      <c r="C22" s="2313"/>
      <c r="D22" s="630"/>
      <c r="E22" s="9"/>
      <c r="F22" s="14"/>
      <c r="G22" s="9"/>
      <c r="H22" s="630"/>
      <c r="I22" s="9"/>
      <c r="J22" s="14"/>
      <c r="K22" s="9"/>
      <c r="L22" s="630"/>
      <c r="M22" s="9"/>
      <c r="N22" s="14"/>
      <c r="O22" s="14"/>
      <c r="P22" s="2438"/>
      <c r="Q22" s="2439"/>
      <c r="R22" s="14"/>
      <c r="S22" s="14"/>
      <c r="T22" s="14"/>
      <c r="U22" s="1461"/>
      <c r="V22" s="1461"/>
      <c r="W22" s="2368"/>
      <c r="X22" s="1461"/>
      <c r="Y22" s="1461"/>
      <c r="Z22" s="22"/>
      <c r="AA22" s="1461"/>
      <c r="AB22" s="2323"/>
      <c r="AC22" s="2426"/>
      <c r="AD22" s="1461"/>
      <c r="AE22" s="2295"/>
      <c r="AF22" s="1465"/>
    </row>
    <row r="23" spans="1:32" ht="16.350000000000001" customHeight="1">
      <c r="A23" s="2312" t="s">
        <v>23</v>
      </c>
      <c r="B23" s="2313"/>
      <c r="C23" s="2313"/>
      <c r="D23" s="629"/>
      <c r="E23" s="9"/>
      <c r="F23" s="9"/>
      <c r="G23" s="9"/>
      <c r="H23" s="629"/>
      <c r="I23" s="9"/>
      <c r="J23" s="9"/>
      <c r="K23" s="9"/>
      <c r="L23" s="629"/>
      <c r="M23" s="9"/>
      <c r="N23" s="9"/>
      <c r="O23" s="14"/>
      <c r="P23" s="2438"/>
      <c r="Q23" s="2439"/>
      <c r="R23" s="9"/>
      <c r="S23" s="9"/>
      <c r="T23" s="9"/>
      <c r="U23" s="22"/>
      <c r="V23" s="22"/>
      <c r="W23" s="2368"/>
      <c r="X23" s="22"/>
      <c r="Y23" s="22"/>
      <c r="Z23" s="22"/>
      <c r="AA23" s="22"/>
      <c r="AB23" s="2323"/>
      <c r="AC23" s="2426"/>
      <c r="AD23" s="22"/>
      <c r="AE23" s="2295"/>
      <c r="AF23" s="1465"/>
    </row>
    <row r="24" spans="1:32" ht="16.350000000000001" customHeight="1">
      <c r="A24" s="2313" t="s">
        <v>24</v>
      </c>
      <c r="B24" s="2448" t="s">
        <v>1415</v>
      </c>
      <c r="C24" s="2313"/>
      <c r="D24" s="631"/>
      <c r="E24" s="10"/>
      <c r="F24" s="15"/>
      <c r="G24" s="9"/>
      <c r="H24" s="631"/>
      <c r="I24" s="10"/>
      <c r="J24" s="15"/>
      <c r="K24" s="9"/>
      <c r="L24" s="631"/>
      <c r="M24" s="9"/>
      <c r="N24" s="10"/>
      <c r="O24" s="14"/>
      <c r="P24" s="2438"/>
      <c r="Q24" s="2439"/>
      <c r="R24" s="10"/>
      <c r="S24" s="10"/>
      <c r="T24" s="10"/>
      <c r="U24" s="22"/>
      <c r="V24" s="22"/>
      <c r="W24" s="2368"/>
      <c r="X24" s="21"/>
      <c r="Y24" s="22"/>
      <c r="Z24" s="22"/>
      <c r="AA24" s="22"/>
      <c r="AB24" s="2323"/>
      <c r="AC24" s="2426"/>
      <c r="AD24" s="2449"/>
      <c r="AE24" s="2295"/>
      <c r="AF24" s="2350"/>
    </row>
    <row r="25" spans="1:32" ht="18" customHeight="1">
      <c r="A25" s="2351" t="s">
        <v>25</v>
      </c>
      <c r="B25" s="2313"/>
      <c r="C25" s="2313"/>
      <c r="D25" s="1400">
        <f>+'Exhibit A'!D24</f>
        <v>790.99999999999636</v>
      </c>
      <c r="E25" s="9"/>
      <c r="F25" s="2450">
        <f>+'Exhibit A'!F24</f>
        <v>17584.899999999998</v>
      </c>
      <c r="G25" s="9"/>
      <c r="H25" s="1400">
        <f>+'Exhibit G State'!V88</f>
        <v>2254.8000000000002</v>
      </c>
      <c r="I25" s="9"/>
      <c r="J25" s="2450">
        <f>+'Exhibit G State'!AD88</f>
        <v>5599</v>
      </c>
      <c r="K25" s="9"/>
      <c r="L25" s="631">
        <f>+'Exhibit A'!L24</f>
        <v>0</v>
      </c>
      <c r="M25" s="9"/>
      <c r="N25" s="10">
        <f>+'Exhibit A'!N24</f>
        <v>0</v>
      </c>
      <c r="O25" s="17"/>
      <c r="P25" s="2441"/>
      <c r="Q25" s="2442"/>
      <c r="R25" s="2440">
        <f>ROUND(SUM(D25+H25+L25),1)</f>
        <v>3045.8</v>
      </c>
      <c r="S25" s="2440"/>
      <c r="T25" s="2440">
        <f>ROUND(SUM(F25+J25+N25),1)</f>
        <v>23183.9</v>
      </c>
      <c r="U25" s="22"/>
      <c r="V25" s="22"/>
      <c r="W25" s="2443"/>
      <c r="X25" s="21"/>
      <c r="Y25" s="22">
        <v>3163.6</v>
      </c>
      <c r="Z25" s="22" t="s">
        <v>15</v>
      </c>
      <c r="AA25" s="22">
        <f>+'Exhibit F'!AF101+'Exhibit G State'!AG88</f>
        <v>22754.7</v>
      </c>
      <c r="AB25" s="2323"/>
      <c r="AC25" s="2426"/>
      <c r="AD25" s="22">
        <f>ROUND(SUM(T25-AA25),1)</f>
        <v>429.2</v>
      </c>
      <c r="AE25" s="2295"/>
      <c r="AF25" s="1462">
        <f>ROUND(+AD25/AA25,3)</f>
        <v>1.9E-2</v>
      </c>
    </row>
    <row r="26" spans="1:32" ht="18" customHeight="1">
      <c r="A26" s="2351" t="s">
        <v>26</v>
      </c>
      <c r="B26" s="2354"/>
      <c r="C26" s="2313"/>
      <c r="D26" s="1400">
        <f>+'Exhibit A'!D25</f>
        <v>0.20000000000000018</v>
      </c>
      <c r="E26" s="9"/>
      <c r="F26" s="2450">
        <f>+'Exhibit A'!F25</f>
        <v>2.5</v>
      </c>
      <c r="G26" s="9"/>
      <c r="H26" s="1400">
        <f>+'Exhibit G State'!V89</f>
        <v>0.49999999999999989</v>
      </c>
      <c r="I26" s="2440"/>
      <c r="J26" s="2450">
        <f>+'Exhibit G State'!AD89</f>
        <v>2</v>
      </c>
      <c r="K26" s="9"/>
      <c r="L26" s="631">
        <f>+'Exhibit A'!L25</f>
        <v>0</v>
      </c>
      <c r="M26" s="9"/>
      <c r="N26" s="10">
        <f>+'Exhibit A'!N25</f>
        <v>0</v>
      </c>
      <c r="O26" s="17"/>
      <c r="P26" s="2441"/>
      <c r="Q26" s="2442"/>
      <c r="R26" s="2440">
        <f t="shared" ref="R26:R33" si="4">ROUND(SUM(D26+H26+L26),1)</f>
        <v>0.7</v>
      </c>
      <c r="S26" s="2440"/>
      <c r="T26" s="2440">
        <f t="shared" ref="T26:T33" si="5">ROUND(SUM(F26+J26+N26),1)</f>
        <v>4.5</v>
      </c>
      <c r="U26" s="22"/>
      <c r="V26" s="22"/>
      <c r="W26" s="2443"/>
      <c r="X26" s="21"/>
      <c r="Y26" s="22">
        <v>1.8</v>
      </c>
      <c r="Z26" s="22" t="s">
        <v>15</v>
      </c>
      <c r="AA26" s="22">
        <f>+'Exhibit F'!AF102+'Exhibit G State'!AG89</f>
        <v>6.5</v>
      </c>
      <c r="AB26" s="2323"/>
      <c r="AC26" s="2426"/>
      <c r="AD26" s="22">
        <f>ROUND(SUM(T26-AA26),1)</f>
        <v>-2</v>
      </c>
      <c r="AE26" s="2295"/>
      <c r="AF26" s="1462">
        <f>ROUND(IF(AA26=0,1,AD26/ABS(AA26)),3)</f>
        <v>-0.308</v>
      </c>
    </row>
    <row r="27" spans="1:32" ht="18" customHeight="1">
      <c r="A27" s="2351" t="s">
        <v>27</v>
      </c>
      <c r="B27" s="2355"/>
      <c r="C27" s="2313"/>
      <c r="D27" s="1400">
        <f>+'Exhibit A'!D26</f>
        <v>10.399999999999977</v>
      </c>
      <c r="E27" s="9"/>
      <c r="F27" s="2450">
        <f>+'Exhibit A'!F26</f>
        <v>954</v>
      </c>
      <c r="G27" s="9"/>
      <c r="H27" s="1400">
        <f>+'Exhibit G State'!V90</f>
        <v>20.39999999999997</v>
      </c>
      <c r="I27" s="9"/>
      <c r="J27" s="2450">
        <f>+'Exhibit G State'!AD90</f>
        <v>183.29999999999998</v>
      </c>
      <c r="K27" s="9"/>
      <c r="L27" s="631">
        <f>+'Exhibit A'!L26</f>
        <v>0</v>
      </c>
      <c r="M27" s="9"/>
      <c r="N27" s="10">
        <f>+'Exhibit A'!N26</f>
        <v>0</v>
      </c>
      <c r="O27" s="17"/>
      <c r="P27" s="2441"/>
      <c r="Q27" s="2442"/>
      <c r="R27" s="2440">
        <f t="shared" si="4"/>
        <v>30.8</v>
      </c>
      <c r="S27" s="2440"/>
      <c r="T27" s="2440">
        <f t="shared" si="5"/>
        <v>1137.3</v>
      </c>
      <c r="U27" s="22"/>
      <c r="V27" s="22"/>
      <c r="W27" s="2443"/>
      <c r="X27" s="21"/>
      <c r="Y27" s="22">
        <v>29.200000000000003</v>
      </c>
      <c r="Z27" s="22" t="s">
        <v>15</v>
      </c>
      <c r="AA27" s="22">
        <f>+'Exhibit F'!AF103+'Exhibit G State'!AG90</f>
        <v>1062</v>
      </c>
      <c r="AB27" s="2323"/>
      <c r="AC27" s="2426"/>
      <c r="AD27" s="22">
        <f>ROUND(SUM(T27-AA27),1)</f>
        <v>75.3</v>
      </c>
      <c r="AE27" s="2295"/>
      <c r="AF27" s="1462">
        <f>ROUND(+AD27/AA27,3)</f>
        <v>7.0999999999999994E-2</v>
      </c>
    </row>
    <row r="28" spans="1:32" ht="18" customHeight="1">
      <c r="A28" s="2351" t="s">
        <v>28</v>
      </c>
      <c r="B28" s="2355"/>
      <c r="C28" s="2313"/>
      <c r="D28" s="1400"/>
      <c r="E28" s="9"/>
      <c r="F28" s="2450"/>
      <c r="G28" s="9"/>
      <c r="H28" s="1400"/>
      <c r="I28" s="9"/>
      <c r="J28" s="2450"/>
      <c r="K28" s="9"/>
      <c r="L28" s="631"/>
      <c r="M28" s="9"/>
      <c r="N28" s="10"/>
      <c r="O28" s="17"/>
      <c r="P28" s="2441"/>
      <c r="Q28" s="2442"/>
      <c r="R28" s="1457" t="s">
        <v>15</v>
      </c>
      <c r="S28" s="2440"/>
      <c r="T28" s="1457" t="s">
        <v>15</v>
      </c>
      <c r="U28" s="22"/>
      <c r="V28" s="22"/>
      <c r="W28" s="2443"/>
      <c r="X28" s="21"/>
      <c r="Y28" s="634"/>
      <c r="Z28" s="22" t="s">
        <v>15</v>
      </c>
      <c r="AA28" s="634" t="s">
        <v>15</v>
      </c>
      <c r="AB28" s="2323"/>
      <c r="AC28" s="2426"/>
      <c r="AD28" s="22"/>
      <c r="AE28" s="2295"/>
      <c r="AF28" s="1462"/>
    </row>
    <row r="29" spans="1:32" ht="18" customHeight="1">
      <c r="A29" s="2451" t="s">
        <v>29</v>
      </c>
      <c r="B29" s="2356"/>
      <c r="C29" s="2313"/>
      <c r="D29" s="1400">
        <f>+'Exhibit A'!D28</f>
        <v>1662</v>
      </c>
      <c r="E29" s="9"/>
      <c r="F29" s="2450">
        <f>+'Exhibit A'!F28</f>
        <v>16526.900000000001</v>
      </c>
      <c r="G29" s="9"/>
      <c r="H29" s="1400">
        <f>+'Exhibit G State'!V92</f>
        <v>583.70000000000027</v>
      </c>
      <c r="I29" s="9"/>
      <c r="J29" s="2450">
        <f>+'Exhibit G State'!AD92</f>
        <v>5018.3999999999996</v>
      </c>
      <c r="K29" s="9"/>
      <c r="L29" s="631">
        <f>+'Exhibit A'!L28</f>
        <v>0</v>
      </c>
      <c r="M29" s="9"/>
      <c r="N29" s="10">
        <f>+'Exhibit A'!N28</f>
        <v>0</v>
      </c>
      <c r="O29" s="17"/>
      <c r="P29" s="2441"/>
      <c r="Q29" s="2442"/>
      <c r="R29" s="2440">
        <f t="shared" si="4"/>
        <v>2245.6999999999998</v>
      </c>
      <c r="S29" s="2440"/>
      <c r="T29" s="2440">
        <f t="shared" si="5"/>
        <v>21545.3</v>
      </c>
      <c r="U29" s="22"/>
      <c r="V29" s="22"/>
      <c r="W29" s="2443"/>
      <c r="X29" s="21"/>
      <c r="Y29" s="22">
        <v>1601.5</v>
      </c>
      <c r="Z29" s="22" t="s">
        <v>15</v>
      </c>
      <c r="AA29" s="22">
        <f>+'Exhibit F'!AF105+'Exhibit G State'!AG92</f>
        <v>19160.300000000003</v>
      </c>
      <c r="AB29" s="2323"/>
      <c r="AC29" s="2426"/>
      <c r="AD29" s="22">
        <f t="shared" ref="AD29:AD34" si="6">ROUND(SUM(T29-AA29),1)</f>
        <v>2385</v>
      </c>
      <c r="AE29" s="2295"/>
      <c r="AF29" s="1462">
        <f t="shared" ref="AF29:AF34" si="7">ROUND(+AD29/AA29,3)</f>
        <v>0.124</v>
      </c>
    </row>
    <row r="30" spans="1:32" ht="18" customHeight="1">
      <c r="A30" s="2351" t="s">
        <v>30</v>
      </c>
      <c r="B30" s="2355"/>
      <c r="C30" s="2313"/>
      <c r="D30" s="1400">
        <f>+'Exhibit A'!D29</f>
        <v>119.8000000000003</v>
      </c>
      <c r="E30" s="9"/>
      <c r="F30" s="2450">
        <f>+'Exhibit A'!F29</f>
        <v>1873.8000000000002</v>
      </c>
      <c r="G30" s="9"/>
      <c r="H30" s="1400">
        <f>+'Exhibit G State'!V93</f>
        <v>103.79999999999995</v>
      </c>
      <c r="I30" s="9"/>
      <c r="J30" s="2450">
        <f>+'Exhibit G State'!AD93</f>
        <v>762.3</v>
      </c>
      <c r="K30" s="9"/>
      <c r="L30" s="631">
        <f>+'Exhibit A'!L29</f>
        <v>0</v>
      </c>
      <c r="M30" s="9"/>
      <c r="N30" s="10">
        <f>+'Exhibit A'!N29</f>
        <v>0</v>
      </c>
      <c r="O30" s="17"/>
      <c r="P30" s="2441"/>
      <c r="Q30" s="2442"/>
      <c r="R30" s="2440">
        <f t="shared" si="4"/>
        <v>223.6</v>
      </c>
      <c r="S30" s="2440"/>
      <c r="T30" s="2440">
        <f t="shared" si="5"/>
        <v>2636.1</v>
      </c>
      <c r="U30" s="22"/>
      <c r="V30" s="22"/>
      <c r="W30" s="2443"/>
      <c r="X30" s="21"/>
      <c r="Y30" s="22">
        <v>187.6</v>
      </c>
      <c r="Z30" s="22" t="s">
        <v>15</v>
      </c>
      <c r="AA30" s="22">
        <f>+'Exhibit F'!AF106+'Exhibit G State'!AG93</f>
        <v>2719.5</v>
      </c>
      <c r="AB30" s="2323"/>
      <c r="AC30" s="2426"/>
      <c r="AD30" s="22">
        <f t="shared" si="6"/>
        <v>-83.4</v>
      </c>
      <c r="AE30" s="2295"/>
      <c r="AF30" s="1462">
        <f t="shared" si="7"/>
        <v>-3.1E-2</v>
      </c>
    </row>
    <row r="31" spans="1:32" ht="18" customHeight="1">
      <c r="A31" s="2351" t="s">
        <v>31</v>
      </c>
      <c r="B31" s="2313"/>
      <c r="C31" s="2313"/>
      <c r="D31" s="1400">
        <f>+'Exhibit A'!D30</f>
        <v>6.1999999999999886</v>
      </c>
      <c r="E31" s="9"/>
      <c r="F31" s="2450">
        <f>+'Exhibit A'!F30</f>
        <v>143.1</v>
      </c>
      <c r="G31" s="9"/>
      <c r="H31" s="1400">
        <f>+'Exhibit G State'!V94</f>
        <v>-26.000000000000007</v>
      </c>
      <c r="I31" s="9"/>
      <c r="J31" s="2450">
        <f>+'Exhibit G State'!AD94</f>
        <v>112.2</v>
      </c>
      <c r="K31" s="9"/>
      <c r="L31" s="631">
        <f>+'Exhibit A'!L30</f>
        <v>0</v>
      </c>
      <c r="M31" s="9"/>
      <c r="N31" s="10">
        <f>+'Exhibit A'!N30</f>
        <v>0</v>
      </c>
      <c r="O31" s="17"/>
      <c r="P31" s="2441"/>
      <c r="Q31" s="2442"/>
      <c r="R31" s="2440">
        <f t="shared" si="4"/>
        <v>-19.8</v>
      </c>
      <c r="S31" s="2440"/>
      <c r="T31" s="2440">
        <f t="shared" si="5"/>
        <v>255.3</v>
      </c>
      <c r="U31" s="22"/>
      <c r="V31" s="22"/>
      <c r="W31" s="2443"/>
      <c r="X31" s="21"/>
      <c r="Y31" s="22">
        <v>27.6</v>
      </c>
      <c r="Z31" s="22" t="s">
        <v>15</v>
      </c>
      <c r="AA31" s="22">
        <f>+'Exhibit F'!AF107+'Exhibit G State'!AG94</f>
        <v>282.2</v>
      </c>
      <c r="AB31" s="2323"/>
      <c r="AC31" s="2426"/>
      <c r="AD31" s="22">
        <f t="shared" si="6"/>
        <v>-26.9</v>
      </c>
      <c r="AE31" s="2295"/>
      <c r="AF31" s="1462">
        <f t="shared" si="7"/>
        <v>-9.5000000000000001E-2</v>
      </c>
    </row>
    <row r="32" spans="1:32" ht="18" customHeight="1">
      <c r="A32" s="2351" t="s">
        <v>32</v>
      </c>
      <c r="B32" s="2313"/>
      <c r="C32" s="2313"/>
      <c r="D32" s="1400">
        <f>+'Exhibit A'!D31</f>
        <v>171.5</v>
      </c>
      <c r="E32" s="9"/>
      <c r="F32" s="2450">
        <f>+'Exhibit A'!F31</f>
        <v>2007.3</v>
      </c>
      <c r="G32" s="9"/>
      <c r="H32" s="1400">
        <f>+'Exhibit G State'!V95</f>
        <v>-0.39999999999999958</v>
      </c>
      <c r="I32" s="9"/>
      <c r="J32" s="2450">
        <f>+'Exhibit G State'!AD95</f>
        <v>3.7</v>
      </c>
      <c r="K32" s="9"/>
      <c r="L32" s="631">
        <f>+'Exhibit A'!L31</f>
        <v>0</v>
      </c>
      <c r="M32" s="9"/>
      <c r="N32" s="10">
        <f>+'Exhibit A'!N31</f>
        <v>0</v>
      </c>
      <c r="O32" s="17"/>
      <c r="P32" s="2441"/>
      <c r="Q32" s="2442"/>
      <c r="R32" s="2440">
        <f t="shared" si="4"/>
        <v>171.1</v>
      </c>
      <c r="S32" s="2440"/>
      <c r="T32" s="2440">
        <f t="shared" si="5"/>
        <v>2011</v>
      </c>
      <c r="U32" s="22"/>
      <c r="V32" s="22"/>
      <c r="W32" s="2443"/>
      <c r="X32" s="21"/>
      <c r="Y32" s="22">
        <v>107.2</v>
      </c>
      <c r="Z32" s="22" t="s">
        <v>15</v>
      </c>
      <c r="AA32" s="22">
        <f>+'Exhibit F'!AF108+'Exhibit G State'!AG95</f>
        <v>1949.5</v>
      </c>
      <c r="AB32" s="2323"/>
      <c r="AC32" s="2426"/>
      <c r="AD32" s="22">
        <f t="shared" si="6"/>
        <v>61.5</v>
      </c>
      <c r="AE32" s="2295"/>
      <c r="AF32" s="1462">
        <f t="shared" si="7"/>
        <v>3.2000000000000001E-2</v>
      </c>
    </row>
    <row r="33" spans="1:32" ht="18" customHeight="1">
      <c r="A33" s="2351" t="s">
        <v>33</v>
      </c>
      <c r="B33" s="2313"/>
      <c r="C33" s="2313"/>
      <c r="D33" s="1400">
        <f>+'Exhibit A'!D32</f>
        <v>3.4999999999999858</v>
      </c>
      <c r="E33" s="9"/>
      <c r="F33" s="2450">
        <f>+'Exhibit A'!F32</f>
        <v>114.3</v>
      </c>
      <c r="G33" s="9"/>
      <c r="H33" s="1400">
        <f>+'Exhibit G State'!V96</f>
        <v>1.2000000000000028</v>
      </c>
      <c r="I33" s="9"/>
      <c r="J33" s="2450">
        <f>+'Exhibit G State'!AD96</f>
        <v>45.3</v>
      </c>
      <c r="K33" s="9"/>
      <c r="L33" s="631">
        <f>+'Exhibit A'!L32</f>
        <v>0</v>
      </c>
      <c r="M33" s="9"/>
      <c r="N33" s="10">
        <f>+'Exhibit A'!N32</f>
        <v>0</v>
      </c>
      <c r="O33" s="17"/>
      <c r="P33" s="2441"/>
      <c r="Q33" s="2442"/>
      <c r="R33" s="2440">
        <f t="shared" si="4"/>
        <v>4.7</v>
      </c>
      <c r="S33" s="2440"/>
      <c r="T33" s="2440">
        <f t="shared" si="5"/>
        <v>159.6</v>
      </c>
      <c r="U33" s="22"/>
      <c r="V33" s="22"/>
      <c r="W33" s="2443"/>
      <c r="X33" s="21"/>
      <c r="Y33" s="22">
        <v>20.8</v>
      </c>
      <c r="Z33" s="22" t="s">
        <v>15</v>
      </c>
      <c r="AA33" s="22">
        <f>+'Exhibit F'!AF109+'Exhibit G State'!AG96</f>
        <v>175.8</v>
      </c>
      <c r="AB33" s="2323"/>
      <c r="AC33" s="2426"/>
      <c r="AD33" s="22">
        <f t="shared" si="6"/>
        <v>-16.2</v>
      </c>
      <c r="AE33" s="2295"/>
      <c r="AF33" s="1462">
        <f t="shared" si="7"/>
        <v>-9.1999999999999998E-2</v>
      </c>
    </row>
    <row r="34" spans="1:32" ht="18" customHeight="1">
      <c r="A34" s="2351" t="s">
        <v>34</v>
      </c>
      <c r="B34" s="2313"/>
      <c r="C34" s="2313"/>
      <c r="D34" s="1400">
        <f>+'Exhibit A'!D33</f>
        <v>0</v>
      </c>
      <c r="E34" s="9"/>
      <c r="F34" s="2450">
        <f>+'Exhibit A'!F33</f>
        <v>97.5</v>
      </c>
      <c r="G34" s="9"/>
      <c r="H34" s="1400">
        <f>+'Exhibit G State'!V97</f>
        <v>62.500000000000455</v>
      </c>
      <c r="I34" s="9"/>
      <c r="J34" s="2450">
        <f>+'Exhibit G State'!AD97</f>
        <v>3247.3</v>
      </c>
      <c r="K34" s="9"/>
      <c r="L34" s="631">
        <f>+'Exhibit A'!L33</f>
        <v>0</v>
      </c>
      <c r="M34" s="9"/>
      <c r="N34" s="10">
        <f>+'Exhibit A'!N33</f>
        <v>0</v>
      </c>
      <c r="O34" s="17"/>
      <c r="P34" s="2441"/>
      <c r="Q34" s="2442"/>
      <c r="R34" s="2452">
        <f>ROUND(SUM(D34+H34+L34),1)</f>
        <v>62.5</v>
      </c>
      <c r="S34" s="2440"/>
      <c r="T34" s="2452">
        <f>ROUND(SUM(F34+J34+N34),1)</f>
        <v>3344.8</v>
      </c>
      <c r="U34" s="22"/>
      <c r="V34" s="22"/>
      <c r="W34" s="2443"/>
      <c r="X34" s="21"/>
      <c r="Y34" s="22">
        <v>61.1</v>
      </c>
      <c r="Z34" s="22" t="s">
        <v>15</v>
      </c>
      <c r="AA34" s="1461">
        <f>+'Exhibit F'!AF110+'Exhibit G State'!AG97</f>
        <v>3643</v>
      </c>
      <c r="AB34" s="2323"/>
      <c r="AC34" s="2426"/>
      <c r="AD34" s="22">
        <f t="shared" si="6"/>
        <v>-298.2</v>
      </c>
      <c r="AE34" s="2295"/>
      <c r="AF34" s="1462">
        <f t="shared" si="7"/>
        <v>-8.2000000000000003E-2</v>
      </c>
    </row>
    <row r="35" spans="1:32" ht="18" customHeight="1">
      <c r="A35" s="2312" t="s">
        <v>35</v>
      </c>
      <c r="B35" s="2313"/>
      <c r="C35" s="2313"/>
      <c r="D35" s="12">
        <f>ROUND(SUM(D25:D34),1)</f>
        <v>2764.6</v>
      </c>
      <c r="E35" s="1399"/>
      <c r="F35" s="12">
        <f>ROUND(SUM(F25:F34),1)</f>
        <v>39304.300000000003</v>
      </c>
      <c r="G35" s="1399"/>
      <c r="H35" s="12">
        <f>ROUND(SUM(H25:H34),1)</f>
        <v>3000.5</v>
      </c>
      <c r="I35" s="1399"/>
      <c r="J35" s="12">
        <f>ROUND(SUM(J25:J34),1)</f>
        <v>14973.5</v>
      </c>
      <c r="K35" s="1399"/>
      <c r="L35" s="2453">
        <f>ROUND(SUM(L25:L34),1)</f>
        <v>0</v>
      </c>
      <c r="M35" s="1399"/>
      <c r="N35" s="1459">
        <f>ROUND(SUM(N25:N34),1)</f>
        <v>0</v>
      </c>
      <c r="O35" s="2454"/>
      <c r="P35" s="2455"/>
      <c r="Q35" s="2456"/>
      <c r="R35" s="12">
        <f>ROUND(SUM(R25:R34),1)</f>
        <v>5765.1</v>
      </c>
      <c r="S35" s="2454"/>
      <c r="T35" s="12">
        <f>ROUND(SUM(T25:T34),1)</f>
        <v>54277.8</v>
      </c>
      <c r="U35" s="1517"/>
      <c r="V35" s="1517"/>
      <c r="W35" s="2457"/>
      <c r="X35" s="2458"/>
      <c r="Y35" s="1605">
        <f>ROUND(SUM(Y25:Y34),1)</f>
        <v>5200.3999999999996</v>
      </c>
      <c r="Z35" s="23"/>
      <c r="AA35" s="1605">
        <f>ROUND(SUM(AA25:AA34),1)</f>
        <v>51753.5</v>
      </c>
      <c r="AB35" s="2375"/>
      <c r="AC35" s="2447"/>
      <c r="AD35" s="1605">
        <f>ROUND(SUM(AD25:AD34),1)</f>
        <v>2524.3000000000002</v>
      </c>
      <c r="AE35" s="2347"/>
      <c r="AF35" s="1479">
        <f>ROUND(+AD35/AA35,3)</f>
        <v>4.9000000000000002E-2</v>
      </c>
    </row>
    <row r="36" spans="1:32" ht="18" customHeight="1">
      <c r="A36" s="2313" t="s">
        <v>36</v>
      </c>
      <c r="B36" s="2355"/>
      <c r="C36" s="2313"/>
      <c r="D36" s="629"/>
      <c r="E36" s="9"/>
      <c r="F36" s="9"/>
      <c r="G36" s="9"/>
      <c r="H36" s="629"/>
      <c r="I36" s="9"/>
      <c r="J36" s="9"/>
      <c r="K36" s="9"/>
      <c r="L36" s="629"/>
      <c r="M36" s="9"/>
      <c r="N36" s="9"/>
      <c r="O36" s="14"/>
      <c r="P36" s="2438"/>
      <c r="Q36" s="2439"/>
      <c r="R36" s="9"/>
      <c r="S36" s="9"/>
      <c r="T36" s="9"/>
      <c r="U36" s="22"/>
      <c r="V36" s="22"/>
      <c r="W36" s="2368"/>
      <c r="X36" s="22"/>
      <c r="Y36" s="22"/>
      <c r="Z36" s="22"/>
      <c r="AA36" s="22"/>
      <c r="AB36" s="2323"/>
      <c r="AC36" s="2426"/>
      <c r="AD36" s="22"/>
      <c r="AE36" s="2295"/>
      <c r="AF36" s="1465"/>
    </row>
    <row r="37" spans="1:32" ht="18" customHeight="1">
      <c r="A37" s="2313" t="s">
        <v>37</v>
      </c>
      <c r="B37" s="2354"/>
      <c r="C37" s="2313"/>
      <c r="D37" s="629">
        <f>+'Exhibit A'!D36</f>
        <v>794.00000000000023</v>
      </c>
      <c r="E37" s="9"/>
      <c r="F37" s="2450">
        <f>+'Exhibit A'!F36</f>
        <v>7634.1</v>
      </c>
      <c r="G37" s="9"/>
      <c r="H37" s="629">
        <f>+'Exhibit G State'!V100</f>
        <v>399.10000000000059</v>
      </c>
      <c r="I37" s="9"/>
      <c r="J37" s="2450">
        <f>+'Exhibit G State'!AD100</f>
        <v>4330.1000000000004</v>
      </c>
      <c r="K37" s="9"/>
      <c r="L37" s="632">
        <f>+'Exhibit A'!L36</f>
        <v>0</v>
      </c>
      <c r="M37" s="2440"/>
      <c r="N37" s="10">
        <f>+'Exhibit A'!N36</f>
        <v>0</v>
      </c>
      <c r="O37" s="17"/>
      <c r="P37" s="2441"/>
      <c r="Q37" s="2442"/>
      <c r="R37" s="2440">
        <f>ROUND(SUM(D37+H37+L37),1)</f>
        <v>1193.0999999999999</v>
      </c>
      <c r="S37" s="10"/>
      <c r="T37" s="9">
        <f>ROUND(SUM(F37+J37+N37),1)</f>
        <v>11964.2</v>
      </c>
      <c r="U37" s="22"/>
      <c r="V37" s="22"/>
      <c r="W37" s="2443"/>
      <c r="X37" s="21"/>
      <c r="Y37" s="22">
        <v>1177.3999999999999</v>
      </c>
      <c r="Z37" s="22" t="s">
        <v>15</v>
      </c>
      <c r="AA37" s="22">
        <f>+'Exhibit F'!AF113+'Exhibit G State'!AG100</f>
        <v>11594.7</v>
      </c>
      <c r="AB37" s="2323"/>
      <c r="AC37" s="2426"/>
      <c r="AD37" s="22">
        <f t="shared" ref="AD37:AD41" si="8">ROUND(SUM(T37-AA37),1)</f>
        <v>369.5</v>
      </c>
      <c r="AE37" s="2295"/>
      <c r="AF37" s="1462">
        <f>ROUND(+AD37/AA37,3)</f>
        <v>3.2000000000000001E-2</v>
      </c>
    </row>
    <row r="38" spans="1:32" ht="18" customHeight="1">
      <c r="A38" s="2362" t="s">
        <v>38</v>
      </c>
      <c r="B38" s="3677"/>
      <c r="C38" s="2362"/>
      <c r="D38" s="634">
        <f>+'Exhibit A'!D37</f>
        <v>233.59999999999991</v>
      </c>
      <c r="E38" s="22"/>
      <c r="F38" s="3678">
        <f>+'Exhibit A'!F37</f>
        <v>2044.7</v>
      </c>
      <c r="G38" s="22"/>
      <c r="H38" s="634">
        <f>+'Exhibit G State'!V101</f>
        <v>306.59999999999968</v>
      </c>
      <c r="I38" s="22"/>
      <c r="J38" s="3678">
        <f>+'Exhibit G State'!AD101</f>
        <v>2454.5</v>
      </c>
      <c r="K38" s="22"/>
      <c r="L38" s="1455">
        <f>+'Exhibit A'!L37</f>
        <v>0.19999999999999574</v>
      </c>
      <c r="M38" s="3546"/>
      <c r="N38" s="21">
        <f>+'Exhibit A'!N37</f>
        <v>27</v>
      </c>
      <c r="O38" s="1461"/>
      <c r="P38" s="2438"/>
      <c r="Q38" s="2460"/>
      <c r="R38" s="3546">
        <f>ROUND(SUM(D38+H38+L38),1)</f>
        <v>540.4</v>
      </c>
      <c r="S38" s="21"/>
      <c r="T38" s="22">
        <f>ROUND(SUM(F38+J38+N38),1)</f>
        <v>4526.2</v>
      </c>
      <c r="U38" s="22"/>
      <c r="V38" s="22"/>
      <c r="W38" s="2368"/>
      <c r="X38" s="22"/>
      <c r="Y38" s="22">
        <v>467.4</v>
      </c>
      <c r="Z38" s="22" t="s">
        <v>15</v>
      </c>
      <c r="AA38" s="22">
        <f>+'Exhibit F'!AF114+'Exhibit G State'!AG101+'Exhibit H'!AD53</f>
        <v>4392</v>
      </c>
      <c r="AB38" s="2323"/>
      <c r="AC38" s="2426"/>
      <c r="AD38" s="22">
        <f t="shared" si="8"/>
        <v>134.19999999999999</v>
      </c>
      <c r="AF38" s="1699">
        <f>ROUND(+AD38/AA38,3)</f>
        <v>3.1E-2</v>
      </c>
    </row>
    <row r="39" spans="1:32" ht="18" customHeight="1">
      <c r="A39" s="2313" t="s">
        <v>39</v>
      </c>
      <c r="B39" s="2336"/>
      <c r="C39" s="2313"/>
      <c r="D39" s="629">
        <f>+'Exhibit A'!D38</f>
        <v>447.40000000000055</v>
      </c>
      <c r="E39" s="9"/>
      <c r="F39" s="2450">
        <f>+'Exhibit A'!F38</f>
        <v>6566.1</v>
      </c>
      <c r="G39" s="9"/>
      <c r="H39" s="629">
        <f>+'Exhibit G State'!V102</f>
        <v>82.399999999999892</v>
      </c>
      <c r="I39" s="9"/>
      <c r="J39" s="2450">
        <f>+'Exhibit G State'!AD102</f>
        <v>836.3</v>
      </c>
      <c r="K39" s="9"/>
      <c r="L39" s="632">
        <f>+'Exhibit A'!L38</f>
        <v>0</v>
      </c>
      <c r="M39" s="9"/>
      <c r="N39" s="10">
        <f>+'Exhibit A'!N38</f>
        <v>0</v>
      </c>
      <c r="O39" s="17"/>
      <c r="P39" s="2441"/>
      <c r="Q39" s="2442"/>
      <c r="R39" s="2440">
        <f>ROUND(SUM(D39+H39+L39),1)</f>
        <v>529.79999999999995</v>
      </c>
      <c r="S39" s="10"/>
      <c r="T39" s="9">
        <f>ROUND(SUM(F39+J39+N39),1)</f>
        <v>7402.4</v>
      </c>
      <c r="U39" s="22"/>
      <c r="V39" s="22"/>
      <c r="W39" s="2443"/>
      <c r="X39" s="21"/>
      <c r="Y39" s="22">
        <v>534</v>
      </c>
      <c r="Z39" s="22" t="s">
        <v>15</v>
      </c>
      <c r="AA39" s="22">
        <f>+'Exhibit F'!AF115+'Exhibit G State'!AG102</f>
        <v>7203.7</v>
      </c>
      <c r="AB39" s="2323"/>
      <c r="AC39" s="2426"/>
      <c r="AD39" s="22">
        <f t="shared" si="8"/>
        <v>198.7</v>
      </c>
      <c r="AE39" s="2295"/>
      <c r="AF39" s="1462">
        <f>ROUND(+AD39/AA39,3)</f>
        <v>2.8000000000000001E-2</v>
      </c>
    </row>
    <row r="40" spans="1:32" ht="18" customHeight="1">
      <c r="A40" s="2313" t="s">
        <v>40</v>
      </c>
      <c r="B40" s="2313"/>
      <c r="C40" s="2313"/>
      <c r="D40" s="629"/>
      <c r="E40" s="9"/>
      <c r="F40" s="9"/>
      <c r="G40" s="9"/>
      <c r="H40" s="629"/>
      <c r="I40" s="9"/>
      <c r="J40" s="9"/>
      <c r="K40" s="9"/>
      <c r="L40" s="629"/>
      <c r="M40" s="9"/>
      <c r="N40" s="9"/>
      <c r="O40" s="14"/>
      <c r="P40" s="2438"/>
      <c r="Q40" s="2439"/>
      <c r="R40" s="1457" t="s">
        <v>15</v>
      </c>
      <c r="S40" s="9"/>
      <c r="T40" s="629" t="s">
        <v>15</v>
      </c>
      <c r="U40" s="22"/>
      <c r="V40" s="22"/>
      <c r="W40" s="2368"/>
      <c r="X40" s="22"/>
      <c r="Y40" s="634"/>
      <c r="Z40" s="22"/>
      <c r="AA40" s="634" t="s">
        <v>15</v>
      </c>
      <c r="AB40" s="2323"/>
      <c r="AC40" s="2426"/>
      <c r="AD40" s="22"/>
      <c r="AE40" s="2295"/>
      <c r="AF40" s="1462"/>
    </row>
    <row r="41" spans="1:32" ht="18" customHeight="1">
      <c r="A41" s="2313" t="s">
        <v>41</v>
      </c>
      <c r="B41" s="2354"/>
      <c r="C41" s="2313"/>
      <c r="D41" s="632">
        <v>0</v>
      </c>
      <c r="E41" s="9"/>
      <c r="F41" s="10">
        <v>0</v>
      </c>
      <c r="G41" s="9"/>
      <c r="H41" s="632">
        <v>0</v>
      </c>
      <c r="I41" s="9"/>
      <c r="J41" s="10">
        <v>0</v>
      </c>
      <c r="K41" s="9"/>
      <c r="L41" s="632">
        <f>+'Exhibit A'!L40</f>
        <v>44.599999999999909</v>
      </c>
      <c r="M41" s="2440"/>
      <c r="N41" s="10">
        <f>+'Exhibit A'!N40</f>
        <v>1556.8</v>
      </c>
      <c r="O41" s="14"/>
      <c r="P41" s="2438"/>
      <c r="Q41" s="2439"/>
      <c r="R41" s="2440">
        <f>ROUND(SUM(D41+H41+L41),1)</f>
        <v>44.6</v>
      </c>
      <c r="S41" s="9"/>
      <c r="T41" s="9">
        <f>ROUND(SUM(F41+J41+N41),1)</f>
        <v>1556.8</v>
      </c>
      <c r="U41" s="22"/>
      <c r="V41" s="22"/>
      <c r="W41" s="2368"/>
      <c r="X41" s="22"/>
      <c r="Y41" s="22">
        <v>16.399999999999999</v>
      </c>
      <c r="Z41" s="22" t="s">
        <v>15</v>
      </c>
      <c r="AA41" s="22">
        <f>+'Exhibit H'!AD55</f>
        <v>1768.9</v>
      </c>
      <c r="AB41" s="2323"/>
      <c r="AC41" s="2426"/>
      <c r="AD41" s="22">
        <f t="shared" si="8"/>
        <v>-212.1</v>
      </c>
      <c r="AE41" s="2295"/>
      <c r="AF41" s="1462">
        <f>ROUND(+AD41/AA41,3)</f>
        <v>-0.12</v>
      </c>
    </row>
    <row r="42" spans="1:32" ht="18" customHeight="1">
      <c r="A42" s="2313" t="s">
        <v>42</v>
      </c>
      <c r="B42" s="2354"/>
      <c r="C42" s="2313"/>
      <c r="D42" s="632">
        <v>0</v>
      </c>
      <c r="E42" s="9"/>
      <c r="F42" s="10">
        <v>0</v>
      </c>
      <c r="G42" s="9"/>
      <c r="H42" s="632">
        <f>'Exhibit G State'!V103</f>
        <v>0</v>
      </c>
      <c r="I42" s="9"/>
      <c r="J42" s="632">
        <f>'Exhibit G State'!AD103</f>
        <v>0</v>
      </c>
      <c r="K42" s="9"/>
      <c r="L42" s="632">
        <v>0</v>
      </c>
      <c r="M42" s="2440"/>
      <c r="N42" s="10">
        <v>0</v>
      </c>
      <c r="O42" s="14"/>
      <c r="P42" s="2438"/>
      <c r="Q42" s="3725"/>
      <c r="R42" s="2440">
        <f>ROUND(SUM(D42+H42+L42),1)</f>
        <v>0</v>
      </c>
      <c r="S42" s="9"/>
      <c r="T42" s="9">
        <f>ROUND(SUM(F42+J42+N42),1)</f>
        <v>0</v>
      </c>
      <c r="U42" s="22"/>
      <c r="V42" s="22"/>
      <c r="W42" s="3726"/>
      <c r="X42" s="22"/>
      <c r="Y42" s="22">
        <v>0</v>
      </c>
      <c r="Z42" s="22"/>
      <c r="AA42" s="22">
        <f>'Exhibit G State'!AG103</f>
        <v>0</v>
      </c>
      <c r="AB42" s="2323"/>
      <c r="AC42" s="2426"/>
      <c r="AD42" s="22">
        <f>ROUND(SUM(T42-AA42),1)</f>
        <v>0</v>
      </c>
      <c r="AE42" s="2295"/>
      <c r="AF42" s="1462">
        <f>IF(AA42=0,0,AD42/AA42)</f>
        <v>0</v>
      </c>
    </row>
    <row r="43" spans="1:32" ht="18" customHeight="1">
      <c r="A43" s="2312" t="s">
        <v>58</v>
      </c>
      <c r="B43" s="2313"/>
      <c r="C43" s="2313"/>
      <c r="D43" s="12">
        <f>SUM(D35:D42)</f>
        <v>4239.6000000000004</v>
      </c>
      <c r="E43" s="1399"/>
      <c r="F43" s="12">
        <f>SUM(F35:F42)</f>
        <v>55549.2</v>
      </c>
      <c r="G43" s="1399"/>
      <c r="H43" s="12">
        <f>SUM(H35:H42)</f>
        <v>3788.6</v>
      </c>
      <c r="I43" s="1399"/>
      <c r="J43" s="12">
        <f>SUM(J35:J42)</f>
        <v>22594.399999999998</v>
      </c>
      <c r="K43" s="1399"/>
      <c r="L43" s="12">
        <f>SUM(L35:L42)</f>
        <v>44.799999999999905</v>
      </c>
      <c r="M43" s="1399"/>
      <c r="N43" s="12">
        <f>SUM(N35:N42)</f>
        <v>1583.8</v>
      </c>
      <c r="O43" s="2344"/>
      <c r="P43" s="2445"/>
      <c r="Q43" s="2446"/>
      <c r="R43" s="12">
        <f>ROUND(SUM(R35:R42),1)</f>
        <v>8073</v>
      </c>
      <c r="S43" s="2344"/>
      <c r="T43" s="12">
        <f>ROUND(SUM(T35:T42),1)</f>
        <v>79727.399999999994</v>
      </c>
      <c r="U43" s="1517"/>
      <c r="V43" s="1517"/>
      <c r="W43" s="2374"/>
      <c r="X43" s="1517"/>
      <c r="Y43" s="1605">
        <f>ROUND(SUM(Y35:Y42),1)</f>
        <v>7395.6</v>
      </c>
      <c r="Z43" s="23"/>
      <c r="AA43" s="1605">
        <f>ROUND(SUM(AA35:AA42),1)</f>
        <v>76712.800000000003</v>
      </c>
      <c r="AB43" s="2375"/>
      <c r="AC43" s="2447"/>
      <c r="AD43" s="1605">
        <f>ROUND(SUM(AD35:AD42),1)</f>
        <v>3014.6</v>
      </c>
      <c r="AE43" s="2347"/>
      <c r="AF43" s="1479">
        <f>ROUND(+AD43/AA43,3)</f>
        <v>3.9E-2</v>
      </c>
    </row>
    <row r="44" spans="1:32" ht="16.350000000000001" customHeight="1">
      <c r="A44" s="2312"/>
      <c r="B44" s="2313"/>
      <c r="C44" s="2313"/>
      <c r="D44" s="630"/>
      <c r="E44" s="9"/>
      <c r="F44" s="14"/>
      <c r="G44" s="9"/>
      <c r="H44" s="630"/>
      <c r="I44" s="9"/>
      <c r="J44" s="14"/>
      <c r="K44" s="9"/>
      <c r="L44" s="630"/>
      <c r="M44" s="9"/>
      <c r="N44" s="14"/>
      <c r="O44" s="14"/>
      <c r="P44" s="2438"/>
      <c r="Q44" s="2439"/>
      <c r="R44" s="14"/>
      <c r="S44" s="14"/>
      <c r="T44" s="14"/>
      <c r="U44" s="1461"/>
      <c r="V44" s="1461"/>
      <c r="W44" s="2368"/>
      <c r="X44" s="1461"/>
      <c r="Y44" s="1461"/>
      <c r="Z44" s="22"/>
      <c r="AA44" s="1461"/>
      <c r="AB44" s="2323"/>
      <c r="AC44" s="2426"/>
      <c r="AD44" s="1461"/>
      <c r="AE44" s="2295"/>
      <c r="AF44" s="1465"/>
    </row>
    <row r="45" spans="1:32" ht="16.350000000000001" customHeight="1">
      <c r="A45" s="2312" t="s">
        <v>44</v>
      </c>
      <c r="B45" s="2312"/>
      <c r="C45" s="2313"/>
      <c r="D45" s="629"/>
      <c r="E45" s="9"/>
      <c r="F45" s="9"/>
      <c r="G45" s="9"/>
      <c r="H45" s="629"/>
      <c r="I45" s="9"/>
      <c r="J45" s="9"/>
      <c r="K45" s="9"/>
      <c r="L45" s="629"/>
      <c r="M45" s="9"/>
      <c r="N45" s="9"/>
      <c r="O45" s="14"/>
      <c r="P45" s="2438"/>
      <c r="Q45" s="2439"/>
      <c r="R45" s="9"/>
      <c r="S45" s="9"/>
      <c r="T45" s="9"/>
      <c r="U45" s="22"/>
      <c r="V45" s="22"/>
      <c r="W45" s="2368"/>
      <c r="X45" s="22"/>
      <c r="Y45" s="22"/>
      <c r="Z45" s="22"/>
      <c r="AA45" s="22"/>
      <c r="AB45" s="2323"/>
      <c r="AC45" s="2426"/>
      <c r="AD45" s="22"/>
      <c r="AE45" s="2295"/>
      <c r="AF45" s="1465"/>
    </row>
    <row r="46" spans="1:32" ht="16.350000000000001" customHeight="1">
      <c r="A46" s="2312" t="s">
        <v>45</v>
      </c>
      <c r="B46" s="2312"/>
      <c r="C46" s="2313"/>
      <c r="D46" s="19">
        <f>ROUND(SUM(D21-D43),1)</f>
        <v>-891.8</v>
      </c>
      <c r="E46" s="1399"/>
      <c r="F46" s="19">
        <f>ROUND(SUM(F21-F43),1)</f>
        <v>-19717.400000000001</v>
      </c>
      <c r="G46" s="1399"/>
      <c r="H46" s="19">
        <f>ROUND(SUM(H21-H43),1)</f>
        <v>719.1</v>
      </c>
      <c r="I46" s="1399"/>
      <c r="J46" s="19">
        <f>ROUND(SUM(J21-J43),1)</f>
        <v>-1513.8</v>
      </c>
      <c r="K46" s="1399"/>
      <c r="L46" s="19">
        <f>ROUND(SUM(L21-L43),1)</f>
        <v>5162.3999999999996</v>
      </c>
      <c r="M46" s="1399" t="s">
        <v>15</v>
      </c>
      <c r="N46" s="19">
        <f>ROUND(SUM(N21-N43),1)</f>
        <v>29126</v>
      </c>
      <c r="O46" s="2344"/>
      <c r="P46" s="2445"/>
      <c r="Q46" s="2446"/>
      <c r="R46" s="19">
        <f>ROUND(SUM(+R21-R43),1)</f>
        <v>4989.7</v>
      </c>
      <c r="S46" s="2344"/>
      <c r="T46" s="19">
        <f>ROUND(SUM(+T21-T43),1)</f>
        <v>7894.8</v>
      </c>
      <c r="U46" s="1517"/>
      <c r="V46" s="1517"/>
      <c r="W46" s="2374"/>
      <c r="X46" s="1517"/>
      <c r="Y46" s="1701">
        <f>ROUND(SUM(Y21-Y43),1)</f>
        <v>5097.8999999999996</v>
      </c>
      <c r="Z46" s="23" t="s">
        <v>15</v>
      </c>
      <c r="AA46" s="1701">
        <f>ROUND(SUM(AA21-AA43),1)</f>
        <v>5309.5</v>
      </c>
      <c r="AB46" s="2375"/>
      <c r="AC46" s="2447"/>
      <c r="AD46" s="1701">
        <f>ROUND(SUM(AD21-AD43),1)</f>
        <v>2585.3000000000002</v>
      </c>
      <c r="AE46" s="2361"/>
      <c r="AF46" s="1503">
        <f>ROUND(AD46/AA46,3)</f>
        <v>0.48699999999999999</v>
      </c>
    </row>
    <row r="47" spans="1:32" ht="16.350000000000001" customHeight="1">
      <c r="A47" s="2313"/>
      <c r="B47" s="2313"/>
      <c r="C47" s="2313"/>
      <c r="D47" s="630"/>
      <c r="E47" s="9"/>
      <c r="F47" s="14"/>
      <c r="G47" s="9"/>
      <c r="H47" s="630"/>
      <c r="I47" s="9"/>
      <c r="J47" s="14"/>
      <c r="K47" s="9"/>
      <c r="L47" s="630"/>
      <c r="M47" s="9"/>
      <c r="N47" s="14"/>
      <c r="O47" s="14"/>
      <c r="P47" s="2438"/>
      <c r="Q47" s="2439"/>
      <c r="R47" s="14"/>
      <c r="S47" s="14"/>
      <c r="T47" s="14"/>
      <c r="U47" s="1461"/>
      <c r="V47" s="1461"/>
      <c r="W47" s="2368"/>
      <c r="X47" s="1461"/>
      <c r="Y47" s="1461"/>
      <c r="Z47" s="22"/>
      <c r="AA47" s="1461"/>
      <c r="AB47" s="2323"/>
      <c r="AC47" s="2426"/>
      <c r="AD47" s="1461"/>
      <c r="AE47" s="2295"/>
      <c r="AF47" s="1465"/>
    </row>
    <row r="48" spans="1:32" ht="16.350000000000001" customHeight="1">
      <c r="A48" s="2312" t="s">
        <v>46</v>
      </c>
      <c r="B48" s="2312"/>
      <c r="C48" s="2313"/>
      <c r="D48" s="629"/>
      <c r="E48" s="9"/>
      <c r="F48" s="9"/>
      <c r="G48" s="9"/>
      <c r="H48" s="629"/>
      <c r="I48" s="9"/>
      <c r="J48" s="9"/>
      <c r="K48" s="9"/>
      <c r="L48" s="629"/>
      <c r="M48" s="9"/>
      <c r="N48" s="9"/>
      <c r="O48" s="14"/>
      <c r="P48" s="2438"/>
      <c r="Q48" s="2439"/>
      <c r="R48" s="9"/>
      <c r="S48" s="9"/>
      <c r="T48" s="9"/>
      <c r="U48" s="22"/>
      <c r="V48" s="22"/>
      <c r="W48" s="2368"/>
      <c r="X48" s="22"/>
      <c r="Y48" s="22"/>
      <c r="Z48" s="22"/>
      <c r="AA48" s="22"/>
      <c r="AB48" s="2323"/>
      <c r="AC48" s="2426"/>
      <c r="AD48" s="22"/>
      <c r="AE48" s="2295"/>
      <c r="AF48" s="1465"/>
    </row>
    <row r="49" spans="1:32" ht="18" customHeight="1">
      <c r="A49" s="2362" t="s">
        <v>48</v>
      </c>
      <c r="B49" s="2459" t="s">
        <v>1268</v>
      </c>
      <c r="C49" s="2362"/>
      <c r="D49" s="634">
        <f>+'Exhibit A'!D49</f>
        <v>4121.2000000000007</v>
      </c>
      <c r="E49" s="9"/>
      <c r="F49" s="9">
        <f>+'Exhibit A'!F49</f>
        <v>29399.8</v>
      </c>
      <c r="G49" s="22"/>
      <c r="H49" s="634">
        <f>+'Exhibit G State'!V111</f>
        <v>84.099999999999909</v>
      </c>
      <c r="I49" s="22"/>
      <c r="J49" s="9">
        <f>+'Exhibit G State'!AD111</f>
        <v>2505.5</v>
      </c>
      <c r="K49" s="1461"/>
      <c r="L49" s="1456">
        <f>+'Exhibit A'!L49</f>
        <v>453.5</v>
      </c>
      <c r="M49" s="1461"/>
      <c r="N49" s="17">
        <f>+'Exhibit A'!N49</f>
        <v>2493.3000000000002</v>
      </c>
      <c r="O49" s="14"/>
      <c r="P49" s="2438"/>
      <c r="Q49" s="2439"/>
      <c r="R49" s="10">
        <f>ROUND(SUM(L49+H49+D49),1)</f>
        <v>4658.8</v>
      </c>
      <c r="S49" s="9"/>
      <c r="T49" s="10">
        <f>ROUND(SUM(F49+J49+N49),1)</f>
        <v>34398.6</v>
      </c>
      <c r="U49" s="22"/>
      <c r="V49" s="22"/>
      <c r="W49" s="2368"/>
      <c r="X49" s="22"/>
      <c r="Y49" s="22">
        <v>4109.8</v>
      </c>
      <c r="Z49" s="22" t="s">
        <v>15</v>
      </c>
      <c r="AA49" s="22">
        <f>'Exhibit F'!AF124+'Exhibit F'!AF125+'Exhibit F'!AF126+'Exhibit F'!AF127+'Exhibit G State'!AG111+'Exhibit H'!AD64</f>
        <v>30283.3</v>
      </c>
      <c r="AB49" s="2323"/>
      <c r="AC49" s="2426"/>
      <c r="AD49" s="22">
        <f>ROUND(SUM(T49-AA49),1)</f>
        <v>4115.3</v>
      </c>
      <c r="AE49" s="2364"/>
      <c r="AF49" s="1462">
        <f>ROUND(SUM(+AD49/AA49),3)</f>
        <v>0.13600000000000001</v>
      </c>
    </row>
    <row r="50" spans="1:32" ht="18" customHeight="1">
      <c r="A50" s="2362" t="s">
        <v>49</v>
      </c>
      <c r="B50" s="2459" t="s">
        <v>1268</v>
      </c>
      <c r="C50" s="2362"/>
      <c r="D50" s="634">
        <f>+'Exhibit A'!D50</f>
        <v>-591.10000000000014</v>
      </c>
      <c r="E50" s="22"/>
      <c r="F50" s="9">
        <f>+'Exhibit A'!F50</f>
        <v>-6070.1</v>
      </c>
      <c r="G50" s="22"/>
      <c r="H50" s="634">
        <f>+'Exhibit G State'!V112</f>
        <v>-52</v>
      </c>
      <c r="I50" s="22"/>
      <c r="J50" s="2440">
        <f>'Exhibit G State'!AD112</f>
        <v>-472.9</v>
      </c>
      <c r="K50" s="22"/>
      <c r="L50" s="1456">
        <f>+'Exhibit A'!L50</f>
        <v>-4019.5</v>
      </c>
      <c r="M50" s="1461"/>
      <c r="N50" s="17">
        <f>+'Exhibit A'!N50</f>
        <v>-29102.6</v>
      </c>
      <c r="O50" s="1461"/>
      <c r="P50" s="2438"/>
      <c r="Q50" s="2460"/>
      <c r="R50" s="2440">
        <f>ROUND(SUM(D50+H50+L50),1)</f>
        <v>-4662.6000000000004</v>
      </c>
      <c r="S50" s="1461"/>
      <c r="T50" s="9">
        <f>ROUND(SUM(F50+J50+N50),1)</f>
        <v>-35645.599999999999</v>
      </c>
      <c r="U50" s="22"/>
      <c r="V50" s="22"/>
      <c r="W50" s="2368"/>
      <c r="X50" s="1461"/>
      <c r="Y50" s="22">
        <v>-3847.1</v>
      </c>
      <c r="Z50" s="22" t="s">
        <v>15</v>
      </c>
      <c r="AA50" s="22">
        <f>'Exhibit F'!AF128+'Exhibit F'!AF129+'Exhibit F'!AF130+'Exhibit F'!AF131+'Exhibit G State'!AG112+'Exhibit H'!AD65</f>
        <v>-30946.400000000001</v>
      </c>
      <c r="AB50" s="2323"/>
      <c r="AC50" s="2426"/>
      <c r="AD50" s="22">
        <f>-ROUND(SUM(T50-AA50),1)</f>
        <v>4699.2</v>
      </c>
      <c r="AE50" s="2295"/>
      <c r="AF50" s="2461">
        <f>ROUND(SUM(-AD50/AA50),3)</f>
        <v>0.152</v>
      </c>
    </row>
    <row r="51" spans="1:32" ht="18" customHeight="1">
      <c r="A51" s="2312" t="s">
        <v>50</v>
      </c>
      <c r="B51" s="2312"/>
      <c r="C51" s="2313"/>
      <c r="D51" s="12">
        <f>ROUND(SUM(D49:D50),1)</f>
        <v>3530.1</v>
      </c>
      <c r="E51" s="1399"/>
      <c r="F51" s="12">
        <f>ROUND(SUM(F49:F50),1)</f>
        <v>23329.7</v>
      </c>
      <c r="G51" s="1399"/>
      <c r="H51" s="12">
        <f>ROUND(SUM(H49:H50),1)</f>
        <v>32.1</v>
      </c>
      <c r="I51" s="1399"/>
      <c r="J51" s="12">
        <f>ROUND(SUM(J49:J50),1)</f>
        <v>2032.6</v>
      </c>
      <c r="K51" s="1399"/>
      <c r="L51" s="12">
        <f>ROUND(SUM(L49:L50),1)</f>
        <v>-3566</v>
      </c>
      <c r="M51" s="1399"/>
      <c r="N51" s="12">
        <f>ROUND(SUM(N49:N50),1)</f>
        <v>-26609.3</v>
      </c>
      <c r="O51" s="2344"/>
      <c r="P51" s="2445"/>
      <c r="Q51" s="2446"/>
      <c r="R51" s="12">
        <f>ROUND(SUM(R49:R50),1)</f>
        <v>-3.8</v>
      </c>
      <c r="S51" s="2344"/>
      <c r="T51" s="12">
        <f>ROUND(SUM(T49:T50),1)</f>
        <v>-1247</v>
      </c>
      <c r="U51" s="1517"/>
      <c r="V51" s="1517"/>
      <c r="W51" s="2374"/>
      <c r="X51" s="1517"/>
      <c r="Y51" s="3586">
        <f>ROUND(SUM(+Y49+Y50),1)</f>
        <v>262.7</v>
      </c>
      <c r="Z51" s="23"/>
      <c r="AA51" s="2371">
        <f>ROUND(SUM(+AA49+AA50),1)</f>
        <v>-663.1</v>
      </c>
      <c r="AB51" s="2375"/>
      <c r="AC51" s="2447"/>
      <c r="AD51" s="2371">
        <f>ROUND(SUM(+AD49-AD50),1)</f>
        <v>-583.9</v>
      </c>
      <c r="AE51" s="2347"/>
      <c r="AF51" s="1464">
        <f>-ROUND(SUM(AD51/AA51),3)</f>
        <v>-0.88100000000000001</v>
      </c>
    </row>
    <row r="52" spans="1:32" ht="16.350000000000001" customHeight="1">
      <c r="A52" s="2313"/>
      <c r="B52" s="2313"/>
      <c r="C52" s="2313"/>
      <c r="D52" s="630"/>
      <c r="E52" s="9"/>
      <c r="F52" s="14"/>
      <c r="G52" s="9"/>
      <c r="H52" s="630"/>
      <c r="I52" s="9"/>
      <c r="J52" s="14"/>
      <c r="K52" s="9"/>
      <c r="L52" s="630"/>
      <c r="M52" s="9"/>
      <c r="N52" s="14"/>
      <c r="O52" s="14"/>
      <c r="P52" s="2438"/>
      <c r="Q52" s="2439"/>
      <c r="R52" s="14"/>
      <c r="S52" s="14"/>
      <c r="T52" s="14"/>
      <c r="U52" s="1461"/>
      <c r="V52" s="1461"/>
      <c r="W52" s="2368"/>
      <c r="X52" s="1461"/>
      <c r="Y52" s="1461"/>
      <c r="Z52" s="22"/>
      <c r="AA52" s="1461"/>
      <c r="AB52" s="2323"/>
      <c r="AC52" s="2426"/>
      <c r="AD52" s="1461"/>
      <c r="AE52" s="2295"/>
      <c r="AF52" s="1465"/>
    </row>
    <row r="53" spans="1:32" ht="18" customHeight="1">
      <c r="A53" s="2311" t="s">
        <v>44</v>
      </c>
      <c r="B53" s="2312"/>
      <c r="C53" s="2313"/>
      <c r="D53" s="629"/>
      <c r="E53" s="9"/>
      <c r="F53" s="9"/>
      <c r="G53" s="9"/>
      <c r="H53" s="629"/>
      <c r="I53" s="9"/>
      <c r="J53" s="9"/>
      <c r="K53" s="9"/>
      <c r="L53" s="629"/>
      <c r="M53" s="9"/>
      <c r="N53" s="9"/>
      <c r="O53" s="14"/>
      <c r="P53" s="2438"/>
      <c r="Q53" s="2439"/>
      <c r="R53" s="9"/>
      <c r="S53" s="9"/>
      <c r="T53" s="9"/>
      <c r="U53" s="22"/>
      <c r="V53" s="22"/>
      <c r="W53" s="2368"/>
      <c r="X53" s="22"/>
      <c r="Y53" s="22"/>
      <c r="Z53" s="22"/>
      <c r="AA53" s="22"/>
      <c r="AB53" s="2323"/>
      <c r="AC53" s="2426"/>
      <c r="AD53" s="22"/>
      <c r="AE53" s="2295"/>
      <c r="AF53" s="1466"/>
    </row>
    <row r="54" spans="1:32" ht="18" customHeight="1">
      <c r="A54" s="2311" t="s">
        <v>59</v>
      </c>
      <c r="B54" s="2311"/>
      <c r="C54" s="2362"/>
      <c r="D54" s="634"/>
      <c r="E54" s="9"/>
      <c r="F54" s="9"/>
      <c r="G54" s="9"/>
      <c r="H54" s="629"/>
      <c r="I54" s="9"/>
      <c r="J54" s="9"/>
      <c r="K54" s="9"/>
      <c r="L54" s="629"/>
      <c r="M54" s="9"/>
      <c r="N54" s="9"/>
      <c r="O54" s="14"/>
      <c r="P54" s="2438"/>
      <c r="Q54" s="2439"/>
      <c r="R54" s="9"/>
      <c r="S54" s="9"/>
      <c r="T54" s="9"/>
      <c r="U54" s="22"/>
      <c r="V54" s="22"/>
      <c r="W54" s="2368"/>
      <c r="X54" s="22"/>
      <c r="Y54" s="22" t="s">
        <v>15</v>
      </c>
      <c r="Z54" s="22"/>
      <c r="AA54" s="22"/>
      <c r="AB54" s="2323"/>
      <c r="AC54" s="2426"/>
      <c r="AD54" s="22"/>
      <c r="AE54" s="2295"/>
      <c r="AF54" s="1465"/>
    </row>
    <row r="55" spans="1:32" ht="18" customHeight="1">
      <c r="A55" s="2311" t="s">
        <v>60</v>
      </c>
      <c r="B55" s="2311"/>
      <c r="C55" s="2362"/>
      <c r="D55" s="23">
        <f>ROUND(SUM(D46+D51),1)</f>
        <v>2638.3</v>
      </c>
      <c r="E55" s="23"/>
      <c r="F55" s="23">
        <f>ROUND(SUM(F46)+SUM(F51),1)</f>
        <v>3612.3</v>
      </c>
      <c r="G55" s="23"/>
      <c r="H55" s="23">
        <f>ROUND(SUM(H46+H51),1)</f>
        <v>751.2</v>
      </c>
      <c r="I55" s="23"/>
      <c r="J55" s="23">
        <f>ROUND(SUM(J46)+SUM(J51),1)</f>
        <v>518.79999999999995</v>
      </c>
      <c r="K55" s="23"/>
      <c r="L55" s="23">
        <f>ROUND(SUM(L46+L51),1)</f>
        <v>1596.4</v>
      </c>
      <c r="M55" s="2462"/>
      <c r="N55" s="2462">
        <f>ROUND(SUM(N46+N51),1)</f>
        <v>2516.6999999999998</v>
      </c>
      <c r="O55" s="2445"/>
      <c r="P55" s="2445"/>
      <c r="Q55" s="2463"/>
      <c r="R55" s="2462">
        <f>ROUND(SUM(+R46+R51),1)</f>
        <v>4985.8999999999996</v>
      </c>
      <c r="S55" s="2462"/>
      <c r="T55" s="2462">
        <f>ROUND(SUM(T46+T51),1)</f>
        <v>6647.8</v>
      </c>
      <c r="U55" s="2462"/>
      <c r="V55" s="2462"/>
      <c r="W55" s="2464"/>
      <c r="X55" s="2462"/>
      <c r="Y55" s="23">
        <f>ROUND(SUM(Y46)+SUM(Y51),1)</f>
        <v>5360.6</v>
      </c>
      <c r="Z55" s="23"/>
      <c r="AA55" s="23">
        <f>ROUND(SUM(AA46)+SUM(AA51),1)</f>
        <v>4646.3999999999996</v>
      </c>
      <c r="AB55" s="2375"/>
      <c r="AC55" s="2447"/>
      <c r="AD55" s="1517">
        <f>ROUND(SUM(+AD46+AD51),1)</f>
        <v>2001.4</v>
      </c>
      <c r="AE55" s="2347"/>
      <c r="AF55" s="1530">
        <f>ROUND(SUM(AD55/AA55),3)</f>
        <v>0.43099999999999999</v>
      </c>
    </row>
    <row r="56" spans="1:32" ht="16.350000000000001" customHeight="1">
      <c r="A56" s="2312"/>
      <c r="B56" s="2312"/>
      <c r="C56" s="2313"/>
      <c r="D56" s="629"/>
      <c r="E56" s="9"/>
      <c r="F56" s="14"/>
      <c r="G56" s="9"/>
      <c r="H56" s="629"/>
      <c r="I56" s="9"/>
      <c r="J56" s="9"/>
      <c r="K56" s="9"/>
      <c r="L56" s="634"/>
      <c r="M56" s="22"/>
      <c r="N56" s="22"/>
      <c r="O56" s="1461"/>
      <c r="P56" s="2438"/>
      <c r="Q56" s="2460"/>
      <c r="R56" s="22"/>
      <c r="S56" s="22"/>
      <c r="T56" s="22"/>
      <c r="U56" s="22"/>
      <c r="V56" s="22"/>
      <c r="W56" s="2368"/>
      <c r="X56" s="22"/>
      <c r="Y56" s="22"/>
      <c r="Z56" s="22"/>
      <c r="AA56" s="22"/>
      <c r="AB56" s="2323"/>
      <c r="AC56" s="2426"/>
      <c r="AD56" s="22"/>
      <c r="AE56" s="2295"/>
      <c r="AF56" s="1465"/>
    </row>
    <row r="57" spans="1:32" ht="18" customHeight="1">
      <c r="A57" s="2465" t="s">
        <v>53</v>
      </c>
      <c r="B57" s="2356"/>
      <c r="C57" s="2313"/>
      <c r="D57" s="19">
        <f>+'Exhibit A'!D57</f>
        <v>8179.7</v>
      </c>
      <c r="E57" s="1399"/>
      <c r="F57" s="19">
        <f>'Exhibit A'!F57</f>
        <v>7205.7</v>
      </c>
      <c r="G57" s="1399"/>
      <c r="H57" s="19">
        <f>+'Exhibit G State'!V13</f>
        <v>4858.3999999999996</v>
      </c>
      <c r="I57" s="1399"/>
      <c r="J57" s="19">
        <f>'Exhibit G State'!D13</f>
        <v>5090.8</v>
      </c>
      <c r="K57" s="1399"/>
      <c r="L57" s="1701">
        <f>+'Exhibit A'!L57</f>
        <v>985.1</v>
      </c>
      <c r="M57" s="1517"/>
      <c r="N57" s="2466">
        <f>+'Exhibit A'!N57</f>
        <v>64.8</v>
      </c>
      <c r="O57" s="2344"/>
      <c r="P57" s="2445"/>
      <c r="Q57" s="2446"/>
      <c r="R57" s="19">
        <f>ROUND(SUM(D57+H57+L57),1)</f>
        <v>14023.2</v>
      </c>
      <c r="S57" s="2344"/>
      <c r="T57" s="19">
        <f>ROUND(SUM(F57+J57+N57),1)</f>
        <v>12361.3</v>
      </c>
      <c r="U57" s="1517"/>
      <c r="V57" s="1517"/>
      <c r="W57" s="2374"/>
      <c r="X57" s="1517"/>
      <c r="Y57" s="1701">
        <v>12892.4</v>
      </c>
      <c r="Z57" s="23" t="s">
        <v>15</v>
      </c>
      <c r="AA57" s="1701">
        <f>'Exhibit F'!AF12+'Exhibit G State'!AG13+'Exhibit H'!AD12</f>
        <v>13606.6</v>
      </c>
      <c r="AB57" s="2375"/>
      <c r="AC57" s="2447"/>
      <c r="AD57" s="1701">
        <f>ROUND(SUM(T57-AA57),1)</f>
        <v>-1245.3</v>
      </c>
      <c r="AE57" s="2347"/>
      <c r="AF57" s="2377">
        <f>ROUND(+AD57/AA57,3)</f>
        <v>-9.1999999999999998E-2</v>
      </c>
    </row>
    <row r="58" spans="1:32" ht="16.350000000000001" customHeight="1">
      <c r="A58" s="2362"/>
      <c r="B58" s="2313"/>
      <c r="C58" s="2313"/>
      <c r="D58" s="2467"/>
      <c r="E58" s="2313"/>
      <c r="F58" s="7"/>
      <c r="G58" s="2313"/>
      <c r="H58" s="627"/>
      <c r="I58" s="2313"/>
      <c r="J58" s="7"/>
      <c r="K58" s="2313"/>
      <c r="L58" s="2467"/>
      <c r="M58" s="2313"/>
      <c r="N58" s="7"/>
      <c r="O58" s="7"/>
      <c r="P58" s="2423"/>
      <c r="Q58" s="2424"/>
      <c r="R58" s="7"/>
      <c r="S58" s="7"/>
      <c r="T58" s="7"/>
      <c r="U58" s="2323"/>
      <c r="V58" s="2323"/>
      <c r="W58" s="2425"/>
      <c r="X58" s="2323"/>
      <c r="Y58" s="2323"/>
      <c r="Z58" s="2362"/>
      <c r="AA58" s="2323"/>
      <c r="AB58" s="2323"/>
      <c r="AC58" s="2426"/>
      <c r="AD58" s="1461"/>
      <c r="AE58" s="2295"/>
      <c r="AF58" s="1465"/>
    </row>
    <row r="59" spans="1:32" ht="18" customHeight="1" thickBot="1">
      <c r="A59" s="2468" t="s">
        <v>61</v>
      </c>
      <c r="B59" s="2469" t="s">
        <v>15</v>
      </c>
      <c r="C59" s="2313"/>
      <c r="D59" s="25">
        <f>ROUND(SUM(D55+D57),1)</f>
        <v>10818</v>
      </c>
      <c r="E59" s="2380"/>
      <c r="F59" s="25">
        <f>ROUND(SUM(F55+F57),1)</f>
        <v>10818</v>
      </c>
      <c r="G59" s="2380"/>
      <c r="H59" s="25">
        <f>ROUND(SUM(H55+H57),1)</f>
        <v>5609.6</v>
      </c>
      <c r="I59" s="2380"/>
      <c r="J59" s="25">
        <f>ROUND(SUM(J55)+SUM(J57),1)</f>
        <v>5609.6</v>
      </c>
      <c r="K59" s="2380"/>
      <c r="L59" s="25">
        <f>ROUND(SUM(L55+L57),1)</f>
        <v>2581.5</v>
      </c>
      <c r="M59" s="2470"/>
      <c r="N59" s="2471">
        <f>ROUND(SUM(N55+N57),1)</f>
        <v>2581.5</v>
      </c>
      <c r="O59" s="2472"/>
      <c r="P59" s="2472"/>
      <c r="Q59" s="2473"/>
      <c r="R59" s="2471">
        <f>ROUND(SUM(R55+R57),1)</f>
        <v>19009.099999999999</v>
      </c>
      <c r="S59" s="2472"/>
      <c r="T59" s="2471">
        <f>ROUND(SUM(T55+T57),1)</f>
        <v>19009.099999999999</v>
      </c>
      <c r="U59" s="2472"/>
      <c r="V59" s="2472"/>
      <c r="W59" s="2474"/>
      <c r="X59" s="2472"/>
      <c r="Y59" s="25">
        <f>ROUND(SUM(Y55+Y57),1)</f>
        <v>18253</v>
      </c>
      <c r="Z59" s="2380"/>
      <c r="AA59" s="25">
        <f>ROUND(SUM(AA55+AA57),1)</f>
        <v>18253</v>
      </c>
      <c r="AB59" s="2385"/>
      <c r="AC59" s="2475"/>
      <c r="AD59" s="25">
        <f>ROUND(SUM(AD55+AD57),1)</f>
        <v>756.1</v>
      </c>
      <c r="AE59" s="2347"/>
      <c r="AF59" s="2384">
        <f>ROUND(+AD59/AA59,3)</f>
        <v>4.1000000000000002E-2</v>
      </c>
    </row>
    <row r="60" spans="1:32" ht="15.75" thickTop="1">
      <c r="A60" s="2386"/>
      <c r="B60" s="2386"/>
      <c r="C60" s="2386"/>
      <c r="D60" s="2388"/>
      <c r="E60" s="2388"/>
      <c r="F60" s="2388"/>
      <c r="G60" s="2388"/>
      <c r="H60" s="2387"/>
      <c r="I60" s="2388"/>
      <c r="J60" s="2388"/>
      <c r="K60" s="2388"/>
      <c r="L60" s="2388"/>
      <c r="M60" s="2388"/>
      <c r="N60" s="2388"/>
      <c r="O60" s="2388"/>
      <c r="P60" s="2476"/>
      <c r="Q60" s="2388"/>
      <c r="R60" s="2388"/>
      <c r="S60" s="2388"/>
      <c r="T60" s="2388"/>
      <c r="U60" s="2390"/>
      <c r="V60" s="2390"/>
      <c r="W60" s="2390"/>
      <c r="X60" s="2390"/>
      <c r="Y60" s="2390"/>
      <c r="Z60" s="2390"/>
      <c r="AA60" s="2390"/>
      <c r="AB60" s="2390"/>
      <c r="AC60" s="2390"/>
      <c r="AD60" s="2390"/>
      <c r="AE60" s="2295"/>
      <c r="AF60" s="2391"/>
    </row>
    <row r="61" spans="1:32">
      <c r="A61" s="2364"/>
      <c r="B61" s="2364"/>
      <c r="C61" s="2364"/>
      <c r="D61" s="2364"/>
      <c r="E61" s="2364"/>
      <c r="F61" s="2364"/>
      <c r="G61" s="2364"/>
      <c r="H61" s="2393"/>
      <c r="I61" s="2364"/>
      <c r="J61" s="2364"/>
      <c r="K61" s="2364"/>
      <c r="L61" s="2364"/>
      <c r="M61" s="2364"/>
      <c r="N61" s="2364"/>
      <c r="O61" s="2364"/>
      <c r="P61" s="2364"/>
      <c r="Q61" s="2364"/>
      <c r="R61" s="2364"/>
      <c r="S61" s="2364"/>
      <c r="T61" s="2364"/>
      <c r="U61" s="2403"/>
      <c r="V61" s="2403"/>
      <c r="W61" s="2403"/>
      <c r="X61" s="2403"/>
      <c r="Y61" s="2403"/>
      <c r="Z61" s="2403"/>
      <c r="AA61" s="2403"/>
      <c r="AB61" s="2403"/>
    </row>
    <row r="62" spans="1:32" ht="18" customHeight="1">
      <c r="A62" s="2317" t="s">
        <v>1214</v>
      </c>
      <c r="B62" s="2364"/>
      <c r="C62" s="2364"/>
      <c r="D62" s="2364"/>
      <c r="E62" s="2364"/>
      <c r="F62" s="2364"/>
      <c r="G62" s="2364"/>
      <c r="H62" s="2393"/>
      <c r="I62" s="2364"/>
      <c r="J62" s="2364"/>
      <c r="K62" s="2364"/>
      <c r="L62" s="2364"/>
      <c r="M62" s="2364"/>
      <c r="N62" s="2364"/>
      <c r="O62" s="2364"/>
      <c r="P62" s="2364"/>
      <c r="Q62" s="2364"/>
      <c r="R62" s="2364"/>
      <c r="S62" s="2364"/>
      <c r="T62" s="2364"/>
      <c r="U62" s="2403"/>
      <c r="V62" s="2403"/>
      <c r="W62" s="2403"/>
      <c r="X62" s="2403"/>
      <c r="Y62" s="2403"/>
      <c r="Z62" s="2403"/>
      <c r="AA62" s="2403"/>
      <c r="AB62" s="2403"/>
    </row>
    <row r="63" spans="1:32" ht="18" customHeight="1">
      <c r="A63" s="2477" t="s">
        <v>1213</v>
      </c>
      <c r="B63" s="2364"/>
      <c r="C63" s="2364"/>
      <c r="D63" s="2364"/>
      <c r="E63" s="2364"/>
      <c r="F63" s="2364"/>
      <c r="G63" s="2364"/>
      <c r="H63" s="2393"/>
      <c r="I63" s="2364"/>
      <c r="J63" s="2364"/>
      <c r="K63" s="2364"/>
      <c r="L63" s="2364"/>
      <c r="M63" s="2364"/>
      <c r="N63" s="2364"/>
      <c r="O63" s="2364"/>
      <c r="P63" s="2364"/>
      <c r="Q63" s="2364"/>
      <c r="R63" s="2364"/>
      <c r="S63" s="2364"/>
      <c r="T63" s="2364"/>
      <c r="U63" s="2403"/>
      <c r="V63" s="2403"/>
      <c r="W63" s="2403"/>
      <c r="X63" s="2403"/>
      <c r="Y63" s="2403"/>
      <c r="Z63" s="2403"/>
      <c r="AA63" s="2403"/>
      <c r="AB63" s="2403"/>
    </row>
    <row r="64" spans="1:32" ht="15">
      <c r="A64" s="2422"/>
      <c r="B64" s="2364"/>
      <c r="C64" s="2364"/>
      <c r="D64" s="2364"/>
      <c r="E64" s="2364"/>
      <c r="F64" s="2364"/>
      <c r="G64" s="2364"/>
      <c r="H64" s="2393"/>
      <c r="I64" s="2364"/>
      <c r="J64" s="2364"/>
      <c r="K64" s="2364"/>
      <c r="L64" s="2364"/>
      <c r="M64" s="2364"/>
      <c r="N64" s="2364"/>
      <c r="O64" s="2364"/>
      <c r="P64" s="2364"/>
      <c r="Q64" s="2364"/>
      <c r="R64" s="2364"/>
      <c r="S64" s="2364"/>
      <c r="T64" s="2364"/>
      <c r="U64" s="2403"/>
      <c r="V64" s="2403"/>
      <c r="W64" s="2403"/>
      <c r="X64" s="2403"/>
      <c r="Y64" s="634" t="s">
        <v>15</v>
      </c>
      <c r="Z64" s="2403"/>
      <c r="AA64" s="2403"/>
      <c r="AB64" s="2403"/>
    </row>
    <row r="65" spans="1:28" ht="15.75">
      <c r="A65" s="2398"/>
      <c r="B65" s="2399"/>
      <c r="C65" s="2392"/>
      <c r="D65" s="2401"/>
      <c r="E65" s="2401"/>
      <c r="F65" s="2401"/>
      <c r="G65" s="2401"/>
      <c r="H65" s="2400"/>
      <c r="I65" s="2401"/>
      <c r="J65" s="2401"/>
      <c r="K65" s="2401"/>
      <c r="L65" s="2401"/>
      <c r="M65" s="2364"/>
      <c r="N65" s="2364"/>
      <c r="O65" s="2364"/>
      <c r="P65" s="2364"/>
      <c r="Q65" s="2364"/>
      <c r="R65" s="2364"/>
      <c r="S65" s="2364"/>
      <c r="T65" s="2364"/>
      <c r="U65" s="2403"/>
      <c r="V65" s="2403"/>
      <c r="W65" s="2403"/>
      <c r="X65" s="2403"/>
      <c r="Y65" s="634" t="s">
        <v>15</v>
      </c>
      <c r="Z65" s="2403"/>
      <c r="AA65" s="2403"/>
      <c r="AB65" s="2403"/>
    </row>
    <row r="66" spans="1:28" ht="15">
      <c r="A66" s="1465"/>
      <c r="B66" s="1465"/>
      <c r="C66" s="1465"/>
      <c r="D66" s="2317"/>
      <c r="E66" s="1465"/>
      <c r="F66" s="1465"/>
      <c r="G66" s="1465"/>
      <c r="H66" s="2402"/>
      <c r="I66" s="1465"/>
      <c r="J66" s="1465"/>
      <c r="K66" s="1465"/>
      <c r="L66" s="2317"/>
      <c r="M66" s="2364"/>
      <c r="N66" s="2364"/>
      <c r="O66" s="2364"/>
      <c r="P66" s="2364"/>
      <c r="Q66" s="2364"/>
      <c r="R66" s="2364"/>
      <c r="S66" s="2364"/>
      <c r="T66" s="2364"/>
      <c r="U66" s="2403"/>
      <c r="V66" s="2403"/>
      <c r="W66" s="2403"/>
      <c r="X66" s="2403"/>
      <c r="Y66" s="2403"/>
      <c r="Z66" s="2403"/>
      <c r="AA66" s="2403"/>
      <c r="AB66" s="2403"/>
    </row>
    <row r="67" spans="1:28" ht="15">
      <c r="A67" s="1465"/>
      <c r="B67" s="1465"/>
      <c r="C67" s="1465"/>
      <c r="D67" s="2317"/>
      <c r="E67" s="1465"/>
      <c r="F67" s="1465"/>
      <c r="G67" s="1465"/>
      <c r="H67" s="2402"/>
      <c r="I67" s="1465"/>
      <c r="J67" s="1465"/>
      <c r="K67" s="1465"/>
      <c r="L67" s="2317"/>
      <c r="M67" s="2364"/>
      <c r="N67" s="2364"/>
      <c r="O67" s="2364"/>
      <c r="P67" s="2364"/>
      <c r="Q67" s="2364"/>
      <c r="R67" s="2364"/>
      <c r="S67" s="2364"/>
      <c r="T67" s="2364"/>
      <c r="U67" s="2403"/>
      <c r="V67" s="2403"/>
      <c r="W67" s="2403"/>
      <c r="X67" s="2403"/>
      <c r="Y67" s="2403"/>
      <c r="Z67" s="2403"/>
      <c r="AA67" s="2403"/>
      <c r="AB67" s="2403"/>
    </row>
    <row r="68" spans="1:28" ht="15">
      <c r="A68" s="1465"/>
      <c r="B68" s="1465"/>
      <c r="C68" s="1465"/>
      <c r="D68" s="2317"/>
      <c r="E68" s="1465"/>
      <c r="F68" s="1465"/>
      <c r="G68" s="1465"/>
      <c r="H68" s="2402"/>
      <c r="I68" s="1465"/>
      <c r="J68" s="1465"/>
      <c r="K68" s="1465"/>
      <c r="L68" s="2317"/>
      <c r="M68" s="2364"/>
      <c r="N68" s="2364"/>
      <c r="O68" s="2364"/>
      <c r="P68" s="2364"/>
      <c r="Q68" s="2364"/>
      <c r="R68" s="2364"/>
      <c r="S68" s="2364"/>
      <c r="T68" s="2364"/>
      <c r="U68" s="2403"/>
      <c r="V68" s="2403"/>
      <c r="W68" s="2403"/>
      <c r="X68" s="2403"/>
      <c r="Y68" s="2403"/>
      <c r="Z68" s="2403"/>
      <c r="AA68" s="2403"/>
      <c r="AB68" s="2403"/>
    </row>
    <row r="69" spans="1:28" ht="19.5" customHeight="1">
      <c r="A69" s="2302"/>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88671875" defaultRowHeight="15.75"/>
  <cols>
    <col min="1" max="1" width="3.5546875" style="1534" customWidth="1"/>
    <col min="2" max="2" width="8.44140625" style="1535" customWidth="1"/>
    <col min="3" max="3" width="12.109375" style="1535" customWidth="1"/>
    <col min="4" max="4" width="15" style="1536" customWidth="1"/>
    <col min="5" max="5" width="15.109375" style="1533" customWidth="1"/>
    <col min="6" max="6" width="10.44140625" style="1534" customWidth="1"/>
    <col min="7" max="7" width="10.109375" style="1534" customWidth="1"/>
    <col min="8" max="8" width="9.109375" style="1600" customWidth="1"/>
    <col min="9" max="9" width="5.5546875" style="1532" customWidth="1"/>
    <col min="10" max="10" width="9.109375" style="1532" customWidth="1"/>
    <col min="11" max="11" width="8.109375" style="1533" customWidth="1"/>
    <col min="12" max="12" width="16" style="1533" customWidth="1"/>
    <col min="13" max="13" width="12.109375" style="1533" customWidth="1"/>
    <col min="14" max="14" width="5.44140625" style="1533" customWidth="1"/>
    <col min="15" max="15" width="18.88671875" style="1602" customWidth="1"/>
    <col min="16" max="16" width="4.88671875" style="1602" customWidth="1"/>
    <col min="17" max="17" width="8" style="1602" customWidth="1"/>
    <col min="18" max="18" width="3.88671875" style="1602" customWidth="1"/>
    <col min="19" max="19" width="13.109375" style="1602" customWidth="1"/>
    <col min="20" max="21" width="12.109375" style="1602" customWidth="1"/>
    <col min="22" max="16384" width="8.88671875" style="1602"/>
  </cols>
  <sheetData>
    <row r="1" spans="1:20">
      <c r="A1" s="657" t="s">
        <v>979</v>
      </c>
    </row>
    <row r="2" spans="1:20">
      <c r="A2" s="555" t="s">
        <v>792</v>
      </c>
      <c r="B2" s="556"/>
      <c r="C2" s="557"/>
      <c r="D2" s="558"/>
      <c r="E2" s="1600"/>
      <c r="F2" s="1600"/>
      <c r="G2" s="1600"/>
      <c r="I2" s="559"/>
      <c r="J2" s="559"/>
      <c r="K2" s="1600"/>
      <c r="L2" s="1600"/>
      <c r="M2" s="1600"/>
      <c r="N2" s="560"/>
      <c r="O2" s="900" t="s">
        <v>974</v>
      </c>
      <c r="Q2" s="562"/>
      <c r="R2" s="562"/>
      <c r="S2" s="563"/>
      <c r="T2" s="564"/>
    </row>
    <row r="3" spans="1:20" ht="12.75" customHeight="1">
      <c r="A3" s="556"/>
      <c r="B3" s="556"/>
      <c r="C3" s="557"/>
      <c r="D3" s="558"/>
      <c r="E3" s="1600"/>
      <c r="F3" s="1600"/>
      <c r="G3" s="1600"/>
      <c r="I3" s="1535"/>
      <c r="J3" s="1535"/>
      <c r="K3" s="1536"/>
      <c r="M3" s="1534"/>
      <c r="N3" s="1534"/>
      <c r="O3" s="901" t="s">
        <v>1563</v>
      </c>
      <c r="T3" s="564"/>
    </row>
    <row r="4" spans="1:20" ht="9" customHeight="1">
      <c r="B4" s="1671"/>
      <c r="C4" s="1671"/>
      <c r="D4" s="1666"/>
      <c r="E4" s="1667"/>
      <c r="F4" s="1668"/>
      <c r="G4" s="1668"/>
      <c r="H4" s="572"/>
      <c r="I4" s="681"/>
      <c r="J4" s="681"/>
      <c r="K4" s="1667"/>
      <c r="L4" s="1667"/>
      <c r="M4" s="1667"/>
      <c r="N4" s="1667"/>
      <c r="O4" s="1673"/>
      <c r="P4" s="1673"/>
      <c r="T4" s="564"/>
    </row>
    <row r="5" spans="1:20" ht="13.5" customHeight="1">
      <c r="T5" s="564"/>
    </row>
    <row r="6" spans="1:20" ht="13.5" customHeight="1">
      <c r="A6" s="565" t="s">
        <v>793</v>
      </c>
      <c r="B6" s="1601" t="s">
        <v>794</v>
      </c>
      <c r="C6" s="1601"/>
      <c r="D6" s="1601"/>
      <c r="E6" s="572"/>
      <c r="F6" s="572"/>
      <c r="G6" s="572"/>
      <c r="I6" s="1697" t="s">
        <v>1458</v>
      </c>
      <c r="J6" s="1535"/>
      <c r="K6" s="1536"/>
      <c r="M6" s="1534"/>
      <c r="N6" s="1534"/>
    </row>
    <row r="7" spans="1:20" ht="13.5" customHeight="1">
      <c r="A7" s="565"/>
      <c r="B7" s="1601" t="s">
        <v>795</v>
      </c>
      <c r="C7" s="1601"/>
      <c r="D7" s="1601"/>
      <c r="E7" s="572"/>
      <c r="F7" s="572"/>
      <c r="G7" s="572"/>
      <c r="I7" s="1601" t="s">
        <v>1599</v>
      </c>
      <c r="J7" s="1535"/>
      <c r="K7" s="1536"/>
      <c r="M7" s="1534"/>
      <c r="N7" s="1534"/>
    </row>
    <row r="8" spans="1:20" ht="13.35" customHeight="1">
      <c r="A8" s="565"/>
      <c r="B8" s="1601" t="s">
        <v>796</v>
      </c>
      <c r="C8" s="1601"/>
      <c r="D8" s="1601"/>
      <c r="E8" s="572"/>
      <c r="F8" s="572"/>
      <c r="G8" s="572"/>
      <c r="I8" s="1601" t="s">
        <v>1459</v>
      </c>
      <c r="J8" s="1535"/>
      <c r="K8" s="1536"/>
      <c r="M8" s="1534"/>
      <c r="N8" s="1534"/>
    </row>
    <row r="9" spans="1:20" ht="12.75" customHeight="1">
      <c r="A9" s="565"/>
      <c r="B9" s="1601" t="s">
        <v>797</v>
      </c>
      <c r="C9" s="1601"/>
      <c r="D9" s="1601"/>
      <c r="E9" s="572"/>
      <c r="F9" s="572"/>
      <c r="G9" s="572"/>
      <c r="I9" s="2170" t="s">
        <v>1470</v>
      </c>
      <c r="J9" s="1535"/>
      <c r="K9" s="1536"/>
      <c r="M9" s="1534"/>
      <c r="N9" s="1534"/>
    </row>
    <row r="10" spans="1:20" ht="12.75" customHeight="1">
      <c r="B10" s="1671"/>
      <c r="C10" s="1671"/>
      <c r="D10" s="1666"/>
      <c r="E10" s="1667"/>
      <c r="F10" s="1675"/>
      <c r="G10" s="1668"/>
      <c r="I10" s="2170" t="s">
        <v>1600</v>
      </c>
      <c r="J10" s="1535"/>
      <c r="K10" s="1536"/>
      <c r="M10" s="1534"/>
      <c r="N10" s="1534"/>
    </row>
    <row r="11" spans="1:20" ht="12.75" customHeight="1">
      <c r="A11" s="1600"/>
      <c r="B11" s="1601"/>
      <c r="C11" s="1674" t="s">
        <v>845</v>
      </c>
      <c r="D11" s="1669"/>
      <c r="E11" s="572"/>
      <c r="F11" s="1669">
        <v>340.4</v>
      </c>
      <c r="G11" s="572" t="s">
        <v>798</v>
      </c>
    </row>
    <row r="12" spans="1:20" ht="12.75" customHeight="1">
      <c r="A12" s="1600"/>
      <c r="B12" s="1674"/>
      <c r="C12" s="1674" t="s">
        <v>1006</v>
      </c>
      <c r="D12" s="1676"/>
      <c r="E12" s="572"/>
      <c r="F12" s="3161">
        <v>18.399999999999999</v>
      </c>
      <c r="G12" s="572"/>
      <c r="H12" s="1534"/>
      <c r="I12" s="1601" t="s">
        <v>987</v>
      </c>
      <c r="K12" s="681"/>
      <c r="L12" s="1666"/>
      <c r="M12" s="1667"/>
      <c r="N12" s="1668"/>
    </row>
    <row r="13" spans="1:20" ht="12.75" customHeight="1">
      <c r="A13" s="1600"/>
      <c r="B13" s="1674"/>
      <c r="C13" s="1674" t="s">
        <v>799</v>
      </c>
      <c r="D13" s="1676"/>
      <c r="E13" s="572"/>
      <c r="F13" s="3162">
        <v>158.5</v>
      </c>
      <c r="G13" s="572"/>
      <c r="H13" s="1534"/>
      <c r="I13" s="1600"/>
      <c r="J13" s="681"/>
      <c r="K13" s="681"/>
      <c r="L13" s="1666"/>
      <c r="M13" s="1667"/>
      <c r="N13" s="1668"/>
      <c r="P13" s="572"/>
      <c r="T13" s="1600"/>
    </row>
    <row r="14" spans="1:20" ht="12.75" customHeight="1">
      <c r="A14" s="1600"/>
      <c r="B14" s="1674"/>
      <c r="C14" s="1674" t="s">
        <v>800</v>
      </c>
      <c r="D14" s="1676"/>
      <c r="E14" s="572"/>
      <c r="F14" s="3162">
        <v>12.9</v>
      </c>
      <c r="G14" s="1668"/>
      <c r="J14" s="559" t="s">
        <v>1495</v>
      </c>
      <c r="O14" s="3773">
        <v>3.8</v>
      </c>
      <c r="P14" s="572" t="s">
        <v>798</v>
      </c>
      <c r="T14" s="566"/>
    </row>
    <row r="15" spans="1:20" ht="12.75" customHeight="1">
      <c r="A15" s="1600"/>
      <c r="B15" s="1674"/>
      <c r="C15" s="1674" t="s">
        <v>1007</v>
      </c>
      <c r="D15" s="1676"/>
      <c r="E15" s="572"/>
      <c r="F15" s="3162">
        <v>375.8</v>
      </c>
      <c r="G15" s="572"/>
      <c r="J15" s="559" t="s">
        <v>1446</v>
      </c>
      <c r="O15" s="1672">
        <v>101.3</v>
      </c>
      <c r="T15" s="566"/>
    </row>
    <row r="16" spans="1:20" ht="12.75" customHeight="1">
      <c r="A16" s="1600"/>
      <c r="B16" s="1674"/>
      <c r="C16" s="1674" t="s">
        <v>846</v>
      </c>
      <c r="D16" s="1676"/>
      <c r="E16" s="572"/>
      <c r="F16" s="3161">
        <v>710.9</v>
      </c>
      <c r="G16" s="572"/>
      <c r="H16" s="1534"/>
      <c r="J16" s="559" t="s">
        <v>1502</v>
      </c>
      <c r="O16" s="1672">
        <v>6.4</v>
      </c>
      <c r="R16" s="1600"/>
    </row>
    <row r="17" spans="1:15" ht="12.75" customHeight="1">
      <c r="A17" s="1600"/>
      <c r="B17" s="1674"/>
      <c r="C17" s="1674" t="s">
        <v>801</v>
      </c>
      <c r="D17" s="1677"/>
      <c r="E17" s="572"/>
      <c r="F17" s="3161">
        <v>465.2</v>
      </c>
      <c r="G17" s="572"/>
      <c r="H17" s="1668"/>
      <c r="I17" s="1600"/>
      <c r="J17" s="559" t="s">
        <v>1438</v>
      </c>
      <c r="O17" s="1672">
        <v>53.1</v>
      </c>
    </row>
    <row r="18" spans="1:15" ht="12.75" customHeight="1">
      <c r="A18" s="1600"/>
      <c r="B18" s="1674"/>
      <c r="C18" s="1674" t="s">
        <v>1272</v>
      </c>
      <c r="D18" s="1677"/>
      <c r="E18" s="572"/>
      <c r="F18" s="3162">
        <v>140.69999999999999</v>
      </c>
      <c r="G18" s="572"/>
      <c r="J18" s="559" t="s">
        <v>1437</v>
      </c>
      <c r="O18" s="1672">
        <v>1.5</v>
      </c>
    </row>
    <row r="19" spans="1:15" ht="12.75" customHeight="1">
      <c r="A19" s="1668"/>
      <c r="B19" s="1671"/>
      <c r="C19" s="1671"/>
      <c r="D19" s="1666"/>
      <c r="E19" s="1667"/>
      <c r="F19" s="1668"/>
      <c r="G19" s="1668"/>
      <c r="J19" s="559" t="s">
        <v>1488</v>
      </c>
      <c r="O19" s="1672">
        <v>1.2</v>
      </c>
    </row>
    <row r="20" spans="1:15" ht="13.35" customHeight="1">
      <c r="A20" s="1680" t="s">
        <v>802</v>
      </c>
      <c r="B20" s="1601" t="s">
        <v>988</v>
      </c>
      <c r="C20" s="1601"/>
      <c r="D20" s="1601"/>
      <c r="E20" s="572"/>
      <c r="F20" s="572"/>
      <c r="G20" s="572"/>
      <c r="J20" s="559" t="s">
        <v>1504</v>
      </c>
      <c r="O20" s="1672">
        <v>3.5</v>
      </c>
    </row>
    <row r="21" spans="1:15" ht="12.75" customHeight="1">
      <c r="A21" s="1680"/>
      <c r="B21" s="1601" t="s">
        <v>1428</v>
      </c>
      <c r="C21" s="1601"/>
      <c r="D21" s="1601"/>
      <c r="E21" s="572"/>
      <c r="F21" s="572"/>
      <c r="G21" s="572"/>
      <c r="J21" s="559" t="s">
        <v>1616</v>
      </c>
      <c r="O21" s="1672">
        <v>41.7</v>
      </c>
    </row>
    <row r="22" spans="1:15" ht="14.1" customHeight="1">
      <c r="A22" s="1680"/>
      <c r="B22" s="1601"/>
      <c r="C22" s="1601"/>
      <c r="D22" s="1601"/>
      <c r="E22" s="572"/>
      <c r="F22" s="572"/>
      <c r="G22" s="572"/>
      <c r="J22" s="559" t="s">
        <v>1496</v>
      </c>
      <c r="O22" s="1672">
        <v>5.9</v>
      </c>
    </row>
    <row r="23" spans="1:15" ht="12.75" customHeight="1">
      <c r="A23" s="572"/>
      <c r="B23" s="1679" t="s">
        <v>1289</v>
      </c>
      <c r="C23" s="1679"/>
      <c r="D23" s="1601"/>
      <c r="E23" s="572"/>
      <c r="F23" s="572"/>
      <c r="G23" s="572"/>
      <c r="J23" s="559" t="s">
        <v>1503</v>
      </c>
      <c r="O23" s="1672">
        <v>1.1000000000000001</v>
      </c>
    </row>
    <row r="24" spans="1:15" ht="12.75" customHeight="1">
      <c r="A24" s="1668"/>
      <c r="B24" s="1671"/>
      <c r="C24" s="1671"/>
      <c r="D24" s="1666"/>
      <c r="E24" s="1667"/>
      <c r="F24" s="1668"/>
      <c r="G24" s="572"/>
      <c r="J24" s="559" t="s">
        <v>1344</v>
      </c>
      <c r="O24" s="1672">
        <v>22.9</v>
      </c>
    </row>
    <row r="25" spans="1:15" ht="13.35" customHeight="1">
      <c r="A25" s="1668"/>
      <c r="B25" s="1671"/>
      <c r="C25" s="1674" t="s">
        <v>1244</v>
      </c>
      <c r="D25" s="1666"/>
      <c r="E25" s="1667"/>
      <c r="F25" s="1698">
        <v>2317.1</v>
      </c>
      <c r="G25" s="572" t="s">
        <v>798</v>
      </c>
      <c r="J25" s="559" t="s">
        <v>1500</v>
      </c>
      <c r="O25" s="1672">
        <v>1.5</v>
      </c>
    </row>
    <row r="26" spans="1:15" ht="12.75" customHeight="1">
      <c r="A26" s="1668"/>
      <c r="B26" s="1671"/>
      <c r="C26" s="1674" t="s">
        <v>803</v>
      </c>
      <c r="D26" s="1669"/>
      <c r="E26" s="572"/>
      <c r="F26" s="1670">
        <v>554</v>
      </c>
      <c r="G26" s="1673"/>
      <c r="J26" s="559" t="s">
        <v>1498</v>
      </c>
      <c r="O26" s="1672">
        <v>2.7</v>
      </c>
    </row>
    <row r="27" spans="1:15" ht="12.75" customHeight="1">
      <c r="A27" s="1668"/>
      <c r="B27" s="1671"/>
      <c r="C27" s="1674" t="s">
        <v>1225</v>
      </c>
      <c r="D27" s="1669"/>
      <c r="E27" s="572"/>
      <c r="F27" s="1670">
        <v>30.8</v>
      </c>
      <c r="G27" s="572"/>
      <c r="J27" s="559" t="s">
        <v>1501</v>
      </c>
      <c r="O27" s="1672">
        <v>5.2</v>
      </c>
    </row>
    <row r="28" spans="1:15" ht="12.75" customHeight="1">
      <c r="C28" s="1674" t="s">
        <v>1424</v>
      </c>
      <c r="D28" s="1669"/>
      <c r="E28" s="572"/>
      <c r="F28" s="1670">
        <v>8</v>
      </c>
      <c r="J28" s="559" t="s">
        <v>1617</v>
      </c>
      <c r="O28" s="1672">
        <v>37.5</v>
      </c>
    </row>
    <row r="29" spans="1:15" ht="13.35" customHeight="1">
      <c r="C29" s="1674" t="s">
        <v>1422</v>
      </c>
      <c r="D29" s="1669"/>
      <c r="E29" s="572"/>
      <c r="F29" s="1670">
        <v>8.1</v>
      </c>
      <c r="J29" s="2171" t="s">
        <v>1023</v>
      </c>
      <c r="O29" s="1672">
        <v>34.299999999999997</v>
      </c>
    </row>
    <row r="30" spans="1:15" ht="12.75" customHeight="1">
      <c r="C30" s="1674" t="s">
        <v>1342</v>
      </c>
      <c r="D30" s="1669"/>
      <c r="E30" s="572"/>
      <c r="F30" s="1670">
        <v>11.5</v>
      </c>
      <c r="J30" s="559" t="s">
        <v>1499</v>
      </c>
      <c r="O30" s="1672">
        <v>2.5</v>
      </c>
    </row>
    <row r="31" spans="1:15" ht="12.75" customHeight="1">
      <c r="C31" s="1674" t="s">
        <v>1423</v>
      </c>
      <c r="D31" s="1669"/>
      <c r="E31" s="572"/>
      <c r="F31" s="1670">
        <v>95.3</v>
      </c>
      <c r="J31" s="559" t="s">
        <v>1487</v>
      </c>
      <c r="O31" s="1672">
        <v>1.4</v>
      </c>
    </row>
    <row r="32" spans="1:15" ht="12.75" customHeight="1">
      <c r="C32" s="1674" t="s">
        <v>1433</v>
      </c>
      <c r="D32" s="1669"/>
      <c r="E32" s="572"/>
      <c r="F32" s="1670">
        <v>49.5</v>
      </c>
      <c r="J32" s="559" t="s">
        <v>1439</v>
      </c>
      <c r="O32" s="1672">
        <v>19.5</v>
      </c>
    </row>
    <row r="33" spans="1:20" ht="12.75" customHeight="1">
      <c r="C33" s="1674" t="s">
        <v>1275</v>
      </c>
      <c r="D33" s="1669"/>
      <c r="E33" s="572"/>
      <c r="F33" s="1670">
        <v>1110</v>
      </c>
      <c r="J33" s="559" t="s">
        <v>1471</v>
      </c>
      <c r="O33" s="1672">
        <v>11.6</v>
      </c>
    </row>
    <row r="34" spans="1:20" ht="13.35" customHeight="1">
      <c r="C34" s="1674" t="s">
        <v>1434</v>
      </c>
      <c r="D34" s="1669"/>
      <c r="E34" s="572"/>
      <c r="F34" s="1670">
        <v>6.6</v>
      </c>
      <c r="J34" s="559" t="s">
        <v>1497</v>
      </c>
      <c r="O34" s="1672">
        <v>6.2</v>
      </c>
    </row>
    <row r="35" spans="1:20" ht="12.75" customHeight="1">
      <c r="C35" s="1674" t="s">
        <v>1435</v>
      </c>
      <c r="D35" s="1669"/>
      <c r="E35" s="572"/>
      <c r="F35" s="1670">
        <v>36.700000000000003</v>
      </c>
      <c r="G35" s="1668"/>
      <c r="P35" s="572"/>
    </row>
    <row r="36" spans="1:20" ht="12.75" customHeight="1">
      <c r="C36" s="1674" t="s">
        <v>1436</v>
      </c>
      <c r="D36" s="1669"/>
      <c r="E36" s="572"/>
      <c r="F36" s="1670">
        <v>3.8</v>
      </c>
      <c r="I36" s="1697" t="s">
        <v>1190</v>
      </c>
      <c r="J36" s="1697"/>
      <c r="K36" s="572"/>
      <c r="L36" s="572"/>
      <c r="M36" s="572"/>
      <c r="N36" s="572"/>
      <c r="R36" s="1600"/>
    </row>
    <row r="37" spans="1:20" ht="12.75" customHeight="1">
      <c r="C37" s="3774" t="s">
        <v>1489</v>
      </c>
      <c r="D37" s="3775"/>
      <c r="E37" s="3776"/>
      <c r="F37" s="3873">
        <v>28</v>
      </c>
      <c r="I37" s="681"/>
      <c r="J37" s="681"/>
      <c r="K37" s="1667"/>
      <c r="L37" s="1667"/>
      <c r="M37" s="1667"/>
      <c r="N37" s="1667"/>
      <c r="P37" s="1673"/>
      <c r="R37" s="566"/>
    </row>
    <row r="38" spans="1:20" ht="12.75" customHeight="1">
      <c r="C38" s="559" t="s">
        <v>1598</v>
      </c>
      <c r="D38" s="558"/>
      <c r="E38" s="1600"/>
      <c r="F38" s="1670">
        <v>7.9</v>
      </c>
      <c r="I38" s="1674"/>
      <c r="J38" s="1674" t="s">
        <v>804</v>
      </c>
      <c r="K38" s="1669"/>
      <c r="L38" s="572"/>
      <c r="O38" s="1698">
        <v>21503.599999999999</v>
      </c>
      <c r="P38" s="572" t="s">
        <v>798</v>
      </c>
      <c r="R38" s="566"/>
      <c r="T38" s="675"/>
    </row>
    <row r="39" spans="1:20" ht="12.75" customHeight="1">
      <c r="C39" s="559" t="s">
        <v>1469</v>
      </c>
      <c r="D39" s="558"/>
      <c r="E39" s="1600"/>
      <c r="F39" s="1670">
        <v>2.6</v>
      </c>
      <c r="I39" s="1674"/>
      <c r="J39" s="1674" t="s">
        <v>805</v>
      </c>
      <c r="K39" s="1669"/>
      <c r="L39" s="572"/>
      <c r="O39" s="1670">
        <v>3124.4</v>
      </c>
      <c r="T39" s="675"/>
    </row>
    <row r="40" spans="1:20" ht="13.35" customHeight="1">
      <c r="C40" s="559" t="s">
        <v>1597</v>
      </c>
      <c r="F40" s="1670">
        <v>22.1</v>
      </c>
      <c r="I40" s="1674"/>
      <c r="J40" s="1674" t="s">
        <v>806</v>
      </c>
      <c r="K40" s="1669"/>
      <c r="L40" s="572"/>
      <c r="O40" s="1670">
        <v>2420</v>
      </c>
      <c r="T40" s="675"/>
    </row>
    <row r="41" spans="1:20" ht="12.75" customHeight="1">
      <c r="B41" s="1535" t="s">
        <v>15</v>
      </c>
      <c r="C41" s="1674" t="s">
        <v>808</v>
      </c>
      <c r="D41" s="1669"/>
      <c r="E41" s="572"/>
      <c r="F41" s="1670">
        <v>244.3</v>
      </c>
      <c r="G41" s="1668"/>
      <c r="I41" s="681"/>
      <c r="J41" s="1674" t="s">
        <v>807</v>
      </c>
      <c r="K41" s="1669"/>
      <c r="L41" s="572"/>
      <c r="O41" s="1670">
        <v>810.4</v>
      </c>
      <c r="T41" s="675"/>
    </row>
    <row r="42" spans="1:20" ht="12.75" customHeight="1">
      <c r="A42" s="572"/>
      <c r="B42" s="1674"/>
      <c r="C42" s="1674" t="s">
        <v>1341</v>
      </c>
      <c r="D42" s="1669"/>
      <c r="E42" s="572"/>
      <c r="F42" s="1670">
        <v>36.9</v>
      </c>
      <c r="G42" s="1668"/>
      <c r="J42" s="559" t="s">
        <v>1339</v>
      </c>
      <c r="K42" s="2226"/>
      <c r="L42" s="1600"/>
      <c r="O42" s="1672">
        <v>1114.7</v>
      </c>
      <c r="T42" s="675"/>
    </row>
    <row r="43" spans="1:20" ht="12.75" customHeight="1">
      <c r="C43" s="1674" t="s">
        <v>1474</v>
      </c>
      <c r="F43" s="1670">
        <v>87.5</v>
      </c>
      <c r="I43" s="681"/>
      <c r="J43" s="1674"/>
      <c r="K43" s="1667"/>
      <c r="L43" s="1667"/>
      <c r="M43" s="1667"/>
      <c r="N43" s="1667"/>
      <c r="T43" s="675"/>
    </row>
    <row r="44" spans="1:20" ht="12.75" customHeight="1">
      <c r="C44" s="1674" t="s">
        <v>1425</v>
      </c>
      <c r="D44" s="1669"/>
      <c r="E44" s="572"/>
      <c r="F44" s="1670">
        <v>3.2</v>
      </c>
      <c r="I44" s="572" t="s">
        <v>1004</v>
      </c>
      <c r="J44" s="1674"/>
      <c r="K44" s="572"/>
      <c r="L44" s="572"/>
      <c r="M44" s="572"/>
      <c r="N44" s="572"/>
      <c r="T44" s="675"/>
    </row>
    <row r="45" spans="1:20" ht="12.75" customHeight="1">
      <c r="C45" s="1674" t="s">
        <v>1615</v>
      </c>
      <c r="F45" s="1670">
        <v>2.1</v>
      </c>
      <c r="G45" s="1533"/>
      <c r="I45" s="572" t="s">
        <v>1432</v>
      </c>
      <c r="J45" s="1674"/>
      <c r="K45" s="572"/>
      <c r="L45" s="572"/>
      <c r="M45" s="572"/>
      <c r="N45" s="572"/>
      <c r="T45" s="675"/>
    </row>
    <row r="46" spans="1:20" ht="12.75" customHeight="1">
      <c r="C46" s="1674" t="s">
        <v>946</v>
      </c>
      <c r="D46" s="1669"/>
      <c r="E46" s="572"/>
      <c r="F46" s="1670">
        <v>1130.2</v>
      </c>
      <c r="G46" s="1533"/>
      <c r="I46" s="572" t="s">
        <v>1601</v>
      </c>
      <c r="J46" s="1674"/>
      <c r="K46" s="572"/>
      <c r="L46" s="572"/>
      <c r="M46" s="572"/>
      <c r="N46" s="572"/>
      <c r="T46" s="675"/>
    </row>
    <row r="47" spans="1:20" ht="13.5" customHeight="1">
      <c r="G47" s="1533"/>
      <c r="I47" s="681"/>
      <c r="J47" s="681"/>
      <c r="K47" s="1667"/>
      <c r="L47" s="1667"/>
      <c r="M47" s="1667"/>
      <c r="N47" s="1667"/>
    </row>
    <row r="48" spans="1:20" ht="13.5" customHeight="1">
      <c r="A48" s="1668"/>
      <c r="B48" s="1674" t="s">
        <v>810</v>
      </c>
      <c r="C48" s="1674"/>
      <c r="D48" s="1669"/>
      <c r="E48" s="572"/>
      <c r="F48" s="1670"/>
      <c r="G48" s="1533"/>
      <c r="I48" s="1697" t="s">
        <v>1602</v>
      </c>
      <c r="J48" s="1674"/>
      <c r="K48" s="572"/>
      <c r="L48" s="572"/>
      <c r="M48" s="572"/>
      <c r="N48" s="572"/>
    </row>
    <row r="49" spans="1:21" ht="12.75" customHeight="1">
      <c r="A49" s="572"/>
      <c r="B49" s="572" t="s">
        <v>1618</v>
      </c>
      <c r="C49" s="1674"/>
      <c r="D49" s="1669"/>
      <c r="E49" s="572"/>
      <c r="F49" s="1670"/>
      <c r="G49" s="1533"/>
      <c r="I49" s="1601" t="s">
        <v>1603</v>
      </c>
      <c r="J49" s="1674"/>
      <c r="K49" s="572"/>
      <c r="L49" s="572"/>
      <c r="M49" s="572"/>
      <c r="N49" s="572"/>
    </row>
    <row r="50" spans="1:21" ht="12.75" customHeight="1">
      <c r="B50" s="572" t="s">
        <v>1596</v>
      </c>
      <c r="C50" s="1674"/>
      <c r="D50" s="1669"/>
      <c r="E50" s="572"/>
      <c r="F50" s="1670"/>
      <c r="G50" s="1533"/>
    </row>
    <row r="51" spans="1:21" ht="13.35" customHeight="1">
      <c r="A51" s="572"/>
      <c r="B51" s="572"/>
    </row>
    <row r="52" spans="1:21" ht="12.75" customHeight="1">
      <c r="B52" s="1601" t="s">
        <v>989</v>
      </c>
      <c r="C52" s="1674"/>
      <c r="D52" s="1669"/>
      <c r="E52" s="572"/>
      <c r="F52" s="1670"/>
      <c r="H52" s="1678" t="s">
        <v>809</v>
      </c>
      <c r="I52" s="572" t="s">
        <v>1334</v>
      </c>
      <c r="J52" s="559"/>
      <c r="O52" s="1672"/>
      <c r="S52" s="557"/>
      <c r="T52" s="675"/>
      <c r="U52" s="675"/>
    </row>
    <row r="53" spans="1:21" ht="12.75" customHeight="1">
      <c r="A53" s="1668"/>
      <c r="B53" s="1601" t="s">
        <v>990</v>
      </c>
      <c r="C53" s="1532"/>
      <c r="D53" s="1533"/>
      <c r="F53" s="1533"/>
      <c r="H53" s="572"/>
      <c r="I53" s="572" t="s">
        <v>1337</v>
      </c>
      <c r="J53" s="559"/>
      <c r="O53" s="1672"/>
      <c r="S53" s="569"/>
      <c r="T53" s="675"/>
      <c r="U53" s="675"/>
    </row>
    <row r="54" spans="1:21" ht="12.75" customHeight="1">
      <c r="B54" s="1601" t="s">
        <v>1585</v>
      </c>
      <c r="C54" s="1532"/>
      <c r="D54" s="1533"/>
      <c r="F54" s="1533"/>
      <c r="H54" s="1680" t="s">
        <v>15</v>
      </c>
      <c r="I54" s="1601" t="s">
        <v>1335</v>
      </c>
      <c r="J54" s="559"/>
      <c r="O54" s="1672"/>
      <c r="P54" s="1533"/>
      <c r="S54" s="569"/>
      <c r="T54" s="675"/>
      <c r="U54" s="675"/>
    </row>
    <row r="55" spans="1:21" ht="12.75" customHeight="1">
      <c r="B55" s="2169" t="s">
        <v>1586</v>
      </c>
      <c r="C55" s="1532"/>
      <c r="D55" s="1533"/>
      <c r="F55" s="1533"/>
      <c r="H55" s="572"/>
      <c r="I55" s="1601" t="s">
        <v>1336</v>
      </c>
      <c r="J55" s="1674"/>
      <c r="L55" s="1666"/>
      <c r="M55" s="1667"/>
      <c r="O55" s="1672"/>
      <c r="S55" s="570"/>
      <c r="T55" s="675"/>
      <c r="U55" s="675"/>
    </row>
    <row r="56" spans="1:21" ht="12.75" customHeight="1">
      <c r="H56" s="1673"/>
      <c r="I56" s="1601" t="s">
        <v>1462</v>
      </c>
      <c r="J56" s="1674"/>
      <c r="L56" s="1666"/>
      <c r="M56" s="1667"/>
      <c r="O56" s="1672"/>
      <c r="R56" s="561"/>
    </row>
    <row r="57" spans="1:21" ht="12.75" customHeight="1">
      <c r="R57" s="561"/>
    </row>
    <row r="58" spans="1:21" ht="12.75" customHeight="1">
      <c r="J58" s="559"/>
      <c r="O58" s="1672"/>
      <c r="R58" s="1537"/>
    </row>
    <row r="59" spans="1:21" ht="12.75" customHeight="1">
      <c r="R59" s="1537"/>
    </row>
    <row r="60" spans="1:21" ht="12.75" customHeight="1">
      <c r="R60" s="1537"/>
    </row>
    <row r="61" spans="1:21" ht="12.75" customHeight="1">
      <c r="R61" s="1537"/>
    </row>
    <row r="62" spans="1:21" ht="12.75" customHeight="1">
      <c r="H62" s="1672"/>
      <c r="R62" s="1537"/>
    </row>
    <row r="63" spans="1:21" ht="12.75" customHeight="1">
      <c r="A63" s="1678" t="s">
        <v>1333</v>
      </c>
      <c r="B63" s="3704" t="s">
        <v>1414</v>
      </c>
      <c r="C63" s="2171"/>
      <c r="D63" s="1533"/>
      <c r="F63" s="1533"/>
      <c r="G63" s="1533"/>
      <c r="H63" s="1672"/>
      <c r="I63" s="1602"/>
      <c r="J63" s="1602"/>
      <c r="K63" s="1602"/>
      <c r="L63" s="1602"/>
      <c r="M63" s="1602"/>
      <c r="N63" s="1602"/>
      <c r="R63" s="1537"/>
    </row>
    <row r="64" spans="1:21" ht="12.75" customHeight="1">
      <c r="A64" s="572"/>
      <c r="B64" s="1600" t="s">
        <v>1430</v>
      </c>
      <c r="C64" s="2171"/>
      <c r="D64" s="1533"/>
      <c r="F64" s="1533"/>
      <c r="G64" s="1533"/>
      <c r="H64" s="1672"/>
      <c r="J64" s="1600"/>
      <c r="K64" s="1600"/>
      <c r="L64" s="1600"/>
      <c r="M64" s="1600"/>
      <c r="N64" s="1600"/>
      <c r="O64" s="1600"/>
      <c r="R64" s="1537"/>
    </row>
    <row r="65" spans="1:19" ht="12.75" customHeight="1">
      <c r="A65" s="1680" t="s">
        <v>15</v>
      </c>
      <c r="B65" s="1600" t="s">
        <v>1431</v>
      </c>
      <c r="C65" s="2171"/>
      <c r="D65" s="1533"/>
      <c r="F65" s="1533"/>
      <c r="G65" s="1533"/>
      <c r="H65" s="1672"/>
      <c r="J65" s="1600"/>
      <c r="K65" s="1600"/>
      <c r="L65" s="1600"/>
      <c r="M65" s="1600"/>
      <c r="N65" s="1600"/>
      <c r="O65" s="1600"/>
      <c r="R65" s="1537"/>
    </row>
    <row r="66" spans="1:19" ht="12.75" customHeight="1">
      <c r="A66" s="572"/>
      <c r="B66" s="3727" t="s">
        <v>1441</v>
      </c>
      <c r="C66" s="2171"/>
      <c r="D66" s="1533"/>
      <c r="F66" s="1533"/>
      <c r="G66" s="1533"/>
      <c r="H66" s="1602"/>
      <c r="J66" s="1600"/>
      <c r="K66" s="1600"/>
      <c r="L66" s="1600"/>
      <c r="M66" s="1600"/>
      <c r="N66" s="1600"/>
      <c r="O66" s="1600"/>
      <c r="R66" s="1537"/>
    </row>
    <row r="67" spans="1:19" ht="12.75" customHeight="1">
      <c r="A67" s="1600"/>
      <c r="B67" s="3727" t="s">
        <v>1456</v>
      </c>
      <c r="C67" s="1532"/>
      <c r="D67" s="1533"/>
      <c r="F67" s="1533"/>
      <c r="G67" s="1533"/>
      <c r="H67" s="1672" t="s">
        <v>15</v>
      </c>
      <c r="J67" s="559"/>
      <c r="K67" s="1600"/>
      <c r="L67" s="1600"/>
      <c r="M67" s="1600"/>
      <c r="N67" s="1600"/>
      <c r="O67" s="1600"/>
      <c r="R67" s="1537"/>
    </row>
    <row r="68" spans="1:19" ht="12.75" customHeight="1">
      <c r="J68" s="559"/>
      <c r="K68" s="1600"/>
      <c r="L68" s="1600"/>
      <c r="M68" s="1600"/>
      <c r="N68" s="1600"/>
      <c r="O68" s="1600"/>
      <c r="R68" s="1537"/>
    </row>
    <row r="69" spans="1:19" ht="12.75" customHeight="1">
      <c r="A69" s="1680" t="s">
        <v>1412</v>
      </c>
      <c r="B69" s="1600" t="s">
        <v>1465</v>
      </c>
      <c r="C69" s="559"/>
      <c r="D69" s="1533"/>
      <c r="F69" s="1533"/>
      <c r="G69" s="1533"/>
      <c r="I69" s="559"/>
      <c r="J69" s="1600"/>
      <c r="K69" s="1600"/>
      <c r="L69" s="1600"/>
      <c r="M69" s="1600"/>
      <c r="N69" s="1600"/>
      <c r="O69" s="1600"/>
      <c r="P69" s="1673"/>
      <c r="R69" s="1537"/>
    </row>
    <row r="70" spans="1:19" ht="12.75" customHeight="1">
      <c r="A70" s="1600"/>
      <c r="B70" s="1600" t="s">
        <v>1466</v>
      </c>
      <c r="C70" s="1674"/>
      <c r="D70" s="1533"/>
      <c r="E70" s="1666"/>
      <c r="F70" s="1667"/>
      <c r="G70" s="1533"/>
      <c r="I70" s="559"/>
      <c r="J70" s="1600"/>
      <c r="K70" s="1600"/>
      <c r="L70" s="1600"/>
      <c r="M70" s="1600"/>
      <c r="N70" s="1600"/>
      <c r="O70" s="1600"/>
      <c r="P70" s="1673"/>
      <c r="R70" s="1537"/>
    </row>
    <row r="71" spans="1:19" ht="12.75" customHeight="1">
      <c r="A71" s="1600"/>
      <c r="B71" s="559" t="s">
        <v>1464</v>
      </c>
      <c r="C71" s="2171"/>
      <c r="D71" s="1533"/>
      <c r="F71" s="1533"/>
      <c r="G71" s="1533"/>
      <c r="H71" s="572"/>
      <c r="I71" s="1600"/>
      <c r="J71" s="559"/>
      <c r="K71" s="1600"/>
      <c r="L71" s="1600"/>
      <c r="M71" s="1600"/>
      <c r="N71" s="1600"/>
      <c r="O71" s="1600"/>
      <c r="P71" s="1673"/>
      <c r="R71" s="1537"/>
    </row>
    <row r="72" spans="1:19" ht="12.75" customHeight="1">
      <c r="A72" s="1600"/>
      <c r="B72" s="559" t="s">
        <v>1467</v>
      </c>
      <c r="C72" s="2171"/>
      <c r="D72" s="1533"/>
      <c r="F72" s="1533"/>
      <c r="G72" s="1533"/>
      <c r="H72" s="1670"/>
      <c r="I72" s="1600"/>
      <c r="J72" s="559"/>
      <c r="K72" s="1600"/>
      <c r="L72" s="1600"/>
      <c r="M72" s="1600"/>
      <c r="N72" s="1600"/>
      <c r="O72" s="1600"/>
      <c r="R72" s="1537"/>
    </row>
    <row r="73" spans="1:19" ht="12.75" customHeight="1">
      <c r="A73" s="1600"/>
      <c r="B73" s="559" t="s">
        <v>1468</v>
      </c>
      <c r="C73" s="1532"/>
      <c r="D73" s="1533"/>
      <c r="E73" s="1666"/>
      <c r="F73" s="1667"/>
      <c r="G73" s="1533"/>
      <c r="H73" s="1670"/>
      <c r="I73" s="1600"/>
      <c r="J73" s="1600"/>
      <c r="K73" s="1600"/>
      <c r="L73" s="1600"/>
      <c r="M73" s="1600"/>
      <c r="N73" s="1600"/>
      <c r="O73" s="1600"/>
      <c r="R73" s="1537"/>
    </row>
    <row r="74" spans="1:19" s="567" customFormat="1" ht="12.75" customHeight="1">
      <c r="A74" s="1534"/>
      <c r="B74" s="1535"/>
      <c r="C74" s="1535"/>
      <c r="D74" s="1536"/>
      <c r="E74" s="1533"/>
      <c r="F74" s="1534"/>
      <c r="G74" s="1534"/>
      <c r="H74" s="1670"/>
      <c r="I74" s="1600"/>
      <c r="J74" s="1674"/>
      <c r="K74" s="1601"/>
      <c r="L74" s="572"/>
      <c r="M74" s="572"/>
      <c r="N74" s="572"/>
      <c r="O74" s="572"/>
      <c r="P74" s="1602"/>
      <c r="R74" s="1537"/>
    </row>
    <row r="75" spans="1:19" s="567" customFormat="1" ht="12.75" customHeight="1">
      <c r="A75" s="565" t="s">
        <v>1461</v>
      </c>
      <c r="B75" s="3740" t="s">
        <v>1463</v>
      </c>
      <c r="C75" s="1532"/>
      <c r="D75" s="1533"/>
      <c r="E75" s="1533"/>
      <c r="F75" s="1533"/>
      <c r="G75" s="1533"/>
      <c r="H75" s="572"/>
      <c r="I75" s="1600"/>
      <c r="J75" s="1674"/>
      <c r="K75" s="572"/>
      <c r="L75" s="572"/>
      <c r="M75" s="572"/>
      <c r="N75" s="572"/>
      <c r="O75" s="572"/>
      <c r="P75" s="1602"/>
      <c r="R75" s="1537"/>
    </row>
    <row r="76" spans="1:19" ht="12.75" customHeight="1">
      <c r="A76" s="1600"/>
      <c r="B76" s="3739" t="s">
        <v>1460</v>
      </c>
      <c r="C76" s="1532"/>
      <c r="D76" s="1533"/>
      <c r="F76" s="1533"/>
      <c r="G76" s="1533"/>
      <c r="H76" s="572"/>
      <c r="I76" s="572"/>
      <c r="J76" s="1674"/>
      <c r="K76" s="572"/>
      <c r="L76" s="572"/>
      <c r="M76" s="572"/>
      <c r="N76" s="572"/>
      <c r="O76" s="572"/>
      <c r="R76" s="571"/>
    </row>
    <row r="77" spans="1:19" ht="12.75" customHeight="1">
      <c r="A77" s="1600"/>
      <c r="B77" s="3755" t="s">
        <v>1475</v>
      </c>
      <c r="C77" s="1532"/>
      <c r="D77" s="1533"/>
      <c r="F77" s="1533"/>
      <c r="G77" s="1533"/>
      <c r="H77" s="572"/>
      <c r="I77" s="572"/>
      <c r="J77" s="1674"/>
      <c r="K77" s="572"/>
      <c r="L77" s="572"/>
      <c r="M77" s="572"/>
      <c r="N77" s="572"/>
      <c r="O77" s="572"/>
      <c r="R77" s="571"/>
    </row>
    <row r="78" spans="1:19" ht="12.75" customHeight="1">
      <c r="A78" s="1600"/>
      <c r="B78" s="3755" t="s">
        <v>1494</v>
      </c>
      <c r="C78" s="1532"/>
      <c r="D78" s="1533"/>
      <c r="F78" s="1533"/>
      <c r="G78" s="1533"/>
      <c r="H78" s="572"/>
      <c r="I78" s="572"/>
      <c r="J78" s="1674"/>
      <c r="K78" s="572"/>
      <c r="L78" s="572"/>
      <c r="M78" s="572"/>
      <c r="N78" s="572"/>
      <c r="O78" s="572"/>
      <c r="R78" s="571"/>
    </row>
    <row r="79" spans="1:19" ht="12.75" customHeight="1">
      <c r="A79" s="1600"/>
      <c r="B79" s="3755" t="s">
        <v>1493</v>
      </c>
      <c r="C79" s="2171"/>
      <c r="D79" s="1533"/>
      <c r="F79" s="1533"/>
      <c r="G79" s="1533"/>
      <c r="I79" s="1600"/>
      <c r="J79" s="1600"/>
      <c r="K79" s="1600"/>
      <c r="L79" s="1600"/>
      <c r="M79" s="1600"/>
      <c r="N79" s="1600"/>
      <c r="O79" s="1600"/>
      <c r="R79" s="1600"/>
      <c r="S79" s="1600"/>
    </row>
    <row r="80" spans="1:19" ht="12.75" customHeight="1">
      <c r="I80" s="1600"/>
      <c r="J80" s="1600"/>
      <c r="K80" s="1600"/>
      <c r="L80" s="1600"/>
      <c r="M80" s="1600"/>
      <c r="N80" s="1600"/>
      <c r="O80" s="1600"/>
      <c r="R80" s="1600"/>
      <c r="S80" s="1600"/>
    </row>
    <row r="81" spans="1:19" ht="12.75" customHeight="1">
      <c r="A81" s="565" t="s">
        <v>1483</v>
      </c>
      <c r="B81" s="558" t="s">
        <v>1481</v>
      </c>
      <c r="I81" s="1600"/>
      <c r="J81" s="1600"/>
      <c r="K81" s="1600"/>
      <c r="L81" s="1600"/>
      <c r="M81" s="1600"/>
      <c r="N81" s="1600"/>
      <c r="O81" s="1600"/>
      <c r="R81" s="1600"/>
      <c r="S81" s="1600"/>
    </row>
    <row r="82" spans="1:19" ht="12.75" customHeight="1">
      <c r="B82" s="558" t="s">
        <v>1482</v>
      </c>
      <c r="I82" s="1600"/>
      <c r="J82" s="1600"/>
      <c r="K82" s="1600"/>
      <c r="L82" s="1600"/>
      <c r="M82" s="1600"/>
      <c r="N82" s="1600"/>
      <c r="O82" s="1600"/>
      <c r="R82" s="1600"/>
      <c r="S82" s="1600"/>
    </row>
    <row r="83" spans="1:19" ht="12.75" customHeight="1">
      <c r="B83" s="558" t="s">
        <v>1584</v>
      </c>
      <c r="I83" s="1600"/>
      <c r="J83" s="1600"/>
      <c r="K83" s="1600"/>
      <c r="L83" s="1600"/>
      <c r="M83" s="1600"/>
      <c r="N83" s="1600"/>
      <c r="O83" s="1600"/>
      <c r="R83" s="1600"/>
      <c r="S83" s="1600"/>
    </row>
    <row r="84" spans="1:19" ht="12.75" customHeight="1">
      <c r="B84" s="558" t="s">
        <v>1583</v>
      </c>
      <c r="I84" s="1600"/>
      <c r="J84" s="1600"/>
      <c r="K84" s="1600"/>
      <c r="L84" s="1600"/>
      <c r="M84" s="1600"/>
      <c r="N84" s="1600"/>
      <c r="O84" s="1600"/>
      <c r="R84" s="1600"/>
    </row>
    <row r="85" spans="1:19" ht="12.75" customHeight="1">
      <c r="C85" s="1601"/>
      <c r="D85" s="1601"/>
      <c r="E85" s="574"/>
      <c r="F85" s="574"/>
      <c r="G85" s="573"/>
      <c r="I85" s="1600"/>
      <c r="J85" s="1600"/>
      <c r="K85" s="1600"/>
      <c r="L85" s="1600"/>
      <c r="M85" s="1600"/>
      <c r="N85" s="1600"/>
      <c r="O85" s="1600"/>
      <c r="R85" s="1600"/>
      <c r="S85" s="1600"/>
    </row>
    <row r="86" spans="1:19" ht="12.75" customHeight="1">
      <c r="A86" s="565"/>
      <c r="B86" s="578"/>
      <c r="C86" s="558"/>
      <c r="D86" s="558"/>
      <c r="E86" s="1600"/>
      <c r="F86" s="1600"/>
      <c r="H86" s="697"/>
      <c r="L86" s="557"/>
      <c r="M86" s="557"/>
      <c r="N86" s="557"/>
      <c r="O86" s="557"/>
      <c r="R86" s="1600"/>
      <c r="S86" s="1600"/>
    </row>
    <row r="87" spans="1:19" ht="12.75" customHeight="1">
      <c r="A87" s="1602"/>
      <c r="B87" s="1600"/>
      <c r="G87" s="579"/>
      <c r="H87" s="697"/>
      <c r="L87" s="557"/>
      <c r="M87" s="557"/>
      <c r="N87" s="557"/>
      <c r="O87" s="557"/>
      <c r="R87" s="1600"/>
      <c r="S87" s="1600"/>
    </row>
    <row r="88" spans="1:19" ht="12.75" customHeight="1">
      <c r="A88" s="555"/>
      <c r="B88" s="559"/>
      <c r="C88" s="559"/>
      <c r="E88" s="579"/>
      <c r="F88" s="676"/>
      <c r="G88" s="579"/>
      <c r="H88" s="697"/>
      <c r="M88" s="1602"/>
      <c r="N88" s="1602"/>
      <c r="R88" s="1600"/>
      <c r="S88" s="1600"/>
    </row>
    <row r="89" spans="1:19" ht="12.75" customHeight="1">
      <c r="A89" s="555"/>
      <c r="B89" s="1369"/>
      <c r="C89" s="1369"/>
      <c r="D89" s="1383"/>
      <c r="E89" s="579"/>
      <c r="F89" s="676"/>
      <c r="G89" s="1383"/>
      <c r="H89" s="697"/>
      <c r="I89" s="559"/>
      <c r="M89" s="575"/>
      <c r="N89" s="576"/>
      <c r="R89" s="1600"/>
      <c r="S89" s="1600"/>
    </row>
    <row r="90" spans="1:19" ht="12.75" customHeight="1">
      <c r="A90" s="555"/>
      <c r="B90" s="1369"/>
      <c r="C90" s="1369"/>
      <c r="D90" s="1383"/>
      <c r="E90" s="1384"/>
      <c r="F90" s="1384"/>
      <c r="G90" s="1371"/>
      <c r="H90" s="697"/>
      <c r="I90" s="559"/>
      <c r="M90" s="575"/>
      <c r="N90" s="576"/>
      <c r="P90" s="576"/>
      <c r="R90" s="1600"/>
      <c r="S90" s="586"/>
    </row>
    <row r="91" spans="1:19" ht="12.75" customHeight="1">
      <c r="A91" s="555"/>
      <c r="B91" s="1370"/>
      <c r="C91" s="1370"/>
      <c r="D91" s="1371"/>
      <c r="E91" s="1371"/>
      <c r="F91" s="1371"/>
      <c r="G91" s="1373"/>
      <c r="H91" s="582"/>
      <c r="I91" s="1602"/>
      <c r="M91" s="575"/>
      <c r="N91" s="576"/>
      <c r="P91" s="562"/>
      <c r="R91" s="586"/>
      <c r="S91" s="586"/>
    </row>
    <row r="92" spans="1:19" ht="12.75" customHeight="1">
      <c r="A92" s="555"/>
      <c r="B92" s="1369"/>
      <c r="C92" s="1369"/>
      <c r="D92" s="1370"/>
      <c r="E92" s="1372"/>
      <c r="F92" s="1370"/>
      <c r="G92" s="1375"/>
      <c r="H92" s="582"/>
      <c r="I92" s="1602"/>
      <c r="M92" s="575"/>
      <c r="N92" s="576"/>
      <c r="P92" s="562"/>
      <c r="R92" s="586"/>
      <c r="S92" s="1600"/>
    </row>
    <row r="93" spans="1:19" ht="12.75" customHeight="1">
      <c r="A93" s="555"/>
      <c r="B93" s="1369"/>
      <c r="C93" s="1369"/>
      <c r="D93" s="1370"/>
      <c r="E93" s="1374"/>
      <c r="F93" s="1370"/>
      <c r="G93" s="1375"/>
      <c r="H93" s="697"/>
      <c r="I93" s="1602"/>
      <c r="M93" s="575"/>
      <c r="N93" s="576"/>
      <c r="P93" s="562"/>
      <c r="R93" s="586"/>
    </row>
    <row r="94" spans="1:19" ht="12.75" customHeight="1">
      <c r="A94" s="581"/>
      <c r="B94" s="1369"/>
      <c r="C94" s="1369"/>
      <c r="D94" s="1370"/>
      <c r="E94" s="1374"/>
      <c r="F94" s="1370"/>
      <c r="G94" s="1375"/>
      <c r="H94" s="567"/>
      <c r="I94" s="1602"/>
      <c r="M94" s="575"/>
      <c r="N94" s="576"/>
      <c r="P94" s="562"/>
      <c r="R94" s="586"/>
    </row>
    <row r="95" spans="1:19" ht="12.75" customHeight="1">
      <c r="A95" s="1602"/>
      <c r="B95" s="1369"/>
      <c r="C95" s="1369"/>
      <c r="D95" s="1370"/>
      <c r="E95" s="1376"/>
      <c r="F95" s="1370"/>
      <c r="G95" s="1379"/>
      <c r="H95" s="567"/>
      <c r="I95" s="1602"/>
      <c r="M95" s="575"/>
      <c r="N95" s="576"/>
      <c r="P95" s="562"/>
      <c r="R95" s="586"/>
    </row>
    <row r="96" spans="1:19" ht="12.75" customHeight="1">
      <c r="A96" s="1602"/>
      <c r="B96" s="1369"/>
      <c r="C96" s="1369"/>
      <c r="D96" s="1370"/>
      <c r="E96" s="1377"/>
      <c r="F96" s="1378"/>
      <c r="G96" s="1379"/>
      <c r="H96" s="567"/>
      <c r="I96" s="1602"/>
      <c r="M96" s="575"/>
      <c r="N96" s="576"/>
      <c r="P96" s="562"/>
      <c r="R96" s="1600"/>
    </row>
    <row r="97" spans="1:18" ht="12.75" customHeight="1">
      <c r="A97" s="1602"/>
      <c r="B97" s="1369"/>
      <c r="C97" s="1369"/>
      <c r="D97" s="1370"/>
      <c r="E97" s="1379"/>
      <c r="F97" s="1378"/>
      <c r="G97" s="1380"/>
      <c r="I97" s="1602"/>
      <c r="M97" s="575"/>
      <c r="N97" s="576"/>
      <c r="P97" s="562"/>
      <c r="R97" s="1600"/>
    </row>
    <row r="98" spans="1:18" ht="12.75" customHeight="1">
      <c r="A98" s="1535"/>
      <c r="B98" s="1369"/>
      <c r="C98" s="1369"/>
      <c r="D98" s="1370"/>
      <c r="E98" s="1372"/>
      <c r="F98" s="1378"/>
      <c r="G98" s="584"/>
      <c r="I98" s="1602"/>
      <c r="M98" s="575"/>
      <c r="N98" s="576"/>
      <c r="P98" s="562"/>
      <c r="R98" s="1600"/>
    </row>
    <row r="99" spans="1:18" ht="12.75" customHeight="1">
      <c r="B99" s="1601"/>
      <c r="C99" s="1601"/>
      <c r="D99" s="1601"/>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0"/>
      <c r="L103" s="568"/>
      <c r="M103" s="577"/>
      <c r="N103" s="577"/>
      <c r="P103" s="562"/>
    </row>
    <row r="104" spans="1:18" ht="12.75" customHeight="1">
      <c r="I104" s="559"/>
      <c r="J104" s="559"/>
      <c r="K104" s="1600"/>
      <c r="L104" s="568"/>
      <c r="M104" s="577"/>
      <c r="N104" s="577"/>
      <c r="P104" s="562"/>
    </row>
    <row r="105" spans="1:18">
      <c r="G105" s="1600"/>
      <c r="I105" s="559"/>
      <c r="J105" s="559"/>
      <c r="K105" s="1600"/>
      <c r="L105" s="568"/>
      <c r="M105" s="577"/>
      <c r="N105" s="577"/>
      <c r="P105" s="562"/>
    </row>
    <row r="106" spans="1:18">
      <c r="C106" s="1532"/>
      <c r="D106" s="558"/>
      <c r="E106" s="1600"/>
      <c r="F106" s="1600"/>
      <c r="G106" s="1600"/>
      <c r="I106" s="559"/>
      <c r="J106" s="559"/>
      <c r="K106" s="1600"/>
      <c r="L106" s="568"/>
      <c r="M106" s="577"/>
      <c r="N106" s="577"/>
      <c r="P106" s="562"/>
    </row>
    <row r="107" spans="1:18">
      <c r="C107" s="681"/>
      <c r="D107" s="558"/>
      <c r="E107" s="1600"/>
      <c r="F107" s="1600"/>
      <c r="G107" s="1600"/>
      <c r="I107" s="559"/>
      <c r="J107" s="559"/>
      <c r="K107" s="1600"/>
      <c r="L107" s="568"/>
      <c r="M107" s="577"/>
      <c r="N107" s="577"/>
      <c r="P107" s="562"/>
    </row>
    <row r="108" spans="1:18">
      <c r="B108" s="587"/>
      <c r="C108" s="558"/>
      <c r="D108" s="558"/>
      <c r="E108" s="1600"/>
      <c r="F108" s="1600"/>
      <c r="G108" s="1600"/>
      <c r="I108" s="559"/>
      <c r="J108" s="559"/>
      <c r="K108" s="1600"/>
      <c r="L108" s="568"/>
      <c r="M108" s="577"/>
      <c r="N108" s="577"/>
      <c r="P108" s="562"/>
    </row>
    <row r="109" spans="1:18">
      <c r="A109" s="565"/>
      <c r="B109" s="587"/>
      <c r="C109" s="558"/>
      <c r="D109" s="558"/>
      <c r="E109" s="1600"/>
      <c r="F109" s="1600"/>
      <c r="G109" s="1600"/>
      <c r="I109" s="559"/>
      <c r="J109" s="559"/>
      <c r="K109" s="1600"/>
      <c r="L109" s="568"/>
      <c r="M109" s="577"/>
      <c r="N109" s="577"/>
    </row>
    <row r="110" spans="1:18">
      <c r="A110" s="1600"/>
      <c r="B110" s="587"/>
      <c r="C110" s="558"/>
      <c r="D110" s="558"/>
      <c r="E110" s="1600"/>
      <c r="F110" s="1600"/>
      <c r="I110" s="559"/>
      <c r="J110" s="559"/>
      <c r="K110" s="1600"/>
      <c r="L110" s="568"/>
      <c r="M110" s="577"/>
      <c r="N110" s="577"/>
    </row>
    <row r="111" spans="1:18">
      <c r="A111" s="1600"/>
      <c r="I111" s="559"/>
      <c r="J111" s="559"/>
      <c r="K111" s="1600"/>
      <c r="L111" s="568"/>
      <c r="M111" s="577"/>
      <c r="N111" s="577"/>
    </row>
    <row r="112" spans="1:18">
      <c r="I112" s="559"/>
      <c r="J112" s="559"/>
      <c r="K112" s="1600"/>
      <c r="L112" s="568"/>
      <c r="M112" s="577"/>
      <c r="N112" s="577"/>
      <c r="Q112" s="1600"/>
    </row>
    <row r="113" spans="1:17">
      <c r="A113" s="1600"/>
      <c r="I113" s="559"/>
      <c r="J113" s="559"/>
      <c r="K113" s="1600"/>
      <c r="L113" s="568"/>
      <c r="M113" s="577"/>
      <c r="N113" s="577"/>
      <c r="Q113" s="1600"/>
    </row>
    <row r="114" spans="1:17">
      <c r="A114" s="1600"/>
      <c r="G114" s="1602"/>
      <c r="I114" s="559"/>
      <c r="J114" s="559"/>
      <c r="K114" s="1600"/>
      <c r="L114" s="568"/>
      <c r="M114" s="577"/>
      <c r="N114" s="577"/>
      <c r="Q114" s="1600"/>
    </row>
    <row r="115" spans="1:17">
      <c r="B115" s="1602"/>
      <c r="C115" s="1602"/>
      <c r="D115" s="1602"/>
      <c r="E115" s="1602"/>
      <c r="F115" s="1602"/>
      <c r="G115" s="1602"/>
      <c r="I115" s="559"/>
      <c r="J115" s="559"/>
      <c r="K115" s="1600"/>
      <c r="L115" s="568"/>
      <c r="M115" s="577"/>
      <c r="N115" s="577"/>
      <c r="Q115" s="1600"/>
    </row>
    <row r="116" spans="1:17">
      <c r="B116" s="1602"/>
      <c r="C116" s="1602"/>
      <c r="D116" s="1602"/>
      <c r="E116" s="1602"/>
      <c r="F116" s="1602"/>
      <c r="G116" s="1602"/>
      <c r="I116" s="559"/>
      <c r="J116" s="559"/>
      <c r="K116" s="1600"/>
      <c r="L116" s="568"/>
      <c r="M116" s="577"/>
      <c r="N116" s="577"/>
      <c r="Q116" s="1600"/>
    </row>
    <row r="117" spans="1:17">
      <c r="B117" s="1602"/>
      <c r="C117" s="1602"/>
      <c r="D117" s="1602"/>
      <c r="E117" s="1602"/>
      <c r="F117" s="1602"/>
      <c r="G117" s="1602"/>
      <c r="I117" s="559"/>
      <c r="J117" s="559"/>
      <c r="K117" s="1600"/>
      <c r="L117" s="568"/>
      <c r="M117" s="577"/>
      <c r="N117" s="577"/>
      <c r="Q117" s="1600"/>
    </row>
    <row r="118" spans="1:17">
      <c r="B118" s="1602"/>
      <c r="C118" s="1602"/>
      <c r="D118" s="1602"/>
      <c r="E118" s="1602"/>
      <c r="F118" s="1602"/>
      <c r="G118" s="1602"/>
      <c r="I118" s="559"/>
      <c r="J118" s="559"/>
      <c r="K118" s="1600"/>
      <c r="L118" s="568"/>
      <c r="M118" s="577"/>
      <c r="N118" s="577"/>
      <c r="Q118" s="1600"/>
    </row>
    <row r="119" spans="1:17">
      <c r="B119" s="1602"/>
      <c r="C119" s="1602"/>
      <c r="D119" s="1602"/>
      <c r="E119" s="1602"/>
      <c r="F119" s="1602"/>
      <c r="G119" s="1602"/>
      <c r="I119" s="559"/>
      <c r="J119" s="559"/>
      <c r="K119" s="1600"/>
      <c r="L119" s="568"/>
      <c r="M119" s="577"/>
      <c r="N119" s="577"/>
      <c r="P119" s="562"/>
      <c r="Q119" s="1600"/>
    </row>
    <row r="120" spans="1:17">
      <c r="B120" s="1602"/>
      <c r="C120" s="1602"/>
      <c r="D120" s="1602"/>
      <c r="E120" s="1602"/>
      <c r="F120" s="1602"/>
      <c r="G120" s="1602"/>
      <c r="I120" s="559"/>
      <c r="J120" s="559"/>
      <c r="K120" s="1600"/>
      <c r="L120" s="568"/>
      <c r="M120" s="577"/>
      <c r="N120" s="577"/>
      <c r="P120" s="562"/>
      <c r="Q120" s="1600"/>
    </row>
    <row r="121" spans="1:17">
      <c r="A121" s="1602"/>
      <c r="B121" s="1602"/>
      <c r="C121" s="1602"/>
      <c r="D121" s="1602"/>
      <c r="E121" s="1602"/>
      <c r="F121" s="1602"/>
      <c r="G121" s="1602"/>
      <c r="I121" s="559"/>
      <c r="J121" s="559"/>
      <c r="K121" s="1600"/>
      <c r="L121" s="568"/>
      <c r="M121" s="577"/>
      <c r="N121" s="577"/>
      <c r="P121" s="562"/>
      <c r="Q121" s="1600"/>
    </row>
    <row r="122" spans="1:17">
      <c r="A122" s="1602"/>
      <c r="B122" s="1602"/>
      <c r="C122" s="1602"/>
      <c r="D122" s="1602"/>
      <c r="E122" s="1602"/>
      <c r="F122" s="1602"/>
      <c r="G122" s="1602"/>
      <c r="J122" s="1535"/>
      <c r="K122" s="1600"/>
      <c r="L122" s="568"/>
      <c r="M122" s="577"/>
      <c r="N122" s="577"/>
      <c r="P122" s="562"/>
      <c r="Q122" s="1600"/>
    </row>
    <row r="123" spans="1:17">
      <c r="A123" s="1602"/>
      <c r="B123" s="1602"/>
      <c r="C123" s="1602"/>
      <c r="D123" s="1602"/>
      <c r="E123" s="1602"/>
      <c r="F123" s="1602"/>
      <c r="G123" s="1602"/>
      <c r="J123" s="1535"/>
      <c r="K123" s="1600"/>
      <c r="L123" s="568"/>
      <c r="M123" s="577"/>
      <c r="N123" s="577"/>
      <c r="P123" s="1600"/>
      <c r="Q123" s="1600"/>
    </row>
    <row r="124" spans="1:17">
      <c r="A124" s="1602"/>
      <c r="B124" s="1602"/>
      <c r="C124" s="1602"/>
      <c r="D124" s="1602"/>
      <c r="E124" s="1602"/>
      <c r="F124" s="1602"/>
      <c r="G124" s="1602"/>
      <c r="H124" s="582"/>
      <c r="P124" s="1600"/>
      <c r="Q124" s="1600"/>
    </row>
    <row r="125" spans="1:17">
      <c r="A125" s="1602"/>
      <c r="B125" s="1602"/>
      <c r="C125" s="1602"/>
      <c r="D125" s="1602"/>
      <c r="E125" s="1602"/>
      <c r="F125" s="1602"/>
      <c r="G125" s="1602"/>
      <c r="H125" s="582"/>
      <c r="P125" s="1600"/>
      <c r="Q125" s="1600"/>
    </row>
    <row r="126" spans="1:17">
      <c r="A126" s="1602"/>
      <c r="B126" s="1602"/>
      <c r="C126" s="1602"/>
      <c r="D126" s="1602"/>
      <c r="E126" s="1602"/>
      <c r="F126" s="1602"/>
      <c r="G126" s="1602"/>
      <c r="H126" s="582"/>
      <c r="P126" s="1600"/>
      <c r="Q126" s="1600"/>
    </row>
    <row r="127" spans="1:17">
      <c r="A127" s="1602"/>
      <c r="B127" s="1602"/>
      <c r="C127" s="1602"/>
      <c r="D127" s="1602"/>
      <c r="E127" s="1602"/>
      <c r="F127" s="1602"/>
      <c r="G127" s="1602"/>
      <c r="H127" s="582"/>
      <c r="P127" s="1600"/>
      <c r="Q127" s="1600"/>
    </row>
    <row r="128" spans="1:17">
      <c r="A128" s="1602"/>
      <c r="B128" s="1602"/>
      <c r="C128" s="1602"/>
      <c r="D128" s="1602"/>
      <c r="E128" s="1602"/>
      <c r="F128" s="1602"/>
      <c r="G128" s="1602"/>
      <c r="I128" s="562"/>
      <c r="J128" s="559"/>
      <c r="K128" s="1600"/>
      <c r="L128" s="1600"/>
      <c r="M128" s="1600"/>
      <c r="N128" s="1600"/>
      <c r="O128" s="1600"/>
      <c r="P128" s="1600"/>
      <c r="Q128" s="1600"/>
    </row>
    <row r="129" spans="1:17">
      <c r="A129" s="1602"/>
      <c r="B129" s="1602"/>
      <c r="C129" s="1602"/>
      <c r="D129" s="1602"/>
      <c r="E129" s="1602"/>
      <c r="F129" s="1602"/>
      <c r="G129" s="1602"/>
      <c r="I129" s="562"/>
      <c r="J129" s="559"/>
      <c r="K129" s="1600"/>
      <c r="L129" s="1600"/>
      <c r="M129" s="1600"/>
      <c r="N129" s="1600"/>
      <c r="O129" s="1600"/>
      <c r="P129" s="1600"/>
      <c r="Q129" s="1600"/>
    </row>
    <row r="130" spans="1:17">
      <c r="A130" s="1602"/>
      <c r="B130" s="1602"/>
      <c r="C130" s="1602"/>
      <c r="D130" s="1602"/>
      <c r="E130" s="1602"/>
      <c r="F130" s="1602"/>
      <c r="I130" s="562"/>
      <c r="J130" s="559"/>
      <c r="K130" s="1600"/>
      <c r="L130" s="1600"/>
      <c r="M130" s="1600"/>
      <c r="N130" s="1600"/>
      <c r="O130" s="1600"/>
      <c r="P130" s="1600"/>
      <c r="Q130" s="1600"/>
    </row>
    <row r="131" spans="1:17">
      <c r="A131" s="1602"/>
      <c r="I131" s="562"/>
      <c r="J131" s="559"/>
      <c r="K131" s="1600"/>
      <c r="L131" s="1600"/>
      <c r="M131" s="1600"/>
      <c r="N131" s="1600"/>
      <c r="O131" s="1600"/>
      <c r="Q131" s="1600"/>
    </row>
    <row r="132" spans="1:17">
      <c r="A132" s="1602"/>
      <c r="I132" s="562"/>
      <c r="J132" s="559"/>
      <c r="K132" s="1600"/>
      <c r="L132" s="1600"/>
      <c r="M132" s="1600"/>
      <c r="N132" s="1600"/>
      <c r="O132" s="1600"/>
      <c r="P132" s="1600"/>
      <c r="Q132" s="1600"/>
    </row>
    <row r="133" spans="1:17">
      <c r="A133" s="1602"/>
      <c r="G133" s="1602"/>
      <c r="I133" s="562"/>
      <c r="J133" s="559"/>
      <c r="K133" s="1600"/>
      <c r="L133" s="1600"/>
      <c r="M133" s="1600"/>
      <c r="N133" s="1600"/>
      <c r="O133" s="1600"/>
      <c r="P133" s="580"/>
      <c r="Q133" s="1600"/>
    </row>
    <row r="134" spans="1:17">
      <c r="B134" s="1602"/>
      <c r="C134" s="1602"/>
      <c r="D134" s="1602"/>
      <c r="E134" s="1602"/>
      <c r="F134" s="1602"/>
      <c r="G134" s="1602"/>
      <c r="I134" s="1602"/>
      <c r="J134" s="559"/>
      <c r="K134" s="1600"/>
      <c r="L134" s="1600"/>
      <c r="M134" s="1600"/>
      <c r="N134" s="1600"/>
      <c r="O134" s="1600"/>
      <c r="P134" s="1600"/>
      <c r="Q134" s="1600"/>
    </row>
    <row r="135" spans="1:17">
      <c r="B135" s="1602"/>
      <c r="C135" s="1602"/>
      <c r="D135" s="1602"/>
      <c r="E135" s="1602"/>
      <c r="F135" s="1602"/>
      <c r="G135" s="1602"/>
      <c r="I135" s="1600"/>
      <c r="J135" s="559"/>
      <c r="K135" s="1600"/>
      <c r="L135" s="1600"/>
      <c r="M135" s="1600"/>
      <c r="N135" s="1600"/>
      <c r="O135" s="1600"/>
      <c r="P135" s="588"/>
      <c r="Q135" s="1600"/>
    </row>
    <row r="136" spans="1:17">
      <c r="A136" s="1602"/>
      <c r="B136" s="1602"/>
      <c r="C136" s="1602"/>
      <c r="D136" s="1602"/>
      <c r="E136" s="1602"/>
      <c r="F136" s="1602"/>
      <c r="G136" s="1602"/>
      <c r="I136" s="559"/>
      <c r="J136" s="559"/>
      <c r="K136" s="1600"/>
      <c r="L136" s="1600"/>
      <c r="M136" s="1600"/>
      <c r="N136" s="1600"/>
      <c r="O136" s="1600"/>
      <c r="P136" s="1600"/>
      <c r="Q136" s="1600"/>
    </row>
    <row r="137" spans="1:17">
      <c r="A137" s="1602"/>
      <c r="B137" s="1602"/>
      <c r="C137" s="1602"/>
      <c r="D137" s="1602"/>
      <c r="E137" s="1602"/>
      <c r="F137" s="1602"/>
      <c r="G137" s="1602"/>
      <c r="I137" s="559"/>
      <c r="J137" s="559"/>
      <c r="K137" s="1600"/>
      <c r="L137" s="1600"/>
      <c r="M137" s="1600"/>
      <c r="N137" s="1600"/>
      <c r="O137" s="1600"/>
      <c r="P137" s="1600"/>
      <c r="Q137" s="1600"/>
    </row>
    <row r="138" spans="1:17">
      <c r="A138" s="1602"/>
      <c r="B138" s="1602"/>
      <c r="C138" s="1602"/>
      <c r="D138" s="1602"/>
      <c r="E138" s="1602"/>
      <c r="F138" s="1602"/>
      <c r="G138" s="1602"/>
      <c r="I138" s="559"/>
      <c r="J138" s="559"/>
      <c r="K138" s="1600"/>
      <c r="L138" s="1600"/>
      <c r="M138" s="1600"/>
      <c r="N138" s="1600"/>
      <c r="O138" s="1600"/>
      <c r="P138" s="1600"/>
    </row>
    <row r="139" spans="1:17">
      <c r="A139" s="1602"/>
      <c r="B139" s="1602"/>
      <c r="C139" s="1602"/>
      <c r="D139" s="1602"/>
      <c r="E139" s="1602"/>
      <c r="F139" s="1602"/>
      <c r="G139" s="1602"/>
      <c r="I139" s="559"/>
      <c r="J139" s="559"/>
      <c r="K139" s="1600"/>
      <c r="L139" s="1600"/>
      <c r="M139" s="1600"/>
      <c r="N139" s="1600"/>
      <c r="O139" s="1600"/>
      <c r="P139" s="1600"/>
      <c r="Q139" s="1600"/>
    </row>
    <row r="140" spans="1:17">
      <c r="A140" s="1602"/>
      <c r="B140" s="1602"/>
      <c r="C140" s="1602"/>
      <c r="D140" s="1602"/>
      <c r="E140" s="1602"/>
      <c r="F140" s="1602"/>
      <c r="G140" s="1602"/>
      <c r="I140" s="559"/>
      <c r="J140" s="559"/>
      <c r="K140" s="1600"/>
      <c r="L140" s="1600"/>
      <c r="M140" s="1600"/>
      <c r="N140" s="1600"/>
      <c r="P140" s="1600"/>
      <c r="Q140" s="580"/>
    </row>
    <row r="141" spans="1:17">
      <c r="A141" s="1602"/>
      <c r="B141" s="1602"/>
      <c r="C141" s="1602"/>
      <c r="D141" s="1602"/>
      <c r="E141" s="1602"/>
      <c r="F141" s="1602"/>
      <c r="G141" s="1602"/>
      <c r="I141" s="559"/>
      <c r="J141" s="559"/>
      <c r="K141" s="1600"/>
      <c r="L141" s="1600"/>
      <c r="M141" s="1600"/>
      <c r="N141" s="1600"/>
      <c r="O141" s="1600"/>
      <c r="P141" s="1600"/>
      <c r="Q141" s="1600"/>
    </row>
    <row r="142" spans="1:17">
      <c r="A142" s="1602"/>
      <c r="B142" s="1602"/>
      <c r="C142" s="1602"/>
      <c r="D142" s="1602"/>
      <c r="E142" s="1602"/>
      <c r="F142" s="1602"/>
      <c r="G142" s="1602"/>
      <c r="I142" s="559"/>
      <c r="J142" s="559"/>
      <c r="K142" s="1600"/>
      <c r="L142" s="1600"/>
      <c r="M142" s="1600"/>
      <c r="N142" s="1600"/>
      <c r="O142" s="1600"/>
      <c r="P142" s="586"/>
      <c r="Q142" s="1600"/>
    </row>
    <row r="143" spans="1:17">
      <c r="A143" s="1602"/>
      <c r="B143" s="1602"/>
      <c r="C143" s="1602"/>
      <c r="D143" s="1602"/>
      <c r="E143" s="1602"/>
      <c r="F143" s="1602"/>
      <c r="G143" s="1602"/>
      <c r="I143" s="559"/>
      <c r="J143" s="559"/>
      <c r="K143" s="1600"/>
      <c r="L143" s="589"/>
      <c r="O143" s="1600"/>
      <c r="Q143" s="1600"/>
    </row>
    <row r="144" spans="1:17">
      <c r="A144" s="1602"/>
      <c r="B144" s="1602"/>
      <c r="C144" s="1602"/>
      <c r="D144" s="1602"/>
      <c r="E144" s="1602"/>
      <c r="F144" s="1602"/>
      <c r="G144" s="1602"/>
      <c r="I144" s="559"/>
      <c r="J144" s="559"/>
      <c r="K144" s="1600"/>
      <c r="L144" s="589"/>
      <c r="M144" s="1600"/>
      <c r="N144" s="568"/>
      <c r="O144" s="1600"/>
    </row>
    <row r="145" spans="1:14">
      <c r="A145" s="1602"/>
      <c r="B145" s="1602"/>
      <c r="C145" s="1602"/>
      <c r="D145" s="1602"/>
      <c r="E145" s="1602"/>
      <c r="F145" s="1602"/>
      <c r="G145" s="1602"/>
      <c r="I145" s="1600"/>
      <c r="J145" s="1600"/>
      <c r="K145" s="589"/>
      <c r="L145" s="1602"/>
      <c r="M145" s="1602"/>
      <c r="N145" s="1602"/>
    </row>
    <row r="146" spans="1:14">
      <c r="A146" s="1602"/>
      <c r="B146" s="1602"/>
      <c r="C146" s="1602"/>
      <c r="D146" s="1602"/>
      <c r="E146" s="1602"/>
      <c r="F146" s="1602"/>
      <c r="I146" s="1600"/>
      <c r="J146" s="1600"/>
      <c r="K146" s="590"/>
      <c r="L146" s="1602"/>
      <c r="M146" s="1602"/>
      <c r="N146" s="1602"/>
    </row>
    <row r="147" spans="1:14">
      <c r="A147" s="1602"/>
      <c r="I147" s="1600"/>
      <c r="J147" s="1600"/>
      <c r="K147" s="1600"/>
      <c r="L147" s="1602"/>
      <c r="M147" s="1602"/>
      <c r="N147" s="1602"/>
    </row>
    <row r="148" spans="1:14">
      <c r="A148" s="1602"/>
      <c r="I148" s="1600"/>
      <c r="J148" s="1600"/>
      <c r="K148" s="1600"/>
      <c r="L148" s="1602"/>
      <c r="M148" s="1602"/>
      <c r="N148" s="1602"/>
    </row>
    <row r="149" spans="1:14">
      <c r="A149" s="1602"/>
      <c r="G149" s="1602"/>
      <c r="I149" s="1600"/>
      <c r="J149" s="1600"/>
      <c r="L149" s="1602"/>
      <c r="M149" s="1602"/>
      <c r="N149" s="1602"/>
    </row>
    <row r="150" spans="1:14">
      <c r="B150" s="1602"/>
      <c r="C150" s="1602"/>
      <c r="D150" s="1602"/>
      <c r="E150" s="1602"/>
      <c r="F150" s="1602"/>
      <c r="G150" s="1602"/>
    </row>
    <row r="151" spans="1:14">
      <c r="B151" s="1602"/>
      <c r="C151" s="1602"/>
      <c r="D151" s="1602"/>
      <c r="E151" s="1602"/>
      <c r="F151" s="1602"/>
      <c r="G151" s="1602"/>
    </row>
    <row r="152" spans="1:14">
      <c r="B152" s="1602"/>
      <c r="C152" s="1602"/>
      <c r="D152" s="1602"/>
      <c r="E152" s="1602"/>
      <c r="F152" s="1602"/>
      <c r="G152" s="1602"/>
    </row>
    <row r="153" spans="1:14">
      <c r="A153" s="1602"/>
      <c r="B153" s="1602"/>
      <c r="C153" s="1602"/>
      <c r="D153" s="1602"/>
      <c r="E153" s="1602"/>
      <c r="F153" s="1602"/>
      <c r="J153" s="1602"/>
      <c r="K153" s="1602"/>
      <c r="L153" s="1602"/>
      <c r="M153" s="1602"/>
      <c r="N153" s="1602"/>
    </row>
    <row r="154" spans="1:14">
      <c r="A154" s="1602"/>
      <c r="J154" s="1602"/>
      <c r="K154" s="1602"/>
      <c r="L154" s="1602"/>
      <c r="M154" s="1602"/>
      <c r="N154" s="1602"/>
    </row>
    <row r="155" spans="1:14">
      <c r="A155" s="1602"/>
      <c r="I155" s="1602"/>
      <c r="J155" s="1602"/>
      <c r="K155" s="1602"/>
      <c r="L155" s="1602"/>
      <c r="M155" s="1602"/>
      <c r="N155" s="1602"/>
    </row>
    <row r="156" spans="1:14">
      <c r="A156" s="1602"/>
      <c r="I156" s="1602"/>
      <c r="J156" s="1602"/>
      <c r="K156" s="1602"/>
      <c r="L156" s="1602"/>
      <c r="M156" s="1602"/>
      <c r="N156" s="160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3:A81 A6 A7:H52 B6:H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8671875" defaultRowHeight="15"/>
  <cols>
    <col min="1" max="1" width="44.88671875" style="41" customWidth="1"/>
    <col min="2" max="2" width="13.88671875" style="41" customWidth="1"/>
    <col min="3" max="3" width="1.88671875" style="41" customWidth="1"/>
    <col min="4" max="4" width="13.88671875" style="41" customWidth="1"/>
    <col min="5" max="5" width="1.5546875" style="41" customWidth="1"/>
    <col min="6" max="6" width="13.88671875" style="41" customWidth="1"/>
    <col min="7" max="7" width="1.88671875" style="41" customWidth="1"/>
    <col min="8" max="8" width="13.88671875" style="41" customWidth="1"/>
    <col min="9" max="9" width="0.88671875" style="41" customWidth="1"/>
    <col min="10" max="10" width="12.88671875" style="41" customWidth="1"/>
    <col min="11" max="11" width="1.5546875" style="41" customWidth="1"/>
    <col min="12" max="12" width="13.88671875" style="41" customWidth="1"/>
    <col min="13" max="13" width="1" style="41" customWidth="1"/>
    <col min="14" max="14" width="13.44140625" style="1764" customWidth="1"/>
    <col min="15" max="15" width="1.109375" style="1764" customWidth="1"/>
    <col min="16" max="16" width="13.109375" style="1764" customWidth="1"/>
    <col min="17" max="17" width="1.5546875" style="41" customWidth="1"/>
    <col min="18" max="18" width="1" style="104" customWidth="1"/>
    <col min="19" max="19" width="11.88671875" style="41" customWidth="1"/>
    <col min="20" max="20" width="0.88671875" style="104" customWidth="1"/>
    <col min="21" max="21" width="10.88671875" style="41" customWidth="1"/>
    <col min="22" max="22" width="0.44140625" style="104" customWidth="1"/>
    <col min="23" max="16384" width="8.88671875" style="41"/>
  </cols>
  <sheetData>
    <row r="1" spans="1:254">
      <c r="A1" s="657" t="s">
        <v>979</v>
      </c>
    </row>
    <row r="2" spans="1:254">
      <c r="A2" s="839"/>
    </row>
    <row r="3" spans="1:254" s="34" customFormat="1" ht="18" customHeight="1">
      <c r="A3" s="29" t="s">
        <v>0</v>
      </c>
      <c r="B3" s="29"/>
      <c r="C3" s="29"/>
      <c r="D3" s="29"/>
      <c r="E3" s="29"/>
      <c r="F3" s="30"/>
      <c r="G3" s="30"/>
      <c r="H3" s="29"/>
      <c r="I3" s="29"/>
      <c r="J3" s="29"/>
      <c r="K3" s="29"/>
      <c r="L3" s="29"/>
      <c r="M3" s="29"/>
      <c r="N3" s="3663"/>
      <c r="O3" s="3896"/>
      <c r="P3" s="3896"/>
      <c r="Q3" s="1381"/>
      <c r="R3" s="1381"/>
      <c r="S3" s="31"/>
      <c r="T3" s="33"/>
      <c r="U3" s="3897" t="s">
        <v>62</v>
      </c>
      <c r="V3" s="3897"/>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2" t="s">
        <v>882</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1416</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2"/>
      <c r="L11" s="1385"/>
      <c r="M11" s="211"/>
      <c r="N11" s="755"/>
      <c r="O11" s="755"/>
      <c r="P11" s="755"/>
      <c r="Q11" s="752"/>
      <c r="R11" s="769"/>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50000000000001" customHeight="1">
      <c r="A12" s="31"/>
      <c r="B12" s="752"/>
      <c r="C12" s="752" t="s">
        <v>63</v>
      </c>
      <c r="D12" s="752"/>
      <c r="E12" s="29"/>
      <c r="F12" s="752"/>
      <c r="G12" s="752" t="s">
        <v>64</v>
      </c>
      <c r="H12" s="752"/>
      <c r="I12" s="29"/>
      <c r="J12" s="752"/>
      <c r="K12" s="752"/>
      <c r="L12" s="1385"/>
      <c r="M12" s="752" t="s">
        <v>65</v>
      </c>
      <c r="N12" s="755"/>
      <c r="O12" s="755"/>
      <c r="P12" s="755"/>
      <c r="Q12" s="752"/>
      <c r="R12" s="769"/>
      <c r="S12" s="2287" t="s">
        <v>904</v>
      </c>
      <c r="T12" s="2288"/>
      <c r="U12" s="2288"/>
      <c r="V12" s="39"/>
      <c r="W12" s="40"/>
      <c r="X12" s="40"/>
    </row>
    <row r="13" spans="1:254" ht="13.35" customHeight="1">
      <c r="A13" s="31"/>
      <c r="B13" s="42"/>
      <c r="C13" s="42"/>
      <c r="D13" s="42"/>
      <c r="E13" s="31"/>
      <c r="F13" s="42"/>
      <c r="G13" s="43"/>
      <c r="H13" s="42"/>
      <c r="I13" s="31"/>
      <c r="J13" s="42"/>
      <c r="K13" s="42"/>
      <c r="L13" s="42"/>
      <c r="M13" s="42"/>
      <c r="N13" s="3667"/>
      <c r="O13" s="3667"/>
      <c r="P13" s="3667"/>
      <c r="Q13" s="36"/>
      <c r="R13" s="1000"/>
      <c r="S13" s="38"/>
      <c r="T13" s="44"/>
      <c r="U13" s="40"/>
      <c r="V13" s="44"/>
      <c r="W13" s="40"/>
      <c r="X13" s="40"/>
    </row>
    <row r="14" spans="1:254" ht="16.350000000000001" customHeight="1">
      <c r="A14" s="31"/>
      <c r="B14" s="752" t="s">
        <v>7</v>
      </c>
      <c r="C14" s="29"/>
      <c r="D14" s="752" t="str">
        <f>'Exhibit A'!F11</f>
        <v>10 MOS. ENDED</v>
      </c>
      <c r="E14" s="29"/>
      <c r="F14" s="752" t="s">
        <v>7</v>
      </c>
      <c r="G14" s="209"/>
      <c r="H14" s="752" t="str">
        <f>D14</f>
        <v>10 MOS. ENDED</v>
      </c>
      <c r="I14" s="29"/>
      <c r="J14" s="752" t="s">
        <v>7</v>
      </c>
      <c r="K14" s="29"/>
      <c r="L14" s="752" t="str">
        <f>D14</f>
        <v>10 MOS. ENDED</v>
      </c>
      <c r="M14" s="29"/>
      <c r="N14" s="755" t="s">
        <v>7</v>
      </c>
      <c r="O14" s="105"/>
      <c r="P14" s="755" t="str">
        <f>H14</f>
        <v>10 MOS. ENDED</v>
      </c>
      <c r="Q14" s="752"/>
      <c r="R14" s="1001"/>
      <c r="S14" s="763" t="s">
        <v>8</v>
      </c>
      <c r="T14" s="210"/>
      <c r="U14" s="764" t="s">
        <v>9</v>
      </c>
      <c r="V14" s="44"/>
      <c r="W14" s="40"/>
      <c r="X14" s="40"/>
    </row>
    <row r="15" spans="1:254" ht="16.350000000000001" customHeight="1">
      <c r="A15" s="31"/>
      <c r="B15" s="753" t="str">
        <f>'Exhibit A'!D12</f>
        <v>JAN. 2020</v>
      </c>
      <c r="C15" s="29"/>
      <c r="D15" s="754" t="str">
        <f>'Exhibit A'!F12</f>
        <v>JAN. 31, 2020</v>
      </c>
      <c r="E15" s="29"/>
      <c r="F15" s="752" t="str">
        <f>B15</f>
        <v>JAN. 2020</v>
      </c>
      <c r="G15" s="29"/>
      <c r="H15" s="752" t="str">
        <f>D15</f>
        <v>JAN. 31, 2020</v>
      </c>
      <c r="I15" s="29"/>
      <c r="J15" s="752" t="str">
        <f>B15</f>
        <v>JAN. 2020</v>
      </c>
      <c r="K15" s="29"/>
      <c r="L15" s="752" t="str">
        <f>D15</f>
        <v>JAN. 31, 2020</v>
      </c>
      <c r="M15" s="29"/>
      <c r="N15" s="3664" t="str">
        <f>'Exhibit A'!AB12</f>
        <v>JAN. 2019</v>
      </c>
      <c r="O15" s="105"/>
      <c r="P15" s="3664" t="str">
        <f>'Exhibit A'!AD12</f>
        <v>JAN. 31, 2019</v>
      </c>
      <c r="Q15" s="751"/>
      <c r="R15" s="1002"/>
      <c r="S15" s="766" t="s">
        <v>12</v>
      </c>
      <c r="T15" s="209"/>
      <c r="U15" s="767" t="s">
        <v>13</v>
      </c>
      <c r="V15" s="44"/>
      <c r="W15" s="40"/>
      <c r="X15" s="40"/>
    </row>
    <row r="16" spans="1:254" ht="13.35" customHeight="1">
      <c r="A16" s="31"/>
      <c r="B16" s="42"/>
      <c r="C16" s="31"/>
      <c r="D16" s="42" t="s">
        <v>15</v>
      </c>
      <c r="E16" s="31"/>
      <c r="F16" s="42"/>
      <c r="G16" s="31"/>
      <c r="H16" s="43" t="s">
        <v>15</v>
      </c>
      <c r="I16" s="45"/>
      <c r="J16" s="46"/>
      <c r="K16" s="31"/>
      <c r="L16" s="42"/>
      <c r="M16" s="45"/>
      <c r="N16" s="109"/>
      <c r="O16" s="107"/>
      <c r="P16" s="109"/>
      <c r="Q16" s="36"/>
      <c r="R16" s="1000"/>
      <c r="S16" s="38"/>
      <c r="T16" s="36"/>
      <c r="U16" s="40"/>
      <c r="V16" s="36"/>
      <c r="W16" s="40"/>
      <c r="X16" s="40"/>
    </row>
    <row r="17" spans="1:247" ht="16.350000000000001" customHeight="1">
      <c r="A17" s="29" t="s">
        <v>14</v>
      </c>
      <c r="B17" s="47"/>
      <c r="C17" s="47"/>
      <c r="D17" s="47"/>
      <c r="E17" s="47"/>
      <c r="F17" s="47"/>
      <c r="G17" s="47"/>
      <c r="H17" s="47"/>
      <c r="I17" s="48"/>
      <c r="J17" s="48"/>
      <c r="K17" s="47"/>
      <c r="L17" s="47"/>
      <c r="M17" s="48"/>
      <c r="N17" s="3640"/>
      <c r="O17" s="3668"/>
      <c r="P17" s="3713"/>
      <c r="Q17" s="49"/>
      <c r="R17" s="1003"/>
      <c r="S17" s="38"/>
      <c r="T17" s="49"/>
      <c r="U17" s="40"/>
      <c r="V17" s="49"/>
      <c r="W17" s="40"/>
      <c r="X17" s="40"/>
    </row>
    <row r="18" spans="1:247" ht="16.350000000000001" customHeight="1">
      <c r="A18" s="31" t="s">
        <v>20</v>
      </c>
      <c r="B18" s="671">
        <f>'Exhibit J'!U19</f>
        <v>6</v>
      </c>
      <c r="C18" s="671"/>
      <c r="D18" s="987">
        <f>+'Exhibit J'!AB19</f>
        <v>71.599999999999994</v>
      </c>
      <c r="E18" s="671"/>
      <c r="F18" s="987">
        <f>'Exhibit K'!T17</f>
        <v>62.300000000000026</v>
      </c>
      <c r="G18" s="671"/>
      <c r="H18" s="987">
        <f>+'Exhibit K'!AA17</f>
        <v>468.8</v>
      </c>
      <c r="I18" s="1233"/>
      <c r="J18" s="1233">
        <f>ROUND(SUM(B18)+SUM(F18),1)</f>
        <v>68.3</v>
      </c>
      <c r="K18" s="671"/>
      <c r="L18" s="1420">
        <f>ROUND(SUM(D18)+SUM(H18),1)</f>
        <v>540.4</v>
      </c>
      <c r="M18" s="1233"/>
      <c r="N18" s="1031">
        <v>45.9</v>
      </c>
      <c r="O18" s="1031"/>
      <c r="P18" s="1031">
        <f>'Exhibit J'!AE19+'Exhibit K'!AD17</f>
        <v>453.1</v>
      </c>
      <c r="Q18" s="987"/>
      <c r="R18" s="1421"/>
      <c r="S18" s="671">
        <f>ROUND(SUM(L18-P18),1)</f>
        <v>87.3</v>
      </c>
      <c r="T18" s="1217"/>
      <c r="U18" s="1468">
        <f>ROUND(+S18/P18,3)</f>
        <v>0.193</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50000000000001" customHeight="1">
      <c r="A19" s="835" t="s">
        <v>66</v>
      </c>
      <c r="B19" s="656">
        <f>'Exhibit J'!U20</f>
        <v>1</v>
      </c>
      <c r="C19" s="656"/>
      <c r="D19" s="959">
        <f>+'Exhibit J'!AB20</f>
        <v>14.7</v>
      </c>
      <c r="E19" s="656"/>
      <c r="F19" s="672">
        <v>0</v>
      </c>
      <c r="G19" s="656"/>
      <c r="H19" s="672">
        <v>0</v>
      </c>
      <c r="I19" s="1422"/>
      <c r="J19" s="1423">
        <f>ROUND(SUM(B19)+SUM(F19),1)</f>
        <v>1</v>
      </c>
      <c r="K19" s="684"/>
      <c r="L19" s="959">
        <f>ROUND(SUM(D19)+SUM(H19),1)</f>
        <v>14.7</v>
      </c>
      <c r="M19" s="1424"/>
      <c r="N19" s="1040">
        <v>3.8</v>
      </c>
      <c r="O19" s="1040"/>
      <c r="P19" s="1040">
        <f>'Exhibit J'!AE20</f>
        <v>13</v>
      </c>
      <c r="Q19" s="959"/>
      <c r="R19" s="1425"/>
      <c r="S19" s="656">
        <f>ROUND(SUM(L19-P19),1)</f>
        <v>1.7</v>
      </c>
      <c r="T19" s="1426"/>
      <c r="U19" s="1563">
        <f>ROUND(+S19/P19,3)</f>
        <v>0.13100000000000001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50000000000001" customHeight="1">
      <c r="A20" s="31" t="s">
        <v>67</v>
      </c>
      <c r="B20" s="656">
        <f>'Exhibit J'!U21</f>
        <v>227.70000000000005</v>
      </c>
      <c r="C20" s="656"/>
      <c r="D20" s="959">
        <f>+'Exhibit J'!AB21</f>
        <v>1704.7</v>
      </c>
      <c r="E20" s="656"/>
      <c r="F20" s="672">
        <v>0</v>
      </c>
      <c r="G20" s="656"/>
      <c r="H20" s="672">
        <v>0</v>
      </c>
      <c r="I20" s="1422"/>
      <c r="J20" s="1427">
        <f>ROUND(SUM(B20+F20),1)</f>
        <v>227.7</v>
      </c>
      <c r="K20" s="684"/>
      <c r="L20" s="959">
        <f>ROUND(SUM(D20)+SUM(H20),1)</f>
        <v>1704.7</v>
      </c>
      <c r="M20" s="1424"/>
      <c r="N20" s="1040">
        <v>212.6</v>
      </c>
      <c r="O20" s="3666"/>
      <c r="P20" s="1040">
        <f>'Exhibit J'!AE21</f>
        <v>1638.5</v>
      </c>
      <c r="Q20" s="959"/>
      <c r="R20" s="1425"/>
      <c r="S20" s="656">
        <f>ROUND(SUM(L20-P20),1)</f>
        <v>66.2</v>
      </c>
      <c r="T20" s="1426"/>
      <c r="U20" s="1468">
        <f>ROUND(+S20/P20,3)</f>
        <v>0.04</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81">
        <f>ROUND(SUM(B18:B20),1)</f>
        <v>234.7</v>
      </c>
      <c r="C21" s="938"/>
      <c r="D21" s="61">
        <f>ROUND(SUM(D18:D20),1)</f>
        <v>1791</v>
      </c>
      <c r="E21" s="938"/>
      <c r="F21" s="61">
        <f>ROUND(SUM(F18:F20),1)</f>
        <v>62.3</v>
      </c>
      <c r="G21" s="938"/>
      <c r="H21" s="61">
        <f>ROUND(SUM(H18:H20),1)</f>
        <v>468.8</v>
      </c>
      <c r="I21" s="63"/>
      <c r="J21" s="61">
        <f>SUM(J18:J20)</f>
        <v>297</v>
      </c>
      <c r="K21" s="938"/>
      <c r="L21" s="61">
        <f>SUM(L18:L20)</f>
        <v>2259.8000000000002</v>
      </c>
      <c r="M21" s="64"/>
      <c r="N21" s="3581">
        <f>ROUND(SUM(N18:N20),1)</f>
        <v>262.3</v>
      </c>
      <c r="O21" s="112"/>
      <c r="P21" s="3581">
        <f>ROUND(SUM(P18:P20),1)</f>
        <v>2104.6</v>
      </c>
      <c r="Q21" s="76"/>
      <c r="R21" s="337"/>
      <c r="S21" s="61">
        <f>ROUND(SUM(S18:S20),1)</f>
        <v>155.19999999999999</v>
      </c>
      <c r="T21" s="682"/>
      <c r="U21" s="1469">
        <f>ROUND(+S21/P21,3)</f>
        <v>7.3999999999999996E-2</v>
      </c>
      <c r="V21" s="59"/>
      <c r="W21" s="40"/>
      <c r="X21" s="40"/>
    </row>
    <row r="22" spans="1:247" ht="15.75">
      <c r="A22" s="29"/>
      <c r="B22" s="656"/>
      <c r="C22" s="656"/>
      <c r="D22" s="656"/>
      <c r="E22" s="656"/>
      <c r="F22" s="656"/>
      <c r="G22" s="656"/>
      <c r="H22" s="656"/>
      <c r="I22" s="1423"/>
      <c r="J22" s="1423"/>
      <c r="K22" s="656"/>
      <c r="L22" s="656"/>
      <c r="M22" s="1423"/>
      <c r="N22" s="1040"/>
      <c r="O22" s="911"/>
      <c r="P22" s="1040"/>
      <c r="Q22" s="959"/>
      <c r="R22" s="1425"/>
      <c r="S22" s="936"/>
      <c r="T22" s="1428"/>
      <c r="U22" s="1470"/>
      <c r="V22" s="49"/>
      <c r="W22" s="40"/>
      <c r="X22" s="40"/>
    </row>
    <row r="23" spans="1:247" ht="16.350000000000001" customHeight="1">
      <c r="A23" s="29" t="s">
        <v>23</v>
      </c>
      <c r="B23" s="656"/>
      <c r="C23" s="656"/>
      <c r="D23" s="656"/>
      <c r="E23" s="656"/>
      <c r="F23" s="656"/>
      <c r="G23" s="656"/>
      <c r="H23" s="656"/>
      <c r="I23" s="1423"/>
      <c r="J23" s="1423"/>
      <c r="K23" s="656"/>
      <c r="L23" s="656"/>
      <c r="M23" s="1423"/>
      <c r="N23" s="1040"/>
      <c r="O23" s="911"/>
      <c r="P23" s="1040"/>
      <c r="Q23" s="959"/>
      <c r="R23" s="1425"/>
      <c r="S23" s="936"/>
      <c r="T23" s="1428"/>
      <c r="U23" s="1470"/>
      <c r="V23" s="49"/>
      <c r="W23" s="40"/>
      <c r="X23" s="40"/>
    </row>
    <row r="24" spans="1:247" ht="16.350000000000001" customHeight="1">
      <c r="A24" s="31" t="s">
        <v>36</v>
      </c>
      <c r="B24" s="656"/>
      <c r="C24" s="656"/>
      <c r="D24" s="656"/>
      <c r="E24" s="656"/>
      <c r="F24" s="656"/>
      <c r="G24" s="656"/>
      <c r="H24" s="656"/>
      <c r="I24" s="1423"/>
      <c r="J24" s="1423"/>
      <c r="K24" s="656"/>
      <c r="L24" s="656"/>
      <c r="M24" s="1423"/>
      <c r="N24" s="1040"/>
      <c r="O24" s="911"/>
      <c r="P24" s="1040"/>
      <c r="Q24" s="959"/>
      <c r="R24" s="1425"/>
      <c r="S24" s="936"/>
      <c r="T24" s="1428"/>
      <c r="U24" s="1470"/>
      <c r="V24" s="49"/>
      <c r="W24" s="40"/>
      <c r="X24" s="40"/>
    </row>
    <row r="25" spans="1:247" ht="16.350000000000001" customHeight="1">
      <c r="A25" s="31" t="s">
        <v>68</v>
      </c>
      <c r="B25" s="656">
        <f>'Exhibit J'!U29</f>
        <v>1</v>
      </c>
      <c r="C25" s="656"/>
      <c r="D25" s="959">
        <f>+'Exhibit J'!AB29</f>
        <v>15.3</v>
      </c>
      <c r="E25" s="656"/>
      <c r="F25" s="656">
        <f>'Exhibit K'!T25</f>
        <v>10.700000000000003</v>
      </c>
      <c r="G25" s="656"/>
      <c r="H25" s="656">
        <f>+'Exhibit K'!AA25</f>
        <v>106.3</v>
      </c>
      <c r="I25" s="1423"/>
      <c r="J25" s="1423">
        <f>ROUND(SUM(B25)+SUM(F25),1)</f>
        <v>11.7</v>
      </c>
      <c r="K25" s="656"/>
      <c r="L25" s="959">
        <f>ROUND(SUM(D25)+SUM(H25),1)</f>
        <v>121.6</v>
      </c>
      <c r="M25" s="1423"/>
      <c r="N25" s="1040">
        <v>12.4</v>
      </c>
      <c r="O25" s="1040"/>
      <c r="P25" s="1040">
        <f>'Exhibit J'!AE29+'Exhibit K'!AD25</f>
        <v>92.7</v>
      </c>
      <c r="Q25" s="959"/>
      <c r="R25" s="1425"/>
      <c r="S25" s="656">
        <f>ROUND(SUM(L25-P25),1)</f>
        <v>28.9</v>
      </c>
      <c r="T25" s="682"/>
      <c r="U25" s="1468">
        <f>ROUND(+S25/P25,3)</f>
        <v>0.312</v>
      </c>
      <c r="V25" s="49"/>
      <c r="W25" s="40"/>
      <c r="X25" s="40"/>
    </row>
    <row r="26" spans="1:247" ht="16.350000000000001" customHeight="1">
      <c r="A26" s="31" t="s">
        <v>69</v>
      </c>
      <c r="B26" s="656">
        <f>'Exhibit J'!U30</f>
        <v>3.7000000000000028</v>
      </c>
      <c r="C26" s="656"/>
      <c r="D26" s="959">
        <f>+'Exhibit J'!AB30</f>
        <v>50</v>
      </c>
      <c r="E26" s="656"/>
      <c r="F26" s="656">
        <f>'Exhibit K'!T26</f>
        <v>28.100000000000023</v>
      </c>
      <c r="G26" s="656"/>
      <c r="H26" s="656">
        <f>+'Exhibit K'!AA26</f>
        <v>339.5</v>
      </c>
      <c r="I26" s="1423"/>
      <c r="J26" s="1423">
        <f>ROUND(SUM(B26)+SUM(F26),1)</f>
        <v>31.8</v>
      </c>
      <c r="K26" s="656"/>
      <c r="L26" s="959">
        <f>ROUND(SUM(D26)+SUM(H26),1)</f>
        <v>389.5</v>
      </c>
      <c r="M26" s="1423"/>
      <c r="N26" s="1040">
        <v>43</v>
      </c>
      <c r="O26" s="1040"/>
      <c r="P26" s="1040">
        <f>'Exhibit J'!AE30+'Exhibit K'!AD26</f>
        <v>410.59999999999997</v>
      </c>
      <c r="Q26" s="959"/>
      <c r="R26" s="1425"/>
      <c r="S26" s="656">
        <f>ROUND(SUM(L26-P26),1)</f>
        <v>-21.1</v>
      </c>
      <c r="T26" s="682"/>
      <c r="U26" s="1468">
        <f>ROUND(+S26/P26,3)</f>
        <v>-5.0999999999999997E-2</v>
      </c>
      <c r="V26" s="49"/>
      <c r="W26" s="40"/>
      <c r="X26" s="40"/>
    </row>
    <row r="27" spans="1:247" ht="16.350000000000001" customHeight="1">
      <c r="A27" s="31" t="s">
        <v>70</v>
      </c>
      <c r="B27" s="656">
        <f>'Exhibit J'!U31</f>
        <v>9.9999999999999756E-2</v>
      </c>
      <c r="C27" s="656"/>
      <c r="D27" s="959">
        <f>+'Exhibit J'!AB31</f>
        <v>1.4</v>
      </c>
      <c r="E27" s="959"/>
      <c r="F27" s="656">
        <f>'Exhibit K'!T27</f>
        <v>7.3000000000000043</v>
      </c>
      <c r="G27" s="656"/>
      <c r="H27" s="1429">
        <f>+'Exhibit K'!AA27</f>
        <v>48.1</v>
      </c>
      <c r="I27" s="959"/>
      <c r="J27" s="1423">
        <f>ROUND(SUM(B27)+SUM(F27),1)</f>
        <v>7.4</v>
      </c>
      <c r="K27" s="656"/>
      <c r="L27" s="959">
        <f>ROUND(SUM(D27)+SUM(H27),1)</f>
        <v>49.5</v>
      </c>
      <c r="M27" s="1423"/>
      <c r="N27" s="1040">
        <v>9.8000000000000007</v>
      </c>
      <c r="O27" s="3666"/>
      <c r="P27" s="1040">
        <f>'Exhibit J'!AE31+'Exhibit K'!AD27</f>
        <v>68.3</v>
      </c>
      <c r="Q27" s="959"/>
      <c r="R27" s="1425"/>
      <c r="S27" s="656">
        <f>ROUND(SUM(L27-P27),1)</f>
        <v>-18.8</v>
      </c>
      <c r="T27" s="682"/>
      <c r="U27" s="1468">
        <f>ROUND(+S27/P27,3)</f>
        <v>-0.27500000000000002</v>
      </c>
      <c r="V27" s="49"/>
      <c r="W27" s="40"/>
      <c r="X27" s="40"/>
    </row>
    <row r="28" spans="1:247" ht="15.75" customHeight="1">
      <c r="A28" s="835" t="s">
        <v>71</v>
      </c>
      <c r="B28" s="656">
        <f>'Exhibit J'!U32</f>
        <v>228.40000000000012</v>
      </c>
      <c r="C28" s="656"/>
      <c r="D28" s="959">
        <f>+'Exhibit J'!AB32</f>
        <v>1720.5</v>
      </c>
      <c r="E28" s="656"/>
      <c r="F28" s="962">
        <v>0</v>
      </c>
      <c r="G28" s="656"/>
      <c r="H28" s="1431">
        <v>0</v>
      </c>
      <c r="I28" s="959"/>
      <c r="J28" s="1423">
        <f>ROUND(SUM(B28)+SUM(F28),1)</f>
        <v>228.4</v>
      </c>
      <c r="K28" s="1210"/>
      <c r="L28" s="959">
        <f>ROUND(SUM(D28)+SUM(H28),1)</f>
        <v>1720.5</v>
      </c>
      <c r="M28" s="1432"/>
      <c r="N28" s="1040">
        <v>216.9</v>
      </c>
      <c r="O28" s="1047"/>
      <c r="P28" s="1765">
        <f>'Exhibit J'!AE32</f>
        <v>1651.7</v>
      </c>
      <c r="Q28" s="990"/>
      <c r="R28" s="1433"/>
      <c r="S28" s="656">
        <f>ROUND(SUM(L28-P28),1)</f>
        <v>68.8</v>
      </c>
      <c r="T28" s="682"/>
      <c r="U28" s="1468">
        <f>ROUND(+S28/P28,3)</f>
        <v>4.2000000000000003E-2</v>
      </c>
      <c r="V28" s="59"/>
      <c r="W28" s="40"/>
      <c r="X28" s="40"/>
    </row>
    <row r="29" spans="1:247" ht="15.75">
      <c r="A29" s="29" t="s">
        <v>58</v>
      </c>
      <c r="B29" s="3581">
        <f>ROUND(SUM(B25:B28),1)</f>
        <v>233.2</v>
      </c>
      <c r="C29" s="938"/>
      <c r="D29" s="61">
        <f>ROUND(SUM(D25:D28),1)</f>
        <v>1787.2</v>
      </c>
      <c r="E29" s="938"/>
      <c r="F29" s="61">
        <f>ROUND(SUM(F24:F28),1)</f>
        <v>46.1</v>
      </c>
      <c r="G29" s="938"/>
      <c r="H29" s="61">
        <f>ROUND(SUM(H25:H28),1)</f>
        <v>493.9</v>
      </c>
      <c r="I29" s="63"/>
      <c r="J29" s="71">
        <f>ROUND(SUM(J25:J28),1)</f>
        <v>279.3</v>
      </c>
      <c r="K29" s="938"/>
      <c r="L29" s="72">
        <f>ROUND(SUM(L25:L28),1)</f>
        <v>2281.1</v>
      </c>
      <c r="M29" s="64"/>
      <c r="N29" s="3581">
        <f>ROUND(SUM(N25:N28),1)</f>
        <v>282.10000000000002</v>
      </c>
      <c r="O29" s="112"/>
      <c r="P29" s="3581">
        <f>ROUND(SUM(P25:P28),1)</f>
        <v>2223.3000000000002</v>
      </c>
      <c r="Q29" s="76"/>
      <c r="R29" s="337"/>
      <c r="S29" s="61">
        <f>ROUND(SUM(S25:S28),1)</f>
        <v>57.8</v>
      </c>
      <c r="T29" s="682"/>
      <c r="U29" s="1471">
        <f>ROUND(+S29/P29,3)</f>
        <v>2.5999999999999999E-2</v>
      </c>
      <c r="V29" s="59"/>
      <c r="W29" s="40"/>
      <c r="X29" s="40"/>
    </row>
    <row r="30" spans="1:247" ht="15.75">
      <c r="A30" s="29"/>
      <c r="B30" s="656"/>
      <c r="C30" s="656"/>
      <c r="D30" s="656"/>
      <c r="E30" s="656"/>
      <c r="F30" s="656"/>
      <c r="G30" s="656"/>
      <c r="H30" s="656"/>
      <c r="I30" s="1423"/>
      <c r="J30" s="1423"/>
      <c r="K30" s="656"/>
      <c r="L30" s="656"/>
      <c r="M30" s="1423"/>
      <c r="N30" s="1040"/>
      <c r="O30" s="911"/>
      <c r="P30" s="1040"/>
      <c r="Q30" s="959"/>
      <c r="R30" s="1425"/>
      <c r="S30" s="936"/>
      <c r="T30" s="1428"/>
      <c r="U30" s="1470"/>
      <c r="V30" s="49"/>
      <c r="W30" s="40"/>
      <c r="X30" s="40"/>
    </row>
    <row r="31" spans="1:247" ht="16.350000000000001" customHeight="1">
      <c r="A31" s="29" t="s">
        <v>44</v>
      </c>
      <c r="B31" s="656"/>
      <c r="C31" s="656"/>
      <c r="D31" s="656"/>
      <c r="E31" s="656"/>
      <c r="F31" s="656"/>
      <c r="G31" s="656"/>
      <c r="H31" s="656"/>
      <c r="I31" s="1423"/>
      <c r="J31" s="1423"/>
      <c r="K31" s="656"/>
      <c r="L31" s="656"/>
      <c r="M31" s="1423"/>
      <c r="N31" s="1040"/>
      <c r="O31" s="911"/>
      <c r="P31" s="1040"/>
      <c r="Q31" s="959"/>
      <c r="R31" s="1425"/>
      <c r="S31" s="936"/>
      <c r="T31" s="1428"/>
      <c r="U31" s="1470"/>
      <c r="V31" s="49"/>
      <c r="W31" s="40"/>
      <c r="X31" s="40"/>
    </row>
    <row r="32" spans="1:247" ht="15.75">
      <c r="A32" s="29" t="s">
        <v>72</v>
      </c>
      <c r="B32" s="73">
        <f>ROUND(SUM(B21-B29),1)</f>
        <v>1.5</v>
      </c>
      <c r="C32" s="938"/>
      <c r="D32" s="74">
        <f>ROUND(SUM(D21-D29),1)</f>
        <v>3.8</v>
      </c>
      <c r="E32" s="938"/>
      <c r="F32" s="74">
        <f>ROUND(SUM(F21-F29),1)</f>
        <v>16.2</v>
      </c>
      <c r="G32" s="938"/>
      <c r="H32" s="74">
        <f>ROUND(SUM(H21-H29),1)</f>
        <v>-25.1</v>
      </c>
      <c r="I32" s="64"/>
      <c r="J32" s="75">
        <f>ROUND(SUM(J21-J29),1)</f>
        <v>17.7</v>
      </c>
      <c r="K32" s="938"/>
      <c r="L32" s="74">
        <f>ROUND(SUM(L21-L29),1)</f>
        <v>-21.3</v>
      </c>
      <c r="M32" s="64"/>
      <c r="N32" s="113">
        <f>ROUND(SUM(N21-N29),1)</f>
        <v>-19.8</v>
      </c>
      <c r="O32" s="115"/>
      <c r="P32" s="113">
        <f>ROUND(SUM(P21-P29),1)</f>
        <v>-118.7</v>
      </c>
      <c r="Q32" s="76"/>
      <c r="R32" s="337"/>
      <c r="S32" s="74">
        <f>ROUND(SUM(S21-S29),1)</f>
        <v>97.4</v>
      </c>
      <c r="T32" s="1428"/>
      <c r="U32" s="1665">
        <f>-ROUND(+S32/P32,3)</f>
        <v>0.82099999999999995</v>
      </c>
      <c r="V32" s="49"/>
      <c r="W32" s="40"/>
      <c r="X32" s="40"/>
    </row>
    <row r="33" spans="1:247">
      <c r="A33" s="31"/>
      <c r="B33" s="656"/>
      <c r="C33" s="656"/>
      <c r="D33" s="656"/>
      <c r="E33" s="656"/>
      <c r="F33" s="656"/>
      <c r="G33" s="656"/>
      <c r="H33" s="656"/>
      <c r="I33" s="1423"/>
      <c r="J33" s="1423"/>
      <c r="K33" s="656"/>
      <c r="L33" s="656"/>
      <c r="M33" s="1423"/>
      <c r="N33" s="1040"/>
      <c r="O33" s="911"/>
      <c r="P33" s="1040"/>
      <c r="Q33" s="959"/>
      <c r="R33" s="1425"/>
      <c r="S33" s="936"/>
      <c r="T33" s="1428"/>
      <c r="U33" s="1470"/>
      <c r="V33" s="49"/>
      <c r="W33" s="40"/>
      <c r="X33" s="40"/>
    </row>
    <row r="34" spans="1:247" ht="16.350000000000001" customHeight="1">
      <c r="A34" s="29" t="s">
        <v>46</v>
      </c>
      <c r="B34" s="656"/>
      <c r="C34" s="656"/>
      <c r="D34" s="656"/>
      <c r="E34" s="656"/>
      <c r="F34" s="656"/>
      <c r="G34" s="656"/>
      <c r="H34" s="656"/>
      <c r="I34" s="1423"/>
      <c r="J34" s="1423"/>
      <c r="K34" s="656"/>
      <c r="L34" s="656"/>
      <c r="M34" s="1423"/>
      <c r="N34" s="1040"/>
      <c r="O34" s="911"/>
      <c r="P34" s="1040"/>
      <c r="Q34" s="959"/>
      <c r="R34" s="1425"/>
      <c r="S34" s="936"/>
      <c r="T34" s="1428"/>
      <c r="U34" s="1470"/>
      <c r="V34" s="49"/>
      <c r="W34" s="40"/>
      <c r="X34" s="40"/>
    </row>
    <row r="35" spans="1:247" ht="16.350000000000001" customHeight="1">
      <c r="A35" s="31" t="s">
        <v>48</v>
      </c>
      <c r="B35" s="962">
        <f>+'Exhibit J'!U44</f>
        <v>0</v>
      </c>
      <c r="C35" s="656"/>
      <c r="D35" s="962">
        <f>+'Exhibit J'!AB44</f>
        <v>0</v>
      </c>
      <c r="E35" s="656"/>
      <c r="F35" s="656">
        <f>'Exhibit K'!T39</f>
        <v>10.700000000000003</v>
      </c>
      <c r="G35" s="695"/>
      <c r="H35" s="1434">
        <f>+'Exhibit K'!AA39</f>
        <v>67.7</v>
      </c>
      <c r="I35" s="1423"/>
      <c r="J35" s="1423">
        <f>ROUND(SUM(B35)+SUM(F35),1)</f>
        <v>10.7</v>
      </c>
      <c r="K35" s="695"/>
      <c r="L35" s="1429">
        <f>ROUND(SUM(D35)+SUM(H35),1)</f>
        <v>67.7</v>
      </c>
      <c r="M35" s="959"/>
      <c r="N35" s="1040">
        <v>2.8</v>
      </c>
      <c r="O35" s="1040"/>
      <c r="P35" s="1766">
        <f>'Exhibit J'!AE44+'Exhibit K'!AD39</f>
        <v>52.9</v>
      </c>
      <c r="Q35" s="1430"/>
      <c r="R35" s="1435"/>
      <c r="S35" s="656">
        <f>ROUND(SUM(L35-P35),1)</f>
        <v>14.8</v>
      </c>
      <c r="T35" s="682"/>
      <c r="U35" s="1418">
        <f>ROUND(IF(S35=0,0,S35/(P35)),3)</f>
        <v>0.28000000000000003</v>
      </c>
      <c r="V35" s="80"/>
      <c r="W35" s="40"/>
      <c r="X35" s="40"/>
    </row>
    <row r="36" spans="1:247" s="1764" customFormat="1" ht="16.350000000000001" customHeight="1">
      <c r="A36" s="107" t="s">
        <v>73</v>
      </c>
      <c r="B36" s="3175">
        <f>+'Exhibit J'!U45</f>
        <v>0</v>
      </c>
      <c r="C36" s="1060"/>
      <c r="D36" s="1054">
        <f>+'Exhibit J'!AB45</f>
        <v>0</v>
      </c>
      <c r="E36" s="911"/>
      <c r="F36" s="911">
        <f>'Exhibit K'!T40</f>
        <v>0</v>
      </c>
      <c r="G36" s="911"/>
      <c r="H36" s="1044">
        <f>+'Exhibit K'!AA40</f>
        <v>-4.3</v>
      </c>
      <c r="I36" s="3176"/>
      <c r="J36" s="1451">
        <f>ROUND(SUM(B36)+SUM(F36),1)</f>
        <v>0</v>
      </c>
      <c r="K36" s="911"/>
      <c r="L36" s="1040">
        <f>ROUND(SUM(D36)+SUM(H36),1)</f>
        <v>-4.3</v>
      </c>
      <c r="M36" s="1451"/>
      <c r="N36" s="1040">
        <v>-3.9</v>
      </c>
      <c r="O36" s="3666"/>
      <c r="P36" s="1766">
        <f>'Exhibit J'!AE45+'Exhibit K'!AD40</f>
        <v>-11.1</v>
      </c>
      <c r="Q36" s="1766"/>
      <c r="R36" s="3177"/>
      <c r="S36" s="3178">
        <f>-ROUND(SUM(L36-P36),1)</f>
        <v>-6.8</v>
      </c>
      <c r="T36" s="662"/>
      <c r="U36" s="3179">
        <f>ROUND(IF(P36=0,0,S36/ABS(P36)),3)</f>
        <v>-0.61299999999999999</v>
      </c>
      <c r="V36" s="3180"/>
      <c r="W36" s="3181"/>
      <c r="X36" s="3181"/>
    </row>
    <row r="37" spans="1:247" ht="15.75">
      <c r="A37" s="29" t="s">
        <v>50</v>
      </c>
      <c r="B37" s="81">
        <f>ROUND(SUM(B35:B36),1)</f>
        <v>0</v>
      </c>
      <c r="C37" s="82"/>
      <c r="D37" s="81">
        <f>ROUND(SUM(D35:D36),1)</f>
        <v>0</v>
      </c>
      <c r="E37" s="938"/>
      <c r="F37" s="83">
        <f>ROUND(SUM(F35:F36),1)</f>
        <v>10.7</v>
      </c>
      <c r="G37" s="84"/>
      <c r="H37" s="85">
        <f>ROUND(SUM(H35:H36),1)</f>
        <v>63.4</v>
      </c>
      <c r="I37" s="76"/>
      <c r="J37" s="86">
        <f>ROUND(SUM(J35:J36),1)</f>
        <v>10.7</v>
      </c>
      <c r="K37" s="84"/>
      <c r="L37" s="85">
        <f>ROUND(SUM(L35:L36),1)</f>
        <v>63.4</v>
      </c>
      <c r="M37" s="64"/>
      <c r="N37" s="3669">
        <f>ROUND(SUM(N35:N36),1)</f>
        <v>-1.1000000000000001</v>
      </c>
      <c r="O37" s="112"/>
      <c r="P37" s="3669">
        <f>ROUND(SUM(P35:P36),1)</f>
        <v>41.8</v>
      </c>
      <c r="Q37" s="998"/>
      <c r="R37" s="1004"/>
      <c r="S37" s="83">
        <f>L37-P37</f>
        <v>21.6</v>
      </c>
      <c r="T37" s="1436"/>
      <c r="U37" s="286">
        <f>ROUND(SUM(S37/P37),3)</f>
        <v>0.51700000000000002</v>
      </c>
      <c r="V37" s="87"/>
      <c r="W37" s="40"/>
      <c r="X37" s="40"/>
    </row>
    <row r="38" spans="1:247" ht="15.75">
      <c r="A38" s="29"/>
      <c r="B38" s="702"/>
      <c r="C38" s="656"/>
      <c r="D38" s="702"/>
      <c r="E38" s="656"/>
      <c r="F38" s="959"/>
      <c r="G38" s="656"/>
      <c r="H38" s="959"/>
      <c r="I38" s="1423"/>
      <c r="J38" s="1423"/>
      <c r="K38" s="656"/>
      <c r="L38" s="702"/>
      <c r="M38" s="1423"/>
      <c r="N38" s="1040"/>
      <c r="O38" s="911"/>
      <c r="P38" s="1040"/>
      <c r="Q38" s="959"/>
      <c r="R38" s="1425"/>
      <c r="S38" s="936"/>
      <c r="T38" s="1428"/>
      <c r="U38" s="839"/>
      <c r="V38" s="49"/>
      <c r="W38" s="40"/>
      <c r="X38" s="40"/>
    </row>
    <row r="39" spans="1:247" ht="15.75" customHeight="1">
      <c r="A39" s="29" t="s">
        <v>44</v>
      </c>
      <c r="B39" s="656"/>
      <c r="C39" s="656"/>
      <c r="D39" s="656"/>
      <c r="E39" s="656"/>
      <c r="F39" s="911"/>
      <c r="G39" s="656"/>
      <c r="H39" s="656"/>
      <c r="I39" s="1423"/>
      <c r="J39" s="1423"/>
      <c r="K39" s="656"/>
      <c r="L39" s="656"/>
      <c r="M39" s="1423"/>
      <c r="N39" s="1040"/>
      <c r="O39" s="911"/>
      <c r="P39" s="1040"/>
      <c r="Q39" s="959"/>
      <c r="R39" s="1425"/>
      <c r="S39" s="936"/>
      <c r="T39" s="1428"/>
      <c r="U39" s="839"/>
      <c r="V39" s="49"/>
      <c r="W39" s="40"/>
      <c r="X39" s="40"/>
    </row>
    <row r="40" spans="1:247" ht="15.75" customHeight="1">
      <c r="A40" s="29" t="s">
        <v>74</v>
      </c>
      <c r="B40" s="656"/>
      <c r="C40" s="656"/>
      <c r="D40" s="656"/>
      <c r="E40" s="656"/>
      <c r="F40" s="911"/>
      <c r="G40" s="656"/>
      <c r="H40" s="656"/>
      <c r="I40" s="1423"/>
      <c r="J40" s="1423"/>
      <c r="K40" s="656"/>
      <c r="L40" s="656"/>
      <c r="M40" s="1423"/>
      <c r="N40" s="1040"/>
      <c r="O40" s="911"/>
      <c r="P40" s="1040"/>
      <c r="Q40" s="959"/>
      <c r="R40" s="1425"/>
      <c r="S40" s="936"/>
      <c r="T40" s="1428"/>
      <c r="U40" s="839"/>
      <c r="V40" s="49"/>
      <c r="W40" s="40"/>
      <c r="X40" s="40"/>
    </row>
    <row r="41" spans="1:247" ht="15.75" customHeight="1">
      <c r="A41" s="29" t="s">
        <v>75</v>
      </c>
      <c r="B41" s="656"/>
      <c r="C41" s="656"/>
      <c r="D41" s="656"/>
      <c r="E41" s="656"/>
      <c r="F41" s="911"/>
      <c r="G41" s="656"/>
      <c r="H41" s="656"/>
      <c r="I41" s="1423"/>
      <c r="J41" s="1423"/>
      <c r="K41" s="656"/>
      <c r="L41" s="656"/>
      <c r="M41" s="1423"/>
      <c r="N41" s="1040"/>
      <c r="O41" s="911"/>
      <c r="P41" s="1040"/>
      <c r="Q41" s="959"/>
      <c r="R41" s="1425"/>
      <c r="S41" s="936"/>
      <c r="T41" s="1428"/>
      <c r="U41" s="839"/>
      <c r="V41" s="49"/>
      <c r="W41" s="40"/>
      <c r="X41" s="40"/>
    </row>
    <row r="42" spans="1:247" ht="15.75" customHeight="1">
      <c r="A42" s="29" t="s">
        <v>76</v>
      </c>
      <c r="B42" s="89">
        <f>ROUND(SUM(B32,B37),1)</f>
        <v>1.5</v>
      </c>
      <c r="C42" s="938"/>
      <c r="D42" s="89">
        <f>ROUND(SUM(D32,D37),1)</f>
        <v>3.8</v>
      </c>
      <c r="E42" s="938"/>
      <c r="F42" s="1664">
        <f>ROUND(SUM(F32,F37),1)</f>
        <v>26.9</v>
      </c>
      <c r="G42" s="938"/>
      <c r="H42" s="89">
        <f>ROUND(SUM(H32,H37),1)</f>
        <v>38.299999999999997</v>
      </c>
      <c r="I42" s="90"/>
      <c r="J42" s="89">
        <f>ROUND(SUM(J32,J37),1)</f>
        <v>28.4</v>
      </c>
      <c r="K42" s="938"/>
      <c r="L42" s="89">
        <f>ROUND(SUM(L32,L37),1)</f>
        <v>42.1</v>
      </c>
      <c r="M42" s="64"/>
      <c r="N42" s="1664">
        <f>ROUND(SUM(N32,N37),1)</f>
        <v>-20.9</v>
      </c>
      <c r="O42" s="112"/>
      <c r="P42" s="1664">
        <f>ROUND(SUM(P32,P37),1)</f>
        <v>-76.900000000000006</v>
      </c>
      <c r="Q42" s="89"/>
      <c r="R42" s="1005"/>
      <c r="S42" s="89">
        <f>ROUND(SUM(S32,S37),1)</f>
        <v>119</v>
      </c>
      <c r="T42" s="91"/>
      <c r="U42" s="1543">
        <f>-ROUND(S42/P42,3)</f>
        <v>1.5469999999999999</v>
      </c>
      <c r="V42" s="49"/>
      <c r="W42" s="40"/>
      <c r="X42" s="40"/>
    </row>
    <row r="43" spans="1:247" ht="15.75">
      <c r="A43" s="29"/>
      <c r="B43" s="656"/>
      <c r="C43" s="656"/>
      <c r="D43" s="656"/>
      <c r="E43" s="656"/>
      <c r="F43" s="911"/>
      <c r="G43" s="656"/>
      <c r="H43" s="656"/>
      <c r="I43" s="1423"/>
      <c r="J43" s="1423"/>
      <c r="K43" s="656"/>
      <c r="L43" s="656"/>
      <c r="M43" s="1423"/>
      <c r="N43" s="1040"/>
      <c r="O43" s="911"/>
      <c r="P43" s="1040"/>
      <c r="Q43" s="959"/>
      <c r="R43" s="1425"/>
      <c r="S43" s="936"/>
      <c r="T43" s="1428"/>
      <c r="U43" s="936"/>
      <c r="V43" s="49"/>
      <c r="W43" s="40"/>
      <c r="X43" s="40"/>
    </row>
    <row r="44" spans="1:247" s="65" customFormat="1" ht="15.75">
      <c r="A44" s="29" t="s">
        <v>77</v>
      </c>
      <c r="B44" s="938">
        <f>+'Exhibit J'!U16</f>
        <v>28.9</v>
      </c>
      <c r="C44" s="938"/>
      <c r="D44" s="938">
        <f>+'Exhibit J'!AB16</f>
        <v>26.6</v>
      </c>
      <c r="E44" s="938"/>
      <c r="F44" s="3673">
        <f>+'Exhibit K'!T14</f>
        <v>-291.3</v>
      </c>
      <c r="G44" s="938"/>
      <c r="H44" s="938">
        <f>+'Exhibit K'!AA14</f>
        <v>-302.7</v>
      </c>
      <c r="I44" s="64"/>
      <c r="J44" s="64">
        <f>ROUND(SUM(B44)+SUM(F44),1)</f>
        <v>-262.39999999999998</v>
      </c>
      <c r="K44" s="938"/>
      <c r="L44" s="938">
        <f>ROUND(SUM(D44)+SUM(H44),1)</f>
        <v>-276.10000000000002</v>
      </c>
      <c r="M44" s="64"/>
      <c r="N44" s="120">
        <v>-300.60000000000002</v>
      </c>
      <c r="O44" s="112"/>
      <c r="P44" s="113">
        <f>'Exhibit J'!AE16+'Exhibit K'!AD14</f>
        <v>-244.6</v>
      </c>
      <c r="Q44" s="76"/>
      <c r="R44" s="337"/>
      <c r="S44" s="938">
        <f>ROUND(SUM(L44-P44),1)</f>
        <v>-31.5</v>
      </c>
      <c r="T44" s="91"/>
      <c r="U44" s="1543">
        <f>-ROUND(SUM(S44/P44),3)</f>
        <v>-0.129</v>
      </c>
      <c r="V44" s="91"/>
      <c r="W44" s="92"/>
      <c r="X44" s="92"/>
    </row>
    <row r="45" spans="1:247" ht="16.5" thickBot="1">
      <c r="A45" s="29" t="s">
        <v>78</v>
      </c>
      <c r="B45" s="93">
        <f>ROUND(SUM(B42+B44),1)</f>
        <v>30.4</v>
      </c>
      <c r="C45" s="94"/>
      <c r="D45" s="93">
        <f>ROUND(SUM(D42+D44),1)</f>
        <v>30.4</v>
      </c>
      <c r="E45" s="94"/>
      <c r="F45" s="136">
        <f>ROUND(SUM(F42+F44),1)</f>
        <v>-264.39999999999998</v>
      </c>
      <c r="G45" s="94"/>
      <c r="H45" s="93">
        <f>ROUND(SUM(H42+H44),1)</f>
        <v>-264.39999999999998</v>
      </c>
      <c r="I45" s="95"/>
      <c r="J45" s="96">
        <f>ROUND(SUM(J42+J44),1)</f>
        <v>-234</v>
      </c>
      <c r="K45" s="94"/>
      <c r="L45" s="97">
        <f>ROUND(SUM(L42+L44),1)</f>
        <v>-234</v>
      </c>
      <c r="M45" s="95"/>
      <c r="N45" s="1526">
        <f>ROUND(SUM(N42+N44),1)</f>
        <v>-321.5</v>
      </c>
      <c r="O45" s="135"/>
      <c r="P45" s="1526">
        <f>ROUND(SUM(P42+P44),1)</f>
        <v>-321.5</v>
      </c>
      <c r="Q45" s="219"/>
      <c r="R45" s="329"/>
      <c r="S45" s="98">
        <f>ROUND(SUM(S42+S44),1)</f>
        <v>87.5</v>
      </c>
      <c r="T45" s="1217"/>
      <c r="U45" s="1515">
        <f>ROUND(SUM(S45/ABS(P45)),3)</f>
        <v>0.27200000000000002</v>
      </c>
      <c r="V45" s="52"/>
      <c r="W45" s="40"/>
      <c r="X45" s="40"/>
    </row>
    <row r="46" spans="1:247" ht="4.3499999999999996" customHeight="1" thickTop="1">
      <c r="A46" s="31"/>
      <c r="B46" s="1437"/>
      <c r="C46" s="942"/>
      <c r="D46" s="1437"/>
      <c r="E46" s="942"/>
      <c r="F46" s="1062"/>
      <c r="G46" s="942"/>
      <c r="H46" s="1437"/>
      <c r="I46" s="942"/>
      <c r="J46" s="1437"/>
      <c r="K46" s="942"/>
      <c r="L46" s="1437"/>
      <c r="M46" s="942"/>
      <c r="N46" s="1035"/>
      <c r="O46" s="1033"/>
      <c r="P46" s="1035"/>
      <c r="Q46" s="1217"/>
      <c r="R46" s="1217"/>
      <c r="S46" s="942"/>
      <c r="T46" s="1438"/>
      <c r="U46" s="1439"/>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4"/>
      <c r="B47" s="38"/>
      <c r="C47" s="38"/>
      <c r="D47" s="38"/>
      <c r="E47" s="38"/>
      <c r="F47" s="1109"/>
      <c r="G47" s="38"/>
      <c r="H47" s="38"/>
      <c r="I47" s="38"/>
      <c r="J47" s="38"/>
      <c r="K47" s="38"/>
      <c r="L47" s="38"/>
      <c r="M47" s="38"/>
      <c r="N47" s="3670"/>
      <c r="O47" s="3670"/>
      <c r="P47" s="3670"/>
      <c r="Q47" s="38"/>
      <c r="R47" s="103"/>
      <c r="S47" s="38"/>
      <c r="T47" s="44"/>
      <c r="U47" s="40"/>
      <c r="V47" s="44"/>
      <c r="W47" s="40"/>
      <c r="X47" s="40"/>
    </row>
    <row r="48" spans="1:247" s="102" customFormat="1" ht="16.5" customHeight="1">
      <c r="A48" s="1067"/>
      <c r="N48" s="1763"/>
      <c r="O48" s="1763"/>
      <c r="P48" s="1763"/>
      <c r="R48" s="999"/>
    </row>
    <row r="49" spans="1:21">
      <c r="A49" s="704"/>
      <c r="B49" s="38"/>
      <c r="C49" s="38"/>
      <c r="D49" s="38"/>
      <c r="E49" s="38"/>
      <c r="F49" s="38"/>
      <c r="G49" s="38"/>
      <c r="H49" s="38"/>
      <c r="I49" s="38"/>
      <c r="J49" s="38"/>
      <c r="K49" s="38"/>
      <c r="L49" s="38"/>
      <c r="M49" s="38"/>
      <c r="N49" s="3671"/>
      <c r="O49" s="3670"/>
      <c r="P49" s="3671"/>
      <c r="Q49" s="38"/>
      <c r="R49" s="103"/>
      <c r="S49" s="38"/>
      <c r="T49" s="103"/>
      <c r="U49" s="38"/>
    </row>
    <row r="50" spans="1:21">
      <c r="A50" s="704"/>
      <c r="B50" s="38"/>
      <c r="C50" s="38"/>
      <c r="D50" s="38"/>
      <c r="E50" s="38"/>
      <c r="F50" s="38"/>
      <c r="G50" s="38"/>
      <c r="H50" s="38"/>
      <c r="I50" s="38"/>
      <c r="J50" s="38"/>
      <c r="K50" s="38"/>
      <c r="L50" s="38"/>
      <c r="M50" s="38"/>
      <c r="N50" s="279"/>
      <c r="O50" s="3670"/>
      <c r="P50" s="279"/>
      <c r="Q50" s="38"/>
      <c r="R50" s="103"/>
      <c r="S50" s="38"/>
      <c r="T50" s="103"/>
      <c r="U50" s="38"/>
    </row>
    <row r="51" spans="1:21">
      <c r="A51" s="704"/>
      <c r="B51" s="38"/>
      <c r="C51" s="38"/>
      <c r="D51" s="38"/>
      <c r="E51" s="38"/>
      <c r="F51" s="38"/>
      <c r="G51" s="38"/>
      <c r="H51" s="38"/>
      <c r="I51" s="38"/>
      <c r="J51" s="38"/>
      <c r="K51" s="38"/>
      <c r="L51" s="38"/>
      <c r="M51" s="38"/>
      <c r="N51" s="3670"/>
      <c r="O51" s="3670"/>
      <c r="P51" s="3670"/>
      <c r="Q51" s="38"/>
      <c r="R51" s="103"/>
      <c r="S51" s="38"/>
      <c r="T51" s="103"/>
      <c r="U51" s="38"/>
    </row>
    <row r="52" spans="1:21">
      <c r="A52" s="704"/>
      <c r="B52" s="38"/>
      <c r="C52" s="38"/>
      <c r="D52" s="38"/>
      <c r="E52" s="38"/>
      <c r="F52" s="38"/>
      <c r="G52" s="38"/>
      <c r="H52" s="38"/>
      <c r="I52" s="38"/>
      <c r="J52" s="38"/>
      <c r="K52" s="38"/>
      <c r="L52" s="38"/>
      <c r="M52" s="38"/>
      <c r="N52" s="3670"/>
      <c r="O52" s="3670"/>
      <c r="P52" s="3670"/>
      <c r="Q52" s="38"/>
      <c r="R52" s="103"/>
      <c r="S52" s="38"/>
      <c r="T52" s="103"/>
      <c r="U52" s="38"/>
    </row>
    <row r="53" spans="1:21">
      <c r="A53" s="936"/>
    </row>
    <row r="54" spans="1:21">
      <c r="A54" s="936"/>
    </row>
    <row r="55" spans="1:21">
      <c r="A55" s="936"/>
    </row>
    <row r="56" spans="1:21">
      <c r="A56" s="936"/>
    </row>
    <row r="57" spans="1:21">
      <c r="A57" s="936"/>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8671875" defaultRowHeight="15"/>
  <cols>
    <col min="1" max="1" width="44.88671875" style="904" customWidth="1"/>
    <col min="2" max="2" width="13.88671875" style="904" customWidth="1"/>
    <col min="3" max="3" width="1.88671875" style="904" customWidth="1"/>
    <col min="4" max="4" width="13.88671875" style="904" customWidth="1"/>
    <col min="5" max="5" width="2.44140625" style="904" customWidth="1"/>
    <col min="6" max="6" width="13.88671875" style="904" customWidth="1"/>
    <col min="7" max="7" width="1.88671875" style="904" customWidth="1"/>
    <col min="8" max="8" width="13.88671875" style="904" customWidth="1"/>
    <col min="9" max="9" width="1.88671875" style="904" customWidth="1"/>
    <col min="10" max="10" width="13.88671875" style="904" customWidth="1"/>
    <col min="11" max="11" width="1.88671875" style="904" customWidth="1"/>
    <col min="12" max="12" width="13.88671875" style="904" customWidth="1"/>
    <col min="13" max="13" width="0.5546875" style="904" customWidth="1"/>
    <col min="14" max="14" width="13.88671875" style="904" customWidth="1"/>
    <col min="15" max="15" width="2.5546875" style="904" customWidth="1"/>
    <col min="16" max="16" width="13.88671875" style="904" customWidth="1"/>
    <col min="17" max="17" width="1.5546875" style="904" customWidth="1"/>
    <col min="18" max="18" width="2.109375" style="1008" customWidth="1"/>
    <col min="19" max="19" width="10.5546875" style="904" bestFit="1" customWidth="1"/>
    <col min="20" max="20" width="2.44140625" style="1008" customWidth="1"/>
    <col min="21" max="21" width="11.109375" style="904" bestFit="1" customWidth="1"/>
    <col min="22" max="16384" width="8.88671875" style="904"/>
  </cols>
  <sheetData>
    <row r="1" spans="1:252">
      <c r="A1" s="657" t="s">
        <v>979</v>
      </c>
    </row>
    <row r="2" spans="1:252">
      <c r="A2" s="840"/>
    </row>
    <row r="3" spans="1:252" s="1009" customFormat="1" ht="18" customHeight="1">
      <c r="A3" s="105" t="s">
        <v>0</v>
      </c>
      <c r="B3" s="105"/>
      <c r="C3" s="105"/>
      <c r="D3" s="105"/>
      <c r="E3" s="105"/>
      <c r="F3" s="904"/>
      <c r="G3" s="904"/>
      <c r="H3" s="105"/>
      <c r="I3" s="105"/>
      <c r="J3" s="105"/>
      <c r="K3" s="105"/>
      <c r="L3" s="105"/>
      <c r="M3" s="105"/>
      <c r="N3" s="3663"/>
      <c r="P3" s="1024"/>
      <c r="Q3" s="1010"/>
      <c r="R3" s="1011"/>
      <c r="S3" s="840"/>
      <c r="T3" s="1011"/>
      <c r="U3" s="995" t="s">
        <v>79</v>
      </c>
      <c r="V3" s="840"/>
      <c r="W3" s="904"/>
      <c r="X3" s="904"/>
      <c r="Y3" s="904"/>
      <c r="Z3" s="904"/>
      <c r="AA3" s="904"/>
      <c r="AB3" s="904"/>
      <c r="AC3" s="904"/>
      <c r="AD3" s="904"/>
      <c r="AE3" s="904"/>
      <c r="AF3" s="904"/>
      <c r="AG3" s="904"/>
      <c r="AH3" s="904"/>
      <c r="AI3" s="904"/>
      <c r="AJ3" s="904"/>
      <c r="AK3" s="904"/>
      <c r="AL3" s="904"/>
      <c r="AM3" s="904"/>
      <c r="AN3" s="904"/>
      <c r="AO3" s="904"/>
      <c r="AP3" s="904"/>
      <c r="AQ3" s="904"/>
      <c r="AR3" s="904"/>
      <c r="AS3" s="904"/>
      <c r="AT3" s="904"/>
      <c r="AU3" s="904"/>
      <c r="AV3" s="904"/>
      <c r="AW3" s="904"/>
      <c r="AX3" s="904"/>
      <c r="AY3" s="904"/>
      <c r="AZ3" s="904"/>
      <c r="BA3" s="904"/>
      <c r="BB3" s="904"/>
      <c r="BC3" s="904"/>
      <c r="BD3" s="904"/>
      <c r="BE3" s="904"/>
      <c r="BF3" s="904"/>
      <c r="BG3" s="904"/>
      <c r="BH3" s="904"/>
      <c r="BI3" s="904"/>
      <c r="BJ3" s="904"/>
      <c r="BK3" s="904"/>
      <c r="BL3" s="904"/>
      <c r="BM3" s="904"/>
      <c r="BN3" s="904"/>
      <c r="BO3" s="904"/>
      <c r="BP3" s="904"/>
      <c r="BQ3" s="904"/>
      <c r="BR3" s="904"/>
      <c r="BS3" s="904"/>
      <c r="BT3" s="904"/>
      <c r="BU3" s="904"/>
      <c r="BV3" s="904"/>
      <c r="BW3" s="904"/>
      <c r="BX3" s="904"/>
      <c r="BY3" s="904"/>
      <c r="BZ3" s="904"/>
      <c r="CA3" s="904"/>
      <c r="CB3" s="904"/>
      <c r="CC3" s="904"/>
      <c r="CD3" s="904"/>
      <c r="CE3" s="904"/>
      <c r="CF3" s="904"/>
      <c r="CG3" s="904"/>
      <c r="CH3" s="904"/>
      <c r="CI3" s="904"/>
      <c r="CJ3" s="904"/>
      <c r="CK3" s="904"/>
      <c r="CL3" s="904"/>
      <c r="CM3" s="904"/>
      <c r="CN3" s="904"/>
      <c r="CO3" s="904"/>
      <c r="CP3" s="904"/>
      <c r="CQ3" s="904"/>
      <c r="CR3" s="904"/>
      <c r="CS3" s="904"/>
      <c r="CT3" s="904"/>
      <c r="CU3" s="904"/>
      <c r="CV3" s="904"/>
      <c r="CW3" s="904"/>
      <c r="CX3" s="904"/>
      <c r="CY3" s="904"/>
      <c r="CZ3" s="904"/>
      <c r="DA3" s="904"/>
      <c r="DB3" s="904"/>
      <c r="DC3" s="904"/>
      <c r="DD3" s="904"/>
      <c r="DE3" s="904"/>
      <c r="DF3" s="904"/>
      <c r="DG3" s="904"/>
      <c r="DH3" s="904"/>
      <c r="DI3" s="904"/>
      <c r="DJ3" s="904"/>
      <c r="DK3" s="904"/>
      <c r="DL3" s="904"/>
      <c r="DM3" s="904"/>
      <c r="DN3" s="904"/>
      <c r="DO3" s="904"/>
      <c r="DP3" s="904"/>
      <c r="DQ3" s="904"/>
      <c r="DR3" s="904"/>
      <c r="DS3" s="904"/>
      <c r="DT3" s="904"/>
      <c r="DU3" s="904"/>
      <c r="DV3" s="904"/>
      <c r="DW3" s="904"/>
      <c r="DX3" s="904"/>
      <c r="DY3" s="904"/>
      <c r="DZ3" s="904"/>
      <c r="EA3" s="904"/>
      <c r="EB3" s="904"/>
      <c r="EC3" s="904"/>
      <c r="ED3" s="904"/>
      <c r="EE3" s="904"/>
      <c r="EF3" s="904"/>
      <c r="EG3" s="904"/>
      <c r="EH3" s="904"/>
      <c r="EI3" s="904"/>
      <c r="EJ3" s="904"/>
      <c r="EK3" s="904"/>
      <c r="EL3" s="904"/>
      <c r="EM3" s="904"/>
      <c r="EN3" s="904"/>
      <c r="EO3" s="904"/>
      <c r="EP3" s="904"/>
      <c r="EQ3" s="904"/>
      <c r="ER3" s="904"/>
      <c r="ES3" s="904"/>
      <c r="ET3" s="904"/>
      <c r="EU3" s="904"/>
      <c r="EV3" s="904"/>
      <c r="EW3" s="904"/>
      <c r="EX3" s="904"/>
      <c r="EY3" s="904"/>
      <c r="EZ3" s="904"/>
      <c r="FA3" s="904"/>
      <c r="FB3" s="904"/>
      <c r="FC3" s="904"/>
      <c r="FD3" s="904"/>
      <c r="FE3" s="904"/>
      <c r="FF3" s="904"/>
      <c r="FG3" s="904"/>
      <c r="FH3" s="904"/>
      <c r="FI3" s="904"/>
      <c r="FJ3" s="904"/>
      <c r="FK3" s="904"/>
      <c r="FL3" s="904"/>
      <c r="FM3" s="904"/>
      <c r="FN3" s="904"/>
      <c r="FO3" s="904"/>
      <c r="FP3" s="904"/>
      <c r="FQ3" s="904"/>
      <c r="FR3" s="904"/>
      <c r="FS3" s="904"/>
      <c r="FT3" s="904"/>
      <c r="FU3" s="904"/>
      <c r="FV3" s="904"/>
      <c r="FW3" s="904"/>
      <c r="FX3" s="904"/>
      <c r="FY3" s="904"/>
      <c r="FZ3" s="904"/>
      <c r="GA3" s="904"/>
      <c r="GB3" s="904"/>
      <c r="GC3" s="904"/>
      <c r="GD3" s="904"/>
      <c r="GE3" s="904"/>
      <c r="GF3" s="904"/>
      <c r="GG3" s="904"/>
      <c r="GH3" s="904"/>
      <c r="GI3" s="904"/>
      <c r="GJ3" s="904"/>
      <c r="GK3" s="904"/>
      <c r="GL3" s="904"/>
      <c r="GM3" s="904"/>
      <c r="GN3" s="904"/>
      <c r="GO3" s="904"/>
      <c r="GP3" s="904"/>
      <c r="GQ3" s="904"/>
      <c r="GR3" s="904"/>
      <c r="GS3" s="904"/>
      <c r="GT3" s="904"/>
      <c r="GU3" s="904"/>
      <c r="GV3" s="904"/>
      <c r="GW3" s="904"/>
      <c r="GX3" s="904"/>
      <c r="GY3" s="904"/>
      <c r="GZ3" s="904"/>
      <c r="HA3" s="904"/>
      <c r="HB3" s="904"/>
      <c r="HC3" s="904"/>
      <c r="HD3" s="904"/>
      <c r="HE3" s="904"/>
      <c r="HF3" s="904"/>
      <c r="HG3" s="904"/>
      <c r="HH3" s="904"/>
      <c r="HI3" s="904"/>
      <c r="HJ3" s="904"/>
      <c r="HK3" s="904"/>
      <c r="HL3" s="904"/>
      <c r="HM3" s="904"/>
      <c r="HN3" s="904"/>
      <c r="HO3" s="904"/>
      <c r="HP3" s="904"/>
      <c r="HQ3" s="904"/>
      <c r="HR3" s="904"/>
      <c r="HS3" s="904"/>
      <c r="HT3" s="904"/>
      <c r="HU3" s="904"/>
      <c r="HV3" s="904"/>
      <c r="HW3" s="904"/>
      <c r="HX3" s="904"/>
      <c r="HY3" s="904"/>
      <c r="HZ3" s="904"/>
      <c r="IA3" s="904"/>
      <c r="IB3" s="904"/>
      <c r="IC3" s="904"/>
      <c r="ID3" s="904"/>
      <c r="IE3" s="904"/>
      <c r="IF3" s="904"/>
      <c r="IG3" s="904"/>
      <c r="IH3" s="904"/>
      <c r="II3" s="904"/>
      <c r="IJ3" s="904"/>
      <c r="IK3" s="904"/>
      <c r="IL3" s="904"/>
      <c r="IM3" s="904"/>
      <c r="IN3" s="904"/>
      <c r="IO3" s="904"/>
      <c r="IP3" s="904"/>
      <c r="IQ3" s="904"/>
      <c r="IR3" s="904"/>
    </row>
    <row r="4" spans="1:252" s="1009" customFormat="1" ht="15.75" customHeight="1">
      <c r="A4" s="105" t="s">
        <v>883</v>
      </c>
      <c r="B4" s="105"/>
      <c r="C4" s="105"/>
      <c r="D4" s="105"/>
      <c r="E4" s="105"/>
      <c r="F4" s="904"/>
      <c r="G4" s="904"/>
      <c r="H4" s="105"/>
      <c r="I4" s="105"/>
      <c r="J4" s="105"/>
      <c r="K4" s="105"/>
      <c r="L4" s="105"/>
      <c r="M4" s="105"/>
      <c r="N4" s="105"/>
      <c r="O4" s="105"/>
      <c r="P4" s="105"/>
      <c r="Q4" s="1010"/>
      <c r="R4" s="1011"/>
      <c r="S4" s="840"/>
      <c r="T4" s="1011"/>
      <c r="U4" s="840"/>
      <c r="V4" s="840"/>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c r="CJ4" s="904"/>
      <c r="CK4" s="904"/>
      <c r="CL4" s="904"/>
      <c r="CM4" s="904"/>
      <c r="CN4" s="904"/>
      <c r="CO4" s="904"/>
      <c r="CP4" s="904"/>
      <c r="CQ4" s="904"/>
      <c r="CR4" s="904"/>
      <c r="CS4" s="904"/>
      <c r="CT4" s="904"/>
      <c r="CU4" s="904"/>
      <c r="CV4" s="904"/>
      <c r="CW4" s="904"/>
      <c r="CX4" s="904"/>
      <c r="CY4" s="904"/>
      <c r="CZ4" s="904"/>
      <c r="DA4" s="904"/>
      <c r="DB4" s="904"/>
      <c r="DC4" s="904"/>
      <c r="DD4" s="904"/>
      <c r="DE4" s="904"/>
      <c r="DF4" s="904"/>
      <c r="DG4" s="904"/>
      <c r="DH4" s="904"/>
      <c r="DI4" s="904"/>
      <c r="DJ4" s="904"/>
      <c r="DK4" s="904"/>
      <c r="DL4" s="904"/>
      <c r="DM4" s="904"/>
      <c r="DN4" s="904"/>
      <c r="DO4" s="904"/>
      <c r="DP4" s="904"/>
      <c r="DQ4" s="904"/>
      <c r="DR4" s="904"/>
      <c r="DS4" s="904"/>
      <c r="DT4" s="904"/>
      <c r="DU4" s="904"/>
      <c r="DV4" s="904"/>
      <c r="DW4" s="904"/>
      <c r="DX4" s="904"/>
      <c r="DY4" s="904"/>
      <c r="DZ4" s="904"/>
      <c r="EA4" s="904"/>
      <c r="EB4" s="904"/>
      <c r="EC4" s="904"/>
      <c r="ED4" s="904"/>
      <c r="EE4" s="904"/>
      <c r="EF4" s="904"/>
      <c r="EG4" s="904"/>
      <c r="EH4" s="904"/>
      <c r="EI4" s="904"/>
      <c r="EJ4" s="904"/>
      <c r="EK4" s="904"/>
      <c r="EL4" s="904"/>
      <c r="EM4" s="904"/>
      <c r="EN4" s="904"/>
      <c r="EO4" s="904"/>
      <c r="EP4" s="904"/>
      <c r="EQ4" s="904"/>
      <c r="ER4" s="904"/>
      <c r="ES4" s="904"/>
      <c r="ET4" s="904"/>
      <c r="EU4" s="904"/>
      <c r="EV4" s="904"/>
      <c r="EW4" s="904"/>
      <c r="EX4" s="904"/>
      <c r="EY4" s="904"/>
      <c r="EZ4" s="904"/>
      <c r="FA4" s="904"/>
      <c r="FB4" s="904"/>
      <c r="FC4" s="904"/>
      <c r="FD4" s="904"/>
      <c r="FE4" s="904"/>
      <c r="FF4" s="904"/>
      <c r="FG4" s="904"/>
      <c r="FH4" s="904"/>
      <c r="FI4" s="904"/>
      <c r="FJ4" s="904"/>
      <c r="FK4" s="904"/>
      <c r="FL4" s="904"/>
      <c r="FM4" s="904"/>
      <c r="FN4" s="904"/>
      <c r="FO4" s="904"/>
      <c r="FP4" s="904"/>
      <c r="FQ4" s="904"/>
      <c r="FR4" s="904"/>
      <c r="FS4" s="904"/>
      <c r="FT4" s="904"/>
      <c r="FU4" s="904"/>
      <c r="FV4" s="904"/>
      <c r="FW4" s="904"/>
      <c r="FX4" s="904"/>
      <c r="FY4" s="904"/>
      <c r="FZ4" s="904"/>
      <c r="GA4" s="904"/>
      <c r="GB4" s="904"/>
      <c r="GC4" s="904"/>
      <c r="GD4" s="904"/>
      <c r="GE4" s="904"/>
      <c r="GF4" s="904"/>
      <c r="GG4" s="904"/>
      <c r="GH4" s="904"/>
      <c r="GI4" s="904"/>
      <c r="GJ4" s="904"/>
      <c r="GK4" s="904"/>
      <c r="GL4" s="904"/>
      <c r="GM4" s="904"/>
      <c r="GN4" s="904"/>
      <c r="GO4" s="904"/>
      <c r="GP4" s="904"/>
      <c r="GQ4" s="904"/>
      <c r="GR4" s="904"/>
      <c r="GS4" s="904"/>
      <c r="GT4" s="904"/>
      <c r="GU4" s="904"/>
      <c r="GV4" s="904"/>
      <c r="GW4" s="904"/>
      <c r="GX4" s="904"/>
      <c r="GY4" s="904"/>
      <c r="GZ4" s="904"/>
      <c r="HA4" s="904"/>
      <c r="HB4" s="904"/>
      <c r="HC4" s="904"/>
      <c r="HD4" s="904"/>
      <c r="HE4" s="904"/>
      <c r="HF4" s="904"/>
      <c r="HG4" s="904"/>
      <c r="HH4" s="904"/>
      <c r="HI4" s="904"/>
      <c r="HJ4" s="904"/>
      <c r="HK4" s="904"/>
      <c r="HL4" s="904"/>
      <c r="HM4" s="904"/>
      <c r="HN4" s="904"/>
      <c r="HO4" s="904"/>
      <c r="HP4" s="904"/>
      <c r="HQ4" s="904"/>
      <c r="HR4" s="904"/>
      <c r="HS4" s="904"/>
      <c r="HT4" s="904"/>
      <c r="HU4" s="904"/>
      <c r="HV4" s="904"/>
      <c r="HW4" s="904"/>
      <c r="HX4" s="904"/>
      <c r="HY4" s="904"/>
      <c r="HZ4" s="904"/>
      <c r="IA4" s="904"/>
      <c r="IB4" s="904"/>
      <c r="IC4" s="904"/>
      <c r="ID4" s="904"/>
      <c r="IE4" s="904"/>
      <c r="IF4" s="904"/>
      <c r="IG4" s="904"/>
      <c r="IH4" s="904"/>
      <c r="II4" s="904"/>
      <c r="IJ4" s="904"/>
      <c r="IK4" s="904"/>
      <c r="IL4" s="904"/>
      <c r="IM4" s="904"/>
      <c r="IN4" s="904"/>
      <c r="IO4" s="904"/>
      <c r="IP4" s="904"/>
      <c r="IQ4" s="904"/>
      <c r="IR4" s="904"/>
    </row>
    <row r="5" spans="1:252" s="1009" customFormat="1" ht="15.75" customHeight="1">
      <c r="A5" s="261" t="s">
        <v>884</v>
      </c>
      <c r="B5" s="105"/>
      <c r="C5" s="105"/>
      <c r="D5" s="105"/>
      <c r="E5" s="105"/>
      <c r="F5" s="904"/>
      <c r="G5" s="904"/>
      <c r="H5" s="105"/>
      <c r="I5" s="105"/>
      <c r="J5" s="105"/>
      <c r="K5" s="105"/>
      <c r="L5" s="105"/>
      <c r="M5" s="105"/>
      <c r="N5" s="105"/>
      <c r="O5" s="105"/>
      <c r="P5" s="105" t="s">
        <v>15</v>
      </c>
      <c r="Q5" s="1010"/>
      <c r="R5" s="1011"/>
      <c r="S5" s="840"/>
      <c r="T5" s="1011"/>
      <c r="U5" s="840"/>
      <c r="V5" s="840"/>
      <c r="W5" s="904"/>
      <c r="X5" s="904"/>
      <c r="Y5" s="904"/>
      <c r="Z5" s="904"/>
      <c r="AA5" s="904"/>
      <c r="AB5" s="904"/>
      <c r="AC5" s="904"/>
      <c r="AD5" s="904"/>
      <c r="AE5" s="904"/>
      <c r="AF5" s="904"/>
      <c r="AG5" s="904"/>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c r="BG5" s="904"/>
      <c r="BH5" s="904"/>
      <c r="BI5" s="904"/>
      <c r="BJ5" s="904"/>
      <c r="BK5" s="904"/>
      <c r="BL5" s="904"/>
      <c r="BM5" s="904"/>
      <c r="BN5" s="904"/>
      <c r="BO5" s="904"/>
      <c r="BP5" s="904"/>
      <c r="BQ5" s="904"/>
      <c r="BR5" s="904"/>
      <c r="BS5" s="904"/>
      <c r="BT5" s="904"/>
      <c r="BU5" s="904"/>
      <c r="BV5" s="904"/>
      <c r="BW5" s="904"/>
      <c r="BX5" s="904"/>
      <c r="BY5" s="904"/>
      <c r="BZ5" s="904"/>
      <c r="CA5" s="904"/>
      <c r="CB5" s="904"/>
      <c r="CC5" s="904"/>
      <c r="CD5" s="904"/>
      <c r="CE5" s="904"/>
      <c r="CF5" s="904"/>
      <c r="CG5" s="904"/>
      <c r="CH5" s="904"/>
      <c r="CI5" s="904"/>
      <c r="CJ5" s="904"/>
      <c r="CK5" s="904"/>
      <c r="CL5" s="904"/>
      <c r="CM5" s="904"/>
      <c r="CN5" s="904"/>
      <c r="CO5" s="904"/>
      <c r="CP5" s="904"/>
      <c r="CQ5" s="904"/>
      <c r="CR5" s="904"/>
      <c r="CS5" s="904"/>
      <c r="CT5" s="904"/>
      <c r="CU5" s="904"/>
      <c r="CV5" s="904"/>
      <c r="CW5" s="904"/>
      <c r="CX5" s="904"/>
      <c r="CY5" s="904"/>
      <c r="CZ5" s="904"/>
      <c r="DA5" s="904"/>
      <c r="DB5" s="904"/>
      <c r="DC5" s="904"/>
      <c r="DD5" s="904"/>
      <c r="DE5" s="904"/>
      <c r="DF5" s="904"/>
      <c r="DG5" s="904"/>
      <c r="DH5" s="904"/>
      <c r="DI5" s="904"/>
      <c r="DJ5" s="904"/>
      <c r="DK5" s="904"/>
      <c r="DL5" s="904"/>
      <c r="DM5" s="904"/>
      <c r="DN5" s="904"/>
      <c r="DO5" s="904"/>
      <c r="DP5" s="904"/>
      <c r="DQ5" s="904"/>
      <c r="DR5" s="904"/>
      <c r="DS5" s="904"/>
      <c r="DT5" s="904"/>
      <c r="DU5" s="904"/>
      <c r="DV5" s="904"/>
      <c r="DW5" s="904"/>
      <c r="DX5" s="904"/>
      <c r="DY5" s="904"/>
      <c r="DZ5" s="904"/>
      <c r="EA5" s="904"/>
      <c r="EB5" s="904"/>
      <c r="EC5" s="904"/>
      <c r="ED5" s="904"/>
      <c r="EE5" s="904"/>
      <c r="EF5" s="904"/>
      <c r="EG5" s="904"/>
      <c r="EH5" s="904"/>
      <c r="EI5" s="904"/>
      <c r="EJ5" s="904"/>
      <c r="EK5" s="904"/>
      <c r="EL5" s="904"/>
      <c r="EM5" s="904"/>
      <c r="EN5" s="904"/>
      <c r="EO5" s="904"/>
      <c r="EP5" s="904"/>
      <c r="EQ5" s="904"/>
      <c r="ER5" s="904"/>
      <c r="ES5" s="904"/>
      <c r="ET5" s="904"/>
      <c r="EU5" s="904"/>
      <c r="EV5" s="904"/>
      <c r="EW5" s="904"/>
      <c r="EX5" s="904"/>
      <c r="EY5" s="904"/>
      <c r="EZ5" s="904"/>
      <c r="FA5" s="904"/>
      <c r="FB5" s="904"/>
      <c r="FC5" s="904"/>
      <c r="FD5" s="904"/>
      <c r="FE5" s="904"/>
      <c r="FF5" s="904"/>
      <c r="FG5" s="904"/>
      <c r="FH5" s="904"/>
      <c r="FI5" s="904"/>
      <c r="FJ5" s="904"/>
      <c r="FK5" s="904"/>
      <c r="FL5" s="904"/>
      <c r="FM5" s="904"/>
      <c r="FN5" s="904"/>
      <c r="FO5" s="904"/>
      <c r="FP5" s="904"/>
      <c r="FQ5" s="904"/>
      <c r="FR5" s="904"/>
      <c r="FS5" s="904"/>
      <c r="FT5" s="904"/>
      <c r="FU5" s="904"/>
      <c r="FV5" s="904"/>
      <c r="FW5" s="904"/>
      <c r="FX5" s="904"/>
      <c r="FY5" s="904"/>
      <c r="FZ5" s="904"/>
      <c r="GA5" s="904"/>
      <c r="GB5" s="904"/>
      <c r="GC5" s="904"/>
      <c r="GD5" s="904"/>
      <c r="GE5" s="904"/>
      <c r="GF5" s="904"/>
      <c r="GG5" s="904"/>
      <c r="GH5" s="904"/>
      <c r="GI5" s="904"/>
      <c r="GJ5" s="904"/>
      <c r="GK5" s="904"/>
      <c r="GL5" s="904"/>
      <c r="GM5" s="904"/>
      <c r="GN5" s="904"/>
      <c r="GO5" s="904"/>
      <c r="GP5" s="904"/>
      <c r="GQ5" s="904"/>
      <c r="GR5" s="904"/>
      <c r="GS5" s="904"/>
      <c r="GT5" s="904"/>
      <c r="GU5" s="904"/>
      <c r="GV5" s="904"/>
      <c r="GW5" s="904"/>
      <c r="GX5" s="904"/>
      <c r="GY5" s="904"/>
      <c r="GZ5" s="904"/>
      <c r="HA5" s="904"/>
      <c r="HB5" s="904"/>
      <c r="HC5" s="904"/>
      <c r="HD5" s="904"/>
      <c r="HE5" s="904"/>
      <c r="HF5" s="904"/>
      <c r="HG5" s="904"/>
      <c r="HH5" s="904"/>
      <c r="HI5" s="904"/>
      <c r="HJ5" s="904"/>
      <c r="HK5" s="904"/>
      <c r="HL5" s="904"/>
      <c r="HM5" s="904"/>
      <c r="HN5" s="904"/>
      <c r="HO5" s="904"/>
      <c r="HP5" s="904"/>
      <c r="HQ5" s="904"/>
      <c r="HR5" s="904"/>
      <c r="HS5" s="904"/>
      <c r="HT5" s="904"/>
      <c r="HU5" s="904"/>
      <c r="HV5" s="904"/>
      <c r="HW5" s="904"/>
      <c r="HX5" s="904"/>
      <c r="HY5" s="904"/>
      <c r="HZ5" s="904"/>
      <c r="IA5" s="904"/>
      <c r="IB5" s="904"/>
      <c r="IC5" s="904"/>
      <c r="ID5" s="904"/>
      <c r="IE5" s="904"/>
      <c r="IF5" s="904"/>
      <c r="IG5" s="904"/>
      <c r="IH5" s="904"/>
      <c r="II5" s="904"/>
      <c r="IJ5" s="904"/>
      <c r="IK5" s="904"/>
      <c r="IL5" s="904"/>
      <c r="IM5" s="904"/>
      <c r="IN5" s="904"/>
      <c r="IO5" s="904"/>
      <c r="IP5" s="904"/>
      <c r="IQ5" s="904"/>
      <c r="IR5" s="904"/>
    </row>
    <row r="6" spans="1:252" s="1009" customFormat="1" ht="15.75" customHeight="1">
      <c r="A6" s="105" t="s">
        <v>1416</v>
      </c>
      <c r="B6" s="105"/>
      <c r="C6" s="105"/>
      <c r="D6" s="105"/>
      <c r="E6" s="105"/>
      <c r="F6" s="904"/>
      <c r="G6" s="904"/>
      <c r="H6" s="105"/>
      <c r="I6" s="105"/>
      <c r="J6" s="105"/>
      <c r="K6" s="105"/>
      <c r="L6" s="105"/>
      <c r="M6" s="105"/>
      <c r="N6" s="105"/>
      <c r="O6" s="105"/>
      <c r="P6" s="105"/>
      <c r="Q6" s="1010"/>
      <c r="R6" s="1011"/>
      <c r="S6" s="840"/>
      <c r="T6" s="1011"/>
      <c r="U6" s="840"/>
      <c r="V6" s="840"/>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4"/>
      <c r="AY6" s="904"/>
      <c r="AZ6" s="904"/>
      <c r="BA6" s="904"/>
      <c r="BB6" s="904"/>
      <c r="BC6" s="904"/>
      <c r="BD6" s="904"/>
      <c r="BE6" s="904"/>
      <c r="BF6" s="904"/>
      <c r="BG6" s="904"/>
      <c r="BH6" s="904"/>
      <c r="BI6" s="904"/>
      <c r="BJ6" s="904"/>
      <c r="BK6" s="904"/>
      <c r="BL6" s="904"/>
      <c r="BM6" s="904"/>
      <c r="BN6" s="904"/>
      <c r="BO6" s="904"/>
      <c r="BP6" s="904"/>
      <c r="BQ6" s="904"/>
      <c r="BR6" s="904"/>
      <c r="BS6" s="904"/>
      <c r="BT6" s="904"/>
      <c r="BU6" s="904"/>
      <c r="BV6" s="904"/>
      <c r="BW6" s="904"/>
      <c r="BX6" s="904"/>
      <c r="BY6" s="904"/>
      <c r="BZ6" s="904"/>
      <c r="CA6" s="904"/>
      <c r="CB6" s="904"/>
      <c r="CC6" s="904"/>
      <c r="CD6" s="904"/>
      <c r="CE6" s="904"/>
      <c r="CF6" s="904"/>
      <c r="CG6" s="904"/>
      <c r="CH6" s="904"/>
      <c r="CI6" s="904"/>
      <c r="CJ6" s="904"/>
      <c r="CK6" s="904"/>
      <c r="CL6" s="904"/>
      <c r="CM6" s="904"/>
      <c r="CN6" s="904"/>
      <c r="CO6" s="904"/>
      <c r="CP6" s="904"/>
      <c r="CQ6" s="904"/>
      <c r="CR6" s="904"/>
      <c r="CS6" s="904"/>
      <c r="CT6" s="904"/>
      <c r="CU6" s="904"/>
      <c r="CV6" s="904"/>
      <c r="CW6" s="904"/>
      <c r="CX6" s="904"/>
      <c r="CY6" s="904"/>
      <c r="CZ6" s="904"/>
      <c r="DA6" s="904"/>
      <c r="DB6" s="904"/>
      <c r="DC6" s="904"/>
      <c r="DD6" s="904"/>
      <c r="DE6" s="904"/>
      <c r="DF6" s="904"/>
      <c r="DG6" s="904"/>
      <c r="DH6" s="904"/>
      <c r="DI6" s="904"/>
      <c r="DJ6" s="904"/>
      <c r="DK6" s="904"/>
      <c r="DL6" s="904"/>
      <c r="DM6" s="904"/>
      <c r="DN6" s="904"/>
      <c r="DO6" s="904"/>
      <c r="DP6" s="904"/>
      <c r="DQ6" s="904"/>
      <c r="DR6" s="904"/>
      <c r="DS6" s="904"/>
      <c r="DT6" s="904"/>
      <c r="DU6" s="904"/>
      <c r="DV6" s="904"/>
      <c r="DW6" s="904"/>
      <c r="DX6" s="904"/>
      <c r="DY6" s="904"/>
      <c r="DZ6" s="904"/>
      <c r="EA6" s="904"/>
      <c r="EB6" s="904"/>
      <c r="EC6" s="904"/>
      <c r="ED6" s="904"/>
      <c r="EE6" s="904"/>
      <c r="EF6" s="904"/>
      <c r="EG6" s="904"/>
      <c r="EH6" s="904"/>
      <c r="EI6" s="904"/>
      <c r="EJ6" s="904"/>
      <c r="EK6" s="904"/>
      <c r="EL6" s="904"/>
      <c r="EM6" s="904"/>
      <c r="EN6" s="904"/>
      <c r="EO6" s="904"/>
      <c r="EP6" s="904"/>
      <c r="EQ6" s="904"/>
      <c r="ER6" s="904"/>
      <c r="ES6" s="904"/>
      <c r="ET6" s="904"/>
      <c r="EU6" s="904"/>
      <c r="EV6" s="904"/>
      <c r="EW6" s="904"/>
      <c r="EX6" s="904"/>
      <c r="EY6" s="904"/>
      <c r="EZ6" s="904"/>
      <c r="FA6" s="904"/>
      <c r="FB6" s="904"/>
      <c r="FC6" s="904"/>
      <c r="FD6" s="904"/>
      <c r="FE6" s="904"/>
      <c r="FF6" s="904"/>
      <c r="FG6" s="904"/>
      <c r="FH6" s="904"/>
      <c r="FI6" s="904"/>
      <c r="FJ6" s="904"/>
      <c r="FK6" s="904"/>
      <c r="FL6" s="904"/>
      <c r="FM6" s="904"/>
      <c r="FN6" s="904"/>
      <c r="FO6" s="904"/>
      <c r="FP6" s="904"/>
      <c r="FQ6" s="904"/>
      <c r="FR6" s="904"/>
      <c r="FS6" s="904"/>
      <c r="FT6" s="904"/>
      <c r="FU6" s="904"/>
      <c r="FV6" s="904"/>
      <c r="FW6" s="904"/>
      <c r="FX6" s="904"/>
      <c r="FY6" s="904"/>
      <c r="FZ6" s="904"/>
      <c r="GA6" s="904"/>
      <c r="GB6" s="904"/>
      <c r="GC6" s="904"/>
      <c r="GD6" s="904"/>
      <c r="GE6" s="904"/>
      <c r="GF6" s="904"/>
      <c r="GG6" s="904"/>
      <c r="GH6" s="904"/>
      <c r="GI6" s="904"/>
      <c r="GJ6" s="904"/>
      <c r="GK6" s="904"/>
      <c r="GL6" s="904"/>
      <c r="GM6" s="904"/>
      <c r="GN6" s="904"/>
      <c r="GO6" s="904"/>
      <c r="GP6" s="904"/>
      <c r="GQ6" s="904"/>
      <c r="GR6" s="904"/>
      <c r="GS6" s="904"/>
      <c r="GT6" s="904"/>
      <c r="GU6" s="904"/>
      <c r="GV6" s="904"/>
      <c r="GW6" s="904"/>
      <c r="GX6" s="904"/>
      <c r="GY6" s="904"/>
      <c r="GZ6" s="904"/>
      <c r="HA6" s="904"/>
      <c r="HB6" s="904"/>
      <c r="HC6" s="904"/>
      <c r="HD6" s="904"/>
      <c r="HE6" s="904"/>
      <c r="HF6" s="904"/>
      <c r="HG6" s="904"/>
      <c r="HH6" s="904"/>
      <c r="HI6" s="904"/>
      <c r="HJ6" s="904"/>
      <c r="HK6" s="904"/>
      <c r="HL6" s="904"/>
      <c r="HM6" s="904"/>
      <c r="HN6" s="904"/>
      <c r="HO6" s="904"/>
      <c r="HP6" s="904"/>
      <c r="HQ6" s="904"/>
      <c r="HR6" s="904"/>
      <c r="HS6" s="904"/>
      <c r="HT6" s="904"/>
      <c r="HU6" s="904"/>
      <c r="HV6" s="904"/>
      <c r="HW6" s="904"/>
      <c r="HX6" s="904"/>
      <c r="HY6" s="904"/>
      <c r="HZ6" s="904"/>
      <c r="IA6" s="904"/>
      <c r="IB6" s="904"/>
      <c r="IC6" s="904"/>
      <c r="ID6" s="904"/>
      <c r="IE6" s="904"/>
      <c r="IF6" s="904"/>
      <c r="IG6" s="904"/>
      <c r="IH6" s="904"/>
      <c r="II6" s="904"/>
      <c r="IJ6" s="904"/>
      <c r="IK6" s="904"/>
      <c r="IL6" s="904"/>
      <c r="IM6" s="904"/>
      <c r="IN6" s="904"/>
      <c r="IO6" s="904"/>
      <c r="IP6" s="904"/>
      <c r="IQ6" s="904"/>
      <c r="IR6" s="904"/>
    </row>
    <row r="7" spans="1:252" s="1009" customFormat="1" ht="15.75">
      <c r="A7" s="108"/>
      <c r="B7" s="105"/>
      <c r="C7" s="105"/>
      <c r="D7" s="105"/>
      <c r="E7" s="105"/>
      <c r="F7" s="904"/>
      <c r="G7" s="904"/>
      <c r="H7" s="105"/>
      <c r="I7" s="105"/>
      <c r="J7" s="105"/>
      <c r="K7" s="105"/>
      <c r="L7" s="105"/>
      <c r="M7" s="105"/>
      <c r="N7" s="105"/>
      <c r="O7" s="105"/>
      <c r="P7" s="105"/>
      <c r="Q7" s="1010"/>
      <c r="R7" s="1011"/>
      <c r="S7" s="840"/>
      <c r="T7" s="1011"/>
      <c r="U7" s="840"/>
      <c r="V7" s="840"/>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4"/>
      <c r="AY7" s="904"/>
      <c r="AZ7" s="904"/>
      <c r="BA7" s="904"/>
      <c r="BB7" s="904"/>
      <c r="BC7" s="904"/>
      <c r="BD7" s="904"/>
      <c r="BE7" s="904"/>
      <c r="BF7" s="904"/>
      <c r="BG7" s="904"/>
      <c r="BH7" s="904"/>
      <c r="BI7" s="904"/>
      <c r="BJ7" s="904"/>
      <c r="BK7" s="904"/>
      <c r="BL7" s="904"/>
      <c r="BM7" s="904"/>
      <c r="BN7" s="904"/>
      <c r="BO7" s="904"/>
      <c r="BP7" s="904"/>
      <c r="BQ7" s="904"/>
      <c r="BR7" s="904"/>
      <c r="BS7" s="904"/>
      <c r="BT7" s="904"/>
      <c r="BU7" s="904"/>
      <c r="BV7" s="904"/>
      <c r="BW7" s="904"/>
      <c r="BX7" s="904"/>
      <c r="BY7" s="904"/>
      <c r="BZ7" s="904"/>
      <c r="CA7" s="904"/>
      <c r="CB7" s="904"/>
      <c r="CC7" s="904"/>
      <c r="CD7" s="904"/>
      <c r="CE7" s="904"/>
      <c r="CF7" s="904"/>
      <c r="CG7" s="904"/>
      <c r="CH7" s="904"/>
      <c r="CI7" s="904"/>
      <c r="CJ7" s="904"/>
      <c r="CK7" s="904"/>
      <c r="CL7" s="904"/>
      <c r="CM7" s="904"/>
      <c r="CN7" s="904"/>
      <c r="CO7" s="904"/>
      <c r="CP7" s="904"/>
      <c r="CQ7" s="904"/>
      <c r="CR7" s="904"/>
      <c r="CS7" s="904"/>
      <c r="CT7" s="904"/>
      <c r="CU7" s="904"/>
      <c r="CV7" s="904"/>
      <c r="CW7" s="904"/>
      <c r="CX7" s="904"/>
      <c r="CY7" s="904"/>
      <c r="CZ7" s="904"/>
      <c r="DA7" s="904"/>
      <c r="DB7" s="904"/>
      <c r="DC7" s="904"/>
      <c r="DD7" s="904"/>
      <c r="DE7" s="904"/>
      <c r="DF7" s="904"/>
      <c r="DG7" s="904"/>
      <c r="DH7" s="904"/>
      <c r="DI7" s="904"/>
      <c r="DJ7" s="904"/>
      <c r="DK7" s="904"/>
      <c r="DL7" s="904"/>
      <c r="DM7" s="904"/>
      <c r="DN7" s="904"/>
      <c r="DO7" s="904"/>
      <c r="DP7" s="904"/>
      <c r="DQ7" s="904"/>
      <c r="DR7" s="904"/>
      <c r="DS7" s="904"/>
      <c r="DT7" s="904"/>
      <c r="DU7" s="904"/>
      <c r="DV7" s="904"/>
      <c r="DW7" s="904"/>
      <c r="DX7" s="904"/>
      <c r="DY7" s="904"/>
      <c r="DZ7" s="904"/>
      <c r="EA7" s="904"/>
      <c r="EB7" s="904"/>
      <c r="EC7" s="904"/>
      <c r="ED7" s="904"/>
      <c r="EE7" s="904"/>
      <c r="EF7" s="904"/>
      <c r="EG7" s="904"/>
      <c r="EH7" s="904"/>
      <c r="EI7" s="904"/>
      <c r="EJ7" s="904"/>
      <c r="EK7" s="904"/>
      <c r="EL7" s="904"/>
      <c r="EM7" s="904"/>
      <c r="EN7" s="904"/>
      <c r="EO7" s="904"/>
      <c r="EP7" s="904"/>
      <c r="EQ7" s="904"/>
      <c r="ER7" s="904"/>
      <c r="ES7" s="904"/>
      <c r="ET7" s="904"/>
      <c r="EU7" s="904"/>
      <c r="EV7" s="904"/>
      <c r="EW7" s="904"/>
      <c r="EX7" s="904"/>
      <c r="EY7" s="904"/>
      <c r="EZ7" s="904"/>
      <c r="FA7" s="904"/>
      <c r="FB7" s="904"/>
      <c r="FC7" s="904"/>
      <c r="FD7" s="904"/>
      <c r="FE7" s="904"/>
      <c r="FF7" s="904"/>
      <c r="FG7" s="904"/>
      <c r="FH7" s="904"/>
      <c r="FI7" s="904"/>
      <c r="FJ7" s="904"/>
      <c r="FK7" s="904"/>
      <c r="FL7" s="904"/>
      <c r="FM7" s="904"/>
      <c r="FN7" s="904"/>
      <c r="FO7" s="904"/>
      <c r="FP7" s="904"/>
      <c r="FQ7" s="904"/>
      <c r="FR7" s="904"/>
      <c r="FS7" s="904"/>
      <c r="FT7" s="904"/>
      <c r="FU7" s="904"/>
      <c r="FV7" s="904"/>
      <c r="FW7" s="904"/>
      <c r="FX7" s="904"/>
      <c r="FY7" s="904"/>
      <c r="FZ7" s="904"/>
      <c r="GA7" s="904"/>
      <c r="GB7" s="904"/>
      <c r="GC7" s="904"/>
      <c r="GD7" s="904"/>
      <c r="GE7" s="904"/>
      <c r="GF7" s="904"/>
      <c r="GG7" s="904"/>
      <c r="GH7" s="904"/>
      <c r="GI7" s="904"/>
      <c r="GJ7" s="904"/>
      <c r="GK7" s="904"/>
      <c r="GL7" s="904"/>
      <c r="GM7" s="904"/>
      <c r="GN7" s="904"/>
      <c r="GO7" s="904"/>
      <c r="GP7" s="904"/>
      <c r="GQ7" s="904"/>
      <c r="GR7" s="904"/>
      <c r="GS7" s="904"/>
      <c r="GT7" s="904"/>
      <c r="GU7" s="904"/>
      <c r="GV7" s="904"/>
      <c r="GW7" s="904"/>
      <c r="GX7" s="904"/>
      <c r="GY7" s="904"/>
      <c r="GZ7" s="904"/>
      <c r="HA7" s="904"/>
      <c r="HB7" s="904"/>
      <c r="HC7" s="904"/>
      <c r="HD7" s="904"/>
      <c r="HE7" s="904"/>
      <c r="HF7" s="904"/>
      <c r="HG7" s="904"/>
      <c r="HH7" s="904"/>
      <c r="HI7" s="904"/>
      <c r="HJ7" s="904"/>
      <c r="HK7" s="904"/>
      <c r="HL7" s="904"/>
      <c r="HM7" s="904"/>
      <c r="HN7" s="904"/>
      <c r="HO7" s="904"/>
      <c r="HP7" s="904"/>
      <c r="HQ7" s="904"/>
      <c r="HR7" s="904"/>
      <c r="HS7" s="904"/>
      <c r="HT7" s="904"/>
      <c r="HU7" s="904"/>
      <c r="HV7" s="904"/>
      <c r="HW7" s="904"/>
      <c r="HX7" s="904"/>
      <c r="HY7" s="904"/>
      <c r="HZ7" s="904"/>
      <c r="IA7" s="904"/>
      <c r="IB7" s="904"/>
      <c r="IC7" s="904"/>
      <c r="ID7" s="904"/>
      <c r="IE7" s="904"/>
      <c r="IF7" s="904"/>
      <c r="IG7" s="904"/>
      <c r="IH7" s="904"/>
      <c r="II7" s="904"/>
      <c r="IJ7" s="904"/>
      <c r="IK7" s="904"/>
      <c r="IL7" s="904"/>
      <c r="IM7" s="904"/>
      <c r="IN7" s="904"/>
      <c r="IO7" s="904"/>
      <c r="IP7" s="904"/>
      <c r="IQ7" s="904"/>
      <c r="IR7" s="904"/>
    </row>
    <row r="8" spans="1:252" s="1009" customFormat="1" ht="15.75">
      <c r="B8" s="105"/>
      <c r="C8" s="105"/>
      <c r="D8" s="105"/>
      <c r="E8" s="105"/>
      <c r="F8" s="904"/>
      <c r="G8" s="904"/>
      <c r="H8" s="105"/>
      <c r="I8" s="105"/>
      <c r="J8" s="105"/>
      <c r="K8" s="105"/>
      <c r="L8" s="105"/>
      <c r="M8" s="105"/>
      <c r="N8" s="105"/>
      <c r="O8" s="105"/>
      <c r="P8" s="105"/>
      <c r="Q8" s="1010"/>
      <c r="R8" s="1011"/>
      <c r="S8" s="840"/>
      <c r="T8" s="1011"/>
      <c r="U8" s="840"/>
      <c r="V8" s="840"/>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4"/>
      <c r="AY8" s="904"/>
      <c r="AZ8" s="904"/>
      <c r="BA8" s="904"/>
      <c r="BB8" s="904"/>
      <c r="BC8" s="904"/>
      <c r="BD8" s="904"/>
      <c r="BE8" s="904"/>
      <c r="BF8" s="904"/>
      <c r="BG8" s="904"/>
      <c r="BH8" s="904"/>
      <c r="BI8" s="904"/>
      <c r="BJ8" s="904"/>
      <c r="BK8" s="904"/>
      <c r="BL8" s="904"/>
      <c r="BM8" s="904"/>
      <c r="BN8" s="904"/>
      <c r="BO8" s="904"/>
      <c r="BP8" s="904"/>
      <c r="BQ8" s="904"/>
      <c r="BR8" s="904"/>
      <c r="BS8" s="904"/>
      <c r="BT8" s="904"/>
      <c r="BU8" s="904"/>
      <c r="BV8" s="904"/>
      <c r="BW8" s="904"/>
      <c r="BX8" s="904"/>
      <c r="BY8" s="904"/>
      <c r="BZ8" s="904"/>
      <c r="CA8" s="904"/>
      <c r="CB8" s="904"/>
      <c r="CC8" s="904"/>
      <c r="CD8" s="904"/>
      <c r="CE8" s="904"/>
      <c r="CF8" s="904"/>
      <c r="CG8" s="904"/>
      <c r="CH8" s="904"/>
      <c r="CI8" s="904"/>
      <c r="CJ8" s="904"/>
      <c r="CK8" s="904"/>
      <c r="CL8" s="904"/>
      <c r="CM8" s="904"/>
      <c r="CN8" s="904"/>
      <c r="CO8" s="904"/>
      <c r="CP8" s="904"/>
      <c r="CQ8" s="904"/>
      <c r="CR8" s="904"/>
      <c r="CS8" s="904"/>
      <c r="CT8" s="904"/>
      <c r="CU8" s="904"/>
      <c r="CV8" s="904"/>
      <c r="CW8" s="904"/>
      <c r="CX8" s="904"/>
      <c r="CY8" s="904"/>
      <c r="CZ8" s="904"/>
      <c r="DA8" s="904"/>
      <c r="DB8" s="904"/>
      <c r="DC8" s="904"/>
      <c r="DD8" s="904"/>
      <c r="DE8" s="904"/>
      <c r="DF8" s="904"/>
      <c r="DG8" s="904"/>
      <c r="DH8" s="904"/>
      <c r="DI8" s="904"/>
      <c r="DJ8" s="904"/>
      <c r="DK8" s="904"/>
      <c r="DL8" s="904"/>
      <c r="DM8" s="904"/>
      <c r="DN8" s="904"/>
      <c r="DO8" s="904"/>
      <c r="DP8" s="904"/>
      <c r="DQ8" s="904"/>
      <c r="DR8" s="904"/>
      <c r="DS8" s="904"/>
      <c r="DT8" s="904"/>
      <c r="DU8" s="904"/>
      <c r="DV8" s="904"/>
      <c r="DW8" s="904"/>
      <c r="DX8" s="904"/>
      <c r="DY8" s="904"/>
      <c r="DZ8" s="904"/>
      <c r="EA8" s="904"/>
      <c r="EB8" s="904"/>
      <c r="EC8" s="904"/>
      <c r="ED8" s="904"/>
      <c r="EE8" s="904"/>
      <c r="EF8" s="904"/>
      <c r="EG8" s="904"/>
      <c r="EH8" s="904"/>
      <c r="EI8" s="904"/>
      <c r="EJ8" s="904"/>
      <c r="EK8" s="904"/>
      <c r="EL8" s="904"/>
      <c r="EM8" s="904"/>
      <c r="EN8" s="904"/>
      <c r="EO8" s="904"/>
      <c r="EP8" s="904"/>
      <c r="EQ8" s="904"/>
      <c r="ER8" s="904"/>
      <c r="ES8" s="904"/>
      <c r="ET8" s="904"/>
      <c r="EU8" s="904"/>
      <c r="EV8" s="904"/>
      <c r="EW8" s="904"/>
      <c r="EX8" s="904"/>
      <c r="EY8" s="904"/>
      <c r="EZ8" s="904"/>
      <c r="FA8" s="904"/>
      <c r="FB8" s="904"/>
      <c r="FC8" s="904"/>
      <c r="FD8" s="904"/>
      <c r="FE8" s="904"/>
      <c r="FF8" s="904"/>
      <c r="FG8" s="904"/>
      <c r="FH8" s="904"/>
      <c r="FI8" s="904"/>
      <c r="FJ8" s="904"/>
      <c r="FK8" s="904"/>
      <c r="FL8" s="904"/>
      <c r="FM8" s="904"/>
      <c r="FN8" s="904"/>
      <c r="FO8" s="904"/>
      <c r="FP8" s="904"/>
      <c r="FQ8" s="904"/>
      <c r="FR8" s="904"/>
      <c r="FS8" s="904"/>
      <c r="FT8" s="904"/>
      <c r="FU8" s="904"/>
      <c r="FV8" s="904"/>
      <c r="FW8" s="904"/>
      <c r="FX8" s="904"/>
      <c r="FY8" s="904"/>
      <c r="FZ8" s="904"/>
      <c r="GA8" s="904"/>
      <c r="GB8" s="904"/>
      <c r="GC8" s="904"/>
      <c r="GD8" s="904"/>
      <c r="GE8" s="904"/>
      <c r="GF8" s="904"/>
      <c r="GG8" s="904"/>
      <c r="GH8" s="904"/>
      <c r="GI8" s="904"/>
      <c r="GJ8" s="904"/>
      <c r="GK8" s="904"/>
      <c r="GL8" s="904"/>
      <c r="GM8" s="904"/>
      <c r="GN8" s="904"/>
      <c r="GO8" s="904"/>
      <c r="GP8" s="904"/>
      <c r="GQ8" s="904"/>
      <c r="GR8" s="904"/>
      <c r="GS8" s="904"/>
      <c r="GT8" s="904"/>
      <c r="GU8" s="904"/>
      <c r="GV8" s="904"/>
      <c r="GW8" s="904"/>
      <c r="GX8" s="904"/>
      <c r="GY8" s="904"/>
      <c r="GZ8" s="904"/>
      <c r="HA8" s="904"/>
      <c r="HB8" s="904"/>
      <c r="HC8" s="904"/>
      <c r="HD8" s="904"/>
      <c r="HE8" s="904"/>
      <c r="HF8" s="904"/>
      <c r="HG8" s="904"/>
      <c r="HH8" s="904"/>
      <c r="HI8" s="904"/>
      <c r="HJ8" s="904"/>
      <c r="HK8" s="904"/>
      <c r="HL8" s="904"/>
      <c r="HM8" s="904"/>
      <c r="HN8" s="904"/>
      <c r="HO8" s="904"/>
      <c r="HP8" s="904"/>
      <c r="HQ8" s="904"/>
      <c r="HR8" s="904"/>
      <c r="HS8" s="904"/>
      <c r="HT8" s="904"/>
      <c r="HU8" s="904"/>
      <c r="HV8" s="904"/>
      <c r="HW8" s="904"/>
      <c r="HX8" s="904"/>
      <c r="HY8" s="904"/>
      <c r="HZ8" s="904"/>
      <c r="IA8" s="904"/>
      <c r="IB8" s="904"/>
      <c r="IC8" s="904"/>
      <c r="ID8" s="904"/>
      <c r="IE8" s="904"/>
      <c r="IF8" s="904"/>
      <c r="IG8" s="904"/>
      <c r="IH8" s="904"/>
      <c r="II8" s="904"/>
      <c r="IJ8" s="904"/>
      <c r="IK8" s="904"/>
      <c r="IL8" s="904"/>
      <c r="IM8" s="904"/>
      <c r="IN8" s="904"/>
      <c r="IO8" s="904"/>
      <c r="IP8" s="904"/>
      <c r="IQ8" s="904"/>
      <c r="IR8" s="904"/>
    </row>
    <row r="9" spans="1:252" s="1009" customFormat="1" ht="8.1" customHeight="1">
      <c r="A9" s="1010"/>
      <c r="B9" s="105"/>
      <c r="C9" s="105"/>
      <c r="D9" s="105"/>
      <c r="E9" s="105"/>
      <c r="F9" s="105"/>
      <c r="G9" s="904"/>
      <c r="H9" s="105"/>
      <c r="I9" s="105"/>
      <c r="J9" s="105"/>
      <c r="K9" s="105"/>
      <c r="L9" s="105"/>
      <c r="M9" s="105"/>
      <c r="N9" s="105"/>
      <c r="O9" s="105"/>
      <c r="P9" s="105"/>
      <c r="Q9" s="1010"/>
      <c r="R9" s="1012"/>
      <c r="S9" s="1010"/>
      <c r="T9" s="1008"/>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c r="DY9" s="904"/>
      <c r="DZ9" s="904"/>
      <c r="EA9" s="904"/>
      <c r="EB9" s="904"/>
      <c r="EC9" s="904"/>
      <c r="ED9" s="904"/>
      <c r="EE9" s="904"/>
      <c r="EF9" s="904"/>
      <c r="EG9" s="904"/>
      <c r="EH9" s="904"/>
      <c r="EI9" s="904"/>
      <c r="EJ9" s="904"/>
      <c r="EK9" s="904"/>
      <c r="EL9" s="904"/>
      <c r="EM9" s="904"/>
      <c r="EN9" s="904"/>
      <c r="EO9" s="904"/>
      <c r="EP9" s="904"/>
      <c r="EQ9" s="904"/>
      <c r="ER9" s="904"/>
      <c r="ES9" s="904"/>
      <c r="ET9" s="904"/>
      <c r="EU9" s="904"/>
      <c r="EV9" s="904"/>
      <c r="EW9" s="904"/>
      <c r="EX9" s="904"/>
      <c r="EY9" s="904"/>
      <c r="EZ9" s="904"/>
      <c r="FA9" s="904"/>
      <c r="FB9" s="904"/>
      <c r="FC9" s="904"/>
      <c r="FD9" s="904"/>
      <c r="FE9" s="904"/>
      <c r="FF9" s="904"/>
      <c r="FG9" s="904"/>
      <c r="FH9" s="904"/>
      <c r="FI9" s="904"/>
      <c r="FJ9" s="904"/>
      <c r="FK9" s="904"/>
      <c r="FL9" s="904"/>
      <c r="FM9" s="904"/>
      <c r="FN9" s="904"/>
      <c r="FO9" s="904"/>
      <c r="FP9" s="904"/>
      <c r="FQ9" s="904"/>
      <c r="FR9" s="904"/>
      <c r="FS9" s="904"/>
      <c r="FT9" s="904"/>
      <c r="FU9" s="904"/>
      <c r="FV9" s="904"/>
      <c r="FW9" s="904"/>
      <c r="FX9" s="904"/>
      <c r="FY9" s="904"/>
      <c r="FZ9" s="904"/>
      <c r="GA9" s="904"/>
      <c r="GB9" s="904"/>
      <c r="GC9" s="904"/>
      <c r="GD9" s="904"/>
      <c r="GE9" s="904"/>
      <c r="GF9" s="904"/>
      <c r="GG9" s="904"/>
      <c r="GH9" s="904"/>
      <c r="GI9" s="904"/>
      <c r="GJ9" s="904"/>
      <c r="GK9" s="904"/>
      <c r="GL9" s="904"/>
      <c r="GM9" s="904"/>
      <c r="GN9" s="904"/>
      <c r="GO9" s="904"/>
      <c r="GP9" s="904"/>
      <c r="GQ9" s="904"/>
      <c r="GR9" s="904"/>
      <c r="GS9" s="904"/>
      <c r="GT9" s="904"/>
      <c r="GU9" s="904"/>
      <c r="GV9" s="904"/>
      <c r="GW9" s="904"/>
      <c r="GX9" s="904"/>
      <c r="GY9" s="904"/>
      <c r="GZ9" s="904"/>
      <c r="HA9" s="904"/>
      <c r="HB9" s="904"/>
      <c r="HC9" s="904"/>
      <c r="HD9" s="904"/>
      <c r="HE9" s="904"/>
      <c r="HF9" s="904"/>
      <c r="HG9" s="904"/>
      <c r="HH9" s="904"/>
      <c r="HI9" s="904"/>
      <c r="HJ9" s="904"/>
      <c r="HK9" s="904"/>
      <c r="HL9" s="904"/>
      <c r="HM9" s="904"/>
      <c r="HN9" s="904"/>
      <c r="HO9" s="904"/>
      <c r="HP9" s="904"/>
      <c r="HQ9" s="904"/>
      <c r="HR9" s="904"/>
      <c r="HS9" s="904"/>
      <c r="HT9" s="904"/>
      <c r="HU9" s="904"/>
      <c r="HV9" s="904"/>
      <c r="HW9" s="904"/>
      <c r="HX9" s="904"/>
      <c r="HY9" s="904"/>
      <c r="HZ9" s="904"/>
      <c r="IA9" s="904"/>
      <c r="IB9" s="904"/>
      <c r="IC9" s="904"/>
      <c r="ID9" s="904"/>
      <c r="IE9" s="904"/>
      <c r="IF9" s="904"/>
      <c r="IG9" s="904"/>
      <c r="IH9" s="904"/>
      <c r="II9" s="904"/>
      <c r="IJ9" s="904"/>
      <c r="IK9" s="904"/>
      <c r="IL9" s="904"/>
      <c r="IM9" s="904"/>
      <c r="IN9" s="904"/>
      <c r="IO9" s="904"/>
      <c r="IP9" s="904"/>
      <c r="IQ9" s="904"/>
      <c r="IR9" s="904"/>
    </row>
    <row r="10" spans="1:252" s="1009" customFormat="1" ht="15.75">
      <c r="A10" s="1010"/>
      <c r="B10" s="105"/>
      <c r="C10" s="105"/>
      <c r="D10" s="105"/>
      <c r="E10" s="105"/>
      <c r="F10" s="105"/>
      <c r="G10" s="904"/>
      <c r="H10" s="105"/>
      <c r="I10" s="105"/>
      <c r="J10" s="105"/>
      <c r="K10" s="105"/>
      <c r="L10" s="105"/>
      <c r="M10" s="105"/>
      <c r="N10" s="105"/>
      <c r="O10" s="105"/>
      <c r="P10" s="105"/>
      <c r="Q10" s="1010"/>
      <c r="R10" s="1011"/>
      <c r="S10" s="840"/>
      <c r="T10" s="1011"/>
      <c r="U10" s="840"/>
      <c r="V10" s="840"/>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4"/>
      <c r="EU10" s="904"/>
      <c r="EV10" s="904"/>
      <c r="EW10" s="904"/>
      <c r="EX10" s="904"/>
      <c r="EY10" s="904"/>
      <c r="EZ10" s="904"/>
      <c r="FA10" s="904"/>
      <c r="FB10" s="904"/>
      <c r="FC10" s="904"/>
      <c r="FD10" s="904"/>
      <c r="FE10" s="904"/>
      <c r="FF10" s="904"/>
      <c r="FG10" s="904"/>
      <c r="FH10" s="904"/>
      <c r="FI10" s="904"/>
      <c r="FJ10" s="904"/>
      <c r="FK10" s="904"/>
      <c r="FL10" s="904"/>
      <c r="FM10" s="904"/>
      <c r="FN10" s="904"/>
      <c r="FO10" s="904"/>
      <c r="FP10" s="904"/>
      <c r="FQ10" s="904"/>
      <c r="FR10" s="904"/>
      <c r="FS10" s="904"/>
      <c r="FT10" s="904"/>
      <c r="FU10" s="904"/>
      <c r="FV10" s="904"/>
      <c r="FW10" s="904"/>
      <c r="FX10" s="904"/>
      <c r="FY10" s="904"/>
      <c r="FZ10" s="904"/>
      <c r="GA10" s="904"/>
      <c r="GB10" s="904"/>
      <c r="GC10" s="904"/>
      <c r="GD10" s="904"/>
      <c r="GE10" s="904"/>
      <c r="GF10" s="904"/>
      <c r="GG10" s="904"/>
      <c r="GH10" s="904"/>
      <c r="GI10" s="904"/>
      <c r="GJ10" s="904"/>
      <c r="GK10" s="904"/>
      <c r="GL10" s="904"/>
      <c r="GM10" s="904"/>
      <c r="GN10" s="904"/>
      <c r="GO10" s="904"/>
      <c r="GP10" s="904"/>
      <c r="GQ10" s="904"/>
      <c r="GR10" s="904"/>
      <c r="GS10" s="904"/>
      <c r="GT10" s="904"/>
      <c r="GU10" s="904"/>
      <c r="GV10" s="904"/>
      <c r="GW10" s="904"/>
      <c r="GX10" s="904"/>
      <c r="GY10" s="904"/>
      <c r="GZ10" s="904"/>
      <c r="HA10" s="904"/>
      <c r="HB10" s="904"/>
      <c r="HC10" s="904"/>
      <c r="HD10" s="904"/>
      <c r="HE10" s="904"/>
      <c r="HF10" s="904"/>
      <c r="HG10" s="904"/>
      <c r="HH10" s="904"/>
      <c r="HI10" s="904"/>
      <c r="HJ10" s="904"/>
      <c r="HK10" s="904"/>
      <c r="HL10" s="904"/>
      <c r="HM10" s="904"/>
      <c r="HN10" s="904"/>
      <c r="HO10" s="904"/>
      <c r="HP10" s="904"/>
      <c r="HQ10" s="904"/>
      <c r="HR10" s="904"/>
      <c r="HS10" s="904"/>
      <c r="HT10" s="904"/>
      <c r="HU10" s="904"/>
      <c r="HV10" s="904"/>
      <c r="HW10" s="904"/>
      <c r="HX10" s="904"/>
      <c r="HY10" s="904"/>
      <c r="HZ10" s="904"/>
      <c r="IA10" s="904"/>
      <c r="IB10" s="904"/>
      <c r="IC10" s="904"/>
      <c r="ID10" s="904"/>
      <c r="IE10" s="904"/>
      <c r="IF10" s="904"/>
      <c r="IG10" s="904"/>
      <c r="IH10" s="904"/>
      <c r="II10" s="904"/>
      <c r="IJ10" s="904"/>
      <c r="IK10" s="904"/>
      <c r="IL10" s="904"/>
      <c r="IM10" s="904"/>
      <c r="IN10" s="904"/>
      <c r="IO10" s="904"/>
      <c r="IP10" s="904"/>
      <c r="IQ10" s="904"/>
      <c r="IR10" s="904"/>
    </row>
    <row r="11" spans="1:252" s="1009" customFormat="1" ht="15.75">
      <c r="A11" s="1010"/>
      <c r="B11" s="105"/>
      <c r="C11" s="105"/>
      <c r="D11" s="105"/>
      <c r="E11" s="105"/>
      <c r="F11" s="105"/>
      <c r="G11" s="904"/>
      <c r="H11" s="105"/>
      <c r="I11" s="105"/>
      <c r="K11" s="110"/>
      <c r="L11" s="905"/>
      <c r="M11" s="905"/>
      <c r="N11" s="110"/>
      <c r="O11" s="110"/>
      <c r="P11" s="110"/>
      <c r="Q11" s="1010"/>
      <c r="R11" s="1011"/>
      <c r="S11" s="840"/>
      <c r="T11" s="1011"/>
      <c r="U11" s="840"/>
      <c r="V11" s="840"/>
      <c r="W11" s="904"/>
      <c r="X11" s="904"/>
      <c r="Y11" s="904"/>
      <c r="Z11" s="904"/>
      <c r="AA11" s="904"/>
      <c r="AB11" s="904"/>
      <c r="AC11" s="904"/>
      <c r="AD11" s="904"/>
      <c r="AE11" s="904"/>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04"/>
      <c r="BH11" s="904"/>
      <c r="BI11" s="904"/>
      <c r="BJ11" s="904"/>
      <c r="BK11" s="904"/>
      <c r="BL11" s="904"/>
      <c r="BM11" s="904"/>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4"/>
      <c r="EN11" s="904"/>
      <c r="EO11" s="904"/>
      <c r="EP11" s="904"/>
      <c r="EQ11" s="904"/>
      <c r="ER11" s="904"/>
      <c r="ES11" s="904"/>
      <c r="ET11" s="904"/>
      <c r="EU11" s="904"/>
      <c r="EV11" s="904"/>
      <c r="EW11" s="904"/>
      <c r="EX11" s="904"/>
      <c r="EY11" s="904"/>
      <c r="EZ11" s="904"/>
      <c r="FA11" s="904"/>
      <c r="FB11" s="904"/>
      <c r="FC11" s="904"/>
      <c r="FD11" s="904"/>
      <c r="FE11" s="904"/>
      <c r="FF11" s="904"/>
      <c r="FG11" s="904"/>
      <c r="FH11" s="904"/>
      <c r="FI11" s="904"/>
      <c r="FJ11" s="904"/>
      <c r="FK11" s="904"/>
      <c r="FL11" s="904"/>
      <c r="FM11" s="904"/>
      <c r="FN11" s="904"/>
      <c r="FO11" s="904"/>
      <c r="FP11" s="904"/>
      <c r="FQ11" s="904"/>
      <c r="FR11" s="904"/>
      <c r="FS11" s="904"/>
      <c r="FT11" s="904"/>
      <c r="FU11" s="904"/>
      <c r="FV11" s="904"/>
      <c r="FW11" s="904"/>
      <c r="FX11" s="904"/>
      <c r="FY11" s="904"/>
      <c r="FZ11" s="904"/>
      <c r="GA11" s="904"/>
      <c r="GB11" s="904"/>
      <c r="GC11" s="904"/>
      <c r="GD11" s="904"/>
      <c r="GE11" s="904"/>
      <c r="GF11" s="904"/>
      <c r="GG11" s="904"/>
      <c r="GH11" s="904"/>
      <c r="GI11" s="904"/>
      <c r="GJ11" s="904"/>
      <c r="GK11" s="904"/>
      <c r="GL11" s="904"/>
      <c r="GM11" s="904"/>
      <c r="GN11" s="904"/>
      <c r="GO11" s="904"/>
      <c r="GP11" s="904"/>
      <c r="GQ11" s="904"/>
      <c r="GR11" s="904"/>
      <c r="GS11" s="904"/>
      <c r="GT11" s="904"/>
      <c r="GU11" s="904"/>
      <c r="GV11" s="904"/>
      <c r="GW11" s="904"/>
      <c r="GX11" s="904"/>
      <c r="GY11" s="904"/>
      <c r="GZ11" s="904"/>
      <c r="HA11" s="904"/>
      <c r="HB11" s="904"/>
      <c r="HC11" s="904"/>
      <c r="HD11" s="904"/>
      <c r="HE11" s="904"/>
      <c r="HF11" s="904"/>
      <c r="HG11" s="904"/>
      <c r="HH11" s="904"/>
      <c r="HI11" s="904"/>
      <c r="HJ11" s="904"/>
      <c r="HK11" s="904"/>
      <c r="HL11" s="904"/>
      <c r="HM11" s="904"/>
      <c r="HN11" s="904"/>
      <c r="HO11" s="904"/>
      <c r="HP11" s="904"/>
      <c r="HQ11" s="904"/>
      <c r="HR11" s="904"/>
      <c r="HS11" s="904"/>
      <c r="HT11" s="904"/>
      <c r="HU11" s="904"/>
      <c r="HV11" s="904"/>
      <c r="HW11" s="904"/>
      <c r="HX11" s="904"/>
      <c r="HY11" s="904"/>
      <c r="HZ11" s="904"/>
      <c r="IA11" s="904"/>
      <c r="IB11" s="904"/>
      <c r="IC11" s="904"/>
      <c r="ID11" s="904"/>
      <c r="IE11" s="904"/>
      <c r="IF11" s="904"/>
      <c r="IG11" s="904"/>
      <c r="IH11" s="904"/>
      <c r="II11" s="904"/>
      <c r="IJ11" s="904"/>
      <c r="IK11" s="904"/>
      <c r="IL11" s="904"/>
      <c r="IM11" s="904"/>
      <c r="IN11" s="904"/>
      <c r="IO11" s="904"/>
      <c r="IP11" s="904"/>
      <c r="IQ11" s="904"/>
      <c r="IR11" s="904"/>
    </row>
    <row r="12" spans="1:252" ht="16.350000000000001" customHeight="1">
      <c r="A12" s="1010"/>
      <c r="B12" s="110" t="s">
        <v>80</v>
      </c>
      <c r="C12" s="1013"/>
      <c r="D12" s="110"/>
      <c r="E12" s="105"/>
      <c r="F12" s="110" t="s">
        <v>81</v>
      </c>
      <c r="G12" s="1013"/>
      <c r="H12" s="110"/>
      <c r="I12" s="105"/>
      <c r="J12" s="110" t="s">
        <v>82</v>
      </c>
      <c r="K12" s="110"/>
      <c r="L12" s="905"/>
      <c r="M12" s="110"/>
      <c r="N12" s="110"/>
      <c r="O12" s="110"/>
      <c r="P12" s="110"/>
      <c r="Q12" s="1010"/>
      <c r="R12" s="1014"/>
      <c r="S12" s="3898" t="s">
        <v>904</v>
      </c>
      <c r="T12" s="3898"/>
      <c r="U12" s="3898"/>
      <c r="V12" s="840"/>
    </row>
    <row r="13" spans="1:252" ht="13.35" customHeight="1">
      <c r="A13" s="1010"/>
      <c r="B13" s="1015"/>
      <c r="C13" s="1015"/>
      <c r="D13" s="1015"/>
      <c r="E13" s="1010"/>
      <c r="F13" s="1015"/>
      <c r="G13" s="1016"/>
      <c r="H13" s="1015"/>
      <c r="I13" s="1010"/>
      <c r="J13" s="1015"/>
      <c r="K13" s="1015"/>
      <c r="L13" s="1015"/>
      <c r="M13" s="1015"/>
      <c r="N13" s="1015"/>
      <c r="O13" s="1015"/>
      <c r="P13" s="1015"/>
      <c r="Q13" s="1010"/>
      <c r="R13" s="1017"/>
      <c r="S13" s="1010"/>
      <c r="T13" s="1018"/>
      <c r="U13" s="839"/>
      <c r="V13" s="840"/>
    </row>
    <row r="14" spans="1:252" ht="16.350000000000001" customHeight="1">
      <c r="A14" s="1010"/>
      <c r="B14" s="755" t="s">
        <v>7</v>
      </c>
      <c r="C14" s="105"/>
      <c r="D14" s="756" t="str">
        <f>'Exhibit A'!F11</f>
        <v>10 MOS. ENDED</v>
      </c>
      <c r="E14" s="105"/>
      <c r="F14" s="755" t="s">
        <v>7</v>
      </c>
      <c r="G14" s="757"/>
      <c r="H14" s="755" t="str">
        <f>D14</f>
        <v>10 MOS. ENDED</v>
      </c>
      <c r="I14" s="105"/>
      <c r="J14" s="755" t="s">
        <v>7</v>
      </c>
      <c r="K14" s="105"/>
      <c r="L14" s="755" t="str">
        <f>D14</f>
        <v>10 MOS. ENDED</v>
      </c>
      <c r="M14" s="105"/>
      <c r="N14" s="755" t="s">
        <v>7</v>
      </c>
      <c r="O14" s="105"/>
      <c r="P14" s="755" t="str">
        <f>H14</f>
        <v>10 MOS. ENDED</v>
      </c>
      <c r="Q14" s="1010"/>
      <c r="R14" s="1017"/>
      <c r="S14" s="3470" t="s">
        <v>8</v>
      </c>
      <c r="T14" s="210"/>
      <c r="U14" s="764" t="s">
        <v>9</v>
      </c>
      <c r="V14" s="840"/>
    </row>
    <row r="15" spans="1:252" ht="16.350000000000001" customHeight="1">
      <c r="A15" s="1010"/>
      <c r="B15" s="921" t="str">
        <f>'Exhibit A'!D12</f>
        <v>JAN. 2020</v>
      </c>
      <c r="C15" s="105"/>
      <c r="D15" s="921" t="str">
        <f>'Exhibit A'!F12</f>
        <v>JAN. 31, 2020</v>
      </c>
      <c r="E15" s="105"/>
      <c r="F15" s="758" t="str">
        <f>+B15</f>
        <v>JAN. 2020</v>
      </c>
      <c r="G15" s="105"/>
      <c r="H15" s="759" t="str">
        <f>D15</f>
        <v>JAN. 31, 2020</v>
      </c>
      <c r="I15" s="105"/>
      <c r="J15" s="758" t="str">
        <f>+F15</f>
        <v>JAN. 2020</v>
      </c>
      <c r="K15" s="105"/>
      <c r="L15" s="759" t="str">
        <f>D15</f>
        <v>JAN. 31, 2020</v>
      </c>
      <c r="M15" s="105"/>
      <c r="N15" s="3664" t="str">
        <f>'Exhibit A'!AB12</f>
        <v>JAN. 2019</v>
      </c>
      <c r="O15" s="105"/>
      <c r="P15" s="921" t="str">
        <f>'Exhibit A'!AD12</f>
        <v>JAN. 31, 2019</v>
      </c>
      <c r="Q15" s="1010"/>
      <c r="R15" s="1017"/>
      <c r="S15" s="3471" t="s">
        <v>12</v>
      </c>
      <c r="T15" s="209"/>
      <c r="U15" s="767" t="s">
        <v>13</v>
      </c>
      <c r="V15" s="840"/>
    </row>
    <row r="16" spans="1:252" ht="13.35" customHeight="1">
      <c r="A16" s="1010"/>
      <c r="B16" s="1012"/>
      <c r="C16" s="1010"/>
      <c r="D16" s="1012" t="s">
        <v>15</v>
      </c>
      <c r="E16" s="1010"/>
      <c r="F16" s="1015"/>
      <c r="G16" s="1010"/>
      <c r="H16" s="1019" t="s">
        <v>15</v>
      </c>
      <c r="I16" s="1012"/>
      <c r="J16" s="1020"/>
      <c r="K16" s="1010"/>
      <c r="L16" s="1021"/>
      <c r="M16" s="1012"/>
      <c r="N16" s="1012"/>
      <c r="O16" s="1010"/>
      <c r="P16" s="1012"/>
      <c r="Q16" s="1010"/>
      <c r="R16" s="1022"/>
      <c r="S16" s="840"/>
      <c r="T16" s="1012"/>
      <c r="U16" s="840"/>
      <c r="V16" s="840"/>
    </row>
    <row r="17" spans="1:245" ht="16.350000000000001" customHeight="1">
      <c r="A17" s="105" t="s">
        <v>14</v>
      </c>
      <c r="B17" s="1023"/>
      <c r="C17" s="1023"/>
      <c r="D17" s="1023"/>
      <c r="E17" s="1023"/>
      <c r="F17" s="1024"/>
      <c r="G17" s="1023"/>
      <c r="H17" s="1025"/>
      <c r="I17" s="1024"/>
      <c r="J17" s="1026"/>
      <c r="K17" s="1023"/>
      <c r="L17" s="1025"/>
      <c r="M17" s="1024"/>
      <c r="N17" s="1024"/>
      <c r="O17" s="1023"/>
      <c r="P17" s="1024"/>
      <c r="Q17" s="1010"/>
      <c r="R17" s="1027"/>
      <c r="S17" s="840"/>
      <c r="T17" s="1024"/>
      <c r="U17" s="840"/>
      <c r="V17" s="840"/>
    </row>
    <row r="18" spans="1:245" ht="16.350000000000001" customHeight="1">
      <c r="A18" s="1010" t="s">
        <v>20</v>
      </c>
      <c r="B18" s="1028">
        <f>+'Exhibit L'!T16</f>
        <v>5.2999999999999972</v>
      </c>
      <c r="C18" s="910"/>
      <c r="D18" s="909">
        <f>+'Exhibit L'!AA16</f>
        <v>118.1</v>
      </c>
      <c r="E18" s="910"/>
      <c r="F18" s="1029">
        <f>'Exhibit M'!T16</f>
        <v>0</v>
      </c>
      <c r="G18" s="910"/>
      <c r="H18" s="1030">
        <f>+'Exhibit M'!AA16</f>
        <v>1.2</v>
      </c>
      <c r="I18" s="1031"/>
      <c r="J18" s="1032">
        <f>SUM(B18)+SUM(F18)</f>
        <v>5.2999999999999972</v>
      </c>
      <c r="K18" s="910"/>
      <c r="L18" s="1030">
        <f>D18+SUM(H18)</f>
        <v>119.3</v>
      </c>
      <c r="M18" s="1031"/>
      <c r="N18" s="3665">
        <v>15.299999999999999</v>
      </c>
      <c r="O18" s="910"/>
      <c r="P18" s="3665">
        <f>'Exhibit L'!AD16+'Exhibit M'!AD16</f>
        <v>105.7</v>
      </c>
      <c r="Q18" s="1033"/>
      <c r="R18" s="1034"/>
      <c r="S18" s="1142">
        <f>ROUND(SUM(L18-P18),1)</f>
        <v>13.6</v>
      </c>
      <c r="T18" s="1035"/>
      <c r="U18" s="1418">
        <f>ROUND(IF(S18=0,0,S18/ABS(P18)),3)</f>
        <v>0.129</v>
      </c>
      <c r="V18" s="1036"/>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37"/>
      <c r="DE18" s="1037"/>
      <c r="DF18" s="1037"/>
      <c r="DG18" s="1037"/>
      <c r="DH18" s="1037"/>
      <c r="DI18" s="1037"/>
      <c r="DJ18" s="1037"/>
      <c r="DK18" s="1037"/>
      <c r="DL18" s="1037"/>
      <c r="DM18" s="1037"/>
      <c r="DN18" s="1037"/>
      <c r="DO18" s="1037"/>
      <c r="DP18" s="1037"/>
      <c r="DQ18" s="1037"/>
      <c r="DR18" s="1037"/>
      <c r="DS18" s="1037"/>
      <c r="DT18" s="1037"/>
      <c r="DU18" s="1037"/>
      <c r="DV18" s="1037"/>
      <c r="DW18" s="1037"/>
      <c r="DX18" s="1037"/>
      <c r="DY18" s="1037"/>
      <c r="DZ18" s="1037"/>
      <c r="EA18" s="1037"/>
      <c r="EB18" s="1037"/>
      <c r="EC18" s="1037"/>
      <c r="ED18" s="1037"/>
      <c r="EE18" s="1037"/>
      <c r="EF18" s="1037"/>
      <c r="EG18" s="1037"/>
      <c r="EH18" s="1037"/>
      <c r="EI18" s="1037"/>
      <c r="EJ18" s="1037"/>
      <c r="EK18" s="1037"/>
      <c r="EL18" s="1037"/>
      <c r="EM18" s="1037"/>
      <c r="EN18" s="1037"/>
      <c r="EO18" s="1037"/>
      <c r="EP18" s="1037"/>
      <c r="EQ18" s="1037"/>
      <c r="ER18" s="1037"/>
      <c r="ES18" s="1037"/>
      <c r="ET18" s="1037"/>
      <c r="EU18" s="1037"/>
      <c r="EV18" s="1037"/>
      <c r="EW18" s="1037"/>
      <c r="EX18" s="1037"/>
      <c r="EY18" s="1037"/>
      <c r="EZ18" s="1037"/>
      <c r="FA18" s="1037"/>
      <c r="FB18" s="1037"/>
      <c r="FC18" s="1037"/>
      <c r="FD18" s="1037"/>
      <c r="FE18" s="1037"/>
      <c r="FF18" s="1037"/>
      <c r="FG18" s="1037"/>
      <c r="FH18" s="1037"/>
      <c r="FI18" s="1037"/>
      <c r="FJ18" s="1037"/>
      <c r="FK18" s="1037"/>
      <c r="FL18" s="1037"/>
      <c r="FM18" s="1037"/>
      <c r="FN18" s="1037"/>
      <c r="FO18" s="1037"/>
      <c r="FP18" s="1037"/>
      <c r="FQ18" s="1037"/>
      <c r="FR18" s="1037"/>
      <c r="FS18" s="1037"/>
      <c r="FT18" s="1037"/>
      <c r="FU18" s="1037"/>
      <c r="FV18" s="1037"/>
      <c r="FW18" s="1037"/>
      <c r="FX18" s="1037"/>
      <c r="FY18" s="1037"/>
      <c r="FZ18" s="1037"/>
      <c r="GA18" s="1037"/>
      <c r="GB18" s="1037"/>
      <c r="GC18" s="1037"/>
      <c r="GD18" s="1037"/>
      <c r="GE18" s="1037"/>
      <c r="GF18" s="1037"/>
      <c r="GG18" s="1037"/>
      <c r="GH18" s="1037"/>
      <c r="GI18" s="1037"/>
      <c r="GJ18" s="1037"/>
      <c r="GK18" s="1037"/>
      <c r="GL18" s="1037"/>
      <c r="GM18" s="1037"/>
      <c r="GN18" s="1037"/>
      <c r="GO18" s="1037"/>
      <c r="GP18" s="1037"/>
      <c r="GQ18" s="1037"/>
      <c r="GR18" s="1037"/>
      <c r="GS18" s="1037"/>
      <c r="GT18" s="1037"/>
      <c r="GU18" s="1037"/>
      <c r="GV18" s="1037"/>
      <c r="GW18" s="1037"/>
      <c r="GX18" s="1037"/>
      <c r="GY18" s="1037"/>
      <c r="GZ18" s="1037"/>
      <c r="HA18" s="1037"/>
      <c r="HB18" s="1037"/>
      <c r="HC18" s="1037"/>
      <c r="HD18" s="1037"/>
      <c r="HE18" s="1037"/>
      <c r="HF18" s="1037"/>
      <c r="HG18" s="1037"/>
      <c r="HH18" s="1037"/>
      <c r="HI18" s="1037"/>
      <c r="HJ18" s="1037"/>
      <c r="HK18" s="1037"/>
      <c r="HL18" s="1037"/>
      <c r="HM18" s="1037"/>
      <c r="HN18" s="1037"/>
      <c r="HO18" s="1037"/>
      <c r="HP18" s="1037"/>
      <c r="HQ18" s="1037"/>
      <c r="HR18" s="1037"/>
      <c r="HS18" s="1037"/>
      <c r="HT18" s="1037"/>
      <c r="HU18" s="1037"/>
      <c r="HV18" s="1037"/>
      <c r="HW18" s="1037"/>
      <c r="HX18" s="1037"/>
      <c r="HY18" s="1037"/>
      <c r="HZ18" s="1037"/>
      <c r="IA18" s="1037"/>
      <c r="IB18" s="1037"/>
      <c r="IC18" s="1037"/>
      <c r="ID18" s="1037"/>
      <c r="IE18" s="1037"/>
      <c r="IF18" s="1037"/>
      <c r="IG18" s="1037"/>
      <c r="IH18" s="1037"/>
      <c r="II18" s="1037"/>
      <c r="IJ18" s="1037"/>
      <c r="IK18" s="1037"/>
    </row>
    <row r="19" spans="1:245" ht="15.75">
      <c r="A19" s="105" t="s">
        <v>22</v>
      </c>
      <c r="B19" s="111">
        <f>ROUND(SUM(B18),1)</f>
        <v>5.3</v>
      </c>
      <c r="C19" s="112"/>
      <c r="D19" s="111">
        <f>ROUND(SUM(D18),1)</f>
        <v>118.1</v>
      </c>
      <c r="E19" s="112"/>
      <c r="F19" s="113">
        <f>ROUND(SUM(F18),1)</f>
        <v>0</v>
      </c>
      <c r="G19" s="112"/>
      <c r="H19" s="114">
        <f>ROUND(SUM(H18),1)</f>
        <v>1.2</v>
      </c>
      <c r="I19" s="115"/>
      <c r="J19" s="116">
        <f>ROUND(SUM(J18),1)</f>
        <v>5.3</v>
      </c>
      <c r="K19" s="112"/>
      <c r="L19" s="114">
        <f>ROUND(SUM(L18),1)</f>
        <v>119.3</v>
      </c>
      <c r="M19" s="115"/>
      <c r="N19" s="111">
        <f>ROUND(SUM(N18),1)</f>
        <v>15.3</v>
      </c>
      <c r="O19" s="112"/>
      <c r="P19" s="111">
        <f>ROUND(SUM(P18),1)</f>
        <v>105.7</v>
      </c>
      <c r="Q19" s="757"/>
      <c r="R19" s="1038"/>
      <c r="S19" s="1065">
        <f>ROUND(SUM(S18),3)</f>
        <v>13.6</v>
      </c>
      <c r="T19" s="662"/>
      <c r="U19" s="1066">
        <f>ROUND(+S19/P19,3)</f>
        <v>0.129</v>
      </c>
      <c r="V19" s="840"/>
    </row>
    <row r="20" spans="1:245" ht="15.75">
      <c r="A20" s="105"/>
      <c r="B20" s="911"/>
      <c r="C20" s="911"/>
      <c r="D20" s="911"/>
      <c r="E20" s="911"/>
      <c r="F20" s="911"/>
      <c r="G20" s="911"/>
      <c r="H20" s="1039"/>
      <c r="I20" s="1040"/>
      <c r="J20" s="1041"/>
      <c r="K20" s="911"/>
      <c r="L20" s="1042"/>
      <c r="M20" s="1040"/>
      <c r="N20" s="1040"/>
      <c r="O20" s="911"/>
      <c r="P20" s="1040"/>
      <c r="R20" s="1027"/>
      <c r="S20" s="1064"/>
      <c r="T20" s="1024"/>
      <c r="U20" s="840"/>
      <c r="V20" s="840"/>
    </row>
    <row r="21" spans="1:245" ht="16.350000000000001" customHeight="1">
      <c r="A21" s="105" t="s">
        <v>23</v>
      </c>
      <c r="B21" s="911"/>
      <c r="C21" s="911"/>
      <c r="D21" s="911"/>
      <c r="E21" s="911"/>
      <c r="F21" s="911"/>
      <c r="G21" s="911"/>
      <c r="H21" s="1042"/>
      <c r="I21" s="1040"/>
      <c r="J21" s="1041"/>
      <c r="K21" s="911"/>
      <c r="L21" s="1042"/>
      <c r="M21" s="1040"/>
      <c r="N21" s="1040"/>
      <c r="O21" s="911"/>
      <c r="P21" s="1040"/>
      <c r="R21" s="1027"/>
      <c r="S21" s="1064"/>
      <c r="T21" s="1024"/>
      <c r="U21" s="840"/>
      <c r="V21" s="840"/>
    </row>
    <row r="22" spans="1:245" ht="16.350000000000001" customHeight="1">
      <c r="A22" s="1010" t="s">
        <v>36</v>
      </c>
      <c r="B22" s="911"/>
      <c r="C22" s="911"/>
      <c r="D22" s="911"/>
      <c r="E22" s="911"/>
      <c r="F22" s="911"/>
      <c r="G22" s="911"/>
      <c r="H22" s="1042"/>
      <c r="I22" s="1040"/>
      <c r="J22" s="1041"/>
      <c r="K22" s="911"/>
      <c r="L22" s="1042"/>
      <c r="M22" s="1040"/>
      <c r="N22" s="1040"/>
      <c r="O22" s="911"/>
      <c r="P22" s="1040"/>
      <c r="R22" s="1027"/>
      <c r="S22" s="1064"/>
      <c r="T22" s="1024"/>
      <c r="U22" s="840"/>
      <c r="V22" s="840"/>
    </row>
    <row r="23" spans="1:245" ht="16.350000000000001" customHeight="1">
      <c r="A23" s="1010" t="s">
        <v>68</v>
      </c>
      <c r="B23" s="698">
        <f>+'Exhibit L'!T22</f>
        <v>5.0999999999999952</v>
      </c>
      <c r="C23" s="911"/>
      <c r="D23" s="698">
        <f>+'Exhibit L'!AA22</f>
        <v>57.199999999999996</v>
      </c>
      <c r="E23" s="911"/>
      <c r="F23" s="1043">
        <f>+'Exhibit M'!T22</f>
        <v>0</v>
      </c>
      <c r="G23" s="911"/>
      <c r="H23" s="1044">
        <f>+'Exhibit M'!AA22</f>
        <v>0.2</v>
      </c>
      <c r="I23" s="1040"/>
      <c r="J23" s="1045">
        <f>SUM(B23)+SUM(F23)</f>
        <v>5.0999999999999952</v>
      </c>
      <c r="K23" s="911"/>
      <c r="L23" s="1046">
        <f>SUM(D23)+SUM(H23)</f>
        <v>57.4</v>
      </c>
      <c r="M23" s="1040"/>
      <c r="N23" s="1047">
        <v>5.0999999999999996</v>
      </c>
      <c r="O23" s="911"/>
      <c r="P23" s="1047">
        <f>'Exhibit L'!AD22+'Exhibit M'!AD22</f>
        <v>56.9</v>
      </c>
      <c r="R23" s="1027"/>
      <c r="S23" s="1064">
        <f>ROUND(SUM(L23-P23),1)</f>
        <v>0.5</v>
      </c>
      <c r="T23" s="1024"/>
      <c r="U23" s="1418">
        <f>ROUND(IF(S23=0,0,S23/ABS(P23)),3)</f>
        <v>8.9999999999999993E-3</v>
      </c>
      <c r="V23" s="840"/>
    </row>
    <row r="24" spans="1:245" ht="16.350000000000001" customHeight="1">
      <c r="A24" s="1010" t="s">
        <v>69</v>
      </c>
      <c r="B24" s="698">
        <f>+'Exhibit L'!T23</f>
        <v>1.3999999999999986</v>
      </c>
      <c r="C24" s="911"/>
      <c r="D24" s="1047">
        <f>+'Exhibit L'!AA23</f>
        <v>30.7</v>
      </c>
      <c r="E24" s="911"/>
      <c r="F24" s="1043">
        <f>+'Exhibit M'!T23</f>
        <v>0</v>
      </c>
      <c r="G24" s="911"/>
      <c r="H24" s="1044">
        <f>+'Exhibit M'!AA23</f>
        <v>0</v>
      </c>
      <c r="I24" s="1040"/>
      <c r="J24" s="1045">
        <f>SUM(B24)+SUM(F24)</f>
        <v>1.3999999999999986</v>
      </c>
      <c r="K24" s="911"/>
      <c r="L24" s="1046">
        <f>SUM(D24)+SUM(H24)</f>
        <v>30.7</v>
      </c>
      <c r="M24" s="1040"/>
      <c r="N24" s="1047">
        <v>1.8</v>
      </c>
      <c r="O24" s="1040"/>
      <c r="P24" s="1047">
        <f>'Exhibit L'!AD23+'Exhibit M'!AD23</f>
        <v>13.5</v>
      </c>
      <c r="R24" s="1027"/>
      <c r="S24" s="1064">
        <f>ROUND(SUM(L24-P24),1)</f>
        <v>17.2</v>
      </c>
      <c r="T24" s="1024"/>
      <c r="U24" s="1418">
        <f>ROUND(IF(S24=0,0,S24/ABS(P24)),3)</f>
        <v>1.274</v>
      </c>
      <c r="V24" s="840"/>
    </row>
    <row r="25" spans="1:245" ht="16.350000000000001" customHeight="1">
      <c r="A25" s="1010" t="s">
        <v>70</v>
      </c>
      <c r="B25" s="698">
        <f>+'Exhibit L'!T24</f>
        <v>4.999999999999992</v>
      </c>
      <c r="C25" s="911"/>
      <c r="D25" s="1048">
        <f>+'Exhibit L'!AA24</f>
        <v>33.299999999999997</v>
      </c>
      <c r="E25" s="911"/>
      <c r="F25" s="1043">
        <f>+'Exhibit M'!T24</f>
        <v>0</v>
      </c>
      <c r="G25" s="911"/>
      <c r="H25" s="1049">
        <f>+'Exhibit M'!AA24</f>
        <v>0.1</v>
      </c>
      <c r="I25" s="1040"/>
      <c r="J25" s="1045">
        <f>SUM(B25)+SUM(F25)</f>
        <v>4.999999999999992</v>
      </c>
      <c r="K25" s="911"/>
      <c r="L25" s="1050">
        <f>SUM(D25)+SUM(H25)</f>
        <v>33.4</v>
      </c>
      <c r="M25" s="1040"/>
      <c r="N25" s="1047">
        <v>5</v>
      </c>
      <c r="O25" s="3666"/>
      <c r="P25" s="1047">
        <f>'Exhibit L'!AD24+'Exhibit M'!AD24</f>
        <v>40.9</v>
      </c>
      <c r="R25" s="1027"/>
      <c r="S25" s="1064">
        <f>ROUND(SUM(L25-P25),1)</f>
        <v>-7.5</v>
      </c>
      <c r="T25" s="1024"/>
      <c r="U25" s="2286">
        <f>ROUND(IF(P25=0,1,S25/ABS(P25)),3)</f>
        <v>-0.183</v>
      </c>
      <c r="V25" s="840"/>
    </row>
    <row r="26" spans="1:245" ht="15.75">
      <c r="A26" s="105" t="s">
        <v>58</v>
      </c>
      <c r="B26" s="111">
        <f>ROUND(SUM(B23:B25),1)</f>
        <v>11.5</v>
      </c>
      <c r="C26" s="112"/>
      <c r="D26" s="111">
        <f>ROUND(SUM(D23:D25),1)</f>
        <v>121.2</v>
      </c>
      <c r="E26" s="112"/>
      <c r="F26" s="111">
        <f>ROUND(SUM(F23:F25),1)</f>
        <v>0</v>
      </c>
      <c r="G26" s="112"/>
      <c r="H26" s="114">
        <f>ROUND(SUM(H23:H25),1)</f>
        <v>0.3</v>
      </c>
      <c r="I26" s="115"/>
      <c r="J26" s="116">
        <f>ROUND(SUM(J23:J25),1)</f>
        <v>11.5</v>
      </c>
      <c r="K26" s="112"/>
      <c r="L26" s="114">
        <f>ROUND(SUM(L23:L25),1)</f>
        <v>121.5</v>
      </c>
      <c r="M26" s="115"/>
      <c r="N26" s="111">
        <f>ROUND(SUM(N23:N25),1)</f>
        <v>11.9</v>
      </c>
      <c r="O26" s="112"/>
      <c r="P26" s="111">
        <f>ROUND(SUM(P23:P25),1)</f>
        <v>111.3</v>
      </c>
      <c r="Q26" s="757"/>
      <c r="R26" s="1006"/>
      <c r="S26" s="1065">
        <f>ROUND(SUM(S23:S25),3)</f>
        <v>10.199999999999999</v>
      </c>
      <c r="T26" s="662"/>
      <c r="U26" s="1473">
        <f>ROUND(S26/P26,3)</f>
        <v>9.1999999999999998E-2</v>
      </c>
      <c r="V26" s="840"/>
    </row>
    <row r="27" spans="1:245" ht="15.75">
      <c r="A27" s="105"/>
      <c r="B27" s="911"/>
      <c r="C27" s="911"/>
      <c r="D27" s="911"/>
      <c r="E27" s="911"/>
      <c r="F27" s="911"/>
      <c r="G27" s="911"/>
      <c r="H27" s="1042"/>
      <c r="I27" s="1040"/>
      <c r="J27" s="1041"/>
      <c r="K27" s="911"/>
      <c r="L27" s="1042"/>
      <c r="M27" s="1040"/>
      <c r="N27" s="1040"/>
      <c r="O27" s="911"/>
      <c r="P27" s="1040"/>
      <c r="R27" s="1027"/>
      <c r="S27" s="1064"/>
      <c r="T27" s="1024"/>
      <c r="U27" s="840"/>
      <c r="V27" s="840"/>
    </row>
    <row r="28" spans="1:245" ht="16.350000000000001" customHeight="1">
      <c r="A28" s="105" t="s">
        <v>44</v>
      </c>
      <c r="B28" s="911"/>
      <c r="C28" s="911"/>
      <c r="D28" s="911"/>
      <c r="E28" s="911"/>
      <c r="F28" s="911"/>
      <c r="G28" s="911"/>
      <c r="H28" s="1042"/>
      <c r="I28" s="1040"/>
      <c r="J28" s="1041"/>
      <c r="K28" s="911"/>
      <c r="L28" s="1042"/>
      <c r="M28" s="1040"/>
      <c r="N28" s="1040"/>
      <c r="O28" s="911"/>
      <c r="P28" s="1040"/>
      <c r="R28" s="1027"/>
      <c r="S28" s="1064"/>
      <c r="T28" s="1024"/>
      <c r="U28" s="840"/>
      <c r="V28" s="840"/>
    </row>
    <row r="29" spans="1:245" ht="15.75">
      <c r="A29" s="105" t="s">
        <v>72</v>
      </c>
      <c r="B29" s="120">
        <f>ROUND(SUM(B19-B26),1)</f>
        <v>-6.2</v>
      </c>
      <c r="C29" s="112"/>
      <c r="D29" s="120">
        <f>ROUND(SUM(D19-D26),1)</f>
        <v>-3.1</v>
      </c>
      <c r="E29" s="112"/>
      <c r="F29" s="120">
        <f>ROUND(SUM(F19-F26),1)</f>
        <v>0</v>
      </c>
      <c r="G29" s="112"/>
      <c r="H29" s="121">
        <f>ROUND(SUM(H19-H26),1)</f>
        <v>0.9</v>
      </c>
      <c r="I29" s="115"/>
      <c r="J29" s="122">
        <f>ROUND(SUM(J19-J26),1)</f>
        <v>-6.2</v>
      </c>
      <c r="K29" s="115"/>
      <c r="L29" s="121">
        <f>ROUND(SUM(L19-L26),1)</f>
        <v>-2.2000000000000002</v>
      </c>
      <c r="M29" s="115"/>
      <c r="N29" s="120">
        <f>ROUND(SUM(N19-N26),1)</f>
        <v>3.4</v>
      </c>
      <c r="O29" s="115"/>
      <c r="P29" s="120">
        <f>ROUND(SUM(P19-P26),1)</f>
        <v>-5.6</v>
      </c>
      <c r="Q29" s="757"/>
      <c r="R29" s="1027"/>
      <c r="S29" s="1606">
        <f>ROUND(SUM(L29-P29),1)</f>
        <v>3.4</v>
      </c>
      <c r="T29" s="1024"/>
      <c r="U29" s="2181">
        <f>ROUND(IF(P29=0,1,S29/ABS(P29)),3)</f>
        <v>0.60699999999999998</v>
      </c>
      <c r="V29" s="840"/>
    </row>
    <row r="30" spans="1:245">
      <c r="A30" s="1010"/>
      <c r="B30" s="911"/>
      <c r="C30" s="911"/>
      <c r="D30" s="911"/>
      <c r="E30" s="911"/>
      <c r="F30" s="911"/>
      <c r="G30" s="911"/>
      <c r="H30" s="1042"/>
      <c r="I30" s="1040"/>
      <c r="J30" s="1041"/>
      <c r="K30" s="911"/>
      <c r="L30" s="1042"/>
      <c r="M30" s="1040"/>
      <c r="N30" s="1040"/>
      <c r="O30" s="911"/>
      <c r="P30" s="1040"/>
      <c r="R30" s="1027"/>
      <c r="S30" s="1064"/>
      <c r="T30" s="1024"/>
      <c r="U30" s="840"/>
      <c r="V30" s="840"/>
    </row>
    <row r="31" spans="1:245" ht="16.350000000000001" customHeight="1">
      <c r="A31" s="105" t="s">
        <v>46</v>
      </c>
      <c r="B31" s="911"/>
      <c r="C31" s="911"/>
      <c r="D31" s="911"/>
      <c r="E31" s="911"/>
      <c r="F31" s="911"/>
      <c r="G31" s="911"/>
      <c r="H31" s="1042"/>
      <c r="I31" s="1040"/>
      <c r="J31" s="1041"/>
      <c r="K31" s="911"/>
      <c r="L31" s="1042"/>
      <c r="M31" s="1040"/>
      <c r="N31" s="1040"/>
      <c r="O31" s="911"/>
      <c r="P31" s="1040"/>
      <c r="R31" s="1027"/>
      <c r="S31" s="1064"/>
      <c r="T31" s="1024"/>
      <c r="U31" s="840"/>
      <c r="V31" s="840"/>
    </row>
    <row r="32" spans="1:245" ht="16.350000000000001" customHeight="1">
      <c r="A32" s="1010" t="s">
        <v>48</v>
      </c>
      <c r="B32" s="1043">
        <f>+'Exhibit L'!T31</f>
        <v>0</v>
      </c>
      <c r="C32" s="911"/>
      <c r="D32" s="1043">
        <f>+'Exhibit L'!AA31</f>
        <v>0</v>
      </c>
      <c r="E32" s="911"/>
      <c r="F32" s="1043">
        <f>+'Exhibit M'!T31</f>
        <v>0</v>
      </c>
      <c r="G32" s="698"/>
      <c r="H32" s="1051">
        <f>+'Exhibit M'!AA31</f>
        <v>0</v>
      </c>
      <c r="I32" s="1040"/>
      <c r="J32" s="1052">
        <f>SUM(B32)+SUM(F32)</f>
        <v>0</v>
      </c>
      <c r="K32" s="911"/>
      <c r="L32" s="1044">
        <f>SUM(D32)+SUM(H32)</f>
        <v>0</v>
      </c>
      <c r="M32" s="1040"/>
      <c r="N32" s="1047">
        <v>0</v>
      </c>
      <c r="O32" s="1040"/>
      <c r="P32" s="1048">
        <f>'Exhibit L'!AD31+'Exhibit M'!AD31</f>
        <v>0</v>
      </c>
      <c r="R32" s="1053"/>
      <c r="S32" s="1064">
        <f>ROUND(SUM(L32-P32),1)</f>
        <v>0</v>
      </c>
      <c r="T32" s="682"/>
      <c r="U32" s="1418">
        <f>ROUND(IF(S32=0,0,S32/ABS(P32)),3)</f>
        <v>0</v>
      </c>
      <c r="V32" s="840"/>
    </row>
    <row r="33" spans="1:245" ht="16.350000000000001" customHeight="1">
      <c r="A33" s="1010" t="s">
        <v>73</v>
      </c>
      <c r="B33" s="1043">
        <f>+'Exhibit L'!TP32</f>
        <v>0</v>
      </c>
      <c r="C33" s="911"/>
      <c r="D33" s="1054">
        <f>+'Exhibit L'!AA32</f>
        <v>0</v>
      </c>
      <c r="E33" s="911"/>
      <c r="F33" s="1043">
        <f>+'Exhibit M'!T32</f>
        <v>0</v>
      </c>
      <c r="G33" s="911"/>
      <c r="H33" s="1051">
        <f>+'Exhibit M'!AA32</f>
        <v>0</v>
      </c>
      <c r="I33" s="1040"/>
      <c r="J33" s="1052">
        <f>SUM(B33)+SUM(F33)</f>
        <v>0</v>
      </c>
      <c r="K33" s="911"/>
      <c r="L33" s="1055">
        <f>SUM(D33)+SUM(H33)</f>
        <v>0</v>
      </c>
      <c r="M33" s="1040"/>
      <c r="N33" s="1047">
        <v>0</v>
      </c>
      <c r="O33" s="3666"/>
      <c r="P33" s="1048">
        <f>'Exhibit L'!AD32+'Exhibit M'!AD32</f>
        <v>0</v>
      </c>
      <c r="R33" s="1056"/>
      <c r="S33" s="1064">
        <f>ROUND(SUM(L33-P33),1)</f>
        <v>0</v>
      </c>
      <c r="T33" s="682"/>
      <c r="U33" s="1418">
        <f>ROUND(IF(S33=0,0,S33/ABS(P33)),3)</f>
        <v>0</v>
      </c>
      <c r="V33" s="840"/>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7"/>
      <c r="S34" s="3472">
        <f>ROUND(SUM(S32-S33),3)</f>
        <v>0</v>
      </c>
      <c r="T34" s="1436"/>
      <c r="U34" s="1098">
        <f>ROUND(IF(P34=0,0,S34/ABS(P34)),3)</f>
        <v>0</v>
      </c>
      <c r="V34" s="840"/>
    </row>
    <row r="35" spans="1:245" ht="15.75">
      <c r="A35" s="105"/>
      <c r="B35" s="1058"/>
      <c r="C35" s="911"/>
      <c r="D35" s="1058"/>
      <c r="E35" s="911"/>
      <c r="F35" s="1040"/>
      <c r="G35" s="911"/>
      <c r="H35" s="1042"/>
      <c r="I35" s="1040"/>
      <c r="J35" s="1041"/>
      <c r="K35" s="911"/>
      <c r="L35" s="1059"/>
      <c r="M35" s="1040"/>
      <c r="N35" s="1040"/>
      <c r="O35" s="911"/>
      <c r="P35" s="1040"/>
      <c r="R35" s="1027"/>
      <c r="S35" s="1064"/>
      <c r="T35" s="1024"/>
      <c r="U35" s="840"/>
      <c r="V35" s="840"/>
    </row>
    <row r="36" spans="1:245" ht="15.75" customHeight="1">
      <c r="A36" s="105" t="s">
        <v>44</v>
      </c>
      <c r="B36" s="911"/>
      <c r="C36" s="911"/>
      <c r="D36" s="911"/>
      <c r="E36" s="911"/>
      <c r="F36" s="911"/>
      <c r="G36" s="911"/>
      <c r="H36" s="1042"/>
      <c r="I36" s="1040"/>
      <c r="J36" s="1041"/>
      <c r="K36" s="911"/>
      <c r="L36" s="1042"/>
      <c r="M36" s="1040"/>
      <c r="N36" s="1040"/>
      <c r="O36" s="911"/>
      <c r="P36" s="1040"/>
      <c r="R36" s="1027"/>
      <c r="S36" s="1064"/>
      <c r="T36" s="1024"/>
      <c r="U36" s="840"/>
      <c r="V36" s="840"/>
    </row>
    <row r="37" spans="1:245" ht="15.75" customHeight="1">
      <c r="A37" s="105" t="s">
        <v>74</v>
      </c>
      <c r="B37" s="911"/>
      <c r="C37" s="911"/>
      <c r="D37" s="911"/>
      <c r="E37" s="911"/>
      <c r="F37" s="911"/>
      <c r="G37" s="911"/>
      <c r="H37" s="1042"/>
      <c r="I37" s="1040"/>
      <c r="J37" s="1041"/>
      <c r="K37" s="911"/>
      <c r="L37" s="1042"/>
      <c r="M37" s="1040"/>
      <c r="N37" s="1040"/>
      <c r="O37" s="911"/>
      <c r="P37" s="1040"/>
      <c r="R37" s="1027"/>
      <c r="S37" s="1064"/>
      <c r="T37" s="1024"/>
      <c r="U37" s="840"/>
      <c r="V37" s="840"/>
    </row>
    <row r="38" spans="1:245" ht="15.75" customHeight="1">
      <c r="A38" s="105" t="s">
        <v>75</v>
      </c>
      <c r="B38" s="911"/>
      <c r="C38" s="911"/>
      <c r="D38" s="911"/>
      <c r="E38" s="911"/>
      <c r="F38" s="1060"/>
      <c r="G38" s="911"/>
      <c r="H38" s="1042"/>
      <c r="I38" s="1040"/>
      <c r="J38" s="1041"/>
      <c r="K38" s="911"/>
      <c r="L38" s="1042"/>
      <c r="M38" s="1040"/>
      <c r="N38" s="1040"/>
      <c r="O38" s="911"/>
      <c r="P38" s="1040"/>
      <c r="R38" s="1027"/>
      <c r="S38" s="1064"/>
      <c r="T38" s="1024"/>
      <c r="U38" s="840"/>
      <c r="V38" s="840"/>
    </row>
    <row r="39" spans="1:245" ht="15.75" customHeight="1">
      <c r="A39" s="105" t="s">
        <v>76</v>
      </c>
      <c r="B39" s="128">
        <f>ROUND(SUM(B29+B34),1)</f>
        <v>-6.2</v>
      </c>
      <c r="C39" s="112"/>
      <c r="D39" s="128">
        <f>ROUND(SUM(D29+D34),1)</f>
        <v>-3.1</v>
      </c>
      <c r="E39" s="112"/>
      <c r="F39" s="128">
        <f>ROUND(SUM(F29+F34),1)</f>
        <v>0</v>
      </c>
      <c r="G39" s="112"/>
      <c r="H39" s="129">
        <f>ROUND(SUM(H29+H34),1)</f>
        <v>0.9</v>
      </c>
      <c r="I39" s="115"/>
      <c r="J39" s="130">
        <f>ROUND(SUM(J29+J34),1)</f>
        <v>-6.2</v>
      </c>
      <c r="K39" s="112"/>
      <c r="L39" s="129">
        <f>ROUND(SUM(L29+L34),1)</f>
        <v>-2.2000000000000002</v>
      </c>
      <c r="M39" s="115"/>
      <c r="N39" s="128">
        <f>ROUND(SUM(N29+N34),1)</f>
        <v>3.4</v>
      </c>
      <c r="O39" s="115"/>
      <c r="P39" s="128">
        <f>ROUND(SUM(P29+P34),1)</f>
        <v>-5.6</v>
      </c>
      <c r="Q39" s="757"/>
      <c r="R39" s="1027"/>
      <c r="S39" s="1499">
        <f>ROUND(SUM(L39-P39),1)</f>
        <v>3.4</v>
      </c>
      <c r="T39" s="1024"/>
      <c r="U39" s="2182">
        <f>ROUND(IF(P39=0,1,S39/ABS(P39)),3)</f>
        <v>0.60699999999999998</v>
      </c>
      <c r="V39" s="840"/>
    </row>
    <row r="40" spans="1:245" ht="15.75">
      <c r="A40" s="105"/>
      <c r="B40" s="911"/>
      <c r="C40" s="911"/>
      <c r="D40" s="911"/>
      <c r="E40" s="911"/>
      <c r="F40" s="911"/>
      <c r="G40" s="911"/>
      <c r="H40" s="1042"/>
      <c r="I40" s="1040"/>
      <c r="J40" s="1041"/>
      <c r="K40" s="911"/>
      <c r="L40" s="1042"/>
      <c r="M40" s="1040"/>
      <c r="N40" s="1040"/>
      <c r="O40" s="911"/>
      <c r="P40" s="1040"/>
      <c r="R40" s="1027"/>
      <c r="T40" s="1428"/>
      <c r="U40" s="936"/>
      <c r="V40" s="840"/>
    </row>
    <row r="41" spans="1:245" s="757" customFormat="1" ht="15.75">
      <c r="A41" s="105" t="s">
        <v>53</v>
      </c>
      <c r="B41" s="131">
        <f>+'Exhibit L'!T13</f>
        <v>0.1</v>
      </c>
      <c r="C41" s="112"/>
      <c r="D41" s="131">
        <f>+'Exhibit L'!AA13</f>
        <v>-3</v>
      </c>
      <c r="E41" s="112"/>
      <c r="F41" s="131">
        <f>+'Exhibit M'!T13</f>
        <v>14.1</v>
      </c>
      <c r="G41" s="112"/>
      <c r="H41" s="132">
        <f>+'Exhibit M'!AA13</f>
        <v>13.2</v>
      </c>
      <c r="I41" s="115"/>
      <c r="J41" s="133">
        <f>ROUND(SUM(B41)+SUM(F41),1)</f>
        <v>14.2</v>
      </c>
      <c r="K41" s="112"/>
      <c r="L41" s="129">
        <f>ROUND(SUM(D41+H41),1)</f>
        <v>10.199999999999999</v>
      </c>
      <c r="M41" s="115"/>
      <c r="N41" s="120">
        <v>0.9000000000000008</v>
      </c>
      <c r="O41" s="112"/>
      <c r="P41" s="120">
        <f>'Exhibit L'!AD13+'Exhibit M'!AD13</f>
        <v>9.9</v>
      </c>
      <c r="R41" s="1007"/>
      <c r="S41" s="1664">
        <f>ROUND(SUM(+L41-P41),1)</f>
        <v>0.3</v>
      </c>
      <c r="T41" s="91"/>
      <c r="U41" s="1419">
        <f>ROUND(IF(S41=0,0,S41/ABS(P41)),3)</f>
        <v>0.03</v>
      </c>
      <c r="V41" s="1061"/>
    </row>
    <row r="42" spans="1:245" ht="16.5" thickBot="1">
      <c r="A42" s="105" t="s">
        <v>78</v>
      </c>
      <c r="B42" s="134">
        <f>ROUND(SUM(B41)+SUM(B39),1)</f>
        <v>-6.1</v>
      </c>
      <c r="C42" s="135"/>
      <c r="D42" s="134">
        <f>ROUND(SUM(D41)+SUM(D39),1)</f>
        <v>-6.1</v>
      </c>
      <c r="E42" s="135"/>
      <c r="F42" s="136">
        <f>ROUND(SUM(F41)+SUM(F39),1)</f>
        <v>14.1</v>
      </c>
      <c r="G42" s="137"/>
      <c r="H42" s="816">
        <f>ROUND(SUM(H41)+SUM(H39),1)</f>
        <v>14.1</v>
      </c>
      <c r="I42" s="817"/>
      <c r="J42" s="816">
        <f>ROUND(SUM(J41)+SUM(J39),1)</f>
        <v>8</v>
      </c>
      <c r="K42" s="139"/>
      <c r="L42" s="138">
        <f>ROUND(SUM(L41)+SUM(L39),1)</f>
        <v>8</v>
      </c>
      <c r="M42" s="139"/>
      <c r="N42" s="816">
        <f>ROUND(SUM(N41)+SUM(N39),1)</f>
        <v>4.3</v>
      </c>
      <c r="O42" s="139"/>
      <c r="P42" s="816">
        <f>ROUND(SUM(P41)+SUM(P39),1)</f>
        <v>4.3</v>
      </c>
      <c r="Q42" s="263"/>
      <c r="R42" s="1034"/>
      <c r="S42" s="3473">
        <f>ROUND(SUM(S39+S41),3)</f>
        <v>3.7</v>
      </c>
      <c r="T42" s="1217"/>
      <c r="U42" s="3718">
        <f>ROUND(S42/P42,3)</f>
        <v>0.86</v>
      </c>
      <c r="V42" s="840"/>
    </row>
    <row r="43" spans="1:245" ht="15.75" thickTop="1">
      <c r="A43" s="1010"/>
      <c r="B43" s="1062"/>
      <c r="C43" s="1033"/>
      <c r="D43" s="1062"/>
      <c r="E43" s="1033"/>
      <c r="F43" s="1062"/>
      <c r="G43" s="1033"/>
      <c r="H43" s="1062"/>
      <c r="I43" s="1035"/>
      <c r="J43" s="1062"/>
      <c r="K43" s="1033"/>
      <c r="L43" s="1062"/>
      <c r="M43" s="1033"/>
      <c r="N43" s="1062"/>
      <c r="O43" s="1033"/>
      <c r="P43" s="1062"/>
      <c r="Q43" s="1033"/>
      <c r="R43" s="1063"/>
      <c r="S43" s="1036"/>
      <c r="T43" s="1063"/>
      <c r="U43" s="1036"/>
      <c r="V43" s="1036"/>
      <c r="W43" s="1037"/>
      <c r="X43" s="1037"/>
      <c r="Y43" s="1037"/>
      <c r="Z43" s="1037"/>
      <c r="AA43" s="1037"/>
      <c r="AB43" s="1037"/>
      <c r="AC43" s="1037"/>
      <c r="AD43" s="1037"/>
      <c r="AE43" s="1037"/>
      <c r="AF43" s="1037"/>
      <c r="AG43" s="1037"/>
      <c r="AH43" s="1037"/>
      <c r="AI43" s="1037"/>
      <c r="AJ43" s="1037"/>
      <c r="AK43" s="1037"/>
      <c r="AL43" s="1037"/>
      <c r="AM43" s="1037"/>
      <c r="AN43" s="1037"/>
      <c r="AO43" s="1037"/>
      <c r="AP43" s="1037"/>
      <c r="AQ43" s="1037"/>
      <c r="AR43" s="1037"/>
      <c r="AS43" s="1037"/>
      <c r="AT43" s="1037"/>
      <c r="AU43" s="1037"/>
      <c r="AV43" s="1037"/>
      <c r="AW43" s="1037"/>
      <c r="AX43" s="1037"/>
      <c r="AY43" s="1037"/>
      <c r="AZ43" s="1037"/>
      <c r="BA43" s="1037"/>
      <c r="BB43" s="1037"/>
      <c r="BC43" s="1037"/>
      <c r="BD43" s="1037"/>
      <c r="BE43" s="1037"/>
      <c r="BF43" s="1037"/>
      <c r="BG43" s="1037"/>
      <c r="BH43" s="1037"/>
      <c r="BI43" s="1037"/>
      <c r="BJ43" s="1037"/>
      <c r="BK43" s="1037"/>
      <c r="BL43" s="1037"/>
      <c r="BM43" s="1037"/>
      <c r="BN43" s="1037"/>
      <c r="BO43" s="1037"/>
      <c r="BP43" s="1037"/>
      <c r="BQ43" s="1037"/>
      <c r="BR43" s="1037"/>
      <c r="BS43" s="1037"/>
      <c r="BT43" s="1037"/>
      <c r="BU43" s="1037"/>
      <c r="BV43" s="1037"/>
      <c r="BW43" s="1037"/>
      <c r="BX43" s="1037"/>
      <c r="BY43" s="1037"/>
      <c r="BZ43" s="1037"/>
      <c r="CA43" s="1037"/>
      <c r="CB43" s="1037"/>
      <c r="CC43" s="1037"/>
      <c r="CD43" s="1037"/>
      <c r="CE43" s="1037"/>
      <c r="CF43" s="1037"/>
      <c r="CG43" s="1037"/>
      <c r="CH43" s="1037"/>
      <c r="CI43" s="1037"/>
      <c r="CJ43" s="1037"/>
      <c r="CK43" s="1037"/>
      <c r="CL43" s="1037"/>
      <c r="CM43" s="1037"/>
      <c r="CN43" s="1037"/>
      <c r="CO43" s="1037"/>
      <c r="CP43" s="1037"/>
      <c r="CQ43" s="1037"/>
      <c r="CR43" s="1037"/>
      <c r="CS43" s="1037"/>
      <c r="CT43" s="1037"/>
      <c r="CU43" s="1037"/>
      <c r="CV43" s="1037"/>
      <c r="CW43" s="1037"/>
      <c r="CX43" s="1037"/>
      <c r="CY43" s="1037"/>
      <c r="CZ43" s="1037"/>
      <c r="DA43" s="1037"/>
      <c r="DB43" s="1037"/>
      <c r="DC43" s="1037"/>
      <c r="DD43" s="1037"/>
      <c r="DE43" s="1037"/>
      <c r="DF43" s="1037"/>
      <c r="DG43" s="1037"/>
      <c r="DH43" s="1037"/>
      <c r="DI43" s="1037"/>
      <c r="DJ43" s="1037"/>
      <c r="DK43" s="1037"/>
      <c r="DL43" s="1037"/>
      <c r="DM43" s="1037"/>
      <c r="DN43" s="1037"/>
      <c r="DO43" s="1037"/>
      <c r="DP43" s="1037"/>
      <c r="DQ43" s="1037"/>
      <c r="DR43" s="1037"/>
      <c r="DS43" s="1037"/>
      <c r="DT43" s="1037"/>
      <c r="DU43" s="1037"/>
      <c r="DV43" s="1037"/>
      <c r="DW43" s="1037"/>
      <c r="DX43" s="1037"/>
      <c r="DY43" s="1037"/>
      <c r="DZ43" s="1037"/>
      <c r="EA43" s="1037"/>
      <c r="EB43" s="1037"/>
      <c r="EC43" s="1037"/>
      <c r="ED43" s="1037"/>
      <c r="EE43" s="1037"/>
      <c r="EF43" s="1037"/>
      <c r="EG43" s="1037"/>
      <c r="EH43" s="1037"/>
      <c r="EI43" s="1037"/>
      <c r="EJ43" s="1037"/>
      <c r="EK43" s="1037"/>
      <c r="EL43" s="1037"/>
      <c r="EM43" s="1037"/>
      <c r="EN43" s="1037"/>
      <c r="EO43" s="1037"/>
      <c r="EP43" s="1037"/>
      <c r="EQ43" s="1037"/>
      <c r="ER43" s="1037"/>
      <c r="ES43" s="1037"/>
      <c r="ET43" s="1037"/>
      <c r="EU43" s="1037"/>
      <c r="EV43" s="1037"/>
      <c r="EW43" s="1037"/>
      <c r="EX43" s="1037"/>
      <c r="EY43" s="1037"/>
      <c r="EZ43" s="1037"/>
      <c r="FA43" s="1037"/>
      <c r="FB43" s="1037"/>
      <c r="FC43" s="1037"/>
      <c r="FD43" s="1037"/>
      <c r="FE43" s="1037"/>
      <c r="FF43" s="1037"/>
      <c r="FG43" s="1037"/>
      <c r="FH43" s="1037"/>
      <c r="FI43" s="1037"/>
      <c r="FJ43" s="1037"/>
      <c r="FK43" s="1037"/>
      <c r="FL43" s="1037"/>
      <c r="FM43" s="1037"/>
      <c r="FN43" s="1037"/>
      <c r="FO43" s="1037"/>
      <c r="FP43" s="1037"/>
      <c r="FQ43" s="1037"/>
      <c r="FR43" s="1037"/>
      <c r="FS43" s="1037"/>
      <c r="FT43" s="1037"/>
      <c r="FU43" s="1037"/>
      <c r="FV43" s="1037"/>
      <c r="FW43" s="1037"/>
      <c r="FX43" s="1037"/>
      <c r="FY43" s="1037"/>
      <c r="FZ43" s="1037"/>
      <c r="GA43" s="1037"/>
      <c r="GB43" s="1037"/>
      <c r="GC43" s="1037"/>
      <c r="GD43" s="1037"/>
      <c r="GE43" s="1037"/>
      <c r="GF43" s="1037"/>
      <c r="GG43" s="1037"/>
      <c r="GH43" s="1037"/>
      <c r="GI43" s="1037"/>
      <c r="GJ43" s="1037"/>
      <c r="GK43" s="1037"/>
      <c r="GL43" s="1037"/>
      <c r="GM43" s="1037"/>
      <c r="GN43" s="1037"/>
      <c r="GO43" s="1037"/>
      <c r="GP43" s="1037"/>
      <c r="GQ43" s="1037"/>
      <c r="GR43" s="1037"/>
      <c r="GS43" s="1037"/>
      <c r="GT43" s="1037"/>
      <c r="GU43" s="1037"/>
      <c r="GV43" s="1037"/>
      <c r="GW43" s="1037"/>
      <c r="GX43" s="1037"/>
      <c r="GY43" s="1037"/>
      <c r="GZ43" s="1037"/>
      <c r="HA43" s="1037"/>
      <c r="HB43" s="1037"/>
      <c r="HC43" s="1037"/>
      <c r="HD43" s="1037"/>
      <c r="HE43" s="1037"/>
      <c r="HF43" s="1037"/>
      <c r="HG43" s="1037"/>
      <c r="HH43" s="1037"/>
      <c r="HI43" s="1037"/>
      <c r="HJ43" s="1037"/>
      <c r="HK43" s="1037"/>
      <c r="HL43" s="1037"/>
      <c r="HM43" s="1037"/>
      <c r="HN43" s="1037"/>
      <c r="HO43" s="1037"/>
      <c r="HP43" s="1037"/>
      <c r="HQ43" s="1037"/>
      <c r="HR43" s="1037"/>
      <c r="HS43" s="1037"/>
      <c r="HT43" s="1037"/>
      <c r="HU43" s="1037"/>
      <c r="HV43" s="1037"/>
      <c r="HW43" s="1037"/>
      <c r="HX43" s="1037"/>
      <c r="HY43" s="1037"/>
      <c r="HZ43" s="1037"/>
      <c r="IA43" s="1037"/>
      <c r="IB43" s="1037"/>
      <c r="IC43" s="1037"/>
      <c r="ID43" s="1037"/>
      <c r="IE43" s="1037"/>
      <c r="IF43" s="1037"/>
      <c r="IG43" s="1037"/>
      <c r="IH43" s="1037"/>
      <c r="II43" s="1037"/>
      <c r="IJ43" s="1037"/>
      <c r="IK43" s="1037"/>
    </row>
    <row r="44" spans="1:245">
      <c r="A44" s="1010"/>
      <c r="B44" s="1010"/>
      <c r="C44" s="1010"/>
      <c r="D44" s="1010"/>
      <c r="E44" s="1010"/>
      <c r="F44" s="1009"/>
      <c r="G44" s="1010"/>
      <c r="H44" s="1010"/>
      <c r="I44" s="1010"/>
      <c r="J44" s="1010"/>
      <c r="K44" s="1010"/>
      <c r="L44" s="1010"/>
      <c r="M44" s="1010"/>
      <c r="N44" s="1010"/>
      <c r="O44" s="1010"/>
      <c r="P44" s="1010"/>
      <c r="Q44" s="1010"/>
      <c r="R44" s="1011"/>
      <c r="S44" s="1386"/>
      <c r="T44" s="1011"/>
      <c r="U44" s="840"/>
      <c r="V44" s="840"/>
    </row>
    <row r="45" spans="1:245">
      <c r="A45" s="1010"/>
      <c r="B45" s="1010"/>
      <c r="C45" s="1010"/>
      <c r="D45" s="1010"/>
      <c r="E45" s="1010"/>
      <c r="F45" s="1009" t="s">
        <v>15</v>
      </c>
      <c r="G45" s="1010"/>
      <c r="H45" s="1010"/>
      <c r="I45" s="1010"/>
      <c r="J45" s="1010"/>
      <c r="K45" s="1010"/>
      <c r="L45" s="1010"/>
      <c r="N45" s="1010"/>
      <c r="O45" s="1010"/>
      <c r="P45" s="1010"/>
      <c r="Q45" s="1010"/>
      <c r="R45" s="1011"/>
      <c r="S45" s="840"/>
      <c r="T45" s="1011"/>
      <c r="U45" s="840"/>
      <c r="V45" s="840"/>
    </row>
    <row r="46" spans="1:245">
      <c r="A46" s="907"/>
      <c r="B46" s="1010"/>
      <c r="C46" s="1010"/>
      <c r="D46" s="1010"/>
      <c r="E46" s="1010"/>
      <c r="F46" s="1010"/>
      <c r="G46" s="1010"/>
      <c r="H46" s="1010"/>
      <c r="I46" s="1010"/>
      <c r="J46" s="1010"/>
      <c r="K46" s="1010"/>
      <c r="L46" s="1010"/>
      <c r="M46" s="1010"/>
      <c r="N46" s="1010"/>
      <c r="O46" s="1010"/>
      <c r="P46" s="1010"/>
      <c r="Q46" s="1010"/>
      <c r="R46" s="1011"/>
      <c r="S46" s="840"/>
      <c r="T46" s="1011"/>
      <c r="U46" s="840"/>
      <c r="V46" s="840"/>
    </row>
    <row r="47" spans="1:245">
      <c r="A47" s="1010"/>
      <c r="B47" s="1010"/>
      <c r="C47" s="1010"/>
      <c r="D47" s="1010"/>
      <c r="E47" s="1010"/>
      <c r="F47" s="1010"/>
      <c r="G47" s="1010"/>
      <c r="H47" s="1010"/>
      <c r="I47" s="1010"/>
      <c r="J47" s="1010"/>
      <c r="K47" s="1010"/>
      <c r="L47" s="1010"/>
      <c r="M47" s="1010"/>
      <c r="N47" s="1010"/>
      <c r="O47" s="1010"/>
      <c r="P47" s="1010"/>
      <c r="Q47" s="1010"/>
      <c r="R47" s="1011"/>
      <c r="S47" s="840"/>
      <c r="T47" s="1011"/>
      <c r="U47" s="840"/>
      <c r="V47" s="840"/>
    </row>
    <row r="48" spans="1:245">
      <c r="A48" s="1010"/>
      <c r="B48" s="1010"/>
      <c r="C48" s="1010"/>
      <c r="D48" s="1010"/>
      <c r="E48" s="1010"/>
      <c r="F48" s="1010"/>
      <c r="G48" s="1010"/>
      <c r="H48" s="1010"/>
      <c r="I48" s="1010"/>
      <c r="J48" s="1010"/>
      <c r="K48" s="1010"/>
      <c r="L48" s="1010"/>
      <c r="M48" s="1010"/>
      <c r="N48" s="1010"/>
      <c r="O48" s="1010"/>
      <c r="P48" s="1010"/>
      <c r="Q48" s="1010"/>
      <c r="R48" s="1011"/>
      <c r="S48" s="840"/>
      <c r="T48" s="1011"/>
      <c r="U48" s="840"/>
      <c r="V48" s="840"/>
    </row>
    <row r="49" spans="1:22">
      <c r="A49" s="1010"/>
      <c r="B49" s="1010"/>
      <c r="C49" s="1010"/>
      <c r="D49" s="1010"/>
      <c r="E49" s="1010"/>
      <c r="F49" s="1010"/>
      <c r="G49" s="1010"/>
      <c r="H49" s="1010"/>
      <c r="I49" s="1010"/>
      <c r="J49" s="1010"/>
      <c r="K49" s="1010"/>
      <c r="L49" s="1010"/>
      <c r="M49" s="1010"/>
      <c r="N49" s="1010"/>
      <c r="O49" s="1010"/>
      <c r="P49" s="1010"/>
      <c r="Q49" s="1010"/>
      <c r="R49" s="1011"/>
      <c r="S49" s="840"/>
      <c r="T49" s="1011"/>
      <c r="U49" s="840"/>
      <c r="V49" s="840"/>
    </row>
    <row r="50" spans="1:22">
      <c r="A50" s="1010"/>
      <c r="B50" s="1010"/>
      <c r="C50" s="1010"/>
      <c r="D50" s="1010"/>
      <c r="E50" s="1010"/>
      <c r="F50" s="1010"/>
      <c r="G50" s="1010"/>
      <c r="H50" s="1010"/>
      <c r="I50" s="1010"/>
      <c r="J50" s="1010"/>
      <c r="K50" s="1010"/>
      <c r="L50" s="1010"/>
      <c r="M50" s="1010"/>
      <c r="N50" s="1010"/>
      <c r="O50" s="1010"/>
      <c r="P50" s="1010"/>
      <c r="Q50" s="1010"/>
      <c r="R50" s="1011"/>
      <c r="S50" s="840"/>
      <c r="T50" s="1011"/>
      <c r="U50" s="840"/>
      <c r="V50" s="840"/>
    </row>
    <row r="51" spans="1:22">
      <c r="A51" s="1010"/>
      <c r="B51" s="1010"/>
      <c r="C51" s="1010"/>
      <c r="D51" s="1010"/>
      <c r="E51" s="1010"/>
      <c r="F51" s="1010"/>
      <c r="G51" s="1010"/>
      <c r="H51" s="1010"/>
      <c r="I51" s="1010"/>
      <c r="J51" s="1010"/>
      <c r="K51" s="1010"/>
      <c r="L51" s="1010"/>
      <c r="M51" s="1010"/>
      <c r="N51" s="1010"/>
      <c r="O51" s="1010"/>
      <c r="P51" s="1010"/>
      <c r="Q51" s="1010"/>
      <c r="R51" s="1011"/>
      <c r="S51" s="840"/>
      <c r="T51" s="1011"/>
      <c r="U51" s="840"/>
      <c r="V51" s="840"/>
    </row>
    <row r="52" spans="1:22">
      <c r="A52" s="1010"/>
      <c r="B52" s="1010"/>
      <c r="C52" s="1010"/>
      <c r="D52" s="1010"/>
      <c r="E52" s="1010"/>
      <c r="F52" s="1010"/>
      <c r="G52" s="1010"/>
      <c r="H52" s="1010"/>
      <c r="I52" s="1010"/>
      <c r="J52" s="1010"/>
      <c r="K52" s="1010"/>
      <c r="L52" s="1010"/>
      <c r="M52" s="1010"/>
      <c r="N52" s="1010"/>
      <c r="O52" s="1010"/>
      <c r="P52" s="1010"/>
      <c r="Q52" s="1010"/>
      <c r="R52" s="1011"/>
      <c r="S52" s="840"/>
      <c r="T52" s="1011"/>
      <c r="U52" s="840"/>
      <c r="V52" s="840"/>
    </row>
    <row r="53" spans="1:22">
      <c r="A53" s="1010"/>
      <c r="B53" s="1010"/>
      <c r="C53" s="1010"/>
      <c r="D53" s="1010"/>
      <c r="E53" s="1010"/>
      <c r="F53" s="1010"/>
      <c r="G53" s="1010"/>
      <c r="H53" s="1010"/>
      <c r="I53" s="1010"/>
      <c r="J53" s="1010"/>
      <c r="K53" s="1010"/>
      <c r="L53" s="1010"/>
      <c r="M53" s="1010"/>
      <c r="N53" s="1010"/>
      <c r="O53" s="1010"/>
      <c r="P53" s="1010"/>
      <c r="Q53" s="1010"/>
      <c r="R53" s="1011"/>
      <c r="S53" s="840"/>
      <c r="T53" s="1011"/>
      <c r="U53" s="840"/>
      <c r="V53" s="840"/>
    </row>
    <row r="54" spans="1:22">
      <c r="A54" s="1010"/>
      <c r="B54" s="1010"/>
      <c r="C54" s="1010"/>
      <c r="D54" s="1010"/>
      <c r="E54" s="1010"/>
      <c r="F54" s="1010"/>
      <c r="G54" s="1010"/>
      <c r="H54" s="1010"/>
      <c r="I54" s="1010"/>
      <c r="J54" s="1010"/>
      <c r="K54" s="1010"/>
      <c r="L54" s="1010"/>
      <c r="M54" s="1010"/>
      <c r="N54" s="1010"/>
      <c r="O54" s="1010"/>
      <c r="P54" s="1010"/>
      <c r="Q54" s="1010"/>
      <c r="R54" s="1011"/>
      <c r="S54" s="840"/>
      <c r="T54" s="1011"/>
      <c r="U54" s="840"/>
      <c r="V54" s="840"/>
    </row>
    <row r="55" spans="1:22">
      <c r="A55" s="1010"/>
      <c r="B55" s="1010"/>
      <c r="C55" s="1010"/>
      <c r="D55" s="1010"/>
      <c r="E55" s="1010"/>
      <c r="F55" s="1010"/>
      <c r="G55" s="1010"/>
      <c r="H55" s="1010"/>
      <c r="I55" s="1010"/>
      <c r="J55" s="1010"/>
      <c r="K55" s="1010"/>
      <c r="L55" s="1010"/>
      <c r="M55" s="1010"/>
      <c r="N55" s="1010"/>
      <c r="O55" s="1010"/>
      <c r="P55" s="1010"/>
      <c r="Q55" s="1010"/>
      <c r="R55" s="1011"/>
      <c r="S55" s="840"/>
      <c r="T55" s="1011"/>
      <c r="U55" s="840"/>
      <c r="V55" s="840"/>
    </row>
    <row r="56" spans="1:22">
      <c r="A56" s="1010"/>
      <c r="B56" s="1010"/>
      <c r="C56" s="1010"/>
      <c r="D56" s="1010"/>
      <c r="E56" s="1010"/>
      <c r="F56" s="1010"/>
      <c r="G56" s="1010"/>
      <c r="H56" s="1010"/>
      <c r="I56" s="1010"/>
      <c r="J56" s="1010"/>
      <c r="K56" s="1010"/>
      <c r="L56" s="1010"/>
      <c r="M56" s="1010"/>
      <c r="N56" s="1010"/>
      <c r="O56" s="1010"/>
      <c r="P56" s="1010"/>
      <c r="Q56" s="1010"/>
      <c r="R56" s="1012"/>
      <c r="S56" s="1010"/>
    </row>
    <row r="57" spans="1:22">
      <c r="A57" s="1010"/>
      <c r="B57" s="1010"/>
      <c r="C57" s="1010"/>
      <c r="D57" s="1010"/>
      <c r="E57" s="1010"/>
      <c r="F57" s="1010"/>
      <c r="G57" s="1010"/>
      <c r="H57" s="1010"/>
      <c r="I57" s="1010"/>
      <c r="J57" s="1010"/>
      <c r="K57" s="1010"/>
      <c r="L57" s="1010"/>
      <c r="M57" s="1010"/>
      <c r="N57" s="1010"/>
      <c r="O57" s="1010"/>
      <c r="P57" s="1010"/>
      <c r="Q57" s="1010"/>
      <c r="R57" s="1012"/>
      <c r="S57" s="1010"/>
    </row>
    <row r="58" spans="1:22">
      <c r="A58" s="1010"/>
      <c r="B58" s="1010"/>
      <c r="C58" s="1010"/>
      <c r="D58" s="1010"/>
      <c r="E58" s="1010"/>
      <c r="F58" s="1010"/>
      <c r="G58" s="1010"/>
      <c r="H58" s="1010"/>
      <c r="I58" s="1010"/>
      <c r="J58" s="1010"/>
      <c r="K58" s="1010"/>
      <c r="L58" s="1010"/>
      <c r="M58" s="1010"/>
      <c r="N58" s="1010"/>
      <c r="O58" s="1010"/>
      <c r="P58" s="1010"/>
      <c r="Q58" s="1010"/>
      <c r="R58" s="1012"/>
      <c r="S58" s="1010"/>
    </row>
    <row r="59" spans="1:22">
      <c r="A59" s="1010"/>
      <c r="B59" s="1010"/>
      <c r="C59" s="1010"/>
      <c r="D59" s="1010"/>
      <c r="E59" s="1010"/>
      <c r="F59" s="1010"/>
      <c r="G59" s="1010"/>
      <c r="H59" s="1010"/>
      <c r="I59" s="1010"/>
      <c r="J59" s="1010"/>
      <c r="K59" s="1010"/>
      <c r="L59" s="1010"/>
      <c r="M59" s="1010"/>
      <c r="N59" s="1010"/>
      <c r="O59" s="1010"/>
      <c r="P59" s="1010"/>
      <c r="Q59" s="1010"/>
      <c r="R59" s="1012"/>
      <c r="S59" s="1010"/>
    </row>
    <row r="60" spans="1:22">
      <c r="A60" s="1010"/>
      <c r="B60" s="1010"/>
      <c r="C60" s="1010"/>
      <c r="D60" s="1010"/>
      <c r="E60" s="1010"/>
      <c r="F60" s="1010"/>
      <c r="G60" s="1010"/>
      <c r="H60" s="1010"/>
      <c r="I60" s="1010"/>
      <c r="J60" s="1010"/>
      <c r="K60" s="1010"/>
      <c r="L60" s="1010"/>
      <c r="M60" s="1010"/>
      <c r="N60" s="1010"/>
      <c r="O60" s="1010"/>
      <c r="P60" s="1010"/>
      <c r="Q60" s="1010"/>
      <c r="R60" s="1012"/>
      <c r="S60" s="1010"/>
    </row>
    <row r="61" spans="1:22">
      <c r="A61" s="1010"/>
      <c r="B61" s="1010"/>
      <c r="C61" s="1010"/>
      <c r="D61" s="1010"/>
      <c r="E61" s="1010"/>
      <c r="F61" s="1010"/>
      <c r="G61" s="1010"/>
      <c r="H61" s="1010"/>
      <c r="I61" s="1010"/>
      <c r="J61" s="1010"/>
      <c r="K61" s="1010"/>
      <c r="L61" s="1010"/>
      <c r="M61" s="1010"/>
      <c r="N61" s="1010"/>
      <c r="O61" s="1010"/>
      <c r="P61" s="1010"/>
      <c r="Q61" s="1010"/>
      <c r="R61" s="1012"/>
      <c r="S61" s="1010"/>
    </row>
  </sheetData>
  <mergeCells count="1">
    <mergeCell ref="S12:U12"/>
  </mergeCells>
  <pageMargins left="0.25" right="0" top="0.5" bottom="0.5" header="0" footer="0.25"/>
  <pageSetup scale="57"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2" style="101" customWidth="1"/>
    <col min="9" max="9" width="14.88671875" style="101" customWidth="1"/>
    <col min="10" max="10" width="2.109375" style="101" customWidth="1"/>
    <col min="11" max="11" width="14.109375" style="101" customWidth="1"/>
    <col min="12" max="16384" width="8.88671875" style="101"/>
  </cols>
  <sheetData>
    <row r="1" spans="1:11">
      <c r="A1" s="939" t="s">
        <v>979</v>
      </c>
    </row>
    <row r="2" spans="1:11">
      <c r="A2" s="841"/>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99" t="s">
        <v>1397</v>
      </c>
      <c r="B5" s="3900"/>
      <c r="C5" s="3900"/>
      <c r="D5" s="3900"/>
      <c r="E5" s="3900"/>
      <c r="F5" s="143"/>
      <c r="G5" s="146"/>
      <c r="H5" s="143"/>
      <c r="I5" s="143"/>
      <c r="J5" s="143"/>
      <c r="K5" s="143"/>
    </row>
    <row r="6" spans="1:11" ht="17.25" customHeight="1">
      <c r="A6" s="836" t="s">
        <v>1564</v>
      </c>
      <c r="B6" s="147"/>
      <c r="C6" s="148"/>
      <c r="D6" s="143"/>
      <c r="E6" s="148"/>
      <c r="F6" s="143"/>
      <c r="G6" s="143"/>
      <c r="H6" s="143"/>
      <c r="I6" s="143"/>
      <c r="J6" s="143"/>
      <c r="K6" s="143"/>
    </row>
    <row r="7" spans="1:11" ht="18">
      <c r="A7" s="191" t="s">
        <v>1417</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901" t="s">
        <v>1147</v>
      </c>
      <c r="D11" s="3901"/>
      <c r="E11" s="3901"/>
      <c r="F11" s="3901"/>
      <c r="G11" s="3901"/>
      <c r="H11" s="3901"/>
      <c r="I11" s="3901"/>
      <c r="J11" s="1193"/>
      <c r="K11" s="1194"/>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885</v>
      </c>
      <c r="J13" s="153"/>
      <c r="K13" s="153" t="s">
        <v>885</v>
      </c>
    </row>
    <row r="14" spans="1:11" ht="15.75">
      <c r="A14" s="31"/>
      <c r="B14" s="151"/>
      <c r="C14" s="154" t="s">
        <v>1094</v>
      </c>
      <c r="D14" s="152"/>
      <c r="E14" s="153" t="s">
        <v>1095</v>
      </c>
      <c r="F14" s="152"/>
      <c r="G14" s="152"/>
      <c r="H14" s="152"/>
      <c r="I14" s="153" t="s">
        <v>86</v>
      </c>
      <c r="J14" s="153"/>
      <c r="K14" s="153" t="s">
        <v>86</v>
      </c>
    </row>
    <row r="15" spans="1:11" ht="15.75">
      <c r="A15" s="31"/>
      <c r="B15" s="151"/>
      <c r="C15" s="153" t="s">
        <v>1133</v>
      </c>
      <c r="D15" s="152"/>
      <c r="E15" s="153" t="s">
        <v>1133</v>
      </c>
      <c r="F15" s="152"/>
      <c r="G15" s="152"/>
      <c r="H15" s="152"/>
      <c r="I15" s="153" t="s">
        <v>1094</v>
      </c>
      <c r="J15" s="153"/>
      <c r="K15" s="153" t="s">
        <v>1095</v>
      </c>
    </row>
    <row r="16" spans="1:11" ht="15.75">
      <c r="A16" s="31"/>
      <c r="B16" s="151"/>
      <c r="C16" s="153" t="s">
        <v>1134</v>
      </c>
      <c r="D16" s="152"/>
      <c r="E16" s="153" t="s">
        <v>1447</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5" t="s">
        <v>88</v>
      </c>
      <c r="B19" s="160" t="s">
        <v>15</v>
      </c>
      <c r="C19" s="161"/>
      <c r="D19" s="160"/>
      <c r="E19" s="161"/>
      <c r="F19" s="160"/>
      <c r="G19" s="99"/>
      <c r="H19" s="160"/>
      <c r="I19" s="99"/>
      <c r="J19" s="99"/>
      <c r="K19" s="52"/>
    </row>
    <row r="20" spans="1:13">
      <c r="A20" s="162" t="s">
        <v>89</v>
      </c>
      <c r="B20" s="160" t="s">
        <v>15</v>
      </c>
      <c r="C20" s="1931">
        <f>'Exh D General Fund  '!C20+'Exh D Special Revenue'!C20+'Exh D Debt Service'!C20</f>
        <v>44912</v>
      </c>
      <c r="D20" s="2199"/>
      <c r="E20" s="1931">
        <f>+'Exh D General Fund  '!E20+'Exh D Special Revenue'!E20+'Exh D Debt Service'!E20</f>
        <v>46074</v>
      </c>
      <c r="F20" s="163"/>
      <c r="G20" s="50">
        <f>+'Exh D General Fund  '!G20+'Exh D Special Revenue'!G20+'Exh D Debt Service'!G20</f>
        <v>46216.399999999994</v>
      </c>
      <c r="H20" s="163"/>
      <c r="I20" s="50">
        <f>ROUND(SUM(G20)-SUM(C20),1)</f>
        <v>1304.4000000000001</v>
      </c>
      <c r="J20" s="164"/>
      <c r="K20" s="50">
        <f>ROUND(SUM(G20)-SUM(E20),1)</f>
        <v>142.4</v>
      </c>
      <c r="M20" s="1195"/>
    </row>
    <row r="21" spans="1:13">
      <c r="A21" s="835" t="s">
        <v>90</v>
      </c>
      <c r="B21" s="158" t="s">
        <v>15</v>
      </c>
      <c r="C21" s="118">
        <f>+'Exh D General Fund  '!C21+'Exh D Debt Service'!C21+'Exh D Special Revenue'!C21+'Exh D Capital Projects'!C20</f>
        <v>15464</v>
      </c>
      <c r="D21" s="118"/>
      <c r="E21" s="118">
        <f>+'Exh D General Fund  '!E21+'Exh D Special Revenue'!E21+'Exh D Debt Service'!E21+'Exh D Capital Projects'!E20</f>
        <v>15307</v>
      </c>
      <c r="F21" s="66"/>
      <c r="G21" s="66">
        <f>+'Exh D General Fund  '!G21+'Exh D Special Revenue'!G21+'Exh D Debt Service'!G21+'Exh D Capital Projects'!G20</f>
        <v>15314.2</v>
      </c>
      <c r="H21" s="66"/>
      <c r="I21" s="66">
        <f t="shared" ref="I21:I25" si="0">ROUND(SUM(G21)-SUM(C21),1)</f>
        <v>-149.80000000000001</v>
      </c>
      <c r="J21" s="164"/>
      <c r="K21" s="66">
        <f>ROUND(SUM(G21)-SUM(E21),1)</f>
        <v>7.2</v>
      </c>
      <c r="M21" s="1195"/>
    </row>
    <row r="22" spans="1:13" ht="15" customHeight="1">
      <c r="A22" s="835" t="s">
        <v>91</v>
      </c>
      <c r="B22" s="160" t="s">
        <v>15</v>
      </c>
      <c r="C22" s="118">
        <f>+'Exh D General Fund  '!C22+'Exh D Special Revenue'!C22+'Exh D Capital Projects'!C21</f>
        <v>6155</v>
      </c>
      <c r="D22" s="119"/>
      <c r="E22" s="118">
        <f>+'Exh D General Fund  '!E22+'Exh D Special Revenue'!E22+'Exh D Capital Projects'!E21</f>
        <v>6572</v>
      </c>
      <c r="F22" s="77"/>
      <c r="G22" s="66">
        <f>+'Exh D General Fund  '!G22+'Exh D Special Revenue'!G22+'Exh D Capital Projects'!G21</f>
        <v>6595.2</v>
      </c>
      <c r="H22" s="77"/>
      <c r="I22" s="66">
        <f t="shared" si="0"/>
        <v>440.2</v>
      </c>
      <c r="J22" s="164"/>
      <c r="K22" s="66">
        <f t="shared" ref="K22:K25" si="1">ROUND(SUM(G22)-SUM(E22),1)</f>
        <v>23.2</v>
      </c>
      <c r="M22" s="1195"/>
    </row>
    <row r="23" spans="1:13" ht="14.25" customHeight="1">
      <c r="A23" s="835" t="s">
        <v>92</v>
      </c>
      <c r="B23" s="158" t="s">
        <v>15</v>
      </c>
      <c r="C23" s="118">
        <f>+'Exh D General Fund  '!C23+'Exh D Capital Projects'!C22+'Exh D Debt Service'!C22</f>
        <v>1910</v>
      </c>
      <c r="D23" s="118"/>
      <c r="E23" s="118">
        <f>+'Exh D General Fund  '!E23+'Exh D Debt Service'!E22+'Exh D Capital Projects'!E22</f>
        <v>1876</v>
      </c>
      <c r="F23" s="66"/>
      <c r="G23" s="66">
        <f>+'Exh D General Fund  '!G23+'Exh D Debt Service'!G22+'Exh D Capital Projects'!G22</f>
        <v>1875.7</v>
      </c>
      <c r="H23" s="66"/>
      <c r="I23" s="66">
        <f t="shared" si="0"/>
        <v>-34.299999999999997</v>
      </c>
      <c r="J23" s="164"/>
      <c r="K23" s="66">
        <f t="shared" si="1"/>
        <v>-0.3</v>
      </c>
      <c r="M23" s="1195"/>
    </row>
    <row r="24" spans="1:13">
      <c r="A24" s="835" t="s">
        <v>20</v>
      </c>
      <c r="B24" s="158" t="s">
        <v>15</v>
      </c>
      <c r="C24" s="118">
        <f>+'Exh D General Fund  '!C24+'Exh D Special Revenue'!C23+'Exh D Debt Service'!C23+'Exh D Capital Projects'!C23</f>
        <v>23328</v>
      </c>
      <c r="D24" s="118"/>
      <c r="E24" s="118">
        <f>+'Exh D General Fund  '!E24+'Exh D Special Revenue'!E23+'Exh D Debt Service'!E23+'Exh D Capital Projects'!E23</f>
        <v>23114</v>
      </c>
      <c r="F24" s="66"/>
      <c r="G24" s="66">
        <f>+'Exh D General Fund  '!G24+'Exh D Special Revenue'!G23+'Exh D Debt Service'!G23+'Exh D Capital Projects'!G23</f>
        <v>23490.1</v>
      </c>
      <c r="H24" s="66"/>
      <c r="I24" s="66">
        <f t="shared" si="0"/>
        <v>162.1</v>
      </c>
      <c r="J24" s="165"/>
      <c r="K24" s="66">
        <f t="shared" si="1"/>
        <v>376.1</v>
      </c>
      <c r="M24" s="1195"/>
    </row>
    <row r="25" spans="1:13" ht="15" customHeight="1">
      <c r="A25" s="835" t="s">
        <v>21</v>
      </c>
      <c r="B25" s="158" t="s">
        <v>15</v>
      </c>
      <c r="C25" s="690">
        <f>+'Exh D General Fund  '!C25+'Exh D Debt Service'!C24+'Exh D Special Revenue'!C24+'Exh D Capital Projects'!C24</f>
        <v>54005</v>
      </c>
      <c r="D25" s="118"/>
      <c r="E25" s="690">
        <f>+'Exh D General Fund  '!E25+'Exh D Special Revenue'!E24+'Exh D Debt Service'!E24+'Exh D Capital Projects'!E24</f>
        <v>55228</v>
      </c>
      <c r="F25" s="66"/>
      <c r="G25" s="277">
        <f>+'Exh D General Fund  '!G25+'Exh D Special Revenue'!G24+'Exh D Debt Service'!G24+'Exh D Capital Projects'!G24</f>
        <v>55464.200000000004</v>
      </c>
      <c r="H25" s="66"/>
      <c r="I25" s="66">
        <f t="shared" si="0"/>
        <v>1459.2</v>
      </c>
      <c r="J25" s="165"/>
      <c r="K25" s="66">
        <f t="shared" si="1"/>
        <v>236.2</v>
      </c>
      <c r="M25" s="1195"/>
    </row>
    <row r="26" spans="1:13" ht="15.75">
      <c r="A26" s="173" t="s">
        <v>93</v>
      </c>
      <c r="B26" s="151" t="s">
        <v>15</v>
      </c>
      <c r="C26" s="1524">
        <f>ROUND(SUM(C20:C25),1)</f>
        <v>145774</v>
      </c>
      <c r="D26" s="112"/>
      <c r="E26" s="1524">
        <f>ROUND(SUM(E20:E25),1)</f>
        <v>148171</v>
      </c>
      <c r="F26" s="62"/>
      <c r="G26" s="215">
        <f>ROUND(SUM(G20:G25),1)</f>
        <v>148955.79999999999</v>
      </c>
      <c r="H26" s="62"/>
      <c r="I26" s="215">
        <f>ROUND(SUM(I20:I25),1)</f>
        <v>3181.8</v>
      </c>
      <c r="J26" s="166"/>
      <c r="K26" s="215">
        <f>ROUND(SUM(K20:K25),1)</f>
        <v>784.8</v>
      </c>
      <c r="M26" s="1195"/>
    </row>
    <row r="27" spans="1:13">
      <c r="A27" s="31"/>
      <c r="B27" s="158" t="s">
        <v>15</v>
      </c>
      <c r="C27" s="126"/>
      <c r="D27" s="118"/>
      <c r="E27" s="126"/>
      <c r="F27" s="66"/>
      <c r="G27" s="88"/>
      <c r="H27" s="66"/>
      <c r="I27" s="88"/>
      <c r="J27" s="59"/>
      <c r="K27" s="88"/>
      <c r="M27" s="1195"/>
    </row>
    <row r="28" spans="1:13" ht="15.75">
      <c r="A28" s="29" t="s">
        <v>23</v>
      </c>
      <c r="B28" s="158" t="s">
        <v>15</v>
      </c>
      <c r="C28" s="118"/>
      <c r="D28" s="118"/>
      <c r="E28" s="118"/>
      <c r="F28" s="66"/>
      <c r="G28" s="66"/>
      <c r="H28" s="66"/>
      <c r="I28" s="66"/>
      <c r="J28" s="165"/>
      <c r="K28" s="56"/>
      <c r="M28" s="1195"/>
    </row>
    <row r="29" spans="1:13">
      <c r="A29" s="835" t="s">
        <v>94</v>
      </c>
      <c r="B29" s="158" t="s">
        <v>15</v>
      </c>
      <c r="C29" s="690">
        <f>+'Exh D General Fund  '!C34+'Exh D Special Revenue'!C29+'Exh D Capital Projects'!C30</f>
        <v>104778</v>
      </c>
      <c r="D29" s="118"/>
      <c r="E29" s="690">
        <f>+'Exh D General Fund  '!E34+'Exh D Special Revenue'!E29+'Exh D Capital Projects'!E30</f>
        <v>105372</v>
      </c>
      <c r="F29" s="66"/>
      <c r="G29" s="277">
        <f>+'Exh D General Fund  '!G34+'Exh D Special Revenue'!G29+'Exh D Capital Projects'!G30</f>
        <v>105839.5</v>
      </c>
      <c r="H29" s="66"/>
      <c r="I29" s="66">
        <f>ROUND(SUM(G29)-SUM(C29),1)</f>
        <v>1061.5</v>
      </c>
      <c r="J29" s="165"/>
      <c r="K29" s="66">
        <f>ROUND(SUM(G29)-SUM(E29),1)</f>
        <v>467.5</v>
      </c>
      <c r="M29" s="1195"/>
    </row>
    <row r="30" spans="1:13">
      <c r="A30" s="835" t="s">
        <v>95</v>
      </c>
      <c r="B30" s="158" t="s">
        <v>15</v>
      </c>
      <c r="C30" s="119">
        <f>+'Exh D General Fund  '!C35+'Exh D Special Revenue'!C30+'Exh D Debt Service'!C29</f>
        <v>18357</v>
      </c>
      <c r="D30" s="118"/>
      <c r="E30" s="119">
        <f>+'Exh D General Fund  '!E35+'Exh D Special Revenue'!E30+'Exh D Debt Service'!E29</f>
        <v>18253</v>
      </c>
      <c r="F30" s="66"/>
      <c r="G30" s="77">
        <f>+'Exh D General Fund  '!G35+'Exh D Special Revenue'!G30+'Exh D Debt Service'!G29</f>
        <v>18128.099999999999</v>
      </c>
      <c r="H30" s="66"/>
      <c r="I30" s="66">
        <f>ROUND(SUM(G30)-SUM(C30),1)</f>
        <v>-228.9</v>
      </c>
      <c r="J30" s="165"/>
      <c r="K30" s="66">
        <f t="shared" ref="K30:K33" si="2">ROUND(SUM(G30)-SUM(E30),1)</f>
        <v>-124.9</v>
      </c>
      <c r="M30" s="1195"/>
    </row>
    <row r="31" spans="1:13">
      <c r="A31" s="835" t="s">
        <v>70</v>
      </c>
      <c r="B31" s="158" t="s">
        <v>15</v>
      </c>
      <c r="C31" s="690">
        <f>+'Exh D General Fund  '!C36+'Exh D Special Revenue'!C31</f>
        <v>7770</v>
      </c>
      <c r="D31" s="118"/>
      <c r="E31" s="690">
        <f>+'Exh D General Fund  '!E36+'Exh D Special Revenue'!E31</f>
        <v>7726</v>
      </c>
      <c r="F31" s="66"/>
      <c r="G31" s="277">
        <f>+'Exh D General Fund  '!G36+'Exh D Special Revenue'!G31</f>
        <v>7680.9000000000005</v>
      </c>
      <c r="H31" s="66"/>
      <c r="I31" s="66">
        <f>ROUND(SUM(G31)-SUM(C31),1)</f>
        <v>-89.1</v>
      </c>
      <c r="J31" s="165"/>
      <c r="K31" s="66">
        <f t="shared" si="2"/>
        <v>-45.1</v>
      </c>
      <c r="M31" s="1195"/>
    </row>
    <row r="32" spans="1:13">
      <c r="A32" s="835" t="s">
        <v>96</v>
      </c>
      <c r="B32" s="158" t="s">
        <v>15</v>
      </c>
      <c r="C32" s="119">
        <f>+'Exh D Debt Service'!C30</f>
        <v>1563</v>
      </c>
      <c r="D32" s="118"/>
      <c r="E32" s="119">
        <f>+'Exh D Debt Service'!E30</f>
        <v>1557</v>
      </c>
      <c r="F32" s="66"/>
      <c r="G32" s="77">
        <f>+'Exh D Debt Service'!G30</f>
        <v>1556.8</v>
      </c>
      <c r="H32" s="66"/>
      <c r="I32" s="66">
        <f>ROUND(SUM(G32)-SUM(C32),1)</f>
        <v>-6.2</v>
      </c>
      <c r="J32" s="165"/>
      <c r="K32" s="66">
        <f t="shared" si="2"/>
        <v>-0.2</v>
      </c>
      <c r="M32" s="1195"/>
    </row>
    <row r="33" spans="1:14" ht="15" customHeight="1">
      <c r="A33" s="835" t="s">
        <v>42</v>
      </c>
      <c r="B33" s="158" t="s">
        <v>15</v>
      </c>
      <c r="C33" s="690">
        <f>+'Exh D Special Revenue'!C32+'Exh D Capital Projects'!C31</f>
        <v>7301</v>
      </c>
      <c r="D33" s="118"/>
      <c r="E33" s="690">
        <f>+'Exh D Special Revenue'!E32+'Exh D Capital Projects'!E31</f>
        <v>6210</v>
      </c>
      <c r="F33" s="66"/>
      <c r="G33" s="277">
        <f>+'Exh D Special Revenue'!G32+'Exh D Capital Projects'!G31</f>
        <v>5976.8</v>
      </c>
      <c r="H33" s="66"/>
      <c r="I33" s="66">
        <f>ROUND(SUM(G33)-SUM(C33),1)</f>
        <v>-1324.2</v>
      </c>
      <c r="J33" s="165"/>
      <c r="K33" s="66">
        <f t="shared" si="2"/>
        <v>-233.2</v>
      </c>
      <c r="M33" s="1195"/>
    </row>
    <row r="34" spans="1:14" ht="15.75" customHeight="1">
      <c r="A34" s="173" t="s">
        <v>97</v>
      </c>
      <c r="B34" s="151" t="s">
        <v>15</v>
      </c>
      <c r="C34" s="1115">
        <f>ROUND(SUM(C29:C33),1)</f>
        <v>139769</v>
      </c>
      <c r="D34" s="112"/>
      <c r="E34" s="1115">
        <f>ROUND(SUM(E29:E33),1)</f>
        <v>139118</v>
      </c>
      <c r="F34" s="62"/>
      <c r="G34" s="296">
        <f>ROUND(SUM(G29:G33),1)</f>
        <v>139182.1</v>
      </c>
      <c r="H34" s="62"/>
      <c r="I34" s="296">
        <f>ROUND(SUM(I29:I33),1)</f>
        <v>-586.9</v>
      </c>
      <c r="J34" s="166"/>
      <c r="K34" s="296">
        <f>ROUND(SUM(K29:K33),1)</f>
        <v>64.099999999999994</v>
      </c>
      <c r="M34" s="1195"/>
    </row>
    <row r="35" spans="1:14">
      <c r="A35" s="31"/>
      <c r="B35" s="158"/>
      <c r="C35" s="118"/>
      <c r="D35" s="118"/>
      <c r="E35" s="118"/>
      <c r="F35" s="66"/>
      <c r="G35" s="66"/>
      <c r="H35" s="66"/>
      <c r="I35" s="66"/>
      <c r="J35" s="165"/>
      <c r="K35" s="56"/>
      <c r="M35" s="1195"/>
    </row>
    <row r="36" spans="1:14" ht="15.75">
      <c r="A36" s="173" t="s">
        <v>44</v>
      </c>
      <c r="B36" s="158"/>
      <c r="C36" s="118"/>
      <c r="D36" s="118"/>
      <c r="E36" s="118"/>
      <c r="F36" s="66"/>
      <c r="G36" s="66"/>
      <c r="H36" s="66"/>
      <c r="I36" s="66"/>
      <c r="J36" s="165"/>
      <c r="K36" s="56"/>
      <c r="M36" s="1195"/>
    </row>
    <row r="37" spans="1:14" ht="15.75">
      <c r="A37" s="173" t="s">
        <v>45</v>
      </c>
      <c r="B37" s="158" t="s">
        <v>15</v>
      </c>
      <c r="C37" s="113">
        <f>ROUND(SUM(+C26-C34),1)</f>
        <v>6005</v>
      </c>
      <c r="D37" s="118"/>
      <c r="E37" s="113">
        <f>ROUND(SUM(+E26-E34),1)</f>
        <v>9053</v>
      </c>
      <c r="F37" s="66"/>
      <c r="G37" s="74">
        <f>ROUND(SUM(+G26-G34),1)</f>
        <v>9773.7000000000007</v>
      </c>
      <c r="H37" s="66"/>
      <c r="I37" s="74">
        <f>ROUND(SUM(+I26-I34),1)</f>
        <v>3768.7</v>
      </c>
      <c r="J37" s="59"/>
      <c r="K37" s="844">
        <f>ROUND(SUM(+K26-K34),1)</f>
        <v>720.7</v>
      </c>
      <c r="M37" s="1195"/>
    </row>
    <row r="38" spans="1:14">
      <c r="A38" s="31"/>
      <c r="B38" s="158"/>
      <c r="C38" s="118"/>
      <c r="D38" s="118"/>
      <c r="E38" s="118"/>
      <c r="F38" s="66"/>
      <c r="G38" s="66"/>
      <c r="H38" s="66"/>
      <c r="I38" s="66"/>
      <c r="J38" s="165"/>
      <c r="K38" s="56"/>
      <c r="M38" s="1195"/>
    </row>
    <row r="39" spans="1:14" ht="15.75">
      <c r="A39" s="173" t="s">
        <v>46</v>
      </c>
      <c r="B39" s="158"/>
      <c r="C39" s="118"/>
      <c r="D39" s="118"/>
      <c r="E39" s="118"/>
      <c r="F39" s="66"/>
      <c r="G39" s="66"/>
      <c r="H39" s="66"/>
      <c r="I39" s="66"/>
      <c r="J39" s="165"/>
      <c r="K39" s="56"/>
      <c r="M39" s="1195"/>
      <c r="N39" s="947" t="s">
        <v>15</v>
      </c>
    </row>
    <row r="40" spans="1:14">
      <c r="A40" s="835" t="s">
        <v>98</v>
      </c>
      <c r="B40" s="158" t="s">
        <v>15</v>
      </c>
      <c r="C40" s="1099">
        <f>'Exh D Captl Projects State Fed'!C25</f>
        <v>0</v>
      </c>
      <c r="D40" s="118"/>
      <c r="E40" s="1099">
        <f>'Exh D Captl Projects State Fed'!E25</f>
        <v>0</v>
      </c>
      <c r="F40" s="66"/>
      <c r="G40" s="278">
        <f>'Exh D Captl Projects State Fed'!G25</f>
        <v>0</v>
      </c>
      <c r="H40" s="66"/>
      <c r="I40" s="66">
        <f>ROUND(SUM(G40)-SUM(C40),1)</f>
        <v>0</v>
      </c>
      <c r="J40" s="171"/>
      <c r="K40" s="66">
        <f>ROUND(SUM(G40)-SUM(E40),1)</f>
        <v>0</v>
      </c>
      <c r="M40" s="1195"/>
    </row>
    <row r="41" spans="1:14">
      <c r="A41" s="835" t="s">
        <v>48</v>
      </c>
      <c r="B41" s="158" t="s">
        <v>15</v>
      </c>
      <c r="C41" s="119">
        <f>+'Exh D General Fund  '!C27+'Exh D General Fund  '!C28+'Exh D General Fund  '!C29+'Exh D General Fund  '!C30+'Exh D Special Revenue'!C25+'Exh D Debt Service'!C25+'Exh D Capital Projects'!C26</f>
        <v>35644</v>
      </c>
      <c r="D41" s="118"/>
      <c r="E41" s="119">
        <f>+'Exh D General Fund  '!E27+'Exh D General Fund  '!E28+'Exh D General Fund  '!E29+'Exh D General Fund  '!E30+'Exh D Special Revenue'!E25+'Exh D Debt Service'!E25+'Exh D Capital Projects'!E26</f>
        <v>37830</v>
      </c>
      <c r="F41" s="66"/>
      <c r="G41" s="77">
        <f>+'Exh D General Fund  '!G27+'Exh D General Fund  '!G28+'Exh D General Fund  '!G29+'Exh D General Fund  '!G30+'Exh D Special Revenue'!K25+'Exh D Debt Service'!G25+'Exh D Capital Projects'!K26</f>
        <v>37629.600000000006</v>
      </c>
      <c r="H41" s="66"/>
      <c r="I41" s="66">
        <f>ROUND(SUM(G41)-SUM(C41),1)</f>
        <v>1985.6</v>
      </c>
      <c r="J41" s="165"/>
      <c r="K41" s="66">
        <f t="shared" ref="K41:K42" si="3">ROUND(SUM(G41)-SUM(E41),1)</f>
        <v>-200.4</v>
      </c>
      <c r="M41" s="1195"/>
    </row>
    <row r="42" spans="1:14">
      <c r="A42" s="835" t="s">
        <v>99</v>
      </c>
      <c r="B42" s="158" t="s">
        <v>15</v>
      </c>
      <c r="C42" s="2200">
        <f>-(+'Exh D General Fund  '!C38+'Exh D General Fund  '!C39+'Exh D General Fund  '!C40+'Exh D General Fund  '!C41+'Exh D General Fund  '!C42+'Exh D Special Revenue'!C33+'Exh D Debt Service'!C31+'Exh D Capital Projects'!C32)</f>
        <v>-35710</v>
      </c>
      <c r="D42" s="118"/>
      <c r="E42" s="2200">
        <f>-(+'Exh D General Fund  '!E38+'Exh D General Fund  '!E39+'Exh D General Fund  '!E40+'Exh D General Fund  '!E41+'Exh D General Fund  '!E42+'Exh D Special Revenue'!E33+'Exh D Debt Service'!E31+'Exh D Capital Projects'!E32)</f>
        <v>-37953</v>
      </c>
      <c r="F42" s="66"/>
      <c r="G42" s="282">
        <f>-(+'Exh D General Fund  '!G38+'Exh D General Fund  '!G39+'Exh D General Fund  '!G40+'Exh D General Fund  '!G41+'Exh D General Fund  '!G42+'Exh D Special Revenue'!K33+'Exh D Debt Service'!G31+'Exh D Capital Projects'!K32)</f>
        <v>-37750.300000000003</v>
      </c>
      <c r="H42" s="66"/>
      <c r="I42" s="539">
        <f>-ROUND(SUM(G42)-SUM(C42),1)</f>
        <v>2040.3</v>
      </c>
      <c r="J42" s="59"/>
      <c r="K42" s="66">
        <f t="shared" si="3"/>
        <v>202.7</v>
      </c>
      <c r="M42" s="1195"/>
    </row>
    <row r="43" spans="1:14" ht="15.75">
      <c r="A43" s="173" t="s">
        <v>100</v>
      </c>
      <c r="B43" s="158" t="s">
        <v>15</v>
      </c>
      <c r="C43" s="120">
        <f>ROUND(+SUM(C40)+C41+C42,1)</f>
        <v>-66</v>
      </c>
      <c r="D43" s="118"/>
      <c r="E43" s="120">
        <f>ROUND(+SUM(E40)+E41+E42,1)</f>
        <v>-123</v>
      </c>
      <c r="F43" s="66"/>
      <c r="G43" s="284">
        <f>ROUND(+SUM(G40)+G41+G42,1)</f>
        <v>-120.7</v>
      </c>
      <c r="H43" s="66"/>
      <c r="I43" s="284">
        <f>ROUND(SUM(I40+I41-I42),1)</f>
        <v>-54.7</v>
      </c>
      <c r="J43" s="172"/>
      <c r="K43" s="1624">
        <f>ROUND(SUM(K40+K41+K42),1)</f>
        <v>2.2999999999999998</v>
      </c>
      <c r="M43" s="1195"/>
    </row>
    <row r="44" spans="1:14" ht="15.75">
      <c r="A44" s="173"/>
      <c r="B44" s="158"/>
      <c r="C44" s="119"/>
      <c r="D44" s="118"/>
      <c r="E44" s="119"/>
      <c r="F44" s="66"/>
      <c r="G44" s="77"/>
      <c r="H44" s="66"/>
      <c r="I44" s="77"/>
      <c r="J44" s="160"/>
      <c r="K44" s="78"/>
      <c r="M44" s="1195"/>
    </row>
    <row r="45" spans="1:14" ht="15.75">
      <c r="A45" s="29" t="s">
        <v>101</v>
      </c>
      <c r="B45" s="158"/>
      <c r="C45" s="118"/>
      <c r="D45" s="118"/>
      <c r="E45" s="118"/>
      <c r="F45" s="66"/>
      <c r="G45" s="66"/>
      <c r="H45" s="66"/>
      <c r="I45" s="66"/>
      <c r="J45" s="165"/>
      <c r="K45" s="56"/>
      <c r="M45" s="1195"/>
    </row>
    <row r="46" spans="1:14" ht="15" customHeight="1">
      <c r="A46" s="29" t="s">
        <v>102</v>
      </c>
      <c r="B46" s="158"/>
      <c r="C46" s="118"/>
      <c r="D46" s="118"/>
      <c r="E46" s="118"/>
      <c r="F46" s="66"/>
      <c r="G46" s="66"/>
      <c r="H46" s="66"/>
      <c r="I46" s="66"/>
      <c r="J46" s="165"/>
      <c r="K46" s="56"/>
      <c r="M46" s="1195"/>
    </row>
    <row r="47" spans="1:14" ht="15.75">
      <c r="A47" s="173" t="s">
        <v>103</v>
      </c>
      <c r="B47" s="174" t="s">
        <v>15</v>
      </c>
      <c r="C47" s="115">
        <f>ROUND(SUM(C26)-SUM(C34)+C43,1)</f>
        <v>5939</v>
      </c>
      <c r="D47" s="1124"/>
      <c r="E47" s="115">
        <f>ROUND(SUM(E26)-SUM(E34)+E43,1)</f>
        <v>8930</v>
      </c>
      <c r="F47" s="84"/>
      <c r="G47" s="76">
        <f>ROUND(SUM(G26)-SUM(G34)+G43,1)</f>
        <v>9653</v>
      </c>
      <c r="H47" s="84"/>
      <c r="I47" s="76">
        <f>ROUND(SUM(I26)-SUM(I34)+I43,1)</f>
        <v>3714</v>
      </c>
      <c r="J47" s="166"/>
      <c r="K47" s="76">
        <f>ROUND(SUM(K26)-SUM(K34)+K43,1)</f>
        <v>723</v>
      </c>
      <c r="M47" s="1195"/>
    </row>
    <row r="48" spans="1:14">
      <c r="A48" s="34"/>
      <c r="B48" s="176"/>
      <c r="C48" s="1843"/>
      <c r="D48" s="2201"/>
      <c r="E48" s="1843"/>
      <c r="F48" s="694"/>
      <c r="G48" s="342"/>
      <c r="H48" s="694"/>
      <c r="I48" s="342"/>
      <c r="J48" s="178"/>
      <c r="K48" s="342"/>
      <c r="M48" s="1195"/>
    </row>
    <row r="49" spans="1:13" ht="15.75">
      <c r="A49" s="173" t="s">
        <v>104</v>
      </c>
      <c r="B49" s="179" t="s">
        <v>15</v>
      </c>
      <c r="C49" s="115">
        <f>'Exh D General Fund  '!C49+'Exh D Special Revenue'!C40+'Exh D Debt Service'!C38+'Exh D Capital Projects'!C39</f>
        <v>9975</v>
      </c>
      <c r="D49" s="2201"/>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6">
        <v>0</v>
      </c>
      <c r="M49" s="1195"/>
    </row>
    <row r="50" spans="1:13" ht="16.5" thickBot="1">
      <c r="A50" s="1625" t="s">
        <v>1565</v>
      </c>
      <c r="B50" s="180" t="s">
        <v>15</v>
      </c>
      <c r="C50" s="1526">
        <f>ROUND(SUM(C47:C49),1)</f>
        <v>15914</v>
      </c>
      <c r="D50" s="2113"/>
      <c r="E50" s="1526">
        <f>ROUND(SUM(E47:E49),1)</f>
        <v>18905</v>
      </c>
      <c r="F50" s="181"/>
      <c r="G50" s="98">
        <f>ROUND(SUM(G47:G49),1)</f>
        <v>19628</v>
      </c>
      <c r="H50" s="181"/>
      <c r="I50" s="98">
        <f>ROUND(SUM(I47:I49),1)</f>
        <v>3714</v>
      </c>
      <c r="J50" s="182"/>
      <c r="K50" s="98">
        <f>ROUND(SUM(K47:K49),1)</f>
        <v>723</v>
      </c>
      <c r="M50" s="1195"/>
    </row>
    <row r="51" spans="1:13" ht="15.75" thickTop="1">
      <c r="A51" s="34"/>
      <c r="B51" s="176"/>
      <c r="C51" s="2202"/>
      <c r="D51" s="2203"/>
      <c r="E51" s="2202"/>
      <c r="F51" s="177"/>
      <c r="G51" s="177"/>
      <c r="H51" s="177"/>
      <c r="I51" s="177"/>
      <c r="J51" s="177"/>
      <c r="K51" s="176"/>
      <c r="M51" s="1195"/>
    </row>
    <row r="52" spans="1:13">
      <c r="A52" s="952" t="s">
        <v>1413</v>
      </c>
      <c r="G52" s="1195"/>
      <c r="K52" s="1218"/>
      <c r="M52" s="1195"/>
    </row>
    <row r="53" spans="1:13">
      <c r="A53" s="952" t="s">
        <v>1582</v>
      </c>
      <c r="G53" s="1195"/>
    </row>
    <row r="54" spans="1:13">
      <c r="A54" s="184"/>
    </row>
    <row r="55" spans="1:13">
      <c r="A55" s="183"/>
      <c r="G55" s="1195"/>
    </row>
    <row r="56" spans="1:13">
      <c r="A56" s="183"/>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topLeftCell="A4"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4" style="101" customWidth="1"/>
    <col min="9" max="9" width="15.109375" style="101" customWidth="1"/>
    <col min="10" max="10" width="2.109375" style="101" customWidth="1"/>
    <col min="11" max="11" width="15.109375" style="101" customWidth="1"/>
    <col min="12" max="16384" width="8.88671875" style="101"/>
  </cols>
  <sheetData>
    <row r="1" spans="1:11">
      <c r="A1" s="939" t="s">
        <v>979</v>
      </c>
    </row>
    <row r="2" spans="1:11">
      <c r="A2" s="841"/>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38"/>
    </row>
    <row r="5" spans="1:11" ht="17.25" customHeight="1">
      <c r="A5" s="3902" t="str">
        <f>'Exh D-Governmental  '!A5:E5</f>
        <v>FISCAL YEAR 2019-2020</v>
      </c>
      <c r="B5" s="3903"/>
      <c r="C5" s="3903"/>
      <c r="D5" s="3903"/>
      <c r="E5" s="3903"/>
      <c r="F5" s="143"/>
      <c r="G5" s="146"/>
      <c r="H5" s="143"/>
      <c r="I5" s="838"/>
      <c r="J5" s="143"/>
    </row>
    <row r="6" spans="1:11" ht="17.25" customHeight="1">
      <c r="A6" s="1512" t="str">
        <f>'Exh D-Governmental  '!A6</f>
        <v>FOR TEN MONTHS ENDED JANUARY 31, 2020</v>
      </c>
      <c r="B6" s="147"/>
      <c r="C6" s="148"/>
      <c r="D6" s="143"/>
      <c r="E6" s="148"/>
      <c r="F6" s="143"/>
      <c r="G6" s="143"/>
      <c r="H6" s="143"/>
      <c r="I6" s="143"/>
      <c r="J6" s="143"/>
      <c r="K6" s="143"/>
    </row>
    <row r="7" spans="1:11" ht="18">
      <c r="A7" s="191" t="s">
        <v>1417</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4"/>
      <c r="B11" s="151"/>
      <c r="C11" s="3901" t="s">
        <v>1451</v>
      </c>
      <c r="D11" s="3901"/>
      <c r="E11" s="3901"/>
      <c r="F11" s="3901"/>
      <c r="G11" s="3901"/>
      <c r="H11" s="3901"/>
      <c r="I11" s="3901"/>
      <c r="J11" s="1198"/>
      <c r="K11" s="1194"/>
    </row>
    <row r="12" spans="1:11" ht="15.75">
      <c r="A12" s="704"/>
      <c r="B12" s="151"/>
      <c r="C12" s="152"/>
      <c r="D12" s="152"/>
      <c r="E12" s="152"/>
      <c r="F12" s="152"/>
      <c r="G12" s="152"/>
      <c r="H12" s="152"/>
      <c r="I12" s="153" t="s">
        <v>85</v>
      </c>
      <c r="J12" s="153"/>
      <c r="K12" s="153" t="s">
        <v>85</v>
      </c>
    </row>
    <row r="13" spans="1:11" ht="15.75">
      <c r="A13" s="704"/>
      <c r="B13" s="151"/>
      <c r="C13" s="152"/>
      <c r="D13" s="152"/>
      <c r="E13" s="152"/>
      <c r="F13" s="152"/>
      <c r="G13" s="152"/>
      <c r="H13" s="152"/>
      <c r="I13" s="153" t="s">
        <v>885</v>
      </c>
      <c r="J13" s="153"/>
      <c r="K13" s="153" t="s">
        <v>885</v>
      </c>
    </row>
    <row r="14" spans="1:11" ht="15.75">
      <c r="A14" s="704"/>
      <c r="B14" s="151"/>
      <c r="C14" s="154" t="s">
        <v>1094</v>
      </c>
      <c r="D14" s="152"/>
      <c r="E14" s="153" t="s">
        <v>1095</v>
      </c>
      <c r="F14" s="152"/>
      <c r="G14" s="152"/>
      <c r="H14" s="152"/>
      <c r="I14" s="153" t="s">
        <v>86</v>
      </c>
      <c r="J14" s="153"/>
      <c r="K14" s="153" t="s">
        <v>86</v>
      </c>
    </row>
    <row r="15" spans="1:11" ht="15.75">
      <c r="A15" s="704"/>
      <c r="B15" s="151"/>
      <c r="C15" s="199" t="s">
        <v>1133</v>
      </c>
      <c r="D15" s="198"/>
      <c r="E15" s="199" t="s">
        <v>1133</v>
      </c>
      <c r="F15" s="152"/>
      <c r="G15" s="152"/>
      <c r="H15" s="152"/>
      <c r="I15" s="153" t="s">
        <v>1094</v>
      </c>
      <c r="J15" s="153"/>
      <c r="K15" s="153" t="s">
        <v>1095</v>
      </c>
    </row>
    <row r="16" spans="1:11" ht="15.75">
      <c r="A16" s="704"/>
      <c r="B16" s="151"/>
      <c r="C16" s="199" t="s">
        <v>1134</v>
      </c>
      <c r="D16" s="198"/>
      <c r="E16" s="199" t="s">
        <v>1447</v>
      </c>
      <c r="F16" s="152"/>
      <c r="G16" s="154" t="s">
        <v>85</v>
      </c>
      <c r="H16" s="152"/>
      <c r="I16" s="153" t="s">
        <v>87</v>
      </c>
      <c r="J16" s="153"/>
      <c r="K16" s="153" t="s">
        <v>87</v>
      </c>
    </row>
    <row r="17" spans="1:12">
      <c r="A17" s="155"/>
      <c r="B17" s="156"/>
      <c r="C17" s="1690"/>
      <c r="D17" s="148"/>
      <c r="E17" s="1690"/>
      <c r="F17" s="143"/>
      <c r="G17" s="157"/>
      <c r="H17" s="143"/>
      <c r="I17" s="157"/>
      <c r="J17" s="156"/>
      <c r="K17" s="157"/>
    </row>
    <row r="18" spans="1:12" ht="15.75">
      <c r="A18" s="29" t="s">
        <v>14</v>
      </c>
      <c r="B18" s="940"/>
      <c r="C18" s="1691"/>
      <c r="D18" s="1691"/>
      <c r="E18" s="1691"/>
      <c r="F18" s="670"/>
      <c r="G18" s="670"/>
      <c r="H18" s="670"/>
      <c r="I18" s="940"/>
      <c r="J18" s="670"/>
      <c r="K18" s="940"/>
    </row>
    <row r="19" spans="1:12" ht="15" customHeight="1">
      <c r="A19" s="835" t="s">
        <v>88</v>
      </c>
      <c r="B19" s="941" t="s">
        <v>15</v>
      </c>
      <c r="C19" s="2204"/>
      <c r="D19" s="1989"/>
      <c r="E19" s="2204"/>
      <c r="F19" s="941"/>
      <c r="G19" s="942"/>
      <c r="H19" s="941"/>
      <c r="I19" s="1217"/>
      <c r="J19" s="942"/>
      <c r="K19" s="1217"/>
    </row>
    <row r="20" spans="1:12">
      <c r="A20" s="835" t="s">
        <v>89</v>
      </c>
      <c r="B20" s="941" t="s">
        <v>15</v>
      </c>
      <c r="C20" s="910">
        <f>'Exh D General Fund  '!C20+'Exh D Special Revenue State Fed'!C20+'Exh D Debt Service'!C20</f>
        <v>44912</v>
      </c>
      <c r="D20" s="909"/>
      <c r="E20" s="910">
        <f>'Exh D General Fund  '!E20+'Exh D Special Revenue State Fed'!E20+'Exh D Debt Service'!E20</f>
        <v>46074</v>
      </c>
      <c r="F20" s="673"/>
      <c r="G20" s="671">
        <f>+'Exh A Supp'!T15</f>
        <v>46216.4</v>
      </c>
      <c r="H20" s="673"/>
      <c r="I20" s="987">
        <f t="shared" ref="I20:I25" si="0">ROUND(SUM(G20)-SUM(C20),1)</f>
        <v>1304.4000000000001</v>
      </c>
      <c r="J20" s="943"/>
      <c r="K20" s="987">
        <f>ROUND(SUM(G20)-SUM(E20),1)</f>
        <v>142.4</v>
      </c>
    </row>
    <row r="21" spans="1:12">
      <c r="A21" s="835" t="s">
        <v>90</v>
      </c>
      <c r="B21" s="940" t="s">
        <v>15</v>
      </c>
      <c r="C21" s="911">
        <f>'Exh D General Fund  '!C21+'Exh D Special Revenue State Fed'!C21+'Exh D Debt Service'!C21</f>
        <v>14925</v>
      </c>
      <c r="D21" s="911"/>
      <c r="E21" s="911">
        <f>'Exh D General Fund  '!E21+'Exh D Special Revenue State Fed'!E21+'Exh D Debt Service'!E21</f>
        <v>14767</v>
      </c>
      <c r="F21" s="656"/>
      <c r="G21" s="656">
        <f>+'Exh A Supp'!T16</f>
        <v>14776.4</v>
      </c>
      <c r="H21" s="656"/>
      <c r="I21" s="959">
        <f t="shared" si="0"/>
        <v>-148.6</v>
      </c>
      <c r="J21" s="943"/>
      <c r="K21" s="959">
        <f>ROUND(SUM(G21)-SUM(E21),1)</f>
        <v>9.4</v>
      </c>
    </row>
    <row r="22" spans="1:12" ht="15" customHeight="1">
      <c r="A22" s="835" t="s">
        <v>91</v>
      </c>
      <c r="B22" s="941" t="s">
        <v>15</v>
      </c>
      <c r="C22" s="911">
        <f>'Exh D General Fund  '!C22+'Exh D Special Revenue State Fed'!C22</f>
        <v>5596</v>
      </c>
      <c r="D22" s="698"/>
      <c r="E22" s="911">
        <f>'Exh D General Fund  '!E22+'Exh D Special Revenue State Fed'!E22</f>
        <v>6003</v>
      </c>
      <c r="F22" s="695"/>
      <c r="G22" s="656">
        <f>+'Exh A Supp'!T17</f>
        <v>6025.5</v>
      </c>
      <c r="H22" s="695"/>
      <c r="I22" s="959">
        <f t="shared" si="0"/>
        <v>429.5</v>
      </c>
      <c r="J22" s="943"/>
      <c r="K22" s="959">
        <f t="shared" ref="K22:K25" si="1">ROUND(SUM(G22)-SUM(E22),1)</f>
        <v>22.5</v>
      </c>
    </row>
    <row r="23" spans="1:12" ht="14.25" customHeight="1">
      <c r="A23" s="835" t="s">
        <v>92</v>
      </c>
      <c r="B23" s="940" t="s">
        <v>15</v>
      </c>
      <c r="C23" s="911">
        <f>'Exh D General Fund  '!C23+'Exh D Debt Service'!C22</f>
        <v>1814</v>
      </c>
      <c r="D23" s="911"/>
      <c r="E23" s="911">
        <f>'Exh D General Fund  '!E23+'Exh D Debt Service'!E22</f>
        <v>1781</v>
      </c>
      <c r="F23" s="656"/>
      <c r="G23" s="656">
        <f>+'Exh A Supp'!T18</f>
        <v>1780.4</v>
      </c>
      <c r="H23" s="656"/>
      <c r="I23" s="959">
        <f t="shared" si="0"/>
        <v>-33.6</v>
      </c>
      <c r="J23" s="943"/>
      <c r="K23" s="959">
        <f t="shared" si="1"/>
        <v>-0.6</v>
      </c>
    </row>
    <row r="24" spans="1:12">
      <c r="A24" s="835" t="s">
        <v>20</v>
      </c>
      <c r="B24" s="940" t="s">
        <v>15</v>
      </c>
      <c r="C24" s="911">
        <f>'Exh D General Fund  '!C24+'Exh D Special Revenue State Fed'!C23+'Exh D Debt Service'!C23</f>
        <v>17727</v>
      </c>
      <c r="D24" s="911"/>
      <c r="E24" s="911">
        <f>'Exh D General Fund  '!E24+'Exh D Special Revenue State Fed'!E23+'Exh D Debt Service'!E23</f>
        <v>18325</v>
      </c>
      <c r="F24" s="656"/>
      <c r="G24" s="656">
        <f>+'Exh A Supp'!T19</f>
        <v>18793.8</v>
      </c>
      <c r="H24" s="656"/>
      <c r="I24" s="959">
        <f t="shared" si="0"/>
        <v>1066.8</v>
      </c>
      <c r="J24" s="830"/>
      <c r="K24" s="959">
        <f t="shared" si="1"/>
        <v>468.8</v>
      </c>
    </row>
    <row r="25" spans="1:12" ht="15" customHeight="1">
      <c r="A25" s="835" t="s">
        <v>21</v>
      </c>
      <c r="B25" s="940" t="s">
        <v>15</v>
      </c>
      <c r="C25" s="699">
        <f>'Exh D General Fund  '!C25+'Exh D Special Revenue State Fed'!C24+'Exh D Debt Service'!C24</f>
        <v>37</v>
      </c>
      <c r="D25" s="911"/>
      <c r="E25" s="699">
        <f>'Exh D General Fund  '!E25+'Exh D Special Revenue State Fed'!E24+'Exh D Debt Service'!E24</f>
        <v>55</v>
      </c>
      <c r="F25" s="656"/>
      <c r="G25" s="656">
        <f>+'Exh A Supp'!T20</f>
        <v>29.7</v>
      </c>
      <c r="H25" s="656"/>
      <c r="I25" s="959">
        <f t="shared" si="0"/>
        <v>-7.3</v>
      </c>
      <c r="J25" s="830"/>
      <c r="K25" s="959">
        <f t="shared" si="1"/>
        <v>-25.3</v>
      </c>
    </row>
    <row r="26" spans="1:12" ht="15.75">
      <c r="A26" s="173" t="s">
        <v>93</v>
      </c>
      <c r="B26" s="151" t="s">
        <v>15</v>
      </c>
      <c r="C26" s="1524">
        <f>ROUND(SUM(C20:C25),1)</f>
        <v>85011</v>
      </c>
      <c r="D26" s="112"/>
      <c r="E26" s="1524">
        <f>ROUND(SUM(E20:E25),1)</f>
        <v>87005</v>
      </c>
      <c r="F26" s="938"/>
      <c r="G26" s="215">
        <f>ROUND(SUM(G20:G25),1)</f>
        <v>87622.2</v>
      </c>
      <c r="H26" s="938"/>
      <c r="I26" s="215">
        <f>ROUND(SUM(I20:I25),1)</f>
        <v>2611.1999999999998</v>
      </c>
      <c r="J26" s="166"/>
      <c r="K26" s="215">
        <f>ROUND(SUM(K20:K25),1)</f>
        <v>617.20000000000005</v>
      </c>
      <c r="L26" s="359"/>
    </row>
    <row r="27" spans="1:12">
      <c r="A27" s="704"/>
      <c r="B27" s="940" t="s">
        <v>15</v>
      </c>
      <c r="C27" s="1058"/>
      <c r="D27" s="911"/>
      <c r="E27" s="1058"/>
      <c r="F27" s="656"/>
      <c r="G27" s="702"/>
      <c r="H27" s="656"/>
      <c r="I27" s="702"/>
      <c r="J27" s="682"/>
      <c r="K27" s="702"/>
    </row>
    <row r="28" spans="1:12" ht="15.75">
      <c r="A28" s="29" t="s">
        <v>23</v>
      </c>
      <c r="B28" s="940" t="s">
        <v>15</v>
      </c>
      <c r="C28" s="911"/>
      <c r="D28" s="911"/>
      <c r="E28" s="911"/>
      <c r="F28" s="656"/>
      <c r="G28" s="656"/>
      <c r="H28" s="656"/>
      <c r="I28" s="959"/>
      <c r="J28" s="830"/>
      <c r="K28" s="959"/>
    </row>
    <row r="29" spans="1:12">
      <c r="A29" s="835" t="s">
        <v>94</v>
      </c>
      <c r="B29" s="940" t="s">
        <v>15</v>
      </c>
      <c r="C29" s="699">
        <f>'Exh D General Fund  '!C34+'Exh D Special Revenue State Fed'!C29</f>
        <v>52645</v>
      </c>
      <c r="D29" s="911"/>
      <c r="E29" s="699">
        <f>'Exh D General Fund  '!E34+'Exh D Special Revenue State Fed'!E29</f>
        <v>54281</v>
      </c>
      <c r="F29" s="656"/>
      <c r="G29" s="700">
        <f>+'Exh A Supp'!T35</f>
        <v>54277.8</v>
      </c>
      <c r="H29" s="656"/>
      <c r="I29" s="959">
        <f>ROUND(SUM(G29)-SUM(C29),1)</f>
        <v>1632.8</v>
      </c>
      <c r="J29" s="830"/>
      <c r="K29" s="959">
        <f>ROUND(SUM(G29)-SUM(E29),1)</f>
        <v>-3.2</v>
      </c>
      <c r="L29" s="359"/>
    </row>
    <row r="30" spans="1:12">
      <c r="A30" s="835" t="s">
        <v>95</v>
      </c>
      <c r="B30" s="940" t="s">
        <v>15</v>
      </c>
      <c r="C30" s="698">
        <f>'Exh D General Fund  '!C35+'Exh D Special Revenue State Fed'!C30+'Exh D Debt Service'!C29</f>
        <v>16655</v>
      </c>
      <c r="D30" s="911"/>
      <c r="E30" s="698">
        <f>'Exh D General Fund  '!E35+'Exh D Special Revenue State Fed'!E30+'Exh D Debt Service'!E29</f>
        <v>16564</v>
      </c>
      <c r="F30" s="656"/>
      <c r="G30" s="695">
        <f>+'Exh A Supp'!T37+'Exh A Supp'!T38</f>
        <v>16490.400000000001</v>
      </c>
      <c r="H30" s="656"/>
      <c r="I30" s="959">
        <f>ROUND(SUM(G30)-SUM(C30),1)</f>
        <v>-164.6</v>
      </c>
      <c r="J30" s="830"/>
      <c r="K30" s="959">
        <f t="shared" ref="K30:K33" si="2">ROUND(SUM(G30)-SUM(E30),1)</f>
        <v>-73.599999999999994</v>
      </c>
      <c r="L30" s="359"/>
    </row>
    <row r="31" spans="1:12">
      <c r="A31" s="835" t="s">
        <v>70</v>
      </c>
      <c r="B31" s="940" t="s">
        <v>15</v>
      </c>
      <c r="C31" s="699">
        <f>'Exh D General Fund  '!C36+'Exh D Special Revenue State Fed'!C31</f>
        <v>7495</v>
      </c>
      <c r="D31" s="911"/>
      <c r="E31" s="699">
        <f>'Exh D General Fund  '!E36+'Exh D Special Revenue State Fed'!E31</f>
        <v>7459</v>
      </c>
      <c r="F31" s="656"/>
      <c r="G31" s="700">
        <f>+'Exh A Supp'!T39</f>
        <v>7402.4</v>
      </c>
      <c r="H31" s="656"/>
      <c r="I31" s="959">
        <f>ROUND(SUM(G31)-SUM(C31),1)</f>
        <v>-92.6</v>
      </c>
      <c r="J31" s="830"/>
      <c r="K31" s="959">
        <f t="shared" si="2"/>
        <v>-56.6</v>
      </c>
      <c r="L31" s="359"/>
    </row>
    <row r="32" spans="1:12">
      <c r="A32" s="835" t="s">
        <v>96</v>
      </c>
      <c r="B32" s="940" t="s">
        <v>15</v>
      </c>
      <c r="C32" s="698">
        <f>'Exh D Debt Service'!C30</f>
        <v>1563</v>
      </c>
      <c r="D32" s="911"/>
      <c r="E32" s="698">
        <f>'Exh D Debt Service'!E30</f>
        <v>1557</v>
      </c>
      <c r="F32" s="656"/>
      <c r="G32" s="700">
        <f>+'Exh A Supp'!T41</f>
        <v>1556.8</v>
      </c>
      <c r="H32" s="656"/>
      <c r="I32" s="959">
        <f>ROUND(SUM(G32)-SUM(C32),1)</f>
        <v>-6.2</v>
      </c>
      <c r="J32" s="830"/>
      <c r="K32" s="959">
        <f t="shared" si="2"/>
        <v>-0.2</v>
      </c>
      <c r="L32" s="359"/>
    </row>
    <row r="33" spans="1:12">
      <c r="A33" s="835" t="s">
        <v>42</v>
      </c>
      <c r="B33" s="940"/>
      <c r="C33" s="698">
        <f>'Exh D Special Revenue State Fed'!C32</f>
        <v>0</v>
      </c>
      <c r="D33" s="911"/>
      <c r="E33" s="698">
        <f>'Exh D Special Revenue State Fed'!E32</f>
        <v>0</v>
      </c>
      <c r="F33" s="1575"/>
      <c r="G33" s="700">
        <f>'Exh D Special Revenue State Fed'!G32</f>
        <v>0</v>
      </c>
      <c r="H33" s="1575"/>
      <c r="I33" s="959">
        <f>ROUND(SUM(G33)-SUM(C33),1)</f>
        <v>0</v>
      </c>
      <c r="J33" s="830"/>
      <c r="K33" s="959">
        <f t="shared" si="2"/>
        <v>0</v>
      </c>
      <c r="L33" s="359"/>
    </row>
    <row r="34" spans="1:12" ht="15.75" customHeight="1">
      <c r="A34" s="173" t="s">
        <v>97</v>
      </c>
      <c r="B34" s="151" t="s">
        <v>15</v>
      </c>
      <c r="C34" s="1115">
        <f>ROUND(SUM(C29:C33),1)</f>
        <v>78358</v>
      </c>
      <c r="D34" s="112"/>
      <c r="E34" s="1115">
        <f>ROUND(SUM(E29:E33),1)</f>
        <v>79861</v>
      </c>
      <c r="F34" s="938"/>
      <c r="G34" s="296">
        <f>ROUND(SUM(G29:G33),1)</f>
        <v>79727.399999999994</v>
      </c>
      <c r="H34" s="938"/>
      <c r="I34" s="296">
        <f>ROUND(SUM(I29:I33),1)</f>
        <v>1369.4</v>
      </c>
      <c r="J34" s="166"/>
      <c r="K34" s="296">
        <f>ROUND(SUM(K29:K33),1)</f>
        <v>-133.6</v>
      </c>
      <c r="L34" s="359"/>
    </row>
    <row r="35" spans="1:12">
      <c r="A35" s="704"/>
      <c r="B35" s="940"/>
      <c r="C35" s="911"/>
      <c r="D35" s="911"/>
      <c r="E35" s="911"/>
      <c r="F35" s="656"/>
      <c r="G35" s="656"/>
      <c r="H35" s="656"/>
      <c r="I35" s="959"/>
      <c r="J35" s="830"/>
      <c r="K35" s="959"/>
      <c r="L35" s="359"/>
    </row>
    <row r="36" spans="1:12" ht="15.75">
      <c r="A36" s="173" t="s">
        <v>44</v>
      </c>
      <c r="B36" s="940"/>
      <c r="C36" s="911"/>
      <c r="D36" s="911"/>
      <c r="E36" s="911"/>
      <c r="F36" s="656"/>
      <c r="G36" s="656"/>
      <c r="H36" s="656"/>
      <c r="I36" s="959"/>
      <c r="J36" s="830"/>
      <c r="K36" s="959"/>
      <c r="L36" s="359"/>
    </row>
    <row r="37" spans="1:12" ht="15.75">
      <c r="A37" s="173" t="s">
        <v>45</v>
      </c>
      <c r="B37" s="940" t="s">
        <v>15</v>
      </c>
      <c r="C37" s="1126">
        <f>ROUND(SUM(+C26-C34),1)</f>
        <v>6653</v>
      </c>
      <c r="D37" s="911"/>
      <c r="E37" s="1126">
        <f>ROUND(SUM(+E26-E34),1)</f>
        <v>7144</v>
      </c>
      <c r="F37" s="656"/>
      <c r="G37" s="844">
        <f>ROUND(SUM(+G26-G34),1)</f>
        <v>7894.8</v>
      </c>
      <c r="H37" s="656"/>
      <c r="I37" s="844">
        <f>ROUND(SUM(+I26-I34),1)</f>
        <v>1241.8</v>
      </c>
      <c r="J37" s="682"/>
      <c r="K37" s="844">
        <f>ROUND(SUM(+K26-K34),1)</f>
        <v>750.8</v>
      </c>
      <c r="L37" s="359"/>
    </row>
    <row r="38" spans="1:12">
      <c r="A38" s="704"/>
      <c r="B38" s="940"/>
      <c r="C38" s="911"/>
      <c r="D38" s="911"/>
      <c r="E38" s="911"/>
      <c r="F38" s="656"/>
      <c r="G38" s="656"/>
      <c r="H38" s="656"/>
      <c r="I38" s="959"/>
      <c r="J38" s="830"/>
      <c r="K38" s="959"/>
      <c r="L38" s="359"/>
    </row>
    <row r="39" spans="1:12" ht="15.75">
      <c r="A39" s="173" t="s">
        <v>46</v>
      </c>
      <c r="B39" s="940"/>
      <c r="C39" s="911"/>
      <c r="D39" s="911"/>
      <c r="E39" s="911"/>
      <c r="F39" s="656"/>
      <c r="G39" s="656"/>
      <c r="H39" s="656"/>
      <c r="I39" s="959"/>
      <c r="J39" s="830"/>
      <c r="K39" s="959"/>
      <c r="L39" s="359"/>
    </row>
    <row r="40" spans="1:12">
      <c r="A40" s="835" t="s">
        <v>48</v>
      </c>
      <c r="B40" s="940" t="s">
        <v>15</v>
      </c>
      <c r="C40" s="698">
        <f>'Exh D General Fund  '!C27+'Exh D General Fund  '!C28+'Exh D General Fund  '!C29+'Exh D General Fund  '!C30+'Exh D Special Revenue State Fed'!C25+'Exh D Debt Service'!C25</f>
        <v>32958</v>
      </c>
      <c r="D40" s="911"/>
      <c r="E40" s="698">
        <f>'Exh D General Fund  '!E27+'Exh D General Fund  '!E28+'Exh D General Fund  '!E29+'Exh D General Fund  '!E30+'Exh D Special Revenue State Fed'!E25+'Exh D Debt Service'!E25</f>
        <v>34076</v>
      </c>
      <c r="F40" s="656"/>
      <c r="G40" s="695">
        <f>+'Exh A Supp'!T49</f>
        <v>34398.6</v>
      </c>
      <c r="H40" s="1396" t="s">
        <v>1450</v>
      </c>
      <c r="I40" s="959">
        <f>ROUND(SUM(G40)-SUM(C40),1)</f>
        <v>1440.6</v>
      </c>
      <c r="J40" s="830"/>
      <c r="K40" s="959">
        <f>ROUND(SUM(G40)-SUM(E40),1)</f>
        <v>322.60000000000002</v>
      </c>
      <c r="L40" s="359"/>
    </row>
    <row r="41" spans="1:12">
      <c r="A41" s="835" t="s">
        <v>99</v>
      </c>
      <c r="B41" s="940" t="s">
        <v>15</v>
      </c>
      <c r="C41" s="1523">
        <f>-('Exh D General Fund  '!C38+'Exh D General Fund  '!C39+'Exh D General Fund  '!C40+'Exh D General Fund  '!C41+'Exh D General Fund  '!C42+'Exh D Special Revenue State Fed'!C33+'Exh D Debt Service'!C31)</f>
        <v>-33626</v>
      </c>
      <c r="D41" s="911"/>
      <c r="E41" s="1523">
        <f>-('Exh D General Fund  '!E38+'Exh D General Fund  '!E39+'Exh D General Fund  '!E40+'Exh D General Fund  '!E41+'Exh D General Fund  '!E42+'Exh D Special Revenue State Fed'!E33+'Exh D Debt Service'!E31)</f>
        <v>-35355</v>
      </c>
      <c r="F41" s="656"/>
      <c r="G41" s="695">
        <f>+'Exh A Supp'!T50</f>
        <v>-35645.599999999999</v>
      </c>
      <c r="H41" s="1396" t="s">
        <v>1450</v>
      </c>
      <c r="I41" s="959">
        <f>-ROUND(SUM(G41)-SUM(C41),1)</f>
        <v>2019.6</v>
      </c>
      <c r="J41" s="682"/>
      <c r="K41" s="959">
        <f>-ROUND(SUM(G41)-SUM(E41),1)</f>
        <v>290.60000000000002</v>
      </c>
      <c r="L41" s="359"/>
    </row>
    <row r="42" spans="1:12" ht="15.75">
      <c r="A42" s="173" t="s">
        <v>100</v>
      </c>
      <c r="B42" s="940" t="s">
        <v>15</v>
      </c>
      <c r="C42" s="1115">
        <f>ROUND(SUM(C40:C41),1)</f>
        <v>-668</v>
      </c>
      <c r="D42" s="911"/>
      <c r="E42" s="1115">
        <f>ROUND(SUM(E40:E41),1)</f>
        <v>-1279</v>
      </c>
      <c r="F42" s="656"/>
      <c r="G42" s="296">
        <f>ROUND(SUM(G40:G41),1)</f>
        <v>-1247</v>
      </c>
      <c r="H42" s="656"/>
      <c r="I42" s="296">
        <f>ROUND(SUM(I40-I41),1)</f>
        <v>-579</v>
      </c>
      <c r="J42" s="946"/>
      <c r="K42" s="296">
        <f>ROUND(SUM(K40-K41),1)</f>
        <v>32</v>
      </c>
      <c r="L42" s="359"/>
    </row>
    <row r="43" spans="1:12" ht="15.75">
      <c r="A43" s="173"/>
      <c r="B43" s="940"/>
      <c r="C43" s="698"/>
      <c r="D43" s="911"/>
      <c r="E43" s="698"/>
      <c r="F43" s="656"/>
      <c r="G43" s="695"/>
      <c r="H43" s="656"/>
      <c r="I43" s="960"/>
      <c r="J43" s="941"/>
      <c r="K43" s="960"/>
      <c r="L43" s="359"/>
    </row>
    <row r="44" spans="1:12" ht="15.75">
      <c r="A44" s="29" t="s">
        <v>101</v>
      </c>
      <c r="B44" s="940"/>
      <c r="C44" s="911"/>
      <c r="D44" s="911"/>
      <c r="E44" s="911"/>
      <c r="F44" s="656"/>
      <c r="G44" s="656"/>
      <c r="H44" s="656"/>
      <c r="I44" s="959"/>
      <c r="J44" s="830"/>
      <c r="K44" s="959"/>
      <c r="L44" s="359"/>
    </row>
    <row r="45" spans="1:12" ht="15" customHeight="1">
      <c r="A45" s="29" t="s">
        <v>102</v>
      </c>
      <c r="B45" s="940"/>
      <c r="C45" s="911"/>
      <c r="D45" s="911"/>
      <c r="E45" s="911"/>
      <c r="F45" s="656"/>
      <c r="G45" s="656"/>
      <c r="H45" s="656"/>
      <c r="I45" s="959"/>
      <c r="J45" s="830"/>
      <c r="K45" s="959"/>
      <c r="L45" s="359"/>
    </row>
    <row r="46" spans="1:12" ht="15.75">
      <c r="A46" s="173" t="s">
        <v>103</v>
      </c>
      <c r="B46" s="174" t="s">
        <v>15</v>
      </c>
      <c r="C46" s="115">
        <f>ROUND(SUM(C26)-SUM(C34)+C42,1)</f>
        <v>5985</v>
      </c>
      <c r="D46" s="1124"/>
      <c r="E46" s="115">
        <f>ROUND(SUM(E26)-SUM(E34)+E42,1)</f>
        <v>5865</v>
      </c>
      <c r="F46" s="84"/>
      <c r="G46" s="76">
        <f>ROUND(SUM(G26)-SUM(G34)+G42,1)</f>
        <v>6647.8</v>
      </c>
      <c r="H46" s="84"/>
      <c r="I46" s="76">
        <f>ROUND(SUM(I26)-SUM(I34)+I42,1)</f>
        <v>662.8</v>
      </c>
      <c r="J46" s="166"/>
      <c r="K46" s="76">
        <f>ROUND(SUM(K26)-SUM(K34)+K42,1)</f>
        <v>782.8</v>
      </c>
      <c r="L46" s="359"/>
    </row>
    <row r="47" spans="1:12">
      <c r="A47" s="947"/>
      <c r="B47" s="635"/>
      <c r="C47" s="1525"/>
      <c r="D47" s="1700"/>
      <c r="E47" s="1525"/>
      <c r="F47" s="948"/>
      <c r="G47" s="684"/>
      <c r="H47" s="948"/>
      <c r="I47" s="684"/>
      <c r="J47" s="949"/>
      <c r="K47" s="684"/>
      <c r="L47" s="359"/>
    </row>
    <row r="48" spans="1:12" ht="15.75">
      <c r="A48" s="173" t="str">
        <f>'Exh D-Governmental  '!A49</f>
        <v>Fund Balances (Deficits) at April 1</v>
      </c>
      <c r="B48" s="950" t="s">
        <v>15</v>
      </c>
      <c r="C48" s="115">
        <f>'Exh D General Fund  '!C49+'Exh D Special Revenue State Fed'!C40+'Exh D Debt Service'!C38</f>
        <v>12362</v>
      </c>
      <c r="D48" s="1700"/>
      <c r="E48" s="115">
        <f>'Exh D General Fund  '!E49+'Exh D Special Revenue State Fed'!E40+'Exh D Debt Service'!E38</f>
        <v>12362</v>
      </c>
      <c r="F48" s="948"/>
      <c r="G48" s="76">
        <f>'Exh A Supp'!T57</f>
        <v>12361.3</v>
      </c>
      <c r="H48" s="948"/>
      <c r="I48" s="844">
        <f>ROUND(SUM(G48)-SUM(C48),1)</f>
        <v>-0.7</v>
      </c>
      <c r="J48" s="166"/>
      <c r="K48" s="1576">
        <f>ROUND(SUM(G48)-SUM(E48),1)</f>
        <v>-0.7</v>
      </c>
      <c r="L48" s="359"/>
    </row>
    <row r="49" spans="1:12" ht="16.5" thickBot="1">
      <c r="A49" s="173" t="str">
        <f>'Exh D-Governmental  '!A50</f>
        <v>Fund Balances (Deficits) at January 31, 2020</v>
      </c>
      <c r="B49" s="180" t="s">
        <v>15</v>
      </c>
      <c r="C49" s="1526">
        <f>ROUND(SUM(C46:C48),1)</f>
        <v>18347</v>
      </c>
      <c r="D49" s="2113"/>
      <c r="E49" s="1526">
        <f>ROUND(SUM(E46:E48),1)</f>
        <v>18227</v>
      </c>
      <c r="F49" s="181"/>
      <c r="G49" s="98">
        <f>ROUND(SUM(G46:G48),1)</f>
        <v>19009.099999999999</v>
      </c>
      <c r="H49" s="991"/>
      <c r="I49" s="98">
        <f>ROUND(SUM(I46:I48),1)</f>
        <v>662.1</v>
      </c>
      <c r="J49" s="182"/>
      <c r="K49" s="98">
        <f>ROUND(SUM(K46:K48),1)</f>
        <v>782.1</v>
      </c>
      <c r="L49" s="359"/>
    </row>
    <row r="50" spans="1:12" ht="15.75" thickTop="1">
      <c r="A50" s="947"/>
      <c r="B50" s="635"/>
      <c r="C50" s="1994"/>
      <c r="D50" s="967"/>
      <c r="E50" s="1994"/>
      <c r="F50" s="951"/>
      <c r="G50" s="951"/>
      <c r="H50" s="951"/>
      <c r="I50" s="951"/>
      <c r="J50" s="951"/>
      <c r="K50" s="951"/>
    </row>
    <row r="51" spans="1:12">
      <c r="A51" s="952" t="str">
        <f>'Exh D-Governmental  '!A52</f>
        <v>(*)    Source: 2019-20 Enacted Financial Plan dated May 13, 2019.</v>
      </c>
      <c r="G51" s="1195"/>
      <c r="I51" s="1195"/>
      <c r="K51" s="1195"/>
    </row>
    <row r="52" spans="1:12">
      <c r="A52" s="952" t="str">
        <f>'Exh D-Governmental  '!A53</f>
        <v>(**)   Source: 2020-21 Executive Budget dated January 21, 2020.</v>
      </c>
      <c r="G52" s="1195"/>
      <c r="I52" s="1195"/>
      <c r="K52" s="1195"/>
    </row>
    <row r="53" spans="1:12">
      <c r="A53" s="625" t="s">
        <v>1449</v>
      </c>
      <c r="I53" s="1195"/>
      <c r="K53" s="1195"/>
    </row>
    <row r="54" spans="1:12">
      <c r="A54" s="625" t="s">
        <v>1215</v>
      </c>
    </row>
    <row r="55" spans="1:12">
      <c r="A55" s="1531" t="s">
        <v>1448</v>
      </c>
      <c r="G55" s="1195"/>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8671875" defaultRowHeight="15"/>
  <cols>
    <col min="1" max="1" width="59" style="947" customWidth="1"/>
    <col min="2" max="2" width="2" style="635" customWidth="1"/>
    <col min="3" max="3" width="15.109375" style="432" customWidth="1"/>
    <col min="4" max="4" width="1.88671875" style="951" customWidth="1"/>
    <col min="5" max="5" width="15.109375" style="432" customWidth="1"/>
    <col min="6" max="6" width="2.88671875" style="951" customWidth="1"/>
    <col min="7" max="7" width="15.109375" style="951" customWidth="1"/>
    <col min="8" max="8" width="4.109375" style="951" customWidth="1"/>
    <col min="9" max="9" width="15.109375" style="951" customWidth="1"/>
    <col min="10" max="10" width="2.109375" style="951" customWidth="1"/>
    <col min="11" max="11" width="12.88671875" style="635" customWidth="1"/>
    <col min="12" max="12" width="18.109375" style="432" bestFit="1" customWidth="1"/>
    <col min="13" max="13" width="2.88671875" style="951" customWidth="1"/>
    <col min="14" max="14" width="14.109375" style="951" customWidth="1"/>
    <col min="15" max="15" width="2.88671875" style="951" customWidth="1"/>
    <col min="16" max="16" width="15.88671875" style="951" bestFit="1" customWidth="1"/>
    <col min="17" max="17" width="2" style="635" customWidth="1"/>
    <col min="18" max="18" width="11.88671875" style="635" customWidth="1"/>
    <col min="19" max="19" width="11.44140625" style="635" customWidth="1"/>
    <col min="20" max="20" width="1.88671875" style="635" customWidth="1"/>
    <col min="21" max="21" width="11.88671875" style="635" customWidth="1"/>
    <col min="22" max="22" width="2.109375" style="635" customWidth="1"/>
    <col min="23" max="23" width="11.44140625" style="635" customWidth="1"/>
    <col min="24" max="24" width="0.5546875" style="635" customWidth="1"/>
    <col min="25" max="25" width="2.109375" style="635" customWidth="1"/>
    <col min="26" max="26" width="10.5546875" style="635" customWidth="1"/>
    <col min="27" max="27" width="11.109375" style="635" customWidth="1"/>
    <col min="28" max="28" width="2.109375" style="635" customWidth="1"/>
    <col min="29" max="29" width="11.109375" style="635" customWidth="1"/>
    <col min="30" max="30" width="2.109375" style="635" customWidth="1"/>
    <col min="31" max="31" width="12.44140625" style="635" customWidth="1"/>
    <col min="32" max="36" width="8.88671875" style="635"/>
    <col min="37" max="37" width="8.88671875" style="951"/>
    <col min="38" max="16384" width="8.88671875" style="947"/>
  </cols>
  <sheetData>
    <row r="1" spans="1:31">
      <c r="A1" s="953" t="s">
        <v>979</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7"/>
      <c r="K3" s="837"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38"/>
      <c r="K4" s="838"/>
      <c r="L4" s="429"/>
      <c r="M4" s="143"/>
      <c r="N4" s="143"/>
      <c r="O4" s="143"/>
      <c r="Q4" s="143"/>
      <c r="R4" s="156"/>
      <c r="S4" s="156"/>
      <c r="T4" s="156"/>
      <c r="U4" s="156"/>
      <c r="V4" s="156"/>
      <c r="W4" s="156"/>
      <c r="X4" s="156"/>
      <c r="Y4" s="156"/>
      <c r="Z4" s="156"/>
      <c r="AA4" s="156"/>
      <c r="AB4" s="156"/>
      <c r="AC4" s="156"/>
      <c r="AD4" s="156"/>
      <c r="AE4" s="156"/>
    </row>
    <row r="5" spans="1:31" ht="17.25" customHeight="1">
      <c r="A5" s="3902" t="str">
        <f>'Exh D-Governmental  '!A5:E5</f>
        <v>FISCAL YEAR 2019-2020</v>
      </c>
      <c r="B5" s="3903"/>
      <c r="C5" s="3903"/>
      <c r="D5" s="3903"/>
      <c r="E5" s="3903"/>
      <c r="F5" s="143"/>
      <c r="G5" s="830"/>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2" t="str">
        <f>'Exh D-Governmental  '!A6</f>
        <v>FOR TEN MONTHS ENDED JANUARY 31, 2020</v>
      </c>
      <c r="B6" s="3881"/>
      <c r="C6" s="3882"/>
      <c r="D6" s="3883"/>
      <c r="E6" s="3882"/>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1417</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0"/>
      <c r="M10" s="147"/>
      <c r="N10" s="147"/>
      <c r="O10" s="147"/>
      <c r="P10" s="147"/>
      <c r="Q10" s="143"/>
      <c r="R10" s="156"/>
      <c r="S10" s="156"/>
      <c r="T10" s="156"/>
      <c r="U10" s="156"/>
      <c r="V10" s="156"/>
      <c r="W10" s="156"/>
      <c r="X10" s="156"/>
      <c r="Y10" s="156"/>
      <c r="Z10" s="156"/>
      <c r="AA10" s="156"/>
      <c r="AB10" s="156"/>
      <c r="AC10" s="156"/>
      <c r="AD10" s="156"/>
      <c r="AE10" s="156"/>
    </row>
    <row r="11" spans="1:31" ht="15.75">
      <c r="A11" s="704"/>
      <c r="C11" s="3904" t="s">
        <v>1148</v>
      </c>
      <c r="D11" s="3904"/>
      <c r="E11" s="3904"/>
      <c r="F11" s="3904"/>
      <c r="G11" s="3904"/>
      <c r="H11" s="3904"/>
      <c r="I11" s="3904"/>
      <c r="J11" s="1196"/>
      <c r="K11" s="1197"/>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4"/>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4"/>
      <c r="B13" s="151"/>
      <c r="C13" s="431"/>
      <c r="D13" s="198"/>
      <c r="E13" s="431"/>
      <c r="F13" s="198"/>
      <c r="G13" s="198"/>
      <c r="H13" s="198"/>
      <c r="I13" s="199" t="s">
        <v>885</v>
      </c>
      <c r="J13" s="201"/>
      <c r="K13" s="199" t="s">
        <v>885</v>
      </c>
      <c r="L13" s="981"/>
      <c r="M13" s="982"/>
      <c r="N13" s="982"/>
      <c r="O13" s="982"/>
      <c r="P13" s="983"/>
      <c r="Q13" s="151"/>
      <c r="R13" s="151"/>
      <c r="S13" s="151"/>
      <c r="T13" s="151"/>
      <c r="U13" s="151"/>
      <c r="V13" s="151"/>
      <c r="W13" s="200"/>
      <c r="X13" s="201"/>
      <c r="Y13" s="151"/>
      <c r="Z13" s="151"/>
      <c r="AA13" s="151"/>
      <c r="AB13" s="151"/>
      <c r="AC13" s="151"/>
      <c r="AD13" s="151"/>
      <c r="AE13" s="200"/>
    </row>
    <row r="14" spans="1:31" ht="15.75">
      <c r="A14" s="704"/>
      <c r="B14" s="202"/>
      <c r="C14" s="154" t="s">
        <v>1094</v>
      </c>
      <c r="D14" s="947"/>
      <c r="E14" s="153" t="s">
        <v>1095</v>
      </c>
      <c r="F14" s="152"/>
      <c r="G14" s="152"/>
      <c r="H14" s="152"/>
      <c r="I14" s="153" t="s">
        <v>86</v>
      </c>
      <c r="J14" s="201"/>
      <c r="K14" s="153" t="s">
        <v>86</v>
      </c>
      <c r="L14" s="984"/>
      <c r="M14" s="151"/>
      <c r="N14" s="151"/>
      <c r="O14" s="151"/>
      <c r="P14" s="201"/>
      <c r="Q14" s="151"/>
      <c r="R14" s="200"/>
      <c r="S14" s="201"/>
      <c r="T14" s="151"/>
      <c r="U14" s="151"/>
      <c r="V14" s="151"/>
      <c r="W14" s="200"/>
      <c r="X14" s="201"/>
      <c r="Y14" s="151"/>
      <c r="Z14" s="200"/>
      <c r="AA14" s="201"/>
      <c r="AB14" s="151"/>
      <c r="AC14" s="151"/>
      <c r="AD14" s="151"/>
      <c r="AE14" s="200"/>
    </row>
    <row r="15" spans="1:31" ht="15.75">
      <c r="A15" s="704"/>
      <c r="B15" s="202"/>
      <c r="C15" s="153" t="s">
        <v>1133</v>
      </c>
      <c r="D15" s="152"/>
      <c r="E15" s="153" t="s">
        <v>1133</v>
      </c>
      <c r="F15" s="152"/>
      <c r="G15" s="152"/>
      <c r="H15" s="152"/>
      <c r="I15" s="153" t="s">
        <v>1094</v>
      </c>
      <c r="J15" s="201"/>
      <c r="K15" s="153" t="s">
        <v>1095</v>
      </c>
      <c r="L15" s="984"/>
      <c r="M15" s="151"/>
      <c r="N15" s="151"/>
      <c r="O15" s="151"/>
      <c r="P15" s="201"/>
      <c r="Q15" s="151"/>
      <c r="R15" s="200"/>
      <c r="S15" s="201"/>
      <c r="T15" s="151"/>
      <c r="U15" s="151"/>
      <c r="V15" s="151"/>
      <c r="W15" s="200"/>
      <c r="X15" s="201"/>
      <c r="Y15" s="151"/>
      <c r="Z15" s="200"/>
      <c r="AA15" s="201"/>
      <c r="AB15" s="151"/>
      <c r="AC15" s="151"/>
      <c r="AD15" s="151"/>
      <c r="AE15" s="200"/>
    </row>
    <row r="16" spans="1:31" ht="15.75">
      <c r="A16" s="704"/>
      <c r="B16" s="201"/>
      <c r="C16" s="153" t="s">
        <v>1134</v>
      </c>
      <c r="D16" s="152"/>
      <c r="E16" s="153" t="s">
        <v>1447</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0"/>
      <c r="C18" s="670"/>
      <c r="D18" s="670"/>
      <c r="E18" s="670"/>
      <c r="F18" s="670"/>
      <c r="G18" s="670"/>
      <c r="H18" s="670"/>
      <c r="I18" s="670"/>
      <c r="J18" s="940"/>
      <c r="K18" s="940"/>
      <c r="L18" s="940"/>
      <c r="M18" s="940"/>
      <c r="N18" s="940"/>
      <c r="O18" s="940"/>
      <c r="P18" s="940"/>
      <c r="Q18" s="940"/>
      <c r="R18" s="940"/>
      <c r="S18" s="940"/>
      <c r="T18" s="940"/>
      <c r="U18" s="940"/>
      <c r="V18" s="940"/>
      <c r="W18" s="940"/>
      <c r="X18" s="940"/>
      <c r="Y18" s="940"/>
      <c r="Z18" s="940"/>
      <c r="AA18" s="940"/>
      <c r="AB18" s="940"/>
      <c r="AC18" s="940"/>
      <c r="AD18" s="940"/>
      <c r="AE18" s="940"/>
    </row>
    <row r="19" spans="1:31">
      <c r="A19" s="835" t="s">
        <v>88</v>
      </c>
      <c r="B19" s="941"/>
      <c r="C19" s="670"/>
      <c r="D19" s="941"/>
      <c r="E19" s="670"/>
      <c r="F19" s="941"/>
      <c r="G19" s="670"/>
      <c r="H19" s="941"/>
      <c r="I19" s="670"/>
      <c r="J19" s="940"/>
      <c r="K19" s="940"/>
      <c r="L19" s="940"/>
      <c r="M19" s="940"/>
      <c r="N19" s="940"/>
      <c r="O19" s="961"/>
      <c r="P19" s="940"/>
      <c r="Q19" s="940"/>
      <c r="R19" s="940"/>
      <c r="S19" s="940"/>
      <c r="T19" s="940"/>
      <c r="U19" s="940"/>
      <c r="V19" s="940"/>
      <c r="W19" s="940"/>
      <c r="X19" s="940"/>
      <c r="Y19" s="940"/>
      <c r="Z19" s="940"/>
      <c r="AA19" s="940"/>
      <c r="AB19" s="940"/>
      <c r="AC19" s="940"/>
      <c r="AD19" s="940"/>
      <c r="AE19" s="940"/>
    </row>
    <row r="20" spans="1:31">
      <c r="A20" s="835" t="s">
        <v>89</v>
      </c>
      <c r="B20" s="941" t="s">
        <v>15</v>
      </c>
      <c r="C20" s="2109">
        <v>20285</v>
      </c>
      <c r="D20" s="909"/>
      <c r="E20" s="2109">
        <v>20871</v>
      </c>
      <c r="F20" s="673"/>
      <c r="G20" s="671">
        <f>+'Exhibit F'!AC26</f>
        <v>20959.099999999999</v>
      </c>
      <c r="H20" s="673"/>
      <c r="I20" s="671">
        <f t="shared" ref="I20:I25" si="0">ROUND(SUM(G20)-SUM(C20),1)</f>
        <v>674.1</v>
      </c>
      <c r="J20" s="940"/>
      <c r="K20" s="671">
        <f>ROUND(SUM(G20)-SUM(E20),1)</f>
        <v>88.1</v>
      </c>
      <c r="L20" s="985"/>
      <c r="M20" s="985"/>
      <c r="N20" s="986"/>
      <c r="O20" s="985"/>
      <c r="P20" s="987"/>
      <c r="Q20" s="940"/>
      <c r="R20" s="940"/>
      <c r="S20" s="940"/>
      <c r="T20" s="940"/>
      <c r="U20" s="940"/>
      <c r="V20" s="940"/>
      <c r="W20" s="940"/>
      <c r="X20" s="940"/>
      <c r="Y20" s="940"/>
      <c r="Z20" s="940"/>
      <c r="AA20" s="940"/>
      <c r="AB20" s="940"/>
      <c r="AC20" s="940"/>
      <c r="AD20" s="940"/>
      <c r="AE20" s="940"/>
    </row>
    <row r="21" spans="1:31">
      <c r="A21" s="835" t="s">
        <v>90</v>
      </c>
      <c r="B21" s="940" t="s">
        <v>15</v>
      </c>
      <c r="C21" s="1141">
        <v>6921</v>
      </c>
      <c r="D21" s="911"/>
      <c r="E21" s="1141">
        <v>6835</v>
      </c>
      <c r="F21" s="656"/>
      <c r="G21" s="911">
        <f>+'Exhibit F'!AC37</f>
        <v>6822</v>
      </c>
      <c r="H21" s="656"/>
      <c r="I21" s="656">
        <f t="shared" si="0"/>
        <v>-99</v>
      </c>
      <c r="J21" s="940"/>
      <c r="K21" s="1575">
        <f>ROUND(SUM(G21)-SUM(E21),1)</f>
        <v>-13</v>
      </c>
      <c r="L21" s="988"/>
      <c r="M21" s="959"/>
      <c r="N21" s="959"/>
      <c r="O21" s="959"/>
      <c r="P21" s="959"/>
      <c r="Q21" s="959"/>
      <c r="R21" s="959"/>
      <c r="S21" s="940"/>
      <c r="T21" s="940"/>
      <c r="U21" s="940"/>
      <c r="V21" s="940"/>
      <c r="W21" s="940"/>
      <c r="X21" s="940"/>
      <c r="Y21" s="940"/>
      <c r="Z21" s="940"/>
      <c r="AA21" s="940"/>
      <c r="AB21" s="940"/>
      <c r="AC21" s="940"/>
      <c r="AD21" s="940"/>
      <c r="AE21" s="940"/>
    </row>
    <row r="22" spans="1:31">
      <c r="A22" s="835" t="s">
        <v>91</v>
      </c>
      <c r="B22" s="941" t="s">
        <v>15</v>
      </c>
      <c r="C22" s="1141">
        <v>4225</v>
      </c>
      <c r="D22" s="698"/>
      <c r="E22" s="1141">
        <v>4519</v>
      </c>
      <c r="F22" s="695"/>
      <c r="G22" s="948">
        <f>+'Exhibit F'!AC44</f>
        <v>4533.8999999999996</v>
      </c>
      <c r="H22" s="695"/>
      <c r="I22" s="656">
        <f t="shared" si="0"/>
        <v>308.89999999999998</v>
      </c>
      <c r="J22" s="940"/>
      <c r="K22" s="1575">
        <f t="shared" ref="K22:K30" si="1">ROUND(SUM(G22)-SUM(E22),1)</f>
        <v>14.9</v>
      </c>
      <c r="L22" s="988"/>
      <c r="M22" s="960"/>
      <c r="N22" s="959"/>
      <c r="O22" s="960"/>
      <c r="P22" s="959"/>
      <c r="Q22" s="960"/>
      <c r="R22" s="959"/>
      <c r="S22" s="940"/>
      <c r="T22" s="961"/>
      <c r="U22" s="940"/>
      <c r="V22" s="961"/>
      <c r="W22" s="940"/>
      <c r="X22" s="940"/>
      <c r="Y22" s="961"/>
      <c r="Z22" s="940"/>
      <c r="AA22" s="940"/>
      <c r="AB22" s="961"/>
      <c r="AC22" s="203"/>
      <c r="AD22" s="961"/>
      <c r="AE22" s="940"/>
    </row>
    <row r="23" spans="1:31">
      <c r="A23" s="835" t="s">
        <v>92</v>
      </c>
      <c r="B23" s="940" t="s">
        <v>15</v>
      </c>
      <c r="C23" s="1141">
        <v>928</v>
      </c>
      <c r="D23" s="911"/>
      <c r="E23" s="1141">
        <v>923</v>
      </c>
      <c r="F23" s="656"/>
      <c r="G23" s="911">
        <f>+'Exhibit F'!AC53</f>
        <v>922.7</v>
      </c>
      <c r="H23" s="656"/>
      <c r="I23" s="656">
        <f t="shared" si="0"/>
        <v>-5.3</v>
      </c>
      <c r="J23" s="940"/>
      <c r="K23" s="1575">
        <f t="shared" si="1"/>
        <v>-0.3</v>
      </c>
      <c r="L23" s="989"/>
      <c r="M23" s="959"/>
      <c r="N23" s="959"/>
      <c r="O23" s="959"/>
      <c r="P23" s="959"/>
      <c r="Q23" s="959"/>
      <c r="R23" s="959"/>
      <c r="S23" s="940"/>
      <c r="T23" s="940"/>
      <c r="U23" s="940"/>
      <c r="V23" s="940"/>
      <c r="W23" s="940"/>
      <c r="X23" s="940"/>
      <c r="Y23" s="940"/>
      <c r="Z23" s="940"/>
      <c r="AA23" s="940"/>
      <c r="AB23" s="940"/>
      <c r="AC23" s="940"/>
      <c r="AD23" s="940"/>
      <c r="AE23" s="940"/>
    </row>
    <row r="24" spans="1:31" ht="15" customHeight="1">
      <c r="A24" s="835" t="s">
        <v>20</v>
      </c>
      <c r="B24" s="940" t="s">
        <v>15</v>
      </c>
      <c r="C24" s="1141">
        <v>2372</v>
      </c>
      <c r="D24" s="2027"/>
      <c r="E24" s="1141">
        <v>2629</v>
      </c>
      <c r="F24" s="958"/>
      <c r="G24" s="701">
        <f>+'Exhibit F'!AC93</f>
        <v>2593.8000000000002</v>
      </c>
      <c r="H24" s="656"/>
      <c r="I24" s="656">
        <f t="shared" si="0"/>
        <v>221.8</v>
      </c>
      <c r="J24" s="940"/>
      <c r="K24" s="1575">
        <f t="shared" si="1"/>
        <v>-35.200000000000003</v>
      </c>
      <c r="L24" s="989"/>
      <c r="M24" s="959"/>
      <c r="N24" s="959"/>
      <c r="O24" s="959"/>
      <c r="P24" s="959"/>
      <c r="Q24" s="959"/>
      <c r="R24" s="959"/>
      <c r="S24" s="940"/>
      <c r="T24" s="940"/>
      <c r="U24" s="940"/>
      <c r="V24" s="940"/>
      <c r="W24" s="940"/>
      <c r="X24" s="940"/>
      <c r="Y24" s="940"/>
      <c r="Z24" s="940"/>
      <c r="AA24" s="940"/>
      <c r="AB24" s="940"/>
      <c r="AC24" s="940"/>
      <c r="AD24" s="940"/>
      <c r="AE24" s="940"/>
    </row>
    <row r="25" spans="1:31" ht="15" customHeight="1">
      <c r="A25" s="835" t="s">
        <v>21</v>
      </c>
      <c r="B25" s="940" t="s">
        <v>15</v>
      </c>
      <c r="C25" s="1141">
        <v>0</v>
      </c>
      <c r="D25" s="911"/>
      <c r="E25" s="1141">
        <v>0</v>
      </c>
      <c r="F25" s="656"/>
      <c r="G25" s="701">
        <f>+'Exhibit F'!AC95</f>
        <v>0.3</v>
      </c>
      <c r="H25" s="656"/>
      <c r="I25" s="656">
        <f t="shared" si="0"/>
        <v>0.3</v>
      </c>
      <c r="J25" s="940"/>
      <c r="K25" s="1575">
        <f t="shared" si="1"/>
        <v>0.3</v>
      </c>
      <c r="L25" s="988"/>
      <c r="M25" s="959"/>
      <c r="N25" s="959"/>
      <c r="O25" s="959"/>
      <c r="P25" s="959"/>
      <c r="Q25" s="959"/>
      <c r="R25" s="962"/>
      <c r="S25" s="963"/>
      <c r="T25" s="940"/>
      <c r="U25" s="963"/>
      <c r="V25" s="940"/>
      <c r="W25" s="963"/>
      <c r="X25" s="964"/>
      <c r="Y25" s="940"/>
      <c r="Z25" s="940"/>
      <c r="AA25" s="940"/>
      <c r="AB25" s="940"/>
      <c r="AC25" s="940"/>
      <c r="AD25" s="940"/>
      <c r="AE25" s="940"/>
    </row>
    <row r="26" spans="1:31" ht="18" customHeight="1">
      <c r="A26" s="835" t="s">
        <v>106</v>
      </c>
      <c r="B26" s="964"/>
      <c r="C26" s="672"/>
      <c r="D26" s="911"/>
      <c r="E26" s="672"/>
      <c r="F26" s="656"/>
      <c r="G26" s="2194"/>
      <c r="H26" s="656"/>
      <c r="I26" s="656"/>
      <c r="J26" s="964"/>
      <c r="K26" s="1575" t="s">
        <v>15</v>
      </c>
      <c r="L26" s="962"/>
      <c r="M26" s="959"/>
      <c r="N26" s="962"/>
      <c r="O26" s="959"/>
      <c r="P26" s="962"/>
      <c r="Q26" s="959"/>
      <c r="R26" s="962"/>
      <c r="S26" s="963"/>
      <c r="T26" s="940"/>
      <c r="U26" s="963"/>
      <c r="V26" s="940"/>
      <c r="W26" s="963"/>
      <c r="X26" s="964"/>
      <c r="Y26" s="940"/>
      <c r="Z26" s="940"/>
      <c r="AA26" s="940"/>
      <c r="AB26" s="940"/>
      <c r="AC26" s="940"/>
      <c r="AD26" s="940"/>
      <c r="AE26" s="940"/>
    </row>
    <row r="27" spans="1:31">
      <c r="A27" s="835" t="s">
        <v>1340</v>
      </c>
      <c r="B27" s="964" t="s">
        <v>15</v>
      </c>
      <c r="C27" s="1141">
        <v>20722</v>
      </c>
      <c r="D27" s="911"/>
      <c r="E27" s="1141">
        <v>21331</v>
      </c>
      <c r="F27" s="656"/>
      <c r="G27" s="911">
        <f>'Exhibit F'!AC124</f>
        <v>21503.599999999999</v>
      </c>
      <c r="H27" s="656"/>
      <c r="I27" s="656">
        <f>ROUND(SUM(G27)-SUM(C27),1)</f>
        <v>781.6</v>
      </c>
      <c r="J27" s="964"/>
      <c r="K27" s="1575">
        <f t="shared" si="1"/>
        <v>172.6</v>
      </c>
      <c r="L27" s="962"/>
      <c r="M27" s="959"/>
      <c r="N27" s="962"/>
      <c r="O27" s="959"/>
      <c r="P27" s="959"/>
      <c r="Q27" s="959"/>
      <c r="R27" s="962"/>
      <c r="S27" s="963"/>
      <c r="T27" s="940"/>
      <c r="U27" s="963"/>
      <c r="V27" s="940"/>
      <c r="W27" s="963"/>
      <c r="X27" s="964"/>
      <c r="Y27" s="940"/>
      <c r="Z27" s="940"/>
      <c r="AA27" s="940"/>
      <c r="AB27" s="940"/>
      <c r="AC27" s="940"/>
      <c r="AD27" s="940"/>
      <c r="AE27" s="940"/>
    </row>
    <row r="28" spans="1:31">
      <c r="A28" s="835" t="s">
        <v>1093</v>
      </c>
      <c r="B28" s="964" t="s">
        <v>15</v>
      </c>
      <c r="C28" s="1141">
        <v>5594</v>
      </c>
      <c r="D28" s="911"/>
      <c r="E28" s="1141">
        <v>5516</v>
      </c>
      <c r="F28" s="656"/>
      <c r="G28" s="1584">
        <f>'Exhibit F'!AC125</f>
        <v>5544.4000000000005</v>
      </c>
      <c r="H28" s="656"/>
      <c r="I28" s="656">
        <f>ROUND(SUM(G28)-SUM(C28),1)</f>
        <v>-49.6</v>
      </c>
      <c r="J28" s="964"/>
      <c r="K28" s="1575">
        <f t="shared" si="1"/>
        <v>28.4</v>
      </c>
      <c r="L28" s="962"/>
      <c r="M28" s="959"/>
      <c r="N28" s="962"/>
      <c r="O28" s="959"/>
      <c r="P28" s="959"/>
      <c r="Q28" s="959"/>
      <c r="R28" s="962"/>
      <c r="S28" s="963"/>
      <c r="T28" s="940"/>
      <c r="U28" s="963"/>
      <c r="V28" s="940"/>
      <c r="W28" s="963"/>
      <c r="X28" s="964"/>
      <c r="Y28" s="940"/>
      <c r="Z28" s="940"/>
      <c r="AA28" s="940"/>
      <c r="AB28" s="940"/>
      <c r="AC28" s="940"/>
      <c r="AD28" s="940"/>
      <c r="AE28" s="940"/>
    </row>
    <row r="29" spans="1:31">
      <c r="A29" s="835" t="s">
        <v>107</v>
      </c>
      <c r="B29" s="964" t="s">
        <v>15</v>
      </c>
      <c r="C29" s="1141">
        <v>844</v>
      </c>
      <c r="D29" s="911"/>
      <c r="E29" s="1141">
        <v>810</v>
      </c>
      <c r="F29" s="656"/>
      <c r="G29" s="911">
        <f>'Exhibit F'!AC126</f>
        <v>810.3</v>
      </c>
      <c r="H29" s="656"/>
      <c r="I29" s="656">
        <f>ROUND(SUM(G29)-SUM(C29),1)</f>
        <v>-33.700000000000003</v>
      </c>
      <c r="J29" s="964"/>
      <c r="K29" s="1575">
        <f t="shared" si="1"/>
        <v>0.3</v>
      </c>
      <c r="L29" s="962"/>
      <c r="M29" s="959"/>
      <c r="N29" s="962"/>
      <c r="O29" s="959"/>
      <c r="P29" s="959"/>
      <c r="Q29" s="959"/>
      <c r="R29" s="962"/>
      <c r="S29" s="963"/>
      <c r="T29" s="940"/>
      <c r="U29" s="963"/>
      <c r="V29" s="940"/>
      <c r="W29" s="963"/>
      <c r="X29" s="964"/>
      <c r="Y29" s="940"/>
      <c r="Z29" s="940"/>
      <c r="AA29" s="940"/>
      <c r="AB29" s="940"/>
      <c r="AC29" s="940"/>
      <c r="AD29" s="940"/>
      <c r="AE29" s="940"/>
    </row>
    <row r="30" spans="1:31">
      <c r="A30" s="835" t="s">
        <v>108</v>
      </c>
      <c r="B30" s="964" t="s">
        <v>15</v>
      </c>
      <c r="C30" s="1141">
        <v>1248</v>
      </c>
      <c r="D30" s="911"/>
      <c r="E30" s="1141">
        <v>1378</v>
      </c>
      <c r="F30" s="656"/>
      <c r="G30" s="1766">
        <f>'Exhibit F'!AC127</f>
        <v>1541.5000000000002</v>
      </c>
      <c r="H30" s="656"/>
      <c r="I30" s="656">
        <f>ROUND(SUM(G30)-SUM(C30),1)</f>
        <v>293.5</v>
      </c>
      <c r="J30" s="964"/>
      <c r="K30" s="1575">
        <f t="shared" si="1"/>
        <v>163.5</v>
      </c>
      <c r="L30" s="990"/>
      <c r="M30" s="959"/>
      <c r="N30" s="960"/>
      <c r="O30" s="959"/>
      <c r="P30" s="959"/>
      <c r="Q30" s="959"/>
      <c r="R30" s="962"/>
      <c r="S30" s="963"/>
      <c r="T30" s="940"/>
      <c r="U30" s="963"/>
      <c r="V30" s="940"/>
      <c r="W30" s="963"/>
      <c r="X30" s="964"/>
      <c r="Y30" s="940"/>
      <c r="Z30" s="940"/>
      <c r="AA30" s="940"/>
      <c r="AB30" s="940"/>
      <c r="AC30" s="940"/>
      <c r="AD30" s="940"/>
      <c r="AE30" s="940"/>
    </row>
    <row r="31" spans="1:31" ht="18" customHeight="1">
      <c r="A31" s="173" t="s">
        <v>109</v>
      </c>
      <c r="B31" s="151" t="s">
        <v>15</v>
      </c>
      <c r="C31" s="1927">
        <f>ROUND(SUM(C20:C30),1)</f>
        <v>63139</v>
      </c>
      <c r="D31" s="112"/>
      <c r="E31" s="1927">
        <f>ROUND(SUM(E20:E30),1)</f>
        <v>64812</v>
      </c>
      <c r="F31" s="938"/>
      <c r="G31" s="215">
        <f>ROUND(SUM(G20:G30),1)</f>
        <v>65231.6</v>
      </c>
      <c r="H31" s="938"/>
      <c r="I31" s="296">
        <f>ROUND(SUM(I20:I30),1)</f>
        <v>2092.6</v>
      </c>
      <c r="J31" s="151"/>
      <c r="K31" s="296">
        <f>ROUND(SUM(K20:K30),1)</f>
        <v>419.6</v>
      </c>
      <c r="L31" s="76"/>
      <c r="M31" s="76"/>
      <c r="N31" s="76"/>
      <c r="O31" s="76"/>
      <c r="P31" s="76"/>
      <c r="Q31" s="76"/>
      <c r="R31" s="76"/>
      <c r="S31" s="151"/>
      <c r="T31" s="151"/>
      <c r="U31" s="151"/>
      <c r="V31" s="151"/>
      <c r="W31" s="151"/>
      <c r="X31" s="151"/>
      <c r="Y31" s="151"/>
      <c r="Z31" s="151"/>
      <c r="AA31" s="151"/>
      <c r="AB31" s="151"/>
      <c r="AC31" s="151"/>
      <c r="AD31" s="151"/>
      <c r="AE31" s="151"/>
    </row>
    <row r="32" spans="1:31">
      <c r="A32" s="704"/>
      <c r="B32" s="940"/>
      <c r="C32" s="1928"/>
      <c r="D32" s="911"/>
      <c r="E32" s="1928"/>
      <c r="F32" s="656"/>
      <c r="G32" s="702"/>
      <c r="H32" s="656"/>
      <c r="I32" s="959"/>
      <c r="J32" s="940"/>
      <c r="K32" s="959"/>
      <c r="L32" s="959"/>
      <c r="M32" s="959"/>
      <c r="N32" s="959"/>
      <c r="O32" s="959"/>
      <c r="P32" s="959"/>
      <c r="Q32" s="959"/>
      <c r="R32" s="959"/>
      <c r="S32" s="940"/>
      <c r="T32" s="940"/>
      <c r="U32" s="940"/>
      <c r="V32" s="940"/>
      <c r="W32" s="940"/>
      <c r="X32" s="940"/>
      <c r="Y32" s="940"/>
      <c r="Z32" s="940"/>
      <c r="AA32" s="940"/>
      <c r="AB32" s="940"/>
      <c r="AC32" s="940"/>
      <c r="AD32" s="940"/>
      <c r="AE32" s="940"/>
    </row>
    <row r="33" spans="1:31" ht="15.75">
      <c r="A33" s="29" t="s">
        <v>23</v>
      </c>
      <c r="B33" s="940"/>
      <c r="C33" s="911"/>
      <c r="D33" s="911"/>
      <c r="E33" s="911"/>
      <c r="F33" s="656"/>
      <c r="G33" s="656"/>
      <c r="H33" s="656"/>
      <c r="I33" s="656"/>
      <c r="J33" s="940"/>
      <c r="K33" s="959"/>
      <c r="L33" s="959"/>
      <c r="M33" s="959"/>
      <c r="N33" s="959"/>
      <c r="O33" s="959"/>
      <c r="P33" s="959"/>
      <c r="Q33" s="959"/>
      <c r="R33" s="959"/>
      <c r="S33" s="940"/>
      <c r="T33" s="940"/>
      <c r="U33" s="940"/>
      <c r="V33" s="940"/>
      <c r="W33" s="940"/>
      <c r="X33" s="940"/>
      <c r="Y33" s="940"/>
      <c r="Z33" s="940"/>
      <c r="AA33" s="940"/>
      <c r="AB33" s="940"/>
      <c r="AC33" s="940"/>
      <c r="AD33" s="940"/>
      <c r="AE33" s="940"/>
    </row>
    <row r="34" spans="1:31">
      <c r="A34" s="835" t="s">
        <v>94</v>
      </c>
      <c r="B34" s="961" t="s">
        <v>15</v>
      </c>
      <c r="C34" s="1141">
        <v>38135</v>
      </c>
      <c r="D34" s="911"/>
      <c r="E34" s="1141">
        <v>39299</v>
      </c>
      <c r="F34" s="656"/>
      <c r="G34" s="695">
        <f>+'Exhibit F'!AC111</f>
        <v>39304.30000000001</v>
      </c>
      <c r="H34" s="656"/>
      <c r="I34" s="656">
        <f>ROUND(SUM(G34)-SUM(C34),1)</f>
        <v>1169.3</v>
      </c>
      <c r="J34" s="940"/>
      <c r="K34" s="1575">
        <f>ROUND(SUM(G34)-SUM(E34),1)</f>
        <v>5.3</v>
      </c>
      <c r="L34" s="960"/>
      <c r="M34" s="959"/>
      <c r="N34" s="960"/>
      <c r="O34" s="959"/>
      <c r="P34" s="959"/>
      <c r="Q34" s="959"/>
      <c r="R34" s="962"/>
      <c r="S34" s="963"/>
      <c r="T34" s="940"/>
      <c r="U34" s="963"/>
      <c r="V34" s="940"/>
      <c r="W34" s="963"/>
      <c r="X34" s="964"/>
      <c r="Y34" s="940"/>
      <c r="Z34" s="940"/>
      <c r="AA34" s="940"/>
      <c r="AB34" s="940"/>
      <c r="AC34" s="940"/>
      <c r="AD34" s="940"/>
      <c r="AE34" s="940"/>
    </row>
    <row r="35" spans="1:31">
      <c r="A35" s="835" t="s">
        <v>95</v>
      </c>
      <c r="B35" s="961" t="s">
        <v>15</v>
      </c>
      <c r="C35" s="1141">
        <v>10019</v>
      </c>
      <c r="D35" s="911"/>
      <c r="E35" s="1141">
        <v>9767</v>
      </c>
      <c r="F35" s="656"/>
      <c r="G35" s="695">
        <f>+'Exhibit F'!AC113+'Exhibit F'!AC114</f>
        <v>9678.8000000000011</v>
      </c>
      <c r="H35" s="656"/>
      <c r="I35" s="656">
        <f>ROUND(SUM(G35)-SUM(C35),1)</f>
        <v>-340.2</v>
      </c>
      <c r="J35" s="940"/>
      <c r="K35" s="1575">
        <f t="shared" ref="K35:K42" si="2">ROUND(SUM(G35)-SUM(E35),1)</f>
        <v>-88.2</v>
      </c>
      <c r="L35" s="960"/>
      <c r="M35" s="959"/>
      <c r="N35" s="960"/>
      <c r="O35" s="959"/>
      <c r="P35" s="959"/>
      <c r="Q35" s="959"/>
      <c r="R35" s="960"/>
      <c r="S35" s="961"/>
      <c r="T35" s="940"/>
      <c r="U35" s="961"/>
      <c r="V35" s="940"/>
      <c r="W35" s="963"/>
      <c r="X35" s="940"/>
      <c r="Y35" s="940"/>
      <c r="Z35" s="963"/>
      <c r="AA35" s="963"/>
      <c r="AB35" s="940"/>
      <c r="AC35" s="963"/>
      <c r="AD35" s="940"/>
      <c r="AE35" s="963"/>
    </row>
    <row r="36" spans="1:31">
      <c r="A36" s="835" t="s">
        <v>70</v>
      </c>
      <c r="B36" s="961" t="s">
        <v>15</v>
      </c>
      <c r="C36" s="1141">
        <v>6608</v>
      </c>
      <c r="D36" s="911"/>
      <c r="E36" s="1141">
        <v>6621</v>
      </c>
      <c r="F36" s="656"/>
      <c r="G36" s="695">
        <f>+'Exhibit F'!AC115</f>
        <v>6566.1</v>
      </c>
      <c r="H36" s="656"/>
      <c r="I36" s="656">
        <f>ROUND(SUM(G36)-SUM(C36),1)</f>
        <v>-41.9</v>
      </c>
      <c r="J36" s="940"/>
      <c r="K36" s="1575">
        <f t="shared" si="2"/>
        <v>-54.9</v>
      </c>
      <c r="L36" s="960"/>
      <c r="M36" s="959"/>
      <c r="N36" s="960"/>
      <c r="O36" s="959"/>
      <c r="P36" s="959"/>
      <c r="Q36" s="959"/>
      <c r="R36" s="962"/>
      <c r="S36" s="963"/>
      <c r="T36" s="940"/>
      <c r="U36" s="963"/>
      <c r="V36" s="940"/>
      <c r="W36" s="963"/>
      <c r="X36" s="964"/>
      <c r="Y36" s="940"/>
      <c r="Z36" s="963"/>
      <c r="AA36" s="963"/>
      <c r="AB36" s="940"/>
      <c r="AC36" s="963"/>
      <c r="AD36" s="940"/>
      <c r="AE36" s="963"/>
    </row>
    <row r="37" spans="1:31" ht="18" customHeight="1">
      <c r="A37" s="835" t="s">
        <v>110</v>
      </c>
      <c r="B37" s="964"/>
      <c r="C37" s="672"/>
      <c r="D37" s="911"/>
      <c r="E37" s="672"/>
      <c r="F37" s="656"/>
      <c r="G37" s="672"/>
      <c r="H37" s="656"/>
      <c r="I37" s="656"/>
      <c r="J37" s="964"/>
      <c r="K37" s="1575" t="s">
        <v>15</v>
      </c>
      <c r="L37" s="990"/>
      <c r="M37" s="959"/>
      <c r="N37" s="990"/>
      <c r="O37" s="959"/>
      <c r="P37" s="959"/>
      <c r="Q37" s="959"/>
      <c r="R37" s="962"/>
      <c r="S37" s="963"/>
      <c r="T37" s="940"/>
      <c r="U37" s="963"/>
      <c r="V37" s="940"/>
      <c r="W37" s="963"/>
      <c r="X37" s="964"/>
      <c r="Y37" s="940"/>
      <c r="Z37" s="940"/>
      <c r="AA37" s="940"/>
      <c r="AB37" s="940"/>
      <c r="AC37" s="940"/>
      <c r="AD37" s="940"/>
      <c r="AE37" s="940"/>
    </row>
    <row r="38" spans="1:31">
      <c r="A38" s="835" t="s">
        <v>111</v>
      </c>
      <c r="B38" s="964" t="s">
        <v>15</v>
      </c>
      <c r="C38" s="1141">
        <v>610</v>
      </c>
      <c r="D38" s="911"/>
      <c r="E38" s="1141">
        <v>555</v>
      </c>
      <c r="F38" s="656"/>
      <c r="G38" s="699">
        <f>-'Exhibit F'!AC130</f>
        <v>554</v>
      </c>
      <c r="H38" s="656"/>
      <c r="I38" s="656">
        <f>ROUND(SUM(G38)-SUM(C38),1)</f>
        <v>-56</v>
      </c>
      <c r="J38" s="964"/>
      <c r="K38" s="1575">
        <f t="shared" si="2"/>
        <v>-1</v>
      </c>
      <c r="L38" s="962"/>
      <c r="M38" s="959"/>
      <c r="N38" s="962"/>
      <c r="O38" s="959"/>
      <c r="P38" s="959"/>
      <c r="Q38" s="959"/>
      <c r="R38" s="962"/>
      <c r="S38" s="963"/>
      <c r="T38" s="940"/>
      <c r="U38" s="963"/>
      <c r="V38" s="940"/>
      <c r="W38" s="963"/>
      <c r="X38" s="964"/>
      <c r="Y38" s="940"/>
      <c r="Z38" s="940"/>
      <c r="AA38" s="940"/>
      <c r="AB38" s="940"/>
      <c r="AC38" s="940"/>
      <c r="AD38" s="940"/>
      <c r="AE38" s="940"/>
    </row>
    <row r="39" spans="1:31">
      <c r="A39" s="835" t="s">
        <v>112</v>
      </c>
      <c r="B39" s="964" t="s">
        <v>15</v>
      </c>
      <c r="C39" s="1141">
        <v>2658</v>
      </c>
      <c r="D39" s="911"/>
      <c r="E39" s="1141">
        <v>3595</v>
      </c>
      <c r="F39" s="656"/>
      <c r="G39" s="699">
        <f>-'Exhibit F'!AC128-'Exhibit F'!AC129</f>
        <v>3504.6</v>
      </c>
      <c r="H39" s="1575" t="s">
        <v>15</v>
      </c>
      <c r="I39" s="656">
        <f>ROUND(SUM(G39)-SUM(C39),1)</f>
        <v>846.6</v>
      </c>
      <c r="J39" s="964"/>
      <c r="K39" s="1575">
        <f t="shared" si="2"/>
        <v>-90.4</v>
      </c>
      <c r="L39" s="962"/>
      <c r="M39" s="959"/>
      <c r="N39" s="962"/>
      <c r="O39" s="959"/>
      <c r="P39" s="959"/>
      <c r="Q39" s="959"/>
      <c r="R39" s="962"/>
      <c r="S39" s="963"/>
      <c r="T39" s="940"/>
      <c r="U39" s="963"/>
      <c r="V39" s="940"/>
      <c r="W39" s="963"/>
      <c r="X39" s="964"/>
      <c r="Y39" s="940"/>
      <c r="Z39" s="940"/>
      <c r="AA39" s="940"/>
      <c r="AB39" s="940"/>
      <c r="AC39" s="940"/>
      <c r="AD39" s="940"/>
      <c r="AE39" s="940"/>
    </row>
    <row r="40" spans="1:31">
      <c r="A40" s="835" t="s">
        <v>113</v>
      </c>
      <c r="B40" s="964" t="s">
        <v>15</v>
      </c>
      <c r="C40" s="1141">
        <v>0</v>
      </c>
      <c r="D40" s="911"/>
      <c r="E40" s="1141">
        <v>0</v>
      </c>
      <c r="F40" s="656"/>
      <c r="G40" s="1584">
        <v>273.60000000000002</v>
      </c>
      <c r="H40" s="1575" t="s">
        <v>864</v>
      </c>
      <c r="I40" s="656">
        <f>ROUND(SUM(G40)-SUM(C40),1)</f>
        <v>273.60000000000002</v>
      </c>
      <c r="J40" s="964"/>
      <c r="K40" s="1575">
        <f t="shared" si="2"/>
        <v>273.60000000000002</v>
      </c>
      <c r="L40" s="962"/>
      <c r="M40" s="959"/>
      <c r="N40" s="962"/>
      <c r="O40" s="959"/>
      <c r="P40" s="959"/>
      <c r="Q40" s="959"/>
      <c r="R40" s="962"/>
      <c r="S40" s="963"/>
      <c r="T40" s="940"/>
      <c r="U40" s="963"/>
      <c r="V40" s="940"/>
      <c r="W40" s="963"/>
      <c r="X40" s="964"/>
      <c r="Y40" s="940"/>
      <c r="Z40" s="940"/>
      <c r="AA40" s="940"/>
      <c r="AB40" s="940"/>
      <c r="AC40" s="940"/>
      <c r="AD40" s="940"/>
      <c r="AE40" s="940"/>
    </row>
    <row r="41" spans="1:31">
      <c r="A41" s="835" t="s">
        <v>115</v>
      </c>
      <c r="B41" s="964" t="s">
        <v>116</v>
      </c>
      <c r="C41" s="1141">
        <v>1136</v>
      </c>
      <c r="D41" s="911"/>
      <c r="E41" s="1141">
        <v>1126</v>
      </c>
      <c r="F41" s="656"/>
      <c r="G41" s="1584">
        <v>1130.2</v>
      </c>
      <c r="H41" s="656"/>
      <c r="I41" s="656">
        <f>ROUND(SUM(G41)-SUM(C41),1)</f>
        <v>-5.8</v>
      </c>
      <c r="J41" s="964"/>
      <c r="K41" s="1575">
        <f t="shared" si="2"/>
        <v>4.2</v>
      </c>
      <c r="L41" s="962"/>
      <c r="M41" s="959"/>
      <c r="N41" s="962"/>
      <c r="O41" s="959"/>
      <c r="P41" s="959"/>
      <c r="Q41" s="959"/>
      <c r="R41" s="962"/>
      <c r="S41" s="963"/>
      <c r="T41" s="940"/>
      <c r="U41" s="963"/>
      <c r="V41" s="940"/>
      <c r="W41" s="963"/>
      <c r="X41" s="964"/>
      <c r="Y41" s="940"/>
      <c r="Z41" s="940"/>
      <c r="AA41" s="940"/>
      <c r="AB41" s="940"/>
      <c r="AC41" s="940"/>
      <c r="AD41" s="940"/>
      <c r="AE41" s="940"/>
    </row>
    <row r="42" spans="1:31">
      <c r="A42" s="835" t="s">
        <v>117</v>
      </c>
      <c r="B42" s="964" t="s">
        <v>15</v>
      </c>
      <c r="C42" s="1141">
        <v>771</v>
      </c>
      <c r="D42" s="911"/>
      <c r="E42" s="1141">
        <v>884</v>
      </c>
      <c r="F42" s="656"/>
      <c r="G42" s="699">
        <v>607.70000000000005</v>
      </c>
      <c r="H42" s="656"/>
      <c r="I42" s="656">
        <f>ROUND(SUM(G42)-SUM(C42),1)</f>
        <v>-163.30000000000001</v>
      </c>
      <c r="J42" s="964"/>
      <c r="K42" s="1575">
        <f t="shared" si="2"/>
        <v>-276.3</v>
      </c>
      <c r="L42" s="990"/>
      <c r="M42" s="959"/>
      <c r="N42" s="960"/>
      <c r="O42" s="959"/>
      <c r="P42" s="959"/>
      <c r="Q42" s="959"/>
      <c r="R42" s="962"/>
      <c r="S42" s="963"/>
      <c r="T42" s="940"/>
      <c r="U42" s="963"/>
      <c r="V42" s="940"/>
      <c r="W42" s="963"/>
      <c r="X42" s="964"/>
      <c r="Y42" s="940"/>
      <c r="Z42" s="940"/>
      <c r="AA42" s="940"/>
      <c r="AB42" s="940"/>
      <c r="AC42" s="940"/>
      <c r="AD42" s="940"/>
      <c r="AE42" s="940"/>
    </row>
    <row r="43" spans="1:31" ht="18" customHeight="1">
      <c r="A43" s="173" t="s">
        <v>118</v>
      </c>
      <c r="B43" s="151" t="s">
        <v>15</v>
      </c>
      <c r="C43" s="1927">
        <f>ROUND(SUM(C34:C42),1)</f>
        <v>59937</v>
      </c>
      <c r="D43" s="112"/>
      <c r="E43" s="1927">
        <f>ROUND(SUM(E34:E42),1)</f>
        <v>61847</v>
      </c>
      <c r="F43" s="938"/>
      <c r="G43" s="215">
        <f>ROUND(SUM(G34:G42),1)</f>
        <v>61619.3</v>
      </c>
      <c r="H43" s="938"/>
      <c r="I43" s="296">
        <f>ROUND(SUM(I34:I42),1)</f>
        <v>1682.3</v>
      </c>
      <c r="J43" s="151"/>
      <c r="K43" s="296">
        <f>ROUND(SUM(K34:K42),1)</f>
        <v>-227.7</v>
      </c>
      <c r="L43" s="76"/>
      <c r="M43" s="76"/>
      <c r="N43" s="76"/>
      <c r="O43" s="76"/>
      <c r="P43" s="76"/>
      <c r="Q43" s="76"/>
      <c r="R43" s="76"/>
      <c r="S43" s="151"/>
      <c r="T43" s="151"/>
      <c r="U43" s="151"/>
      <c r="V43" s="151"/>
      <c r="W43" s="151"/>
      <c r="X43" s="151"/>
      <c r="Y43" s="151"/>
      <c r="Z43" s="151"/>
      <c r="AA43" s="151"/>
      <c r="AB43" s="151"/>
      <c r="AC43" s="151"/>
      <c r="AD43" s="151"/>
      <c r="AE43" s="151"/>
    </row>
    <row r="44" spans="1:31">
      <c r="A44" s="704"/>
      <c r="B44" s="940"/>
      <c r="C44" s="1928"/>
      <c r="D44" s="911"/>
      <c r="E44" s="1928"/>
      <c r="F44" s="656"/>
      <c r="G44" s="702"/>
      <c r="H44" s="656"/>
      <c r="I44" s="959"/>
      <c r="J44" s="940"/>
      <c r="K44" s="959"/>
      <c r="L44" s="959"/>
      <c r="M44" s="959"/>
      <c r="N44" s="959"/>
      <c r="O44" s="959"/>
      <c r="P44" s="959"/>
      <c r="Q44" s="959"/>
      <c r="R44" s="959"/>
      <c r="S44" s="940"/>
      <c r="T44" s="940"/>
      <c r="U44" s="940"/>
      <c r="V44" s="940"/>
      <c r="W44" s="940"/>
      <c r="X44" s="940"/>
      <c r="Y44" s="940"/>
      <c r="Z44" s="940"/>
      <c r="AA44" s="940"/>
      <c r="AB44" s="940"/>
      <c r="AC44" s="940"/>
      <c r="AD44" s="940"/>
      <c r="AE44" s="940"/>
    </row>
    <row r="45" spans="1:31" ht="15.75">
      <c r="A45" s="29" t="s">
        <v>119</v>
      </c>
      <c r="B45" s="940"/>
      <c r="C45" s="911"/>
      <c r="D45" s="911"/>
      <c r="E45" s="911"/>
      <c r="F45" s="656"/>
      <c r="G45" s="656"/>
      <c r="H45" s="656"/>
      <c r="I45" s="656"/>
      <c r="J45" s="940"/>
      <c r="K45" s="959"/>
      <c r="L45" s="959"/>
      <c r="M45" s="959"/>
      <c r="N45" s="959"/>
      <c r="O45" s="959"/>
      <c r="P45" s="959"/>
      <c r="Q45" s="959"/>
      <c r="R45" s="959"/>
      <c r="S45" s="940"/>
      <c r="T45" s="940"/>
      <c r="U45" s="940"/>
      <c r="V45" s="940"/>
      <c r="W45" s="940"/>
      <c r="X45" s="940"/>
      <c r="Y45" s="940"/>
      <c r="Z45" s="940"/>
      <c r="AA45" s="940"/>
      <c r="AB45" s="940"/>
      <c r="AC45" s="940"/>
      <c r="AD45" s="940"/>
      <c r="AE45" s="940"/>
    </row>
    <row r="46" spans="1:31" ht="15.75">
      <c r="A46" s="29" t="s">
        <v>120</v>
      </c>
      <c r="B46" s="940"/>
      <c r="C46" s="911"/>
      <c r="D46" s="911"/>
      <c r="E46" s="911"/>
      <c r="F46" s="656"/>
      <c r="G46" s="656"/>
      <c r="H46" s="656"/>
      <c r="I46" s="656"/>
      <c r="J46" s="940"/>
      <c r="K46" s="959"/>
      <c r="L46" s="959"/>
      <c r="M46" s="959"/>
      <c r="N46" s="959"/>
      <c r="O46" s="959"/>
      <c r="P46" s="959"/>
      <c r="Q46" s="959"/>
      <c r="R46" s="959"/>
      <c r="S46" s="940"/>
      <c r="T46" s="940"/>
      <c r="U46" s="940"/>
      <c r="V46" s="940"/>
      <c r="W46" s="940"/>
      <c r="X46" s="940"/>
      <c r="Y46" s="940"/>
      <c r="Z46" s="940"/>
      <c r="AA46" s="940"/>
      <c r="AB46" s="940"/>
      <c r="AC46" s="940"/>
      <c r="AD46" s="940"/>
      <c r="AE46" s="940"/>
    </row>
    <row r="47" spans="1:31" ht="15.75">
      <c r="A47" s="173" t="s">
        <v>103</v>
      </c>
      <c r="B47" s="937" t="s">
        <v>15</v>
      </c>
      <c r="C47" s="115">
        <f>ROUND(SUM(C31)-SUM(C43),1)</f>
        <v>3202</v>
      </c>
      <c r="D47" s="1124"/>
      <c r="E47" s="115">
        <f>ROUND(SUM(E31)-SUM(E43),1)</f>
        <v>2965</v>
      </c>
      <c r="F47" s="84"/>
      <c r="G47" s="76">
        <f>ROUND(SUM(G31)-SUM(G43),1)</f>
        <v>3612.3</v>
      </c>
      <c r="H47" s="84"/>
      <c r="I47" s="76">
        <f>ROUND(SUM(I31)-SUM(I43),1)</f>
        <v>410.3</v>
      </c>
      <c r="J47" s="151"/>
      <c r="K47" s="76">
        <f>ROUND(SUM(K31)-SUM(K43),1)</f>
        <v>647.29999999999995</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5"/>
      <c r="D48" s="1700"/>
      <c r="E48" s="1525"/>
      <c r="F48" s="948"/>
      <c r="G48" s="684"/>
      <c r="H48" s="948"/>
      <c r="I48" s="76"/>
      <c r="J48" s="151"/>
      <c r="K48" s="76"/>
      <c r="L48" s="684"/>
      <c r="M48" s="684"/>
      <c r="N48" s="684"/>
      <c r="O48" s="684"/>
      <c r="P48" s="684"/>
      <c r="Q48" s="684"/>
      <c r="R48" s="684"/>
    </row>
    <row r="49" spans="1:18" ht="15.75">
      <c r="A49" s="994" t="str">
        <f>'Exh D-Governmental  '!A49</f>
        <v>Fund Balances (Deficits) at April 1</v>
      </c>
      <c r="B49" s="635" t="s">
        <v>15</v>
      </c>
      <c r="C49" s="115">
        <f>ROUND('Exhibit F'!D12,0)</f>
        <v>7206</v>
      </c>
      <c r="D49" s="1700"/>
      <c r="E49" s="115">
        <f>ROUND('Exhibit F'!D12,0)</f>
        <v>7206</v>
      </c>
      <c r="F49" s="948"/>
      <c r="G49" s="76">
        <f>'Exhibit F'!AC12</f>
        <v>7205.7</v>
      </c>
      <c r="H49" s="948"/>
      <c r="I49" s="81">
        <f>ROUND(SUM(G49-C49),1)</f>
        <v>-0.3</v>
      </c>
      <c r="J49" s="151"/>
      <c r="K49" s="938">
        <f t="shared" ref="K49" si="3">ROUND(SUM(G49)-SUM(E49),1)</f>
        <v>-0.3</v>
      </c>
      <c r="L49" s="76"/>
      <c r="M49" s="684"/>
      <c r="N49" s="76"/>
      <c r="O49" s="684"/>
      <c r="P49" s="81"/>
      <c r="Q49" s="684"/>
      <c r="R49" s="684"/>
    </row>
    <row r="50" spans="1:18" ht="18" customHeight="1" thickBot="1">
      <c r="A50" s="173" t="str">
        <f>'Exh D-Governmental  '!A50</f>
        <v>Fund Balances (Deficits) at January 31, 2020</v>
      </c>
      <c r="B50" s="180" t="s">
        <v>15</v>
      </c>
      <c r="C50" s="2112">
        <f>ROUND(SUM(C47:C49),1)</f>
        <v>10408</v>
      </c>
      <c r="D50" s="2113"/>
      <c r="E50" s="2112">
        <f>ROUND(SUM(E47:E49),1)</f>
        <v>10171</v>
      </c>
      <c r="F50" s="181"/>
      <c r="G50" s="98">
        <f>ROUND(SUM(G47:G49),1)</f>
        <v>10818</v>
      </c>
      <c r="H50" s="181"/>
      <c r="I50" s="98">
        <f>ROUND(SUM(I47:I49),1)</f>
        <v>410</v>
      </c>
      <c r="J50" s="151"/>
      <c r="K50" s="98">
        <f>ROUND(SUM(K47:K49),1)</f>
        <v>647</v>
      </c>
      <c r="L50" s="219"/>
      <c r="M50" s="991"/>
      <c r="N50" s="219"/>
      <c r="O50" s="991"/>
      <c r="P50" s="219"/>
    </row>
    <row r="51" spans="1:18" ht="15" customHeight="1" thickTop="1">
      <c r="A51" s="155"/>
      <c r="G51" s="635"/>
      <c r="J51" s="635"/>
      <c r="L51" s="703"/>
      <c r="M51" s="992"/>
      <c r="N51" s="992"/>
      <c r="O51" s="992"/>
      <c r="P51" s="992"/>
    </row>
    <row r="52" spans="1:18">
      <c r="A52" s="952" t="str">
        <f>'Exh D-Governmental  '!A52</f>
        <v>(*)    Source: 2019-20 Enacted Financial Plan dated May 13, 2019.</v>
      </c>
      <c r="M52" s="635"/>
      <c r="N52" s="635"/>
      <c r="O52" s="635"/>
      <c r="P52" s="635"/>
    </row>
    <row r="53" spans="1:18">
      <c r="A53" s="952" t="str">
        <f>'Exh D State Operating'!A52</f>
        <v>(**)   Source: 2020-21 Executive Budget dated January 21, 2020.</v>
      </c>
      <c r="M53" s="635"/>
      <c r="N53" s="635"/>
      <c r="O53" s="635"/>
      <c r="P53" s="635"/>
    </row>
    <row r="54" spans="1:18">
      <c r="A54" s="1539" t="s">
        <v>1454</v>
      </c>
      <c r="M54" s="635"/>
      <c r="N54" s="635"/>
      <c r="O54" s="635"/>
      <c r="P54" s="635"/>
    </row>
    <row r="55" spans="1:18">
      <c r="A55" s="1539" t="s">
        <v>1345</v>
      </c>
      <c r="M55" s="635"/>
      <c r="N55" s="635"/>
      <c r="O55" s="635"/>
      <c r="P55" s="635"/>
    </row>
    <row r="56" spans="1:18">
      <c r="A56" s="1539" t="s">
        <v>15</v>
      </c>
      <c r="M56" s="635"/>
      <c r="N56" s="635"/>
      <c r="O56" s="635"/>
      <c r="P56" s="635"/>
    </row>
    <row r="57" spans="1:18">
      <c r="A57" s="966"/>
      <c r="M57" s="635"/>
      <c r="N57" s="635"/>
      <c r="O57" s="635"/>
      <c r="P57" s="635"/>
    </row>
    <row r="58" spans="1:18">
      <c r="M58" s="635"/>
      <c r="N58" s="635"/>
      <c r="O58" s="635"/>
      <c r="P58" s="635"/>
    </row>
    <row r="59" spans="1:18">
      <c r="A59" s="3196"/>
      <c r="C59" s="2205"/>
      <c r="M59" s="635"/>
      <c r="N59" s="635"/>
      <c r="O59" s="635"/>
      <c r="P59" s="635"/>
    </row>
    <row r="60" spans="1:18">
      <c r="A60" s="204"/>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88671875" defaultRowHeight="15"/>
  <cols>
    <col min="1" max="1" width="50.109375" style="947" customWidth="1"/>
    <col min="2" max="2" width="3.88671875" style="635" customWidth="1"/>
    <col min="3" max="3" width="16.88671875" style="635" customWidth="1"/>
    <col min="4" max="4" width="1.5546875" style="635" customWidth="1"/>
    <col min="5" max="5" width="16.44140625" style="432" customWidth="1"/>
    <col min="6" max="6" width="3.109375" style="951" customWidth="1"/>
    <col min="7" max="7" width="14.109375" style="951" customWidth="1"/>
    <col min="8" max="8" width="2.109375" style="951" customWidth="1"/>
    <col min="9" max="9" width="14.109375" style="951" customWidth="1"/>
    <col min="10" max="10" width="1.109375" style="951" customWidth="1"/>
    <col min="11" max="11" width="14.109375" style="951" customWidth="1"/>
    <col min="12" max="12" width="1.109375" style="951" customWidth="1"/>
    <col min="13" max="13" width="16.109375" style="951" customWidth="1"/>
    <col min="14" max="14" width="1.5546875" style="635" customWidth="1"/>
    <col min="15" max="15" width="12.5546875" style="635" customWidth="1"/>
    <col min="16" max="16" width="11.44140625" style="635" customWidth="1"/>
    <col min="17" max="17" width="1.88671875" style="635" customWidth="1"/>
    <col min="18" max="18" width="11.88671875" style="635" customWidth="1"/>
    <col min="19" max="19" width="2.109375" style="635" customWidth="1"/>
    <col min="20" max="20" width="11.44140625" style="635" customWidth="1"/>
    <col min="21" max="21" width="0.5546875" style="635" customWidth="1"/>
    <col min="22" max="22" width="2.109375" style="635" customWidth="1"/>
    <col min="23" max="23" width="10.5546875" style="635" customWidth="1"/>
    <col min="24" max="24" width="11.109375" style="635" customWidth="1"/>
    <col min="25" max="25" width="2.109375" style="635" customWidth="1"/>
    <col min="26" max="26" width="11.109375" style="635" customWidth="1"/>
    <col min="27" max="27" width="2.109375" style="635" customWidth="1"/>
    <col min="28" max="28" width="12.44140625" style="635" customWidth="1"/>
    <col min="29" max="33" width="8.88671875" style="635"/>
    <col min="34" max="34" width="8.88671875" style="951"/>
    <col min="35" max="16384" width="8.88671875" style="947"/>
  </cols>
  <sheetData>
    <row r="1" spans="1:28">
      <c r="A1" s="657" t="s">
        <v>979</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7"/>
      <c r="N3" s="143"/>
      <c r="O3" s="837"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38"/>
      <c r="N4" s="143"/>
      <c r="O4" s="838"/>
      <c r="P4" s="156"/>
      <c r="Q4" s="156"/>
      <c r="R4" s="156"/>
      <c r="S4" s="156"/>
      <c r="T4" s="156"/>
      <c r="U4" s="156"/>
      <c r="V4" s="156"/>
      <c r="W4" s="156"/>
      <c r="X4" s="156"/>
      <c r="Y4" s="156"/>
      <c r="Z4" s="156"/>
      <c r="AA4" s="156"/>
      <c r="AB4" s="156"/>
    </row>
    <row r="5" spans="1:28" ht="17.25" customHeight="1">
      <c r="A5" s="3902" t="str">
        <f>'Exh D-Governmental  '!A5:E5</f>
        <v>FISCAL YEAR 2019-2020</v>
      </c>
      <c r="B5" s="3903"/>
      <c r="C5" s="3903"/>
      <c r="D5" s="3903"/>
      <c r="E5" s="3903"/>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2" t="str">
        <f>+'Exh D-Governmental  '!A6</f>
        <v>FOR TEN MONTHS ENDED JANUARY 31, 2020</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1417</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4"/>
      <c r="C11" s="1197"/>
      <c r="D11" s="1197"/>
      <c r="E11" s="1219"/>
      <c r="F11" s="1199"/>
      <c r="G11" s="1453" t="s">
        <v>1149</v>
      </c>
      <c r="H11" s="1686"/>
      <c r="I11" s="1453"/>
      <c r="J11" s="1686"/>
      <c r="K11" s="1686"/>
      <c r="L11" s="1199"/>
      <c r="M11" s="1199"/>
      <c r="N11" s="1202"/>
      <c r="O11" s="1196"/>
      <c r="P11" s="194"/>
      <c r="Q11" s="194"/>
      <c r="R11" s="194"/>
      <c r="S11" s="194"/>
      <c r="T11" s="194"/>
      <c r="U11" s="194"/>
      <c r="V11" s="151"/>
      <c r="W11" s="194"/>
      <c r="X11" s="195"/>
      <c r="Y11" s="194"/>
      <c r="Z11" s="194"/>
      <c r="AA11" s="194"/>
      <c r="AB11" s="194"/>
    </row>
    <row r="12" spans="1:28" ht="15.75">
      <c r="A12" s="704"/>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4"/>
      <c r="E13" s="433"/>
      <c r="F13" s="196"/>
      <c r="G13" s="197"/>
      <c r="H13" s="197"/>
      <c r="I13" s="197"/>
      <c r="J13" s="197"/>
      <c r="K13" s="197"/>
      <c r="L13" s="196"/>
      <c r="M13" s="199" t="s">
        <v>885</v>
      </c>
      <c r="N13" s="151"/>
      <c r="O13" s="199" t="s">
        <v>885</v>
      </c>
      <c r="P13" s="194"/>
      <c r="Q13" s="194"/>
      <c r="R13" s="194"/>
      <c r="S13" s="194"/>
      <c r="T13" s="194"/>
      <c r="U13" s="194"/>
      <c r="V13" s="151"/>
      <c r="W13" s="194"/>
      <c r="X13" s="195"/>
      <c r="Y13" s="194"/>
      <c r="Z13" s="194"/>
      <c r="AA13" s="194"/>
      <c r="AB13" s="194"/>
    </row>
    <row r="14" spans="1:28" ht="15.75">
      <c r="A14" s="704"/>
      <c r="B14" s="151"/>
      <c r="C14" s="154" t="s">
        <v>1094</v>
      </c>
      <c r="D14" s="151"/>
      <c r="E14" s="153" t="s">
        <v>1095</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4"/>
      <c r="B15" s="202"/>
      <c r="C15" s="153" t="s">
        <v>1133</v>
      </c>
      <c r="D15" s="202"/>
      <c r="E15" s="153" t="s">
        <v>1133</v>
      </c>
      <c r="F15" s="152"/>
      <c r="G15" s="152"/>
      <c r="H15" s="152"/>
      <c r="I15" s="152"/>
      <c r="J15" s="152"/>
      <c r="K15" s="152"/>
      <c r="L15" s="152"/>
      <c r="M15" s="153" t="s">
        <v>1094</v>
      </c>
      <c r="N15" s="151"/>
      <c r="O15" s="153" t="s">
        <v>1095</v>
      </c>
      <c r="P15" s="201"/>
      <c r="Q15" s="151"/>
      <c r="R15" s="151"/>
      <c r="S15" s="151"/>
      <c r="T15" s="200"/>
      <c r="U15" s="201"/>
      <c r="V15" s="151"/>
      <c r="W15" s="200"/>
      <c r="X15" s="201"/>
      <c r="Y15" s="151"/>
      <c r="Z15" s="151"/>
      <c r="AA15" s="151"/>
      <c r="AB15" s="200"/>
    </row>
    <row r="16" spans="1:28" ht="15.75">
      <c r="A16" s="704"/>
      <c r="B16" s="201"/>
      <c r="C16" s="1201" t="s">
        <v>1134</v>
      </c>
      <c r="D16" s="201"/>
      <c r="E16" s="153" t="s">
        <v>1447</v>
      </c>
      <c r="F16" s="152"/>
      <c r="G16" s="154" t="s">
        <v>85</v>
      </c>
      <c r="H16" s="154"/>
      <c r="I16" s="1688" t="s">
        <v>1274</v>
      </c>
      <c r="J16" s="154"/>
      <c r="K16" s="1688" t="s">
        <v>811</v>
      </c>
      <c r="L16" s="152"/>
      <c r="M16" s="153" t="s">
        <v>87</v>
      </c>
      <c r="N16" s="151"/>
      <c r="O16" s="1201"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0"/>
      <c r="C18" s="940"/>
      <c r="D18" s="940"/>
      <c r="E18" s="670"/>
      <c r="F18" s="670"/>
      <c r="G18" s="670"/>
      <c r="H18" s="670"/>
      <c r="I18" s="670"/>
      <c r="J18" s="670"/>
      <c r="K18" s="670"/>
      <c r="L18" s="670"/>
      <c r="M18" s="670"/>
      <c r="N18" s="940"/>
      <c r="O18" s="940"/>
      <c r="P18" s="940"/>
      <c r="Q18" s="940"/>
      <c r="R18" s="940"/>
      <c r="S18" s="940"/>
      <c r="T18" s="940"/>
      <c r="U18" s="940"/>
      <c r="V18" s="940"/>
      <c r="W18" s="940"/>
      <c r="X18" s="940"/>
      <c r="Y18" s="940"/>
      <c r="Z18" s="940"/>
      <c r="AA18" s="940"/>
      <c r="AB18" s="940"/>
    </row>
    <row r="19" spans="1:28">
      <c r="A19" s="835" t="s">
        <v>88</v>
      </c>
      <c r="B19" s="941"/>
      <c r="C19" s="941"/>
      <c r="D19" s="941"/>
      <c r="E19" s="670"/>
      <c r="F19" s="670"/>
      <c r="G19" s="670"/>
      <c r="H19" s="670"/>
      <c r="I19" s="670"/>
      <c r="J19" s="670"/>
      <c r="K19" s="670"/>
      <c r="L19" s="941"/>
      <c r="M19" s="670"/>
      <c r="N19" s="940"/>
      <c r="O19" s="1587"/>
      <c r="P19" s="940"/>
      <c r="Q19" s="940"/>
      <c r="R19" s="940"/>
      <c r="S19" s="940"/>
      <c r="T19" s="940"/>
      <c r="U19" s="940"/>
      <c r="V19" s="940"/>
      <c r="W19" s="940"/>
      <c r="X19" s="940"/>
      <c r="Y19" s="940"/>
      <c r="Z19" s="940"/>
      <c r="AA19" s="940"/>
      <c r="AB19" s="940"/>
    </row>
    <row r="20" spans="1:28">
      <c r="A20" s="835" t="s">
        <v>89</v>
      </c>
      <c r="B20" s="941"/>
      <c r="C20" s="1028">
        <f>'Exh D Special Revenue State Fed'!C20+'Exh D Special Revenue State Fed'!N20</f>
        <v>2166</v>
      </c>
      <c r="D20" s="1989"/>
      <c r="E20" s="1028">
        <f>'Exh D Special Revenue State Fed'!E20+'Exh D Special Revenue State Fed'!P20</f>
        <v>2166</v>
      </c>
      <c r="F20" s="673"/>
      <c r="G20" s="957">
        <f>+'Exh D Special Revenue State Fed'!G20</f>
        <v>2149.1</v>
      </c>
      <c r="H20" s="957"/>
      <c r="I20" s="957">
        <v>0</v>
      </c>
      <c r="J20" s="957"/>
      <c r="K20" s="957">
        <f t="shared" ref="K20:K25" si="0">+G20+I20</f>
        <v>2149.1</v>
      </c>
      <c r="L20" s="673"/>
      <c r="M20" s="671">
        <f>ROUND(SUM(K20)-SUM(C20),1)</f>
        <v>-16.899999999999999</v>
      </c>
      <c r="N20" s="940"/>
      <c r="O20" s="671">
        <f t="shared" ref="O20:O25" si="1">ROUND(SUM(K20)-SUM(E20),1)</f>
        <v>-16.899999999999999</v>
      </c>
      <c r="P20" s="940"/>
      <c r="Q20" s="940"/>
      <c r="R20" s="940"/>
      <c r="S20" s="940"/>
      <c r="T20" s="940"/>
      <c r="U20" s="940"/>
      <c r="V20" s="940"/>
      <c r="W20" s="940"/>
      <c r="X20" s="940"/>
      <c r="Y20" s="940"/>
      <c r="Z20" s="940"/>
      <c r="AA20" s="940"/>
      <c r="AB20" s="940"/>
    </row>
    <row r="21" spans="1:28">
      <c r="A21" s="835" t="s">
        <v>90</v>
      </c>
      <c r="B21" s="940"/>
      <c r="C21" s="699">
        <f>'Exh D Special Revenue State Fed'!C21+'Exh D Special Revenue State Fed'!N21</f>
        <v>1638</v>
      </c>
      <c r="D21" s="1990"/>
      <c r="E21" s="699">
        <f>'Exh D Special Revenue State Fed'!E21+'Exh D Special Revenue State Fed'!P21</f>
        <v>1652</v>
      </c>
      <c r="F21" s="656"/>
      <c r="G21" s="656">
        <f>+'Exh D Special Revenue State Fed'!G21</f>
        <v>1660.6</v>
      </c>
      <c r="H21" s="1575"/>
      <c r="I21" s="1575">
        <v>0</v>
      </c>
      <c r="J21" s="1575"/>
      <c r="K21" s="1575">
        <f t="shared" si="0"/>
        <v>1660.6</v>
      </c>
      <c r="L21" s="656"/>
      <c r="M21" s="1575">
        <f>ROUND(SUM(K21)-SUM(C21),1)</f>
        <v>22.6</v>
      </c>
      <c r="N21" s="959"/>
      <c r="O21" s="1575">
        <f t="shared" si="1"/>
        <v>8.6</v>
      </c>
      <c r="P21" s="940"/>
      <c r="Q21" s="940"/>
      <c r="R21" s="940"/>
      <c r="S21" s="940"/>
      <c r="T21" s="940"/>
      <c r="U21" s="940"/>
      <c r="V21" s="940"/>
      <c r="W21" s="940"/>
      <c r="X21" s="940"/>
      <c r="Y21" s="940"/>
      <c r="Z21" s="940"/>
      <c r="AA21" s="940"/>
      <c r="AB21" s="940"/>
    </row>
    <row r="22" spans="1:28">
      <c r="A22" s="835" t="s">
        <v>91</v>
      </c>
      <c r="B22" s="941"/>
      <c r="C22" s="699">
        <f>'Exh D Special Revenue State Fed'!C22+'Exh D Special Revenue State Fed'!N22</f>
        <v>1371</v>
      </c>
      <c r="D22" s="1989"/>
      <c r="E22" s="699">
        <f>'Exh D Special Revenue State Fed'!E22+'Exh D Special Revenue State Fed'!P22</f>
        <v>1484</v>
      </c>
      <c r="F22" s="695"/>
      <c r="G22" s="656">
        <f>+'Exh D Special Revenue State Fed'!G22</f>
        <v>1491.6</v>
      </c>
      <c r="H22" s="1575"/>
      <c r="I22" s="1575">
        <v>0</v>
      </c>
      <c r="J22" s="1575"/>
      <c r="K22" s="1575">
        <f t="shared" si="0"/>
        <v>1491.6</v>
      </c>
      <c r="L22" s="695"/>
      <c r="M22" s="1575">
        <f t="shared" ref="M22:M25" si="2">ROUND(SUM(K22)-SUM(C22),1)</f>
        <v>120.6</v>
      </c>
      <c r="N22" s="960"/>
      <c r="O22" s="1575">
        <f t="shared" si="1"/>
        <v>7.6</v>
      </c>
      <c r="P22" s="940"/>
      <c r="Q22" s="961"/>
      <c r="R22" s="940"/>
      <c r="S22" s="961"/>
      <c r="T22" s="940"/>
      <c r="U22" s="940"/>
      <c r="V22" s="961"/>
      <c r="W22" s="940"/>
      <c r="X22" s="940"/>
      <c r="Y22" s="961"/>
      <c r="Z22" s="203"/>
      <c r="AA22" s="961"/>
      <c r="AB22" s="940"/>
    </row>
    <row r="23" spans="1:28" ht="15" customHeight="1">
      <c r="A23" s="835" t="s">
        <v>20</v>
      </c>
      <c r="B23" s="940"/>
      <c r="C23" s="699">
        <f>'Exh D Special Revenue State Fed'!C23+'Exh D Special Revenue State Fed'!N23</f>
        <v>15150</v>
      </c>
      <c r="D23" s="1990"/>
      <c r="E23" s="699">
        <f>'Exh D Special Revenue State Fed'!E23+'Exh D Special Revenue State Fed'!P23</f>
        <v>15465</v>
      </c>
      <c r="F23" s="656"/>
      <c r="G23" s="656">
        <f>+'Exh D Special Revenue State Fed'!G23+'Exh D Special Revenue State Fed'!R23</f>
        <v>15972.599999999999</v>
      </c>
      <c r="H23" s="1575"/>
      <c r="I23" s="1575">
        <v>0</v>
      </c>
      <c r="J23" s="1575"/>
      <c r="K23" s="1575">
        <f t="shared" si="0"/>
        <v>15972.599999999999</v>
      </c>
      <c r="L23" s="656"/>
      <c r="M23" s="1575">
        <f t="shared" si="2"/>
        <v>822.6</v>
      </c>
      <c r="N23" s="959"/>
      <c r="O23" s="1575">
        <f t="shared" si="1"/>
        <v>507.6</v>
      </c>
      <c r="P23" s="940"/>
      <c r="Q23" s="940"/>
      <c r="R23" s="940"/>
      <c r="S23" s="940"/>
      <c r="T23" s="940"/>
      <c r="U23" s="940"/>
      <c r="V23" s="940"/>
      <c r="W23" s="940"/>
      <c r="X23" s="940"/>
      <c r="Y23" s="940"/>
      <c r="Z23" s="940"/>
      <c r="AA23" s="940"/>
      <c r="AB23" s="940"/>
    </row>
    <row r="24" spans="1:28" ht="15" customHeight="1">
      <c r="A24" s="835" t="s">
        <v>21</v>
      </c>
      <c r="B24" s="940"/>
      <c r="C24" s="699">
        <f>'Exh D Special Revenue State Fed'!C24+'Exh D Special Revenue State Fed'!N24</f>
        <v>52356</v>
      </c>
      <c r="D24" s="1990"/>
      <c r="E24" s="699">
        <f>'Exh D Special Revenue State Fed'!E24+'Exh D Special Revenue State Fed'!P24</f>
        <v>53483</v>
      </c>
      <c r="F24" s="656"/>
      <c r="G24" s="656">
        <f>+'Exh D Special Revenue State Fed'!G24+'Exh D Special Revenue State Fed'!R24</f>
        <v>53575</v>
      </c>
      <c r="H24" s="1575"/>
      <c r="I24" s="1575">
        <v>0</v>
      </c>
      <c r="J24" s="1575"/>
      <c r="K24" s="1575">
        <f t="shared" si="0"/>
        <v>53575</v>
      </c>
      <c r="L24" s="656"/>
      <c r="M24" s="1575">
        <f t="shared" si="2"/>
        <v>1219</v>
      </c>
      <c r="N24" s="959"/>
      <c r="O24" s="1575">
        <f t="shared" si="1"/>
        <v>92</v>
      </c>
      <c r="P24" s="963"/>
      <c r="Q24" s="940"/>
      <c r="R24" s="963"/>
      <c r="S24" s="940"/>
      <c r="T24" s="963"/>
      <c r="U24" s="964"/>
      <c r="V24" s="940"/>
      <c r="W24" s="940"/>
      <c r="X24" s="940"/>
      <c r="Y24" s="940"/>
      <c r="Z24" s="940"/>
      <c r="AA24" s="940"/>
      <c r="AB24" s="940"/>
    </row>
    <row r="25" spans="1:28">
      <c r="A25" s="835" t="s">
        <v>1452</v>
      </c>
      <c r="B25" s="963"/>
      <c r="C25" s="1765">
        <f>'Exh D Special Revenue State Fed'!C25+'Exh D Special Revenue State Fed'!N25</f>
        <v>2213</v>
      </c>
      <c r="D25" s="1991"/>
      <c r="E25" s="1765">
        <f>'Exh D Special Revenue State Fed'!E25+'Exh D Special Revenue State Fed'!P25</f>
        <v>2494</v>
      </c>
      <c r="F25" s="656"/>
      <c r="G25" s="944">
        <f>+'Exh D Special Revenue State Fed'!G25</f>
        <v>2505.5</v>
      </c>
      <c r="H25" s="960"/>
      <c r="I25" s="1523">
        <f>+'Exhibit G'!AB111</f>
        <v>-440.8</v>
      </c>
      <c r="J25" s="960"/>
      <c r="K25" s="945">
        <f t="shared" si="0"/>
        <v>2064.6999999999998</v>
      </c>
      <c r="L25" s="656"/>
      <c r="M25" s="1443">
        <f t="shared" si="2"/>
        <v>-148.30000000000001</v>
      </c>
      <c r="N25" s="959"/>
      <c r="O25" s="1443">
        <f t="shared" si="1"/>
        <v>-429.3</v>
      </c>
      <c r="P25" s="963"/>
      <c r="Q25" s="940"/>
      <c r="R25" s="963"/>
      <c r="S25" s="940"/>
      <c r="T25" s="963"/>
      <c r="U25" s="964"/>
      <c r="V25" s="940"/>
      <c r="W25" s="940"/>
      <c r="X25" s="940"/>
      <c r="Y25" s="940"/>
      <c r="Z25" s="940"/>
      <c r="AA25" s="940"/>
      <c r="AB25" s="940"/>
    </row>
    <row r="26" spans="1:28" ht="18" customHeight="1">
      <c r="A26" s="1140" t="s">
        <v>109</v>
      </c>
      <c r="B26" s="151"/>
      <c r="C26" s="844">
        <f>ROUND(SUM(C20:C25),1)</f>
        <v>74894</v>
      </c>
      <c r="D26" s="151"/>
      <c r="E26" s="844">
        <f>ROUND(SUM(E20:E25),1)</f>
        <v>76744</v>
      </c>
      <c r="F26" s="938"/>
      <c r="G26" s="844">
        <f>ROUND(SUM(G20:G25),1)</f>
        <v>77354.399999999994</v>
      </c>
      <c r="H26" s="1576"/>
      <c r="I26" s="844">
        <f>ROUND(SUM(I20:I25),1)</f>
        <v>-440.8</v>
      </c>
      <c r="J26" s="1576"/>
      <c r="K26" s="844">
        <f>ROUND(SUM(K20:K25),1)</f>
        <v>76913.600000000006</v>
      </c>
      <c r="L26" s="938"/>
      <c r="M26" s="844">
        <f>ROUND(SUM(M20:M25),1)</f>
        <v>2019.6</v>
      </c>
      <c r="N26" s="76"/>
      <c r="O26" s="74">
        <f>ROUND(SUM(O20:O25),1)</f>
        <v>169.6</v>
      </c>
      <c r="P26" s="151"/>
      <c r="Q26" s="151"/>
      <c r="R26" s="151"/>
      <c r="S26" s="151"/>
      <c r="T26" s="151"/>
      <c r="U26" s="151"/>
      <c r="V26" s="151"/>
      <c r="W26" s="151"/>
      <c r="X26" s="151"/>
      <c r="Y26" s="151"/>
      <c r="Z26" s="151"/>
      <c r="AA26" s="151"/>
      <c r="AB26" s="151"/>
    </row>
    <row r="27" spans="1:28">
      <c r="A27" s="704"/>
      <c r="B27" s="940"/>
      <c r="C27" s="959"/>
      <c r="D27" s="940"/>
      <c r="E27" s="959"/>
      <c r="F27" s="656"/>
      <c r="G27" s="702"/>
      <c r="H27" s="959"/>
      <c r="I27" s="959"/>
      <c r="J27" s="959"/>
      <c r="K27" s="959"/>
      <c r="L27" s="656"/>
      <c r="M27" s="702"/>
      <c r="N27" s="959"/>
      <c r="O27" s="702"/>
      <c r="P27" s="940"/>
      <c r="Q27" s="940"/>
      <c r="R27" s="940"/>
      <c r="S27" s="940"/>
      <c r="T27" s="940"/>
      <c r="U27" s="940"/>
      <c r="V27" s="940"/>
      <c r="W27" s="940"/>
      <c r="X27" s="940"/>
      <c r="Y27" s="940"/>
      <c r="Z27" s="940"/>
      <c r="AA27" s="940"/>
      <c r="AB27" s="940"/>
    </row>
    <row r="28" spans="1:28" ht="15.75">
      <c r="A28" s="29" t="s">
        <v>23</v>
      </c>
      <c r="B28" s="940"/>
      <c r="C28" s="959"/>
      <c r="D28" s="940"/>
      <c r="E28" s="959"/>
      <c r="F28" s="656"/>
      <c r="G28" s="656"/>
      <c r="H28" s="1575"/>
      <c r="I28" s="1575"/>
      <c r="J28" s="1575"/>
      <c r="K28" s="1575"/>
      <c r="L28" s="656"/>
      <c r="M28" s="656"/>
      <c r="N28" s="959"/>
      <c r="O28" s="1575"/>
      <c r="P28" s="940"/>
      <c r="Q28" s="940"/>
      <c r="R28" s="940"/>
      <c r="S28" s="940"/>
      <c r="T28" s="940"/>
      <c r="U28" s="940"/>
      <c r="V28" s="940"/>
      <c r="W28" s="940"/>
      <c r="X28" s="940"/>
      <c r="Y28" s="940"/>
      <c r="Z28" s="940"/>
      <c r="AA28" s="940"/>
      <c r="AB28" s="940"/>
    </row>
    <row r="29" spans="1:28">
      <c r="A29" s="835" t="s">
        <v>94</v>
      </c>
      <c r="B29" s="961"/>
      <c r="C29" s="699">
        <f>'Exh D Special Revenue State Fed'!C29+'Exh D Special Revenue State Fed'!N29</f>
        <v>62423</v>
      </c>
      <c r="D29" s="1992"/>
      <c r="E29" s="699">
        <f>'Exh D Special Revenue State Fed'!E29+'Exh D Special Revenue State Fed'!P29</f>
        <v>62005</v>
      </c>
      <c r="F29" s="656"/>
      <c r="G29" s="695">
        <f>+'Exh D Special Revenue State Fed'!G29+'Exh D Special Revenue State Fed'!R29</f>
        <v>62206.2</v>
      </c>
      <c r="H29" s="695"/>
      <c r="I29" s="695">
        <v>0</v>
      </c>
      <c r="J29" s="695"/>
      <c r="K29" s="1575">
        <f>+G29+I29</f>
        <v>62206.2</v>
      </c>
      <c r="L29" s="656"/>
      <c r="M29" s="1575">
        <f t="shared" ref="M29:M33" si="3">ROUND(SUM(K29)-SUM(C29),1)</f>
        <v>-216.8</v>
      </c>
      <c r="N29" s="959"/>
      <c r="O29" s="1575">
        <f>ROUND(SUM(K29)-SUM(E29),1)</f>
        <v>201.2</v>
      </c>
      <c r="P29" s="963"/>
      <c r="Q29" s="940"/>
      <c r="R29" s="963"/>
      <c r="S29" s="940"/>
      <c r="T29" s="963"/>
      <c r="U29" s="964"/>
      <c r="V29" s="940"/>
      <c r="W29" s="940"/>
      <c r="X29" s="940"/>
      <c r="Y29" s="940"/>
      <c r="Z29" s="940"/>
      <c r="AA29" s="940"/>
      <c r="AB29" s="940"/>
    </row>
    <row r="30" spans="1:28">
      <c r="A30" s="835" t="s">
        <v>95</v>
      </c>
      <c r="B30" s="961"/>
      <c r="C30" s="699">
        <f>'Exh D Special Revenue State Fed'!C30+'Exh D Special Revenue State Fed'!N30</f>
        <v>8309</v>
      </c>
      <c r="D30" s="1992"/>
      <c r="E30" s="699">
        <f>'Exh D Special Revenue State Fed'!E30+'Exh D Special Revenue State Fed'!P30</f>
        <v>8458</v>
      </c>
      <c r="F30" s="656"/>
      <c r="G30" s="695">
        <f>+'Exh D Special Revenue State Fed'!G30+'Exh D Special Revenue State Fed'!R30</f>
        <v>8422.2999999999993</v>
      </c>
      <c r="H30" s="695"/>
      <c r="I30" s="695">
        <v>0</v>
      </c>
      <c r="J30" s="695"/>
      <c r="K30" s="1575">
        <f>+G30+I30</f>
        <v>8422.2999999999993</v>
      </c>
      <c r="L30" s="656"/>
      <c r="M30" s="1575">
        <f t="shared" si="3"/>
        <v>113.3</v>
      </c>
      <c r="N30" s="959"/>
      <c r="O30" s="1575">
        <f>ROUND(SUM(K30)-SUM(E30),1)</f>
        <v>-35.700000000000003</v>
      </c>
      <c r="P30" s="961"/>
      <c r="Q30" s="940"/>
      <c r="R30" s="961"/>
      <c r="S30" s="940"/>
      <c r="T30" s="963"/>
      <c r="U30" s="940"/>
      <c r="V30" s="940"/>
      <c r="W30" s="963"/>
      <c r="X30" s="963"/>
      <c r="Y30" s="940"/>
      <c r="Z30" s="963"/>
      <c r="AA30" s="940"/>
      <c r="AB30" s="963"/>
    </row>
    <row r="31" spans="1:28">
      <c r="A31" s="835" t="s">
        <v>70</v>
      </c>
      <c r="B31" s="961"/>
      <c r="C31" s="699">
        <f>'Exh D Special Revenue State Fed'!C31+'Exh D Special Revenue State Fed'!N31</f>
        <v>1162</v>
      </c>
      <c r="D31" s="1992"/>
      <c r="E31" s="699">
        <f>'Exh D Special Revenue State Fed'!E31+'Exh D Special Revenue State Fed'!P31</f>
        <v>1105</v>
      </c>
      <c r="F31" s="656"/>
      <c r="G31" s="695">
        <f>+'Exh D Special Revenue State Fed'!G31+'Exh D Special Revenue State Fed'!R31</f>
        <v>1114.8</v>
      </c>
      <c r="H31" s="695"/>
      <c r="I31" s="695">
        <v>0</v>
      </c>
      <c r="J31" s="695"/>
      <c r="K31" s="1575">
        <f>+G31+I31</f>
        <v>1114.8</v>
      </c>
      <c r="L31" s="656"/>
      <c r="M31" s="1575">
        <f t="shared" si="3"/>
        <v>-47.2</v>
      </c>
      <c r="N31" s="959"/>
      <c r="O31" s="1575">
        <f>ROUND(SUM(K31)-SUM(E31),1)</f>
        <v>9.8000000000000007</v>
      </c>
      <c r="P31" s="963"/>
      <c r="Q31" s="940"/>
      <c r="R31" s="963"/>
      <c r="S31" s="940"/>
      <c r="T31" s="963"/>
      <c r="U31" s="964"/>
      <c r="V31" s="940"/>
      <c r="W31" s="963"/>
      <c r="X31" s="963"/>
      <c r="Y31" s="940"/>
      <c r="Z31" s="963"/>
      <c r="AA31" s="940"/>
      <c r="AB31" s="963"/>
    </row>
    <row r="32" spans="1:28">
      <c r="A32" s="835" t="s">
        <v>42</v>
      </c>
      <c r="B32" s="961"/>
      <c r="C32" s="699">
        <f>'Exh D Special Revenue State Fed'!C32+'Exh D Special Revenue State Fed'!N32</f>
        <v>0</v>
      </c>
      <c r="D32" s="1992"/>
      <c r="E32" s="699">
        <f>'Exh D Special Revenue State Fed'!E32+'Exh D Special Revenue State Fed'!P32</f>
        <v>0</v>
      </c>
      <c r="F32" s="656"/>
      <c r="G32" s="700">
        <f>+'Exh D Special Revenue State Fed'!G32+'Exh D Special Revenue State Fed'!R32</f>
        <v>0</v>
      </c>
      <c r="H32" s="700"/>
      <c r="I32" s="700">
        <v>0</v>
      </c>
      <c r="J32" s="700"/>
      <c r="K32" s="1575">
        <f>+G32+I32</f>
        <v>0</v>
      </c>
      <c r="L32" s="656"/>
      <c r="M32" s="1575">
        <f t="shared" si="3"/>
        <v>0</v>
      </c>
      <c r="N32" s="959"/>
      <c r="O32" s="1575">
        <f>ROUND(SUM(K32)-SUM(E32),1)</f>
        <v>0</v>
      </c>
      <c r="P32" s="963"/>
      <c r="Q32" s="940"/>
      <c r="R32" s="963"/>
      <c r="S32" s="940"/>
      <c r="T32" s="963"/>
      <c r="U32" s="964"/>
      <c r="V32" s="940"/>
      <c r="W32" s="940"/>
      <c r="X32" s="940"/>
      <c r="Y32" s="940"/>
      <c r="Z32" s="940"/>
      <c r="AA32" s="940"/>
      <c r="AB32" s="940"/>
    </row>
    <row r="33" spans="1:28">
      <c r="A33" s="835" t="s">
        <v>1453</v>
      </c>
      <c r="B33" s="961"/>
      <c r="C33" s="699">
        <f>'Exh D Special Revenue State Fed'!C33+'Exh D Special Revenue State Fed'!N33</f>
        <v>1628</v>
      </c>
      <c r="D33" s="1992"/>
      <c r="E33" s="699">
        <f>'Exh D Special Revenue State Fed'!E33+'Exh D Special Revenue State Fed'!P33</f>
        <v>2331</v>
      </c>
      <c r="F33" s="656"/>
      <c r="G33" s="695">
        <f>+'Exh D Special Revenue State Fed'!G33+'Exh D Special Revenue State Fed'!R33</f>
        <v>2278.1</v>
      </c>
      <c r="H33" s="695"/>
      <c r="I33" s="698">
        <f>-'Exhibit G'!AB112</f>
        <v>-440.8</v>
      </c>
      <c r="J33" s="695"/>
      <c r="K33" s="1575">
        <f>+G33+I33</f>
        <v>1837.3</v>
      </c>
      <c r="L33" s="656"/>
      <c r="M33" s="1575">
        <f t="shared" si="3"/>
        <v>209.3</v>
      </c>
      <c r="N33" s="959"/>
      <c r="O33" s="1575">
        <f>ROUND(SUM(K33)-SUM(E33),1)</f>
        <v>-493.7</v>
      </c>
      <c r="P33" s="963"/>
      <c r="Q33" s="940"/>
      <c r="R33" s="963"/>
      <c r="S33" s="940"/>
      <c r="T33" s="963"/>
      <c r="U33" s="964"/>
      <c r="V33" s="940"/>
      <c r="W33" s="940"/>
      <c r="X33" s="940"/>
      <c r="Y33" s="940"/>
      <c r="Z33" s="940"/>
      <c r="AA33" s="940"/>
      <c r="AB33" s="940"/>
    </row>
    <row r="34" spans="1:28" ht="18" customHeight="1">
      <c r="A34" s="1585" t="s">
        <v>118</v>
      </c>
      <c r="B34" s="151"/>
      <c r="C34" s="1925">
        <f>ROUND(SUM(C29:C33),1)</f>
        <v>73522</v>
      </c>
      <c r="D34" s="151"/>
      <c r="E34" s="1925">
        <f>ROUND(SUM(E29:E33),1)</f>
        <v>73899</v>
      </c>
      <c r="F34" s="938"/>
      <c r="G34" s="215">
        <f>ROUND(SUM(G29:G33),1)</f>
        <v>74021.399999999994</v>
      </c>
      <c r="H34" s="1576"/>
      <c r="I34" s="1586">
        <f>ROUND(SUM(I29:I33),1)</f>
        <v>-440.8</v>
      </c>
      <c r="J34" s="1576"/>
      <c r="K34" s="1586">
        <f>ROUND(SUM(K29:K33),1)</f>
        <v>73580.600000000006</v>
      </c>
      <c r="L34" s="938"/>
      <c r="M34" s="215">
        <f>ROUND(SUM(M29:M33),1)</f>
        <v>58.6</v>
      </c>
      <c r="N34" s="76"/>
      <c r="O34" s="215">
        <f>ROUND(SUM(O29:O33),1)</f>
        <v>-318.39999999999998</v>
      </c>
      <c r="P34" s="151"/>
      <c r="Q34" s="151"/>
      <c r="R34" s="151"/>
      <c r="S34" s="151"/>
      <c r="T34" s="151"/>
      <c r="U34" s="151"/>
      <c r="V34" s="151"/>
      <c r="W34" s="151"/>
      <c r="X34" s="151"/>
      <c r="Y34" s="151"/>
      <c r="Z34" s="151"/>
      <c r="AA34" s="151"/>
      <c r="AB34" s="151"/>
    </row>
    <row r="35" spans="1:28">
      <c r="A35" s="704"/>
      <c r="B35" s="940"/>
      <c r="C35" s="959"/>
      <c r="D35" s="940"/>
      <c r="E35" s="959"/>
      <c r="F35" s="656"/>
      <c r="G35" s="702"/>
      <c r="H35" s="959"/>
      <c r="I35" s="959"/>
      <c r="J35" s="959"/>
      <c r="K35" s="959"/>
      <c r="L35" s="656"/>
      <c r="M35" s="702"/>
      <c r="N35" s="959"/>
      <c r="O35" s="702"/>
      <c r="P35" s="940"/>
      <c r="Q35" s="940"/>
      <c r="R35" s="940"/>
      <c r="S35" s="940"/>
      <c r="T35" s="940"/>
      <c r="U35" s="940"/>
      <c r="V35" s="940"/>
      <c r="W35" s="940"/>
      <c r="X35" s="940"/>
      <c r="Y35" s="940"/>
      <c r="Z35" s="940"/>
      <c r="AA35" s="940"/>
      <c r="AB35" s="940"/>
    </row>
    <row r="36" spans="1:28" ht="15.75">
      <c r="A36" s="29" t="s">
        <v>119</v>
      </c>
      <c r="B36" s="940"/>
      <c r="C36" s="959"/>
      <c r="D36" s="940"/>
      <c r="E36" s="959"/>
      <c r="F36" s="656"/>
      <c r="G36" s="656"/>
      <c r="H36" s="1575"/>
      <c r="I36" s="1575"/>
      <c r="J36" s="1575"/>
      <c r="K36" s="1575"/>
      <c r="L36" s="656"/>
      <c r="M36" s="656"/>
      <c r="N36" s="959"/>
      <c r="O36" s="1575"/>
      <c r="P36" s="940"/>
      <c r="Q36" s="940"/>
      <c r="R36" s="940"/>
      <c r="S36" s="940"/>
      <c r="T36" s="940"/>
      <c r="U36" s="940"/>
      <c r="V36" s="940"/>
      <c r="W36" s="940"/>
      <c r="X36" s="940"/>
      <c r="Y36" s="940"/>
      <c r="Z36" s="940"/>
      <c r="AA36" s="940"/>
      <c r="AB36" s="940"/>
    </row>
    <row r="37" spans="1:28" ht="15.75">
      <c r="A37" s="29" t="s">
        <v>120</v>
      </c>
      <c r="B37" s="940"/>
      <c r="C37" s="959"/>
      <c r="D37" s="940"/>
      <c r="E37" s="959"/>
      <c r="F37" s="656"/>
      <c r="G37" s="656"/>
      <c r="H37" s="1575"/>
      <c r="I37" s="1575"/>
      <c r="J37" s="1575"/>
      <c r="K37" s="1575"/>
      <c r="L37" s="656"/>
      <c r="M37" s="656"/>
      <c r="N37" s="959"/>
      <c r="O37" s="1575"/>
      <c r="P37" s="940"/>
      <c r="Q37" s="940"/>
      <c r="R37" s="940"/>
      <c r="S37" s="940"/>
      <c r="T37" s="940"/>
      <c r="U37" s="940"/>
      <c r="V37" s="940"/>
      <c r="W37" s="940"/>
      <c r="X37" s="940"/>
      <c r="Y37" s="940"/>
      <c r="Z37" s="940"/>
      <c r="AA37" s="940"/>
      <c r="AB37" s="940"/>
    </row>
    <row r="38" spans="1:28" ht="15.75">
      <c r="A38" s="1140" t="s">
        <v>103</v>
      </c>
      <c r="B38" s="175"/>
      <c r="C38" s="1576">
        <f>ROUND(SUM(C26)-SUM(C34),1)</f>
        <v>1372</v>
      </c>
      <c r="D38" s="175"/>
      <c r="E38" s="1576">
        <f>ROUND(SUM(E26)-SUM(E34),1)</f>
        <v>2845</v>
      </c>
      <c r="F38" s="84"/>
      <c r="G38" s="76">
        <f>ROUND(SUM(G26)-SUM(G34),1)</f>
        <v>3333</v>
      </c>
      <c r="H38" s="1576"/>
      <c r="I38" s="1576">
        <v>0</v>
      </c>
      <c r="J38" s="1576"/>
      <c r="K38" s="1576">
        <f>+G38+I38</f>
        <v>3333</v>
      </c>
      <c r="L38" s="84"/>
      <c r="M38" s="76">
        <f>ROUND(SUM(M26)-SUM(M34),1)</f>
        <v>1961</v>
      </c>
      <c r="N38" s="399"/>
      <c r="O38" s="1576">
        <f>ROUND(SUM(O26)-SUM(O34),1)</f>
        <v>488</v>
      </c>
      <c r="P38" s="151"/>
      <c r="Q38" s="174"/>
      <c r="R38" s="151"/>
      <c r="S38" s="174"/>
      <c r="T38" s="151"/>
      <c r="U38" s="151"/>
      <c r="V38" s="174"/>
      <c r="W38" s="151"/>
      <c r="X38" s="151"/>
      <c r="Y38" s="174"/>
      <c r="Z38" s="151"/>
      <c r="AA38" s="174"/>
      <c r="AB38" s="151"/>
    </row>
    <row r="39" spans="1:28" ht="15" customHeight="1">
      <c r="C39" s="684"/>
      <c r="E39" s="684"/>
      <c r="F39" s="948"/>
      <c r="G39" s="684"/>
      <c r="H39" s="684"/>
      <c r="I39" s="684"/>
      <c r="J39" s="684"/>
      <c r="K39" s="684"/>
      <c r="L39" s="948"/>
      <c r="M39" s="684"/>
      <c r="N39" s="684"/>
      <c r="O39" s="684"/>
    </row>
    <row r="40" spans="1:28" ht="15.75">
      <c r="A40" s="1140" t="str">
        <f>+'Exh D-Governmental  '!A49</f>
        <v>Fund Balances (Deficits) at April 1</v>
      </c>
      <c r="C40" s="1993">
        <v>3842</v>
      </c>
      <c r="D40" s="1994"/>
      <c r="E40" s="1993">
        <v>3842</v>
      </c>
      <c r="F40" s="948"/>
      <c r="G40" s="1576">
        <f>'Exh D Special Revenue State Fed'!G40+'Exh D Special Revenue State Fed'!R40</f>
        <v>3842.4000000000005</v>
      </c>
      <c r="H40" s="1576"/>
      <c r="I40" s="1576">
        <v>0</v>
      </c>
      <c r="J40" s="1576"/>
      <c r="K40" s="1576">
        <f>+G40+I40</f>
        <v>3842.4000000000005</v>
      </c>
      <c r="L40" s="948"/>
      <c r="M40" s="74">
        <f t="shared" ref="M40" si="4">ROUND(SUM(K40)-SUM(C40),1)</f>
        <v>0.4</v>
      </c>
      <c r="N40" s="684"/>
      <c r="O40" s="74">
        <f>ROUND(SUM(K40)-SUM(E40),1)</f>
        <v>0.4</v>
      </c>
    </row>
    <row r="41" spans="1:28" ht="18" customHeight="1" thickBot="1">
      <c r="A41" s="1382" t="str">
        <f>+'Exh D-Governmental  '!A50</f>
        <v>Fund Balances (Deficits) at January 31, 2020</v>
      </c>
      <c r="B41" s="175"/>
      <c r="C41" s="98">
        <f>ROUND(SUM(C38:C40),1)</f>
        <v>5214</v>
      </c>
      <c r="D41" s="175"/>
      <c r="E41" s="98">
        <f>ROUND(SUM(E38:E40),1)</f>
        <v>6687</v>
      </c>
      <c r="F41" s="181"/>
      <c r="G41" s="98">
        <f>ROUND(SUM(G38:G40),1)</f>
        <v>7175.4</v>
      </c>
      <c r="H41" s="219"/>
      <c r="I41" s="98">
        <f>ROUND(SUM(I38:I40),1)</f>
        <v>0</v>
      </c>
      <c r="J41" s="219"/>
      <c r="K41" s="98">
        <f>ROUND(SUM(K38:K40),1)</f>
        <v>7175.4</v>
      </c>
      <c r="L41" s="181"/>
      <c r="M41" s="98">
        <f>ROUND(SUM(M38:M40),1)</f>
        <v>1961.4</v>
      </c>
      <c r="O41" s="98">
        <f>ROUND(SUM(O38:O40),1)</f>
        <v>488.4</v>
      </c>
    </row>
    <row r="42" spans="1:28" ht="15" customHeight="1" thickTop="1">
      <c r="A42" s="155"/>
      <c r="E42" s="703"/>
      <c r="F42" s="965"/>
      <c r="G42" s="965"/>
      <c r="H42" s="965"/>
      <c r="I42" s="965"/>
      <c r="J42" s="965"/>
      <c r="K42" s="965"/>
      <c r="L42" s="965"/>
      <c r="M42" s="965"/>
      <c r="O42" s="1588"/>
    </row>
    <row r="43" spans="1:28">
      <c r="A43" s="952" t="str">
        <f>'Exh D-Governmental  '!A52</f>
        <v>(*)    Source: 2019-20 Enacted Financial Plan dated May 13, 2019.</v>
      </c>
    </row>
    <row r="44" spans="1:28">
      <c r="A44" s="952" t="str">
        <f>'Exh D General Fund  '!A53</f>
        <v>(**)   Source: 2020-21 Executive Budget dated January 21, 2020.</v>
      </c>
    </row>
    <row r="45" spans="1:28">
      <c r="A45" s="1539" t="s">
        <v>1455</v>
      </c>
    </row>
    <row r="46" spans="1:28">
      <c r="A46" s="1539"/>
    </row>
    <row r="47" spans="1:28">
      <c r="A47" s="966"/>
    </row>
    <row r="49" spans="1:1">
      <c r="A49" s="204"/>
    </row>
    <row r="50" spans="1:1">
      <c r="A50"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8671875" defaultRowHeight="15"/>
  <cols>
    <col min="1" max="1" width="53.109375" style="947" customWidth="1"/>
    <col min="2" max="2" width="0.88671875" style="635" customWidth="1"/>
    <col min="3" max="3" width="15.88671875" style="432" customWidth="1"/>
    <col min="4" max="4" width="0.88671875" style="951" customWidth="1"/>
    <col min="5" max="5" width="15.88671875" style="432" customWidth="1"/>
    <col min="6" max="6" width="0.88671875" style="951" customWidth="1"/>
    <col min="7" max="7" width="15.88671875" style="951" customWidth="1"/>
    <col min="8" max="8" width="0.88671875" style="951" customWidth="1"/>
    <col min="9" max="9" width="15.88671875" style="951" customWidth="1"/>
    <col min="10" max="10" width="0.88671875" style="951" customWidth="1"/>
    <col min="11" max="11" width="15.88671875" style="951" customWidth="1"/>
    <col min="12" max="12" width="1.88671875" style="635" customWidth="1"/>
    <col min="13" max="13" width="0.88671875" style="635" customWidth="1"/>
    <col min="14" max="14" width="15.88671875" style="635" customWidth="1"/>
    <col min="15" max="15" width="1.109375" style="635" customWidth="1"/>
    <col min="16" max="16" width="15.88671875" style="635" customWidth="1"/>
    <col min="17" max="17" width="1.109375" style="635" customWidth="1"/>
    <col min="18" max="18" width="15.88671875" style="635" customWidth="1"/>
    <col min="19" max="19" width="0.5546875" style="635" customWidth="1"/>
    <col min="20" max="20" width="15.88671875" style="635" customWidth="1"/>
    <col min="21" max="21" width="1.109375" style="635" customWidth="1"/>
    <col min="22" max="22" width="15.88671875" style="432" customWidth="1"/>
    <col min="23" max="23" width="1" style="635" customWidth="1"/>
    <col min="24" max="24" width="3.88671875" style="432" customWidth="1"/>
    <col min="25" max="25" width="1" style="635" customWidth="1"/>
    <col min="26" max="26" width="15.88671875" style="635" customWidth="1"/>
    <col min="27" max="27" width="0.88671875" style="635" customWidth="1"/>
    <col min="28" max="28" width="15.88671875" style="635" customWidth="1"/>
    <col min="29" max="29" width="0.109375" style="635" customWidth="1"/>
    <col min="30" max="30" width="11.88671875" style="635" customWidth="1"/>
    <col min="31" max="31" width="11.44140625" style="635" customWidth="1"/>
    <col min="32" max="32" width="1.88671875" style="635" customWidth="1"/>
    <col min="33" max="33" width="11.88671875" style="635" customWidth="1"/>
    <col min="34" max="34" width="2.109375" style="635" customWidth="1"/>
    <col min="35" max="35" width="11.44140625" style="635" customWidth="1"/>
    <col min="36" max="36" width="0.5546875" style="635" customWidth="1"/>
    <col min="37" max="37" width="2.109375" style="635" customWidth="1"/>
    <col min="38" max="38" width="10.5546875" style="635" customWidth="1"/>
    <col min="39" max="39" width="11.109375" style="635" customWidth="1"/>
    <col min="40" max="40" width="2.109375" style="635" customWidth="1"/>
    <col min="41" max="41" width="11.109375" style="635" customWidth="1"/>
    <col min="42" max="42" width="2.109375" style="635" customWidth="1"/>
    <col min="43" max="43" width="12.44140625" style="635" customWidth="1"/>
    <col min="44" max="48" width="8.88671875" style="635"/>
    <col min="49" max="49" width="8.88671875" style="951"/>
    <col min="50" max="16384" width="8.88671875" style="947"/>
  </cols>
  <sheetData>
    <row r="1" spans="1:49">
      <c r="A1" s="953" t="s">
        <v>979</v>
      </c>
      <c r="B1" s="186"/>
      <c r="C1" s="426"/>
      <c r="D1" s="187"/>
      <c r="E1" s="426"/>
      <c r="F1" s="187"/>
      <c r="G1" s="187"/>
      <c r="H1" s="187"/>
      <c r="I1" s="187"/>
      <c r="J1" s="187"/>
      <c r="K1" s="187"/>
      <c r="L1" s="186"/>
      <c r="M1" s="186"/>
      <c r="N1" s="186"/>
      <c r="O1" s="186"/>
      <c r="P1" s="186"/>
      <c r="Q1" s="186"/>
      <c r="R1" s="186"/>
      <c r="S1" s="186"/>
      <c r="T1" s="186"/>
      <c r="U1" s="186"/>
      <c r="V1" s="1203"/>
      <c r="W1" s="186"/>
      <c r="X1" s="1203"/>
      <c r="Y1" s="186"/>
      <c r="Z1" s="186"/>
      <c r="AA1" s="186"/>
      <c r="AB1" s="186"/>
      <c r="AC1" s="187"/>
      <c r="AD1" s="186"/>
      <c r="AE1" s="186"/>
      <c r="AF1" s="186"/>
      <c r="AG1" s="186"/>
      <c r="AH1" s="186"/>
      <c r="AI1" s="186"/>
      <c r="AJ1" s="186"/>
      <c r="AK1" s="186"/>
      <c r="AL1" s="186"/>
      <c r="AM1" s="186"/>
      <c r="AN1" s="186"/>
      <c r="AO1" s="186"/>
      <c r="AP1" s="186"/>
      <c r="AQ1" s="186"/>
      <c r="AR1" s="947"/>
      <c r="AS1" s="947"/>
      <c r="AT1" s="947"/>
      <c r="AU1" s="947"/>
      <c r="AV1" s="947"/>
      <c r="AW1" s="947"/>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3"/>
      <c r="W2" s="186"/>
      <c r="X2" s="1203"/>
      <c r="Y2" s="186"/>
      <c r="Z2" s="1204"/>
      <c r="AA2" s="186"/>
      <c r="AB2" s="186"/>
      <c r="AC2" s="187"/>
      <c r="AD2" s="186"/>
      <c r="AE2" s="186"/>
      <c r="AF2" s="186"/>
      <c r="AG2" s="186"/>
      <c r="AH2" s="186"/>
      <c r="AI2" s="186"/>
      <c r="AJ2" s="186"/>
      <c r="AK2" s="186"/>
      <c r="AL2" s="186"/>
      <c r="AM2" s="186"/>
      <c r="AN2" s="186"/>
      <c r="AO2" s="186"/>
      <c r="AP2" s="186"/>
      <c r="AQ2" s="186"/>
      <c r="AR2" s="947"/>
      <c r="AS2" s="947"/>
      <c r="AT2" s="947"/>
      <c r="AU2" s="947"/>
      <c r="AV2" s="947"/>
      <c r="AW2" s="947"/>
    </row>
    <row r="3" spans="1:49" ht="17.25" customHeight="1">
      <c r="A3" s="191" t="s">
        <v>0</v>
      </c>
      <c r="B3" s="148"/>
      <c r="C3" s="428"/>
      <c r="D3" s="143"/>
      <c r="E3" s="428"/>
      <c r="F3" s="143"/>
      <c r="G3" s="143"/>
      <c r="H3" s="143"/>
      <c r="I3" s="143"/>
      <c r="J3" s="143"/>
      <c r="K3" s="143"/>
      <c r="L3" s="156"/>
      <c r="M3" s="156"/>
      <c r="N3" s="156"/>
      <c r="O3" s="156"/>
      <c r="P3" s="156"/>
      <c r="Q3" s="156"/>
      <c r="R3" s="156"/>
      <c r="S3" s="156"/>
      <c r="T3" s="837"/>
      <c r="U3" s="156"/>
      <c r="V3" s="837" t="s">
        <v>84</v>
      </c>
      <c r="W3" s="156"/>
      <c r="X3" s="1205"/>
      <c r="Y3" s="156"/>
      <c r="Z3" s="156"/>
      <c r="AA3" s="156"/>
      <c r="AB3" s="1206"/>
      <c r="AC3" s="143"/>
      <c r="AD3" s="156"/>
      <c r="AE3" s="156"/>
      <c r="AF3" s="156"/>
      <c r="AG3" s="156"/>
      <c r="AH3" s="156"/>
      <c r="AI3" s="156"/>
      <c r="AJ3" s="156"/>
      <c r="AK3" s="156"/>
      <c r="AL3" s="156"/>
      <c r="AM3" s="156"/>
      <c r="AN3" s="156"/>
      <c r="AO3" s="156"/>
      <c r="AP3" s="156"/>
      <c r="AQ3" s="192"/>
      <c r="AR3" s="947"/>
      <c r="AS3" s="947"/>
      <c r="AT3" s="947"/>
      <c r="AU3" s="947"/>
      <c r="AV3" s="947"/>
      <c r="AW3" s="947"/>
    </row>
    <row r="4" spans="1:49" ht="17.25" customHeight="1">
      <c r="A4" s="191" t="s">
        <v>83</v>
      </c>
      <c r="B4" s="148"/>
      <c r="C4" s="428"/>
      <c r="D4" s="143"/>
      <c r="E4" s="428"/>
      <c r="F4" s="143"/>
      <c r="G4" s="143"/>
      <c r="H4" s="143"/>
      <c r="I4" s="143"/>
      <c r="J4" s="143"/>
      <c r="K4" s="143"/>
      <c r="L4" s="156"/>
      <c r="M4" s="156"/>
      <c r="N4" s="156"/>
      <c r="O4" s="156"/>
      <c r="P4" s="156"/>
      <c r="Q4" s="156"/>
      <c r="R4" s="156"/>
      <c r="S4" s="156"/>
      <c r="T4" s="838"/>
      <c r="U4" s="156"/>
      <c r="V4" s="838"/>
      <c r="W4" s="156"/>
      <c r="X4" s="1205"/>
      <c r="Y4" s="156"/>
      <c r="Z4" s="156"/>
      <c r="AA4" s="156"/>
      <c r="AB4" s="1207"/>
      <c r="AC4" s="143"/>
      <c r="AD4" s="156"/>
      <c r="AE4" s="156"/>
      <c r="AF4" s="156"/>
      <c r="AG4" s="156"/>
      <c r="AH4" s="156"/>
      <c r="AI4" s="156"/>
      <c r="AJ4" s="156"/>
      <c r="AK4" s="156"/>
      <c r="AL4" s="156"/>
      <c r="AM4" s="156"/>
      <c r="AN4" s="156"/>
      <c r="AO4" s="156"/>
      <c r="AP4" s="156"/>
      <c r="AQ4" s="156"/>
      <c r="AR4" s="947"/>
      <c r="AS4" s="947"/>
      <c r="AT4" s="947"/>
      <c r="AU4" s="947"/>
      <c r="AV4" s="947"/>
      <c r="AW4" s="947"/>
    </row>
    <row r="5" spans="1:49" ht="17.25" customHeight="1">
      <c r="A5" s="3902" t="str">
        <f>'Exh D-Governmental  '!A5:E5</f>
        <v>FISCAL YEAR 2019-2020</v>
      </c>
      <c r="B5" s="3903"/>
      <c r="C5" s="3903"/>
      <c r="D5" s="3903"/>
      <c r="E5" s="3903"/>
      <c r="F5" s="143"/>
      <c r="G5" s="830"/>
      <c r="H5" s="143"/>
      <c r="I5" s="143"/>
      <c r="J5" s="143"/>
      <c r="K5" s="143"/>
      <c r="L5" s="156"/>
      <c r="M5" s="156"/>
      <c r="N5" s="2109"/>
      <c r="O5" s="156"/>
      <c r="P5" s="156"/>
      <c r="Q5" s="156"/>
      <c r="R5" s="156"/>
      <c r="S5" s="156"/>
      <c r="T5" s="156"/>
      <c r="U5" s="156"/>
      <c r="V5" s="1205"/>
      <c r="W5" s="156"/>
      <c r="X5" s="1205"/>
      <c r="Y5" s="156"/>
      <c r="Z5" s="156"/>
      <c r="AA5" s="156"/>
      <c r="AB5" s="156"/>
      <c r="AC5" s="143"/>
      <c r="AD5" s="156"/>
      <c r="AE5" s="156"/>
      <c r="AF5" s="156"/>
      <c r="AG5" s="156"/>
      <c r="AH5" s="156"/>
      <c r="AI5" s="156"/>
      <c r="AJ5" s="156"/>
      <c r="AK5" s="156"/>
      <c r="AL5" s="156"/>
      <c r="AM5" s="156"/>
      <c r="AN5" s="156"/>
      <c r="AO5" s="156"/>
      <c r="AP5" s="156"/>
      <c r="AQ5" s="156"/>
      <c r="AR5" s="947"/>
      <c r="AS5" s="947"/>
      <c r="AT5" s="947"/>
      <c r="AU5" s="947"/>
      <c r="AV5" s="947"/>
      <c r="AW5" s="947"/>
    </row>
    <row r="6" spans="1:49" ht="17.25" customHeight="1">
      <c r="A6" s="1513" t="str">
        <f>'Exh D-Governmental  '!A6</f>
        <v>FOR TEN MONTHS ENDED JANUARY 31, 2020</v>
      </c>
      <c r="B6" s="3881"/>
      <c r="C6" s="3882"/>
      <c r="D6" s="3883"/>
      <c r="E6" s="3882"/>
      <c r="F6" s="143"/>
      <c r="G6" s="143"/>
      <c r="H6" s="143"/>
      <c r="I6" s="143"/>
      <c r="J6" s="143"/>
      <c r="K6" s="143"/>
      <c r="L6" s="156"/>
      <c r="M6" s="156"/>
      <c r="N6" s="156"/>
      <c r="O6" s="156"/>
      <c r="P6" s="156"/>
      <c r="Q6" s="156"/>
      <c r="R6" s="156"/>
      <c r="S6" s="156"/>
      <c r="T6" s="156"/>
      <c r="U6" s="156"/>
      <c r="V6" s="1205"/>
      <c r="W6" s="156"/>
      <c r="X6" s="1205"/>
      <c r="Y6" s="156"/>
      <c r="Z6" s="156"/>
      <c r="AA6" s="156"/>
      <c r="AB6" s="156"/>
      <c r="AC6" s="143"/>
      <c r="AD6" s="156"/>
      <c r="AE6" s="156"/>
      <c r="AF6" s="156"/>
      <c r="AG6" s="156"/>
      <c r="AH6" s="156"/>
      <c r="AI6" s="156"/>
      <c r="AJ6" s="156"/>
      <c r="AK6" s="156"/>
      <c r="AL6" s="156"/>
      <c r="AM6" s="156"/>
      <c r="AN6" s="156"/>
      <c r="AO6" s="156"/>
      <c r="AP6" s="156"/>
      <c r="AQ6" s="156"/>
      <c r="AR6" s="947"/>
      <c r="AS6" s="947"/>
      <c r="AT6" s="947"/>
      <c r="AU6" s="947"/>
      <c r="AV6" s="947"/>
      <c r="AW6" s="947"/>
    </row>
    <row r="7" spans="1:49" ht="18">
      <c r="A7" s="191" t="s">
        <v>1417</v>
      </c>
      <c r="B7" s="148"/>
      <c r="C7" s="428"/>
      <c r="D7" s="143"/>
      <c r="E7" s="428"/>
      <c r="F7" s="143"/>
      <c r="G7" s="143"/>
      <c r="H7" s="143"/>
      <c r="I7" s="143"/>
      <c r="J7" s="143"/>
      <c r="K7" s="143"/>
      <c r="L7" s="156"/>
      <c r="M7" s="156"/>
      <c r="N7" s="156"/>
      <c r="O7" s="156"/>
      <c r="P7" s="156"/>
      <c r="Q7" s="156"/>
      <c r="R7" s="156"/>
      <c r="S7" s="156"/>
      <c r="T7" s="156"/>
      <c r="U7" s="156"/>
      <c r="V7" s="1205"/>
      <c r="W7" s="156"/>
      <c r="X7" s="1205"/>
      <c r="Y7" s="156"/>
      <c r="Z7" s="156"/>
      <c r="AA7" s="156"/>
      <c r="AB7" s="156"/>
      <c r="AC7" s="143"/>
      <c r="AD7" s="156"/>
      <c r="AE7" s="156"/>
      <c r="AF7" s="156"/>
      <c r="AG7" s="156"/>
      <c r="AH7" s="156"/>
      <c r="AI7" s="156"/>
      <c r="AJ7" s="156"/>
      <c r="AK7" s="156"/>
      <c r="AL7" s="156"/>
      <c r="AM7" s="156"/>
      <c r="AN7" s="156"/>
      <c r="AO7" s="156"/>
      <c r="AP7" s="156"/>
      <c r="AQ7" s="156"/>
      <c r="AR7" s="947"/>
      <c r="AS7" s="947"/>
      <c r="AT7" s="947"/>
      <c r="AU7" s="947"/>
      <c r="AV7" s="947"/>
      <c r="AW7" s="947"/>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5"/>
      <c r="W8" s="156"/>
      <c r="X8" s="1205"/>
      <c r="Y8" s="156"/>
      <c r="Z8" s="156"/>
      <c r="AA8" s="156"/>
      <c r="AB8" s="156"/>
      <c r="AC8" s="143"/>
      <c r="AD8" s="156"/>
      <c r="AE8" s="156"/>
      <c r="AF8" s="156"/>
      <c r="AG8" s="156"/>
      <c r="AH8" s="156"/>
      <c r="AI8" s="156"/>
      <c r="AJ8" s="156"/>
      <c r="AK8" s="156"/>
      <c r="AL8" s="156"/>
      <c r="AM8" s="156"/>
      <c r="AN8" s="156"/>
      <c r="AO8" s="156"/>
      <c r="AP8" s="156"/>
      <c r="AQ8" s="156"/>
      <c r="AR8" s="947"/>
      <c r="AS8" s="947"/>
      <c r="AT8" s="947"/>
      <c r="AU8" s="947"/>
      <c r="AV8" s="947"/>
      <c r="AW8" s="947"/>
    </row>
    <row r="9" spans="1:49">
      <c r="A9" s="150"/>
      <c r="B9" s="156"/>
      <c r="C9" s="429"/>
      <c r="D9" s="143"/>
      <c r="E9" s="429"/>
      <c r="F9" s="143"/>
      <c r="G9" s="143"/>
      <c r="H9" s="143"/>
      <c r="I9" s="143"/>
      <c r="J9" s="143"/>
      <c r="K9" s="143"/>
      <c r="L9" s="156"/>
      <c r="M9" s="156"/>
      <c r="N9" s="156"/>
      <c r="O9" s="156"/>
      <c r="P9" s="156"/>
      <c r="Q9" s="156"/>
      <c r="R9" s="156"/>
      <c r="S9" s="156"/>
      <c r="T9" s="156"/>
      <c r="U9" s="156"/>
      <c r="V9" s="1205"/>
      <c r="W9" s="156"/>
      <c r="X9" s="1205"/>
      <c r="Y9" s="156"/>
      <c r="Z9" s="156"/>
      <c r="AA9" s="156"/>
      <c r="AB9" s="156"/>
      <c r="AC9" s="143"/>
      <c r="AD9" s="156"/>
      <c r="AE9" s="156"/>
      <c r="AF9" s="156"/>
      <c r="AG9" s="156"/>
      <c r="AH9" s="156"/>
      <c r="AI9" s="156"/>
      <c r="AJ9" s="156"/>
      <c r="AK9" s="156"/>
      <c r="AL9" s="156"/>
      <c r="AM9" s="156"/>
      <c r="AN9" s="156"/>
      <c r="AO9" s="156"/>
      <c r="AP9" s="156"/>
      <c r="AQ9" s="156"/>
      <c r="AR9" s="947"/>
      <c r="AS9" s="947"/>
      <c r="AT9" s="947"/>
      <c r="AU9" s="947"/>
      <c r="AV9" s="947"/>
      <c r="AW9" s="947"/>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0"/>
      <c r="W10" s="147"/>
      <c r="X10" s="980"/>
      <c r="Y10" s="147"/>
      <c r="Z10" s="147"/>
      <c r="AA10" s="147"/>
      <c r="AB10" s="147"/>
      <c r="AC10" s="143"/>
      <c r="AD10" s="156"/>
      <c r="AE10" s="156"/>
      <c r="AF10" s="156"/>
      <c r="AG10" s="156"/>
      <c r="AH10" s="156"/>
      <c r="AI10" s="156"/>
      <c r="AJ10" s="156"/>
      <c r="AK10" s="156"/>
      <c r="AL10" s="156"/>
      <c r="AM10" s="156"/>
      <c r="AN10" s="156"/>
      <c r="AO10" s="156"/>
      <c r="AP10" s="156"/>
      <c r="AQ10" s="156"/>
      <c r="AR10" s="947"/>
      <c r="AS10" s="947"/>
      <c r="AT10" s="947"/>
      <c r="AU10" s="947"/>
      <c r="AV10" s="947"/>
      <c r="AW10" s="947"/>
    </row>
    <row r="11" spans="1:49" ht="15.75">
      <c r="A11" s="704"/>
      <c r="C11" s="3904" t="s">
        <v>1145</v>
      </c>
      <c r="D11" s="3904"/>
      <c r="E11" s="3904"/>
      <c r="F11" s="3904"/>
      <c r="G11" s="3904"/>
      <c r="H11" s="3904"/>
      <c r="I11" s="3904"/>
      <c r="J11" s="1199"/>
      <c r="K11" s="1199"/>
      <c r="L11" s="196"/>
      <c r="M11" s="194"/>
      <c r="N11" s="3904" t="s">
        <v>1146</v>
      </c>
      <c r="O11" s="3904"/>
      <c r="P11" s="3904"/>
      <c r="Q11" s="3904"/>
      <c r="R11" s="3904"/>
      <c r="S11" s="3904"/>
      <c r="T11" s="3904"/>
      <c r="U11" s="1208"/>
      <c r="V11" s="1452"/>
      <c r="W11" s="1474"/>
      <c r="X11" s="1474"/>
      <c r="Y11" s="1474"/>
      <c r="Z11" s="1474"/>
      <c r="AA11" s="1474"/>
      <c r="AB11" s="1474"/>
      <c r="AC11" s="151"/>
      <c r="AD11" s="194"/>
      <c r="AE11" s="194"/>
      <c r="AF11" s="194"/>
      <c r="AG11" s="194"/>
      <c r="AH11" s="194"/>
      <c r="AI11" s="194"/>
      <c r="AJ11" s="194"/>
      <c r="AK11" s="151"/>
      <c r="AL11" s="194"/>
      <c r="AM11" s="195"/>
      <c r="AN11" s="194"/>
      <c r="AO11" s="194"/>
      <c r="AP11" s="194"/>
      <c r="AQ11" s="194"/>
      <c r="AR11" s="947"/>
      <c r="AS11" s="947"/>
      <c r="AT11" s="947"/>
      <c r="AU11" s="947"/>
      <c r="AV11" s="947"/>
      <c r="AW11" s="947"/>
    </row>
    <row r="12" spans="1:49" ht="15.75">
      <c r="A12" s="704"/>
      <c r="C12" s="430"/>
      <c r="D12" s="196"/>
      <c r="E12" s="430"/>
      <c r="F12" s="196"/>
      <c r="G12" s="197"/>
      <c r="H12" s="196"/>
      <c r="I12" s="196" t="s">
        <v>85</v>
      </c>
      <c r="J12" s="196"/>
      <c r="K12" s="196" t="s">
        <v>85</v>
      </c>
      <c r="L12" s="196"/>
      <c r="M12" s="1223"/>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7"/>
      <c r="AS12" s="947"/>
      <c r="AT12" s="947"/>
      <c r="AU12" s="947"/>
      <c r="AV12" s="947"/>
      <c r="AW12" s="947"/>
    </row>
    <row r="13" spans="1:49" ht="15.75">
      <c r="A13" s="704"/>
      <c r="B13" s="151"/>
      <c r="C13" s="431"/>
      <c r="D13" s="198"/>
      <c r="E13" s="431"/>
      <c r="F13" s="198"/>
      <c r="G13" s="198"/>
      <c r="H13" s="198"/>
      <c r="I13" s="199" t="s">
        <v>885</v>
      </c>
      <c r="J13" s="199"/>
      <c r="K13" s="199" t="s">
        <v>885</v>
      </c>
      <c r="L13" s="983"/>
      <c r="M13" s="1224"/>
      <c r="N13" s="431"/>
      <c r="O13" s="198"/>
      <c r="P13" s="431"/>
      <c r="Q13" s="198"/>
      <c r="R13" s="198"/>
      <c r="S13" s="198"/>
      <c r="T13" s="199" t="s">
        <v>885</v>
      </c>
      <c r="U13" s="201"/>
      <c r="V13" s="199" t="s">
        <v>885</v>
      </c>
      <c r="W13" s="982"/>
      <c r="X13" s="981"/>
      <c r="Y13" s="982"/>
      <c r="Z13" s="982"/>
      <c r="AA13" s="982"/>
      <c r="AB13" s="983"/>
      <c r="AC13" s="151"/>
      <c r="AD13" s="151"/>
      <c r="AE13" s="151"/>
      <c r="AF13" s="151"/>
      <c r="AG13" s="151"/>
      <c r="AH13" s="151"/>
      <c r="AI13" s="200"/>
      <c r="AJ13" s="201"/>
      <c r="AK13" s="151"/>
      <c r="AL13" s="151"/>
      <c r="AM13" s="151"/>
      <c r="AN13" s="151"/>
      <c r="AO13" s="151"/>
      <c r="AP13" s="151"/>
      <c r="AQ13" s="200"/>
      <c r="AR13" s="947"/>
      <c r="AS13" s="947"/>
      <c r="AT13" s="947"/>
      <c r="AU13" s="947"/>
      <c r="AV13" s="947"/>
      <c r="AW13" s="947"/>
    </row>
    <row r="14" spans="1:49" ht="15.75">
      <c r="A14" s="704"/>
      <c r="B14" s="202"/>
      <c r="C14" s="154" t="s">
        <v>1094</v>
      </c>
      <c r="D14" s="947"/>
      <c r="E14" s="153" t="s">
        <v>1095</v>
      </c>
      <c r="F14" s="152"/>
      <c r="G14" s="152"/>
      <c r="H14" s="152"/>
      <c r="I14" s="153" t="s">
        <v>86</v>
      </c>
      <c r="J14" s="153"/>
      <c r="K14" s="153" t="s">
        <v>86</v>
      </c>
      <c r="L14" s="201"/>
      <c r="M14" s="1224"/>
      <c r="N14" s="154" t="s">
        <v>1094</v>
      </c>
      <c r="O14" s="947"/>
      <c r="P14" s="153" t="s">
        <v>1095</v>
      </c>
      <c r="Q14" s="152"/>
      <c r="R14" s="152"/>
      <c r="S14" s="152"/>
      <c r="T14" s="153" t="s">
        <v>86</v>
      </c>
      <c r="U14" s="201"/>
      <c r="V14" s="153" t="s">
        <v>86</v>
      </c>
      <c r="W14" s="705"/>
      <c r="X14" s="201"/>
      <c r="Y14" s="151"/>
      <c r="Z14" s="151"/>
      <c r="AA14" s="151"/>
      <c r="AB14" s="201"/>
      <c r="AC14" s="151"/>
      <c r="AD14" s="200"/>
      <c r="AE14" s="201"/>
      <c r="AF14" s="151"/>
      <c r="AG14" s="151"/>
      <c r="AH14" s="151"/>
      <c r="AI14" s="200"/>
      <c r="AJ14" s="201"/>
      <c r="AK14" s="151"/>
      <c r="AL14" s="200"/>
      <c r="AM14" s="201"/>
      <c r="AN14" s="151"/>
      <c r="AO14" s="151"/>
      <c r="AP14" s="151"/>
      <c r="AQ14" s="200"/>
      <c r="AR14" s="947"/>
      <c r="AS14" s="947"/>
      <c r="AT14" s="947"/>
      <c r="AU14" s="947"/>
      <c r="AV14" s="947"/>
      <c r="AW14" s="947"/>
    </row>
    <row r="15" spans="1:49" ht="15.75">
      <c r="A15" s="704"/>
      <c r="B15" s="202"/>
      <c r="C15" s="153" t="s">
        <v>1133</v>
      </c>
      <c r="D15" s="152"/>
      <c r="E15" s="153" t="s">
        <v>1133</v>
      </c>
      <c r="F15" s="152"/>
      <c r="G15" s="152"/>
      <c r="H15" s="152"/>
      <c r="I15" s="153" t="s">
        <v>1094</v>
      </c>
      <c r="J15" s="153"/>
      <c r="K15" s="153" t="s">
        <v>1095</v>
      </c>
      <c r="L15" s="201"/>
      <c r="M15" s="1224"/>
      <c r="N15" s="153" t="s">
        <v>1133</v>
      </c>
      <c r="O15" s="152"/>
      <c r="P15" s="153" t="s">
        <v>1133</v>
      </c>
      <c r="Q15" s="152"/>
      <c r="R15" s="152"/>
      <c r="S15" s="152"/>
      <c r="T15" s="153" t="s">
        <v>1094</v>
      </c>
      <c r="U15" s="201"/>
      <c r="V15" s="153" t="s">
        <v>1095</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7"/>
      <c r="AS15" s="947"/>
      <c r="AT15" s="947"/>
      <c r="AU15" s="947"/>
      <c r="AV15" s="947"/>
      <c r="AW15" s="947"/>
    </row>
    <row r="16" spans="1:49" ht="15.75">
      <c r="A16" s="704"/>
      <c r="B16" s="201"/>
      <c r="C16" s="153" t="s">
        <v>1134</v>
      </c>
      <c r="D16" s="152"/>
      <c r="E16" s="153" t="s">
        <v>1447</v>
      </c>
      <c r="F16" s="152"/>
      <c r="G16" s="154" t="s">
        <v>85</v>
      </c>
      <c r="H16" s="152"/>
      <c r="I16" s="153" t="s">
        <v>87</v>
      </c>
      <c r="J16" s="201"/>
      <c r="K16" s="153" t="s">
        <v>87</v>
      </c>
      <c r="L16" s="201"/>
      <c r="M16" s="1231"/>
      <c r="N16" s="1232" t="s">
        <v>1134</v>
      </c>
      <c r="O16" s="152"/>
      <c r="P16" s="153" t="s">
        <v>1447</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7"/>
      <c r="AS16" s="947"/>
      <c r="AT16" s="947"/>
      <c r="AU16" s="947"/>
      <c r="AV16" s="947"/>
      <c r="AW16" s="947"/>
    </row>
    <row r="17" spans="1:49">
      <c r="A17" s="155"/>
      <c r="B17" s="156"/>
      <c r="C17" s="157"/>
      <c r="D17" s="143"/>
      <c r="E17" s="157"/>
      <c r="F17" s="143"/>
      <c r="G17" s="157"/>
      <c r="H17" s="143"/>
      <c r="I17" s="157"/>
      <c r="J17" s="156"/>
      <c r="K17" s="157"/>
      <c r="L17" s="156"/>
      <c r="M17" s="1225"/>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7"/>
      <c r="AS17" s="947"/>
      <c r="AT17" s="947"/>
      <c r="AU17" s="947"/>
      <c r="AV17" s="947"/>
      <c r="AW17" s="947"/>
    </row>
    <row r="18" spans="1:49" ht="15.75">
      <c r="A18" s="29" t="s">
        <v>14</v>
      </c>
      <c r="B18" s="940"/>
      <c r="C18" s="670"/>
      <c r="D18" s="670"/>
      <c r="E18" s="670"/>
      <c r="F18" s="670"/>
      <c r="G18" s="670"/>
      <c r="H18" s="670"/>
      <c r="I18" s="940"/>
      <c r="J18" s="670"/>
      <c r="K18" s="940"/>
      <c r="L18" s="940"/>
      <c r="M18" s="1226"/>
      <c r="N18" s="670"/>
      <c r="O18" s="670"/>
      <c r="P18" s="670"/>
      <c r="Q18" s="670"/>
      <c r="R18" s="670"/>
      <c r="S18" s="670"/>
      <c r="T18" s="670"/>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7"/>
      <c r="AS18" s="947"/>
      <c r="AT18" s="947"/>
      <c r="AU18" s="947"/>
      <c r="AV18" s="947"/>
      <c r="AW18" s="947"/>
    </row>
    <row r="19" spans="1:49">
      <c r="A19" s="835" t="s">
        <v>88</v>
      </c>
      <c r="B19" s="941"/>
      <c r="C19" s="670"/>
      <c r="D19" s="941"/>
      <c r="E19" s="670"/>
      <c r="F19" s="941"/>
      <c r="G19" s="670"/>
      <c r="H19" s="941"/>
      <c r="I19" s="940"/>
      <c r="J19" s="670"/>
      <c r="K19" s="940"/>
      <c r="L19" s="940"/>
      <c r="M19" s="1226"/>
      <c r="N19" s="670"/>
      <c r="O19" s="941"/>
      <c r="P19" s="670"/>
      <c r="Q19" s="941"/>
      <c r="R19" s="670"/>
      <c r="S19" s="941"/>
      <c r="T19" s="670"/>
      <c r="U19" s="940"/>
      <c r="V19" s="940"/>
      <c r="W19" s="940"/>
      <c r="X19" s="940"/>
      <c r="Y19" s="940"/>
      <c r="Z19" s="940"/>
      <c r="AA19" s="961"/>
      <c r="AB19" s="940"/>
      <c r="AC19" s="940"/>
      <c r="AD19" s="940"/>
      <c r="AE19" s="940"/>
      <c r="AF19" s="940"/>
      <c r="AG19" s="940"/>
      <c r="AH19" s="940"/>
      <c r="AI19" s="940"/>
      <c r="AJ19" s="940"/>
      <c r="AK19" s="940"/>
      <c r="AL19" s="940"/>
      <c r="AM19" s="940"/>
      <c r="AN19" s="940"/>
      <c r="AO19" s="940"/>
      <c r="AP19" s="940"/>
      <c r="AQ19" s="940"/>
      <c r="AR19" s="947"/>
      <c r="AS19" s="947"/>
      <c r="AT19" s="947"/>
      <c r="AU19" s="947"/>
      <c r="AV19" s="947"/>
      <c r="AW19" s="947"/>
    </row>
    <row r="20" spans="1:49">
      <c r="A20" s="835" t="s">
        <v>89</v>
      </c>
      <c r="B20" s="941" t="s">
        <v>15</v>
      </c>
      <c r="C20" s="2109">
        <v>2166</v>
      </c>
      <c r="D20" s="673"/>
      <c r="E20" s="2109">
        <v>2166</v>
      </c>
      <c r="F20" s="673"/>
      <c r="G20" s="671">
        <f>'Exhibit G State'!AD17</f>
        <v>2149.1</v>
      </c>
      <c r="H20" s="673"/>
      <c r="I20" s="987">
        <f>ROUND(SUM(G20)-SUM(C20),1)</f>
        <v>-16.899999999999999</v>
      </c>
      <c r="J20" s="671"/>
      <c r="K20" s="987">
        <f t="shared" ref="K20:K25" si="0">ROUND(SUM(G20)-SUM(E20),1)</f>
        <v>-16.899999999999999</v>
      </c>
      <c r="L20" s="987"/>
      <c r="M20" s="1226"/>
      <c r="N20" s="2109">
        <v>0</v>
      </c>
      <c r="O20" s="909"/>
      <c r="P20" s="2109">
        <v>0</v>
      </c>
      <c r="Q20" s="673"/>
      <c r="R20" s="671">
        <v>0</v>
      </c>
      <c r="S20" s="673"/>
      <c r="T20" s="987">
        <f>ROUND(SUM(R20)-SUM(N20),1)</f>
        <v>0</v>
      </c>
      <c r="U20" s="940"/>
      <c r="V20" s="987">
        <f t="shared" ref="V20:V25" si="1">ROUND(SUM(R20)-SUM(P20),1)</f>
        <v>0</v>
      </c>
      <c r="W20" s="985"/>
      <c r="X20" s="988"/>
      <c r="Y20" s="985"/>
      <c r="Z20" s="986"/>
      <c r="AA20" s="985"/>
      <c r="AB20" s="987"/>
      <c r="AC20" s="940"/>
      <c r="AD20" s="940"/>
      <c r="AE20" s="940"/>
      <c r="AF20" s="940"/>
      <c r="AG20" s="940"/>
      <c r="AH20" s="940"/>
      <c r="AI20" s="940"/>
      <c r="AJ20" s="940"/>
      <c r="AK20" s="940"/>
      <c r="AL20" s="940"/>
      <c r="AM20" s="940"/>
      <c r="AN20" s="940"/>
      <c r="AO20" s="940"/>
      <c r="AP20" s="940"/>
      <c r="AQ20" s="940"/>
      <c r="AR20" s="947"/>
      <c r="AS20" s="947"/>
      <c r="AT20" s="947"/>
      <c r="AU20" s="947"/>
      <c r="AV20" s="947"/>
      <c r="AW20" s="947"/>
    </row>
    <row r="21" spans="1:49">
      <c r="A21" s="835" t="s">
        <v>90</v>
      </c>
      <c r="B21" s="940" t="s">
        <v>15</v>
      </c>
      <c r="C21" s="1141">
        <v>1638</v>
      </c>
      <c r="D21" s="1575"/>
      <c r="E21" s="1141">
        <v>1652</v>
      </c>
      <c r="F21" s="656"/>
      <c r="G21" s="656">
        <f>'Exhibit G State'!AD28</f>
        <v>1660.6</v>
      </c>
      <c r="H21" s="656"/>
      <c r="I21" s="1575">
        <f t="shared" ref="I21:I25" si="2">ROUND(SUM(G21)-SUM(C21),1)</f>
        <v>22.6</v>
      </c>
      <c r="J21" s="656"/>
      <c r="K21" s="959">
        <f t="shared" si="0"/>
        <v>8.6</v>
      </c>
      <c r="L21" s="959"/>
      <c r="M21" s="1226"/>
      <c r="N21" s="1141">
        <v>0</v>
      </c>
      <c r="O21" s="911"/>
      <c r="P21" s="1141">
        <v>0</v>
      </c>
      <c r="Q21" s="656"/>
      <c r="R21" s="656">
        <v>0</v>
      </c>
      <c r="S21" s="656"/>
      <c r="T21" s="1575">
        <f t="shared" ref="T21:T25" si="3">ROUND(SUM(R21)-SUM(N21),1)</f>
        <v>0</v>
      </c>
      <c r="U21" s="940"/>
      <c r="V21" s="959">
        <f t="shared" si="1"/>
        <v>0</v>
      </c>
      <c r="W21" s="959"/>
      <c r="X21" s="988"/>
      <c r="Y21" s="959"/>
      <c r="Z21" s="959"/>
      <c r="AA21" s="959"/>
      <c r="AB21" s="959"/>
      <c r="AC21" s="959"/>
      <c r="AD21" s="959"/>
      <c r="AE21" s="940"/>
      <c r="AF21" s="940"/>
      <c r="AG21" s="940"/>
      <c r="AH21" s="940"/>
      <c r="AI21" s="940"/>
      <c r="AJ21" s="940"/>
      <c r="AK21" s="940"/>
      <c r="AL21" s="940"/>
      <c r="AM21" s="940"/>
      <c r="AN21" s="940"/>
      <c r="AO21" s="940"/>
      <c r="AP21" s="940"/>
      <c r="AQ21" s="940"/>
      <c r="AR21" s="947"/>
      <c r="AS21" s="947"/>
      <c r="AT21" s="947"/>
      <c r="AU21" s="947"/>
      <c r="AV21" s="947"/>
      <c r="AW21" s="947"/>
    </row>
    <row r="22" spans="1:49">
      <c r="A22" s="835" t="s">
        <v>91</v>
      </c>
      <c r="B22" s="941" t="s">
        <v>15</v>
      </c>
      <c r="C22" s="1141">
        <v>1371</v>
      </c>
      <c r="D22" s="695"/>
      <c r="E22" s="1141">
        <v>1484</v>
      </c>
      <c r="F22" s="695"/>
      <c r="G22" s="656">
        <f>'Exhibit G State'!AD35</f>
        <v>1491.6</v>
      </c>
      <c r="H22" s="695"/>
      <c r="I22" s="1575">
        <f t="shared" si="2"/>
        <v>120.6</v>
      </c>
      <c r="J22" s="656"/>
      <c r="K22" s="959">
        <f t="shared" si="0"/>
        <v>7.6</v>
      </c>
      <c r="L22" s="959"/>
      <c r="M22" s="1226"/>
      <c r="N22" s="1141">
        <v>0</v>
      </c>
      <c r="O22" s="698"/>
      <c r="P22" s="1141">
        <v>0</v>
      </c>
      <c r="Q22" s="695"/>
      <c r="R22" s="948">
        <v>0</v>
      </c>
      <c r="S22" s="695"/>
      <c r="T22" s="1575">
        <f t="shared" si="3"/>
        <v>0</v>
      </c>
      <c r="U22" s="940"/>
      <c r="V22" s="959">
        <f t="shared" si="1"/>
        <v>0</v>
      </c>
      <c r="W22" s="960"/>
      <c r="X22" s="988"/>
      <c r="Y22" s="960"/>
      <c r="Z22" s="959"/>
      <c r="AA22" s="960"/>
      <c r="AB22" s="959"/>
      <c r="AC22" s="960"/>
      <c r="AD22" s="959"/>
      <c r="AE22" s="940"/>
      <c r="AF22" s="961"/>
      <c r="AG22" s="940"/>
      <c r="AH22" s="961"/>
      <c r="AI22" s="940"/>
      <c r="AJ22" s="940"/>
      <c r="AK22" s="961"/>
      <c r="AL22" s="940"/>
      <c r="AM22" s="940"/>
      <c r="AN22" s="961"/>
      <c r="AO22" s="203"/>
      <c r="AP22" s="961"/>
      <c r="AQ22" s="940"/>
      <c r="AR22" s="947"/>
      <c r="AS22" s="947"/>
      <c r="AT22" s="947"/>
      <c r="AU22" s="947"/>
      <c r="AV22" s="947"/>
      <c r="AW22" s="947"/>
    </row>
    <row r="23" spans="1:49" ht="15" customHeight="1">
      <c r="A23" s="835" t="s">
        <v>20</v>
      </c>
      <c r="B23" s="940" t="s">
        <v>15</v>
      </c>
      <c r="C23" s="1141">
        <v>15083</v>
      </c>
      <c r="D23" s="958"/>
      <c r="E23" s="1141">
        <v>15282</v>
      </c>
      <c r="F23" s="958"/>
      <c r="G23" s="656">
        <f>'Exhibit G State'!AD80</f>
        <v>15788.3</v>
      </c>
      <c r="H23" s="656"/>
      <c r="I23" s="1575">
        <f t="shared" si="2"/>
        <v>705.3</v>
      </c>
      <c r="J23" s="656"/>
      <c r="K23" s="959">
        <f t="shared" si="0"/>
        <v>506.3</v>
      </c>
      <c r="L23" s="959"/>
      <c r="M23" s="1226"/>
      <c r="N23" s="1141">
        <v>67</v>
      </c>
      <c r="O23" s="2027"/>
      <c r="P23" s="1141">
        <v>183</v>
      </c>
      <c r="Q23" s="958"/>
      <c r="R23" s="700">
        <f>'Exhibit G Federal'!AD52</f>
        <v>184.3</v>
      </c>
      <c r="S23" s="656"/>
      <c r="T23" s="1575">
        <f t="shared" si="3"/>
        <v>117.3</v>
      </c>
      <c r="U23" s="940"/>
      <c r="V23" s="959">
        <f t="shared" si="1"/>
        <v>1.3</v>
      </c>
      <c r="W23" s="959"/>
      <c r="X23" s="988"/>
      <c r="Y23" s="959"/>
      <c r="Z23" s="959"/>
      <c r="AA23" s="959"/>
      <c r="AB23" s="959"/>
      <c r="AC23" s="959"/>
      <c r="AD23" s="959"/>
      <c r="AE23" s="940"/>
      <c r="AF23" s="940"/>
      <c r="AG23" s="940"/>
      <c r="AH23" s="940"/>
      <c r="AI23" s="940"/>
      <c r="AJ23" s="940"/>
      <c r="AK23" s="940"/>
      <c r="AL23" s="940"/>
      <c r="AM23" s="940"/>
      <c r="AN23" s="940"/>
      <c r="AO23" s="940"/>
      <c r="AP23" s="940"/>
      <c r="AQ23" s="940"/>
      <c r="AR23" s="947"/>
      <c r="AS23" s="947"/>
      <c r="AT23" s="947"/>
      <c r="AU23" s="947"/>
      <c r="AV23" s="947"/>
      <c r="AW23" s="947"/>
    </row>
    <row r="24" spans="1:49" ht="15" customHeight="1">
      <c r="A24" s="835" t="s">
        <v>21</v>
      </c>
      <c r="B24" s="940" t="s">
        <v>15</v>
      </c>
      <c r="C24" s="1141">
        <v>0</v>
      </c>
      <c r="D24" s="1575"/>
      <c r="E24" s="1141">
        <v>18</v>
      </c>
      <c r="F24" s="656"/>
      <c r="G24" s="700">
        <f>'Exhibit G State'!AD82</f>
        <v>-9</v>
      </c>
      <c r="H24" s="656"/>
      <c r="I24" s="1575">
        <f t="shared" si="2"/>
        <v>-9</v>
      </c>
      <c r="J24" s="656"/>
      <c r="K24" s="959">
        <f t="shared" si="0"/>
        <v>-27</v>
      </c>
      <c r="L24" s="959"/>
      <c r="M24" s="1226"/>
      <c r="N24" s="1141">
        <v>52356</v>
      </c>
      <c r="O24" s="911"/>
      <c r="P24" s="1141">
        <v>53465</v>
      </c>
      <c r="Q24" s="656"/>
      <c r="R24" s="700">
        <f>'Exhibit G Federal'!AD54</f>
        <v>53584</v>
      </c>
      <c r="S24" s="656"/>
      <c r="T24" s="1575">
        <f t="shared" si="3"/>
        <v>1228</v>
      </c>
      <c r="U24" s="940"/>
      <c r="V24" s="959">
        <f t="shared" si="1"/>
        <v>119</v>
      </c>
      <c r="W24" s="959"/>
      <c r="X24" s="988"/>
      <c r="Y24" s="959"/>
      <c r="Z24" s="959"/>
      <c r="AA24" s="959"/>
      <c r="AB24" s="959"/>
      <c r="AC24" s="959"/>
      <c r="AD24" s="962"/>
      <c r="AE24" s="963"/>
      <c r="AF24" s="940"/>
      <c r="AG24" s="963"/>
      <c r="AH24" s="940"/>
      <c r="AI24" s="963"/>
      <c r="AJ24" s="964"/>
      <c r="AK24" s="940"/>
      <c r="AL24" s="940"/>
      <c r="AM24" s="940"/>
      <c r="AN24" s="940"/>
      <c r="AO24" s="940"/>
      <c r="AP24" s="940"/>
      <c r="AQ24" s="940"/>
      <c r="AR24" s="947"/>
      <c r="AS24" s="947"/>
      <c r="AT24" s="947"/>
      <c r="AU24" s="947"/>
      <c r="AV24" s="947"/>
      <c r="AW24" s="947"/>
    </row>
    <row r="25" spans="1:49">
      <c r="A25" s="835" t="s">
        <v>48</v>
      </c>
      <c r="B25" s="964" t="s">
        <v>15</v>
      </c>
      <c r="C25" s="1141">
        <v>2213</v>
      </c>
      <c r="D25" s="959"/>
      <c r="E25" s="1141">
        <v>2494</v>
      </c>
      <c r="F25" s="959"/>
      <c r="G25" s="1048">
        <f>'Exhibit G State'!AD111</f>
        <v>2505.5</v>
      </c>
      <c r="H25" s="656"/>
      <c r="I25" s="1575">
        <f t="shared" si="2"/>
        <v>292.5</v>
      </c>
      <c r="J25" s="959"/>
      <c r="K25" s="959">
        <f t="shared" si="0"/>
        <v>11.5</v>
      </c>
      <c r="L25" s="959"/>
      <c r="M25" s="1227"/>
      <c r="N25" s="1141">
        <v>0</v>
      </c>
      <c r="O25" s="911"/>
      <c r="P25" s="1141">
        <v>0</v>
      </c>
      <c r="Q25" s="959"/>
      <c r="R25" s="1048">
        <f>+'Exhibit G Federal'!AD83</f>
        <v>0</v>
      </c>
      <c r="S25" s="656"/>
      <c r="T25" s="1575">
        <f t="shared" si="3"/>
        <v>0</v>
      </c>
      <c r="U25" s="964"/>
      <c r="V25" s="959">
        <f t="shared" si="1"/>
        <v>0</v>
      </c>
      <c r="W25" s="959"/>
      <c r="X25" s="988"/>
      <c r="Y25" s="959"/>
      <c r="Z25" s="960"/>
      <c r="AA25" s="959"/>
      <c r="AB25" s="959"/>
      <c r="AC25" s="959"/>
      <c r="AD25" s="962"/>
      <c r="AE25" s="963"/>
      <c r="AF25" s="940"/>
      <c r="AG25" s="963"/>
      <c r="AH25" s="940"/>
      <c r="AI25" s="963"/>
      <c r="AJ25" s="964"/>
      <c r="AK25" s="940"/>
      <c r="AL25" s="940"/>
      <c r="AM25" s="940"/>
      <c r="AN25" s="940"/>
      <c r="AO25" s="940"/>
      <c r="AP25" s="940"/>
      <c r="AQ25" s="940"/>
      <c r="AR25" s="947"/>
      <c r="AS25" s="947"/>
      <c r="AT25" s="947"/>
      <c r="AU25" s="947"/>
      <c r="AV25" s="947"/>
      <c r="AW25" s="947"/>
    </row>
    <row r="26" spans="1:49" ht="18" customHeight="1">
      <c r="A26" s="173" t="s">
        <v>109</v>
      </c>
      <c r="B26" s="151" t="s">
        <v>15</v>
      </c>
      <c r="C26" s="215">
        <f>ROUND(SUM(C20:C25),1)</f>
        <v>22471</v>
      </c>
      <c r="D26" s="938"/>
      <c r="E26" s="215">
        <f>ROUND(SUM(E20:E25),1)</f>
        <v>23096</v>
      </c>
      <c r="F26" s="938"/>
      <c r="G26" s="215">
        <f>ROUND(SUM(G20:G25),1)</f>
        <v>23586.1</v>
      </c>
      <c r="H26" s="938"/>
      <c r="I26" s="1586">
        <f>ROUND(SUM(I20:I25),1)</f>
        <v>1115.0999999999999</v>
      </c>
      <c r="J26" s="76"/>
      <c r="K26" s="1586">
        <f>ROUND(SUM(K20:K25),1)</f>
        <v>490.1</v>
      </c>
      <c r="L26" s="76"/>
      <c r="M26" s="1226"/>
      <c r="N26" s="215">
        <f>ROUND(SUM(N20:N25),1)</f>
        <v>52423</v>
      </c>
      <c r="O26" s="938"/>
      <c r="P26" s="215">
        <f>ROUND(SUM(P20:P25),1)</f>
        <v>53648</v>
      </c>
      <c r="Q26" s="938"/>
      <c r="R26" s="296">
        <f>ROUND(SUM(R20:R25),1)</f>
        <v>53768.3</v>
      </c>
      <c r="S26" s="938"/>
      <c r="T26" s="296">
        <f>ROUND(SUM(T20:T25),1)</f>
        <v>1345.3</v>
      </c>
      <c r="U26" s="151"/>
      <c r="V26" s="1586">
        <f>ROUND(SUM(V20:V25),1)</f>
        <v>120.3</v>
      </c>
      <c r="W26" s="76"/>
      <c r="X26" s="76"/>
      <c r="Y26" s="76"/>
      <c r="Z26" s="76"/>
      <c r="AA26" s="76"/>
      <c r="AB26" s="76"/>
      <c r="AC26" s="76"/>
      <c r="AD26" s="76"/>
      <c r="AE26" s="151"/>
      <c r="AF26" s="151"/>
      <c r="AG26" s="151"/>
      <c r="AH26" s="151"/>
      <c r="AI26" s="151"/>
      <c r="AJ26" s="151"/>
      <c r="AK26" s="151"/>
      <c r="AL26" s="151"/>
      <c r="AM26" s="151"/>
      <c r="AN26" s="151"/>
      <c r="AO26" s="151"/>
      <c r="AP26" s="151"/>
      <c r="AQ26" s="151"/>
      <c r="AR26" s="947"/>
      <c r="AS26" s="947"/>
      <c r="AT26" s="947"/>
      <c r="AU26" s="947"/>
      <c r="AV26" s="947"/>
      <c r="AW26" s="947"/>
    </row>
    <row r="27" spans="1:49">
      <c r="A27" s="704"/>
      <c r="B27" s="940"/>
      <c r="C27" s="702"/>
      <c r="D27" s="656"/>
      <c r="E27" s="702"/>
      <c r="F27" s="656"/>
      <c r="G27" s="702"/>
      <c r="H27" s="656"/>
      <c r="I27" s="959"/>
      <c r="J27" s="959"/>
      <c r="K27" s="959"/>
      <c r="L27" s="959"/>
      <c r="M27" s="1226"/>
      <c r="N27" s="702"/>
      <c r="O27" s="1575"/>
      <c r="P27" s="702"/>
      <c r="Q27" s="656"/>
      <c r="R27" s="702"/>
      <c r="S27" s="656"/>
      <c r="T27" s="959"/>
      <c r="U27" s="940"/>
      <c r="V27" s="959"/>
      <c r="W27" s="959"/>
      <c r="X27" s="959"/>
      <c r="Y27" s="959"/>
      <c r="Z27" s="959"/>
      <c r="AA27" s="959"/>
      <c r="AB27" s="959"/>
      <c r="AC27" s="959"/>
      <c r="AD27" s="959"/>
      <c r="AE27" s="940"/>
      <c r="AF27" s="940"/>
      <c r="AG27" s="940"/>
      <c r="AH27" s="940"/>
      <c r="AI27" s="940"/>
      <c r="AJ27" s="940"/>
      <c r="AK27" s="940"/>
      <c r="AL27" s="940"/>
      <c r="AM27" s="940"/>
      <c r="AN27" s="940"/>
      <c r="AO27" s="940"/>
      <c r="AP27" s="940"/>
      <c r="AQ27" s="940"/>
      <c r="AR27" s="947"/>
      <c r="AS27" s="947"/>
      <c r="AT27" s="947"/>
      <c r="AU27" s="947"/>
      <c r="AV27" s="947"/>
      <c r="AW27" s="947"/>
    </row>
    <row r="28" spans="1:49" ht="15.75">
      <c r="A28" s="29" t="s">
        <v>23</v>
      </c>
      <c r="B28" s="940"/>
      <c r="C28" s="656"/>
      <c r="D28" s="656"/>
      <c r="E28" s="1575"/>
      <c r="F28" s="656"/>
      <c r="G28" s="656"/>
      <c r="H28" s="656"/>
      <c r="I28" s="959"/>
      <c r="J28" s="959"/>
      <c r="K28" s="959"/>
      <c r="L28" s="959"/>
      <c r="M28" s="1226"/>
      <c r="N28" s="1575"/>
      <c r="O28" s="1575"/>
      <c r="P28" s="1575"/>
      <c r="Q28" s="656"/>
      <c r="R28" s="656"/>
      <c r="S28" s="656"/>
      <c r="T28" s="656"/>
      <c r="U28" s="940"/>
      <c r="V28" s="959"/>
      <c r="W28" s="959"/>
      <c r="X28" s="959"/>
      <c r="Y28" s="959"/>
      <c r="Z28" s="959"/>
      <c r="AA28" s="959"/>
      <c r="AB28" s="959"/>
      <c r="AC28" s="959"/>
      <c r="AD28" s="959"/>
      <c r="AE28" s="940"/>
      <c r="AF28" s="940"/>
      <c r="AG28" s="940"/>
      <c r="AH28" s="940"/>
      <c r="AI28" s="940"/>
      <c r="AJ28" s="940"/>
      <c r="AK28" s="940"/>
      <c r="AL28" s="940"/>
      <c r="AM28" s="940"/>
      <c r="AN28" s="940"/>
      <c r="AO28" s="940"/>
      <c r="AP28" s="940"/>
      <c r="AQ28" s="940"/>
      <c r="AR28" s="947"/>
      <c r="AS28" s="947"/>
      <c r="AT28" s="947"/>
      <c r="AU28" s="947"/>
      <c r="AV28" s="947"/>
      <c r="AW28" s="947"/>
    </row>
    <row r="29" spans="1:49">
      <c r="A29" s="835" t="s">
        <v>94</v>
      </c>
      <c r="B29" s="961" t="s">
        <v>15</v>
      </c>
      <c r="C29" s="1141">
        <v>14510</v>
      </c>
      <c r="D29" s="1575"/>
      <c r="E29" s="1141">
        <v>14982</v>
      </c>
      <c r="F29" s="656"/>
      <c r="G29" s="695">
        <f>'Exhibit G State'!AD98</f>
        <v>14973.5</v>
      </c>
      <c r="H29" s="656"/>
      <c r="I29" s="1575">
        <f t="shared" ref="I29:I33" si="4">ROUND(SUM(G29)-SUM(C29),1)</f>
        <v>463.5</v>
      </c>
      <c r="J29" s="959"/>
      <c r="K29" s="959">
        <f>ROUND(SUM(G29)-SUM(E29),1)</f>
        <v>-8.5</v>
      </c>
      <c r="L29" s="959"/>
      <c r="M29" s="1226"/>
      <c r="N29" s="1141">
        <v>47913</v>
      </c>
      <c r="O29" s="1575"/>
      <c r="P29" s="1141">
        <v>47023</v>
      </c>
      <c r="Q29" s="656"/>
      <c r="R29" s="695">
        <f>'Exhibit G Federal'!AD70</f>
        <v>47232.7</v>
      </c>
      <c r="S29" s="656"/>
      <c r="T29" s="1575">
        <f t="shared" ref="T29:T33" si="5">ROUND(SUM(R29)-SUM(N29),1)</f>
        <v>-680.3</v>
      </c>
      <c r="U29" s="940"/>
      <c r="V29" s="959">
        <f>ROUND(SUM(R29)-SUM(P29),1)</f>
        <v>209.7</v>
      </c>
      <c r="W29" s="959"/>
      <c r="X29" s="988"/>
      <c r="Y29" s="959"/>
      <c r="Z29" s="959"/>
      <c r="AA29" s="959"/>
      <c r="AB29" s="959"/>
      <c r="AC29" s="959"/>
      <c r="AD29" s="962"/>
      <c r="AE29" s="963"/>
      <c r="AF29" s="940"/>
      <c r="AG29" s="963"/>
      <c r="AH29" s="940"/>
      <c r="AI29" s="963"/>
      <c r="AJ29" s="964"/>
      <c r="AK29" s="940"/>
      <c r="AL29" s="940"/>
      <c r="AM29" s="940"/>
      <c r="AN29" s="940"/>
      <c r="AO29" s="940"/>
      <c r="AP29" s="940"/>
      <c r="AQ29" s="940"/>
      <c r="AR29" s="947"/>
      <c r="AS29" s="947"/>
      <c r="AT29" s="947"/>
      <c r="AU29" s="947"/>
      <c r="AV29" s="947"/>
      <c r="AW29" s="947"/>
    </row>
    <row r="30" spans="1:49">
      <c r="A30" s="835" t="s">
        <v>95</v>
      </c>
      <c r="B30" s="961" t="s">
        <v>15</v>
      </c>
      <c r="C30" s="1141">
        <v>6607</v>
      </c>
      <c r="D30" s="1575"/>
      <c r="E30" s="1141">
        <v>6769</v>
      </c>
      <c r="F30" s="656"/>
      <c r="G30" s="695">
        <f>'Exhibit G State'!AD100+'Exhibit G State'!AD101</f>
        <v>6784.6</v>
      </c>
      <c r="H30" s="656"/>
      <c r="I30" s="1575">
        <f t="shared" si="4"/>
        <v>177.6</v>
      </c>
      <c r="J30" s="959"/>
      <c r="K30" s="959">
        <f>ROUND(SUM(G30)-SUM(E30),1)</f>
        <v>15.6</v>
      </c>
      <c r="L30" s="959"/>
      <c r="M30" s="1226"/>
      <c r="N30" s="1141">
        <v>1702</v>
      </c>
      <c r="O30" s="1575"/>
      <c r="P30" s="1141">
        <v>1689</v>
      </c>
      <c r="Q30" s="656"/>
      <c r="R30" s="695">
        <f>'Exhibit G Federal'!AD72+'Exhibit G Federal'!AD73</f>
        <v>1637.6999999999998</v>
      </c>
      <c r="S30" s="656"/>
      <c r="T30" s="1575">
        <f t="shared" si="5"/>
        <v>-64.3</v>
      </c>
      <c r="U30" s="940"/>
      <c r="V30" s="959">
        <f>ROUND(SUM(R30)-SUM(P30),1)</f>
        <v>-51.3</v>
      </c>
      <c r="W30" s="959"/>
      <c r="X30" s="988"/>
      <c r="Y30" s="959"/>
      <c r="Z30" s="959"/>
      <c r="AA30" s="959"/>
      <c r="AB30" s="959"/>
      <c r="AC30" s="959"/>
      <c r="AD30" s="960"/>
      <c r="AE30" s="961"/>
      <c r="AF30" s="940"/>
      <c r="AG30" s="961"/>
      <c r="AH30" s="940"/>
      <c r="AI30" s="963"/>
      <c r="AJ30" s="940"/>
      <c r="AK30" s="940"/>
      <c r="AL30" s="963"/>
      <c r="AM30" s="963"/>
      <c r="AN30" s="940"/>
      <c r="AO30" s="963"/>
      <c r="AP30" s="940"/>
      <c r="AQ30" s="963"/>
      <c r="AR30" s="947"/>
      <c r="AS30" s="947"/>
      <c r="AT30" s="947"/>
      <c r="AU30" s="947"/>
      <c r="AV30" s="947"/>
      <c r="AW30" s="947"/>
    </row>
    <row r="31" spans="1:49">
      <c r="A31" s="835" t="s">
        <v>70</v>
      </c>
      <c r="B31" s="961" t="s">
        <v>15</v>
      </c>
      <c r="C31" s="1141">
        <v>887</v>
      </c>
      <c r="D31" s="1575"/>
      <c r="E31" s="1141">
        <v>838</v>
      </c>
      <c r="F31" s="656"/>
      <c r="G31" s="695">
        <f>'Exhibit G State'!AD102</f>
        <v>836.3</v>
      </c>
      <c r="H31" s="656"/>
      <c r="I31" s="1575">
        <f t="shared" si="4"/>
        <v>-50.7</v>
      </c>
      <c r="J31" s="959"/>
      <c r="K31" s="959">
        <f>ROUND(SUM(G31)-SUM(E31),1)</f>
        <v>-1.7</v>
      </c>
      <c r="L31" s="959"/>
      <c r="M31" s="1226"/>
      <c r="N31" s="1141">
        <v>275</v>
      </c>
      <c r="O31" s="1575"/>
      <c r="P31" s="1141">
        <v>267</v>
      </c>
      <c r="Q31" s="656"/>
      <c r="R31" s="695">
        <f>'Exhibit G Federal'!AD74</f>
        <v>278.5</v>
      </c>
      <c r="S31" s="656"/>
      <c r="T31" s="1575">
        <f t="shared" si="5"/>
        <v>3.5</v>
      </c>
      <c r="U31" s="940"/>
      <c r="V31" s="959">
        <f>ROUND(SUM(R31)-SUM(P31),1)</f>
        <v>11.5</v>
      </c>
      <c r="W31" s="959"/>
      <c r="X31" s="988"/>
      <c r="Y31" s="959"/>
      <c r="Z31" s="959"/>
      <c r="AA31" s="959"/>
      <c r="AB31" s="959"/>
      <c r="AC31" s="959"/>
      <c r="AD31" s="962"/>
      <c r="AE31" s="963"/>
      <c r="AF31" s="940"/>
      <c r="AG31" s="963"/>
      <c r="AH31" s="940"/>
      <c r="AI31" s="963"/>
      <c r="AJ31" s="964"/>
      <c r="AK31" s="940"/>
      <c r="AL31" s="963"/>
      <c r="AM31" s="963"/>
      <c r="AN31" s="940"/>
      <c r="AO31" s="963"/>
      <c r="AP31" s="940"/>
      <c r="AQ31" s="963"/>
      <c r="AR31" s="947"/>
      <c r="AS31" s="947"/>
      <c r="AT31" s="947"/>
      <c r="AU31" s="947"/>
      <c r="AV31" s="947"/>
      <c r="AW31" s="947"/>
    </row>
    <row r="32" spans="1:49">
      <c r="A32" s="835" t="s">
        <v>42</v>
      </c>
      <c r="B32" s="964" t="s">
        <v>15</v>
      </c>
      <c r="C32" s="1141">
        <v>0</v>
      </c>
      <c r="D32" s="1575"/>
      <c r="E32" s="1141">
        <v>0</v>
      </c>
      <c r="F32" s="656"/>
      <c r="G32" s="672">
        <f>'Exhibit G State'!AD103</f>
        <v>0</v>
      </c>
      <c r="H32" s="656"/>
      <c r="I32" s="1575">
        <f t="shared" si="4"/>
        <v>0</v>
      </c>
      <c r="J32" s="959"/>
      <c r="K32" s="959">
        <f>ROUND(SUM(G32)-SUM(E32),1)</f>
        <v>0</v>
      </c>
      <c r="L32" s="959"/>
      <c r="M32" s="1227"/>
      <c r="N32" s="1141">
        <v>0</v>
      </c>
      <c r="O32" s="1575"/>
      <c r="P32" s="1141">
        <v>0</v>
      </c>
      <c r="Q32" s="656"/>
      <c r="R32" s="672">
        <v>0</v>
      </c>
      <c r="S32" s="656"/>
      <c r="T32" s="1575">
        <f t="shared" si="5"/>
        <v>0</v>
      </c>
      <c r="U32" s="964"/>
      <c r="V32" s="959">
        <f>ROUND(SUM(R32)-SUM(P32),1)</f>
        <v>0</v>
      </c>
      <c r="W32" s="959"/>
      <c r="X32" s="988"/>
      <c r="Y32" s="959"/>
      <c r="Z32" s="959"/>
      <c r="AA32" s="959"/>
      <c r="AB32" s="959"/>
      <c r="AC32" s="959"/>
      <c r="AD32" s="962"/>
      <c r="AE32" s="963"/>
      <c r="AF32" s="940"/>
      <c r="AG32" s="963"/>
      <c r="AH32" s="940"/>
      <c r="AI32" s="963"/>
      <c r="AJ32" s="964"/>
      <c r="AK32" s="940"/>
      <c r="AL32" s="940"/>
      <c r="AM32" s="940"/>
      <c r="AN32" s="940"/>
      <c r="AO32" s="940"/>
      <c r="AP32" s="940"/>
      <c r="AQ32" s="940"/>
      <c r="AR32" s="947"/>
      <c r="AS32" s="947"/>
      <c r="AT32" s="947"/>
      <c r="AU32" s="947"/>
      <c r="AV32" s="947"/>
      <c r="AW32" s="947"/>
    </row>
    <row r="33" spans="1:49">
      <c r="A33" s="835" t="s">
        <v>99</v>
      </c>
      <c r="B33" s="964" t="s">
        <v>15</v>
      </c>
      <c r="C33" s="1141">
        <v>231</v>
      </c>
      <c r="D33" s="1575"/>
      <c r="E33" s="1141">
        <v>473</v>
      </c>
      <c r="F33" s="656"/>
      <c r="G33" s="700">
        <f>-'Exhibit G State'!AD112</f>
        <v>472.9</v>
      </c>
      <c r="H33" s="656"/>
      <c r="I33" s="1575">
        <f t="shared" si="4"/>
        <v>241.9</v>
      </c>
      <c r="J33" s="959"/>
      <c r="K33" s="959">
        <f>ROUND(SUM(G33)-SUM(E33),1)</f>
        <v>-0.1</v>
      </c>
      <c r="L33" s="959"/>
      <c r="M33" s="1227"/>
      <c r="N33" s="1141">
        <v>1397</v>
      </c>
      <c r="O33" s="1575"/>
      <c r="P33" s="1141">
        <v>1858</v>
      </c>
      <c r="Q33" s="656"/>
      <c r="R33" s="700">
        <f>-'Exhibit G Federal'!AD84</f>
        <v>1805.2</v>
      </c>
      <c r="S33" s="656"/>
      <c r="T33" s="1575">
        <f t="shared" si="5"/>
        <v>408.2</v>
      </c>
      <c r="U33" s="964"/>
      <c r="V33" s="959">
        <f>ROUND(SUM(R33)-SUM(P33),1)</f>
        <v>-52.8</v>
      </c>
      <c r="W33" s="959"/>
      <c r="X33" s="988"/>
      <c r="Y33" s="959"/>
      <c r="Z33" s="960"/>
      <c r="AA33" s="959"/>
      <c r="AB33" s="959"/>
      <c r="AC33" s="959"/>
      <c r="AD33" s="962"/>
      <c r="AE33" s="963"/>
      <c r="AF33" s="940"/>
      <c r="AG33" s="963"/>
      <c r="AH33" s="940"/>
      <c r="AI33" s="963"/>
      <c r="AJ33" s="964"/>
      <c r="AK33" s="940"/>
      <c r="AL33" s="940"/>
      <c r="AM33" s="940"/>
      <c r="AN33" s="940"/>
      <c r="AO33" s="940"/>
      <c r="AP33" s="940"/>
      <c r="AQ33" s="940"/>
      <c r="AR33" s="947"/>
      <c r="AS33" s="947"/>
      <c r="AT33" s="947"/>
      <c r="AU33" s="947"/>
      <c r="AV33" s="947"/>
      <c r="AW33" s="947"/>
    </row>
    <row r="34" spans="1:49" ht="18" customHeight="1">
      <c r="A34" s="173" t="s">
        <v>118</v>
      </c>
      <c r="B34" s="151" t="s">
        <v>15</v>
      </c>
      <c r="C34" s="296">
        <f>ROUND(SUM(C29:C33),1)</f>
        <v>22235</v>
      </c>
      <c r="D34" s="938"/>
      <c r="E34" s="296">
        <f>ROUND(SUM(E29:E33),1)</f>
        <v>23062</v>
      </c>
      <c r="F34" s="938"/>
      <c r="G34" s="296">
        <f>ROUND(SUM(G29:G33),1)</f>
        <v>23067.3</v>
      </c>
      <c r="H34" s="938"/>
      <c r="I34" s="296">
        <f>ROUND(SUM(I29:I33),1)</f>
        <v>832.3</v>
      </c>
      <c r="J34" s="76"/>
      <c r="K34" s="296">
        <f>ROUND(SUM(K29:K33),1)</f>
        <v>5.3</v>
      </c>
      <c r="L34" s="76"/>
      <c r="M34" s="1230"/>
      <c r="N34" s="296">
        <f>ROUND(SUM(N29:N33),1)</f>
        <v>51287</v>
      </c>
      <c r="O34" s="938"/>
      <c r="P34" s="296">
        <f>ROUND(SUM(P29:P33),1)</f>
        <v>50837</v>
      </c>
      <c r="Q34" s="938"/>
      <c r="R34" s="296">
        <f>ROUND(SUM(R29:R33),1)</f>
        <v>50954.1</v>
      </c>
      <c r="S34" s="938"/>
      <c r="T34" s="296">
        <f>ROUND(SUM(T29:T33),1)</f>
        <v>-332.9</v>
      </c>
      <c r="U34" s="151"/>
      <c r="V34" s="296">
        <f>ROUND(SUM(V29:V33),1)</f>
        <v>117.1</v>
      </c>
      <c r="W34" s="76"/>
      <c r="X34" s="76"/>
      <c r="Y34" s="76"/>
      <c r="Z34" s="76"/>
      <c r="AA34" s="76"/>
      <c r="AB34" s="76"/>
      <c r="AC34" s="76"/>
      <c r="AD34" s="76"/>
      <c r="AE34" s="151"/>
      <c r="AF34" s="151"/>
      <c r="AG34" s="151"/>
      <c r="AH34" s="151"/>
      <c r="AI34" s="151"/>
      <c r="AJ34" s="151"/>
      <c r="AK34" s="151"/>
      <c r="AL34" s="151"/>
      <c r="AM34" s="151"/>
      <c r="AN34" s="151"/>
      <c r="AO34" s="151"/>
      <c r="AP34" s="151"/>
      <c r="AQ34" s="151"/>
      <c r="AR34" s="947"/>
      <c r="AS34" s="947"/>
      <c r="AT34" s="947"/>
      <c r="AU34" s="947"/>
      <c r="AV34" s="947"/>
      <c r="AW34" s="947"/>
    </row>
    <row r="35" spans="1:49">
      <c r="A35" s="704"/>
      <c r="B35" s="940"/>
      <c r="C35" s="702"/>
      <c r="D35" s="656"/>
      <c r="E35" s="702"/>
      <c r="F35" s="656"/>
      <c r="G35" s="702"/>
      <c r="H35" s="656"/>
      <c r="I35" s="959"/>
      <c r="J35" s="959"/>
      <c r="K35" s="959"/>
      <c r="L35" s="959"/>
      <c r="M35" s="1226"/>
      <c r="N35" s="702"/>
      <c r="O35" s="1575"/>
      <c r="P35" s="702"/>
      <c r="Q35" s="656"/>
      <c r="R35" s="702"/>
      <c r="S35" s="656"/>
      <c r="T35" s="959"/>
      <c r="U35" s="940"/>
      <c r="V35" s="959"/>
      <c r="W35" s="959"/>
      <c r="X35" s="959"/>
      <c r="Y35" s="959"/>
      <c r="Z35" s="959"/>
      <c r="AA35" s="959"/>
      <c r="AB35" s="959"/>
      <c r="AC35" s="959"/>
      <c r="AD35" s="959"/>
      <c r="AE35" s="940"/>
      <c r="AF35" s="940"/>
      <c r="AG35" s="940"/>
      <c r="AH35" s="940"/>
      <c r="AI35" s="940"/>
      <c r="AJ35" s="940"/>
      <c r="AK35" s="940"/>
      <c r="AL35" s="940"/>
      <c r="AM35" s="940"/>
      <c r="AN35" s="940"/>
      <c r="AO35" s="940"/>
      <c r="AP35" s="940"/>
      <c r="AQ35" s="940"/>
      <c r="AR35" s="947"/>
      <c r="AS35" s="947"/>
      <c r="AT35" s="947"/>
      <c r="AU35" s="947"/>
      <c r="AV35" s="947"/>
      <c r="AW35" s="947"/>
    </row>
    <row r="36" spans="1:49" ht="15.75">
      <c r="A36" s="29" t="s">
        <v>119</v>
      </c>
      <c r="B36" s="940"/>
      <c r="C36" s="656"/>
      <c r="D36" s="656"/>
      <c r="E36" s="1575"/>
      <c r="F36" s="656"/>
      <c r="G36" s="656"/>
      <c r="H36" s="656"/>
      <c r="I36" s="959"/>
      <c r="J36" s="959"/>
      <c r="K36" s="959"/>
      <c r="L36" s="959"/>
      <c r="M36" s="1226"/>
      <c r="N36" s="1575"/>
      <c r="O36" s="1575"/>
      <c r="P36" s="1575"/>
      <c r="Q36" s="656"/>
      <c r="R36" s="656"/>
      <c r="S36" s="656"/>
      <c r="T36" s="656"/>
      <c r="U36" s="940"/>
      <c r="V36" s="959"/>
      <c r="W36" s="959"/>
      <c r="X36" s="959"/>
      <c r="Y36" s="959"/>
      <c r="Z36" s="959"/>
      <c r="AA36" s="959"/>
      <c r="AB36" s="959"/>
      <c r="AC36" s="959"/>
      <c r="AD36" s="959"/>
      <c r="AE36" s="940"/>
      <c r="AF36" s="940"/>
      <c r="AG36" s="940"/>
      <c r="AH36" s="940"/>
      <c r="AI36" s="940"/>
      <c r="AJ36" s="940"/>
      <c r="AK36" s="940"/>
      <c r="AL36" s="940"/>
      <c r="AM36" s="940"/>
      <c r="AN36" s="940"/>
      <c r="AO36" s="940"/>
      <c r="AP36" s="940"/>
      <c r="AQ36" s="940"/>
      <c r="AR36" s="947"/>
      <c r="AS36" s="947"/>
      <c r="AT36" s="947"/>
      <c r="AU36" s="947"/>
      <c r="AV36" s="947"/>
      <c r="AW36" s="947"/>
    </row>
    <row r="37" spans="1:49" ht="15.75">
      <c r="A37" s="29" t="s">
        <v>120</v>
      </c>
      <c r="B37" s="940"/>
      <c r="C37" s="656"/>
      <c r="D37" s="656"/>
      <c r="E37" s="1575"/>
      <c r="F37" s="656"/>
      <c r="G37" s="656"/>
      <c r="H37" s="656"/>
      <c r="I37" s="959"/>
      <c r="J37" s="959"/>
      <c r="K37" s="959"/>
      <c r="L37" s="959"/>
      <c r="M37" s="1226"/>
      <c r="N37" s="1575"/>
      <c r="O37" s="1575"/>
      <c r="P37" s="1575"/>
      <c r="Q37" s="656"/>
      <c r="R37" s="656"/>
      <c r="S37" s="656"/>
      <c r="T37" s="656"/>
      <c r="U37" s="940"/>
      <c r="V37" s="959"/>
      <c r="W37" s="959"/>
      <c r="X37" s="959"/>
      <c r="Y37" s="959"/>
      <c r="Z37" s="959"/>
      <c r="AA37" s="959"/>
      <c r="AB37" s="959"/>
      <c r="AC37" s="959"/>
      <c r="AD37" s="959"/>
      <c r="AE37" s="940"/>
      <c r="AF37" s="940"/>
      <c r="AG37" s="940"/>
      <c r="AH37" s="940"/>
      <c r="AI37" s="940"/>
      <c r="AJ37" s="940"/>
      <c r="AK37" s="940"/>
      <c r="AL37" s="940"/>
      <c r="AM37" s="940"/>
      <c r="AN37" s="940"/>
      <c r="AO37" s="940"/>
      <c r="AP37" s="940"/>
      <c r="AQ37" s="940"/>
      <c r="AR37" s="947"/>
      <c r="AS37" s="947"/>
      <c r="AT37" s="947"/>
      <c r="AU37" s="947"/>
      <c r="AV37" s="947"/>
      <c r="AW37" s="947"/>
    </row>
    <row r="38" spans="1:49" ht="15.75">
      <c r="A38" s="173" t="s">
        <v>103</v>
      </c>
      <c r="B38" s="937" t="s">
        <v>15</v>
      </c>
      <c r="C38" s="76">
        <f>ROUND(SUM(C26)-SUM(C34),1)</f>
        <v>236</v>
      </c>
      <c r="D38" s="84"/>
      <c r="E38" s="1576">
        <f>ROUND(SUM(E26)-SUM(E34),1)</f>
        <v>34</v>
      </c>
      <c r="F38" s="84"/>
      <c r="G38" s="76">
        <f>ROUND(SUM(G26)-SUM(G34),1)</f>
        <v>518.79999999999995</v>
      </c>
      <c r="H38" s="84"/>
      <c r="I38" s="76">
        <f>ROUND(SUM(I26)-SUM(I34),1)</f>
        <v>282.8</v>
      </c>
      <c r="J38" s="76"/>
      <c r="K38" s="1576">
        <f>ROUND(SUM(K26)-SUM(K34),1)</f>
        <v>484.8</v>
      </c>
      <c r="L38" s="76"/>
      <c r="M38" s="1228"/>
      <c r="N38" s="1576">
        <f>ROUND(SUM(N26)-SUM(N34),1)</f>
        <v>1136</v>
      </c>
      <c r="O38" s="84"/>
      <c r="P38" s="1576">
        <f>ROUND(SUM(P26)-SUM(P34),1)</f>
        <v>2811</v>
      </c>
      <c r="Q38" s="84"/>
      <c r="R38" s="76">
        <f>ROUND(SUM(R26)-SUM(R34),1)</f>
        <v>2814.2</v>
      </c>
      <c r="S38" s="84"/>
      <c r="T38" s="76">
        <f>ROUND(SUM(T26)-SUM(T34),1)</f>
        <v>1678.2</v>
      </c>
      <c r="U38" s="151"/>
      <c r="V38" s="1576">
        <f>ROUND(SUM(V26)-SUM(V34),1)</f>
        <v>3.2</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7"/>
      <c r="AS38" s="947"/>
      <c r="AT38" s="947"/>
      <c r="AU38" s="947"/>
      <c r="AV38" s="947"/>
      <c r="AW38" s="947"/>
    </row>
    <row r="39" spans="1:49" ht="15" customHeight="1">
      <c r="C39" s="684"/>
      <c r="D39" s="948"/>
      <c r="E39" s="684"/>
      <c r="F39" s="948"/>
      <c r="G39" s="684"/>
      <c r="H39" s="948"/>
      <c r="I39" s="76"/>
      <c r="J39" s="76"/>
      <c r="K39" s="1576"/>
      <c r="L39" s="76"/>
      <c r="M39" s="1228"/>
      <c r="N39" s="684"/>
      <c r="O39" s="948"/>
      <c r="P39" s="684"/>
      <c r="Q39" s="948"/>
      <c r="R39" s="684"/>
      <c r="S39" s="948"/>
      <c r="T39" s="76"/>
      <c r="U39" s="151"/>
      <c r="V39" s="1576"/>
      <c r="W39" s="684"/>
      <c r="X39" s="684"/>
      <c r="Y39" s="684"/>
      <c r="Z39" s="684"/>
      <c r="AA39" s="684"/>
      <c r="AB39" s="684"/>
      <c r="AC39" s="684"/>
      <c r="AD39" s="684"/>
      <c r="AR39" s="947"/>
      <c r="AS39" s="947"/>
      <c r="AT39" s="947"/>
      <c r="AU39" s="947"/>
      <c r="AV39" s="947"/>
      <c r="AW39" s="947"/>
    </row>
    <row r="40" spans="1:49" ht="15.75">
      <c r="A40" s="173" t="str">
        <f>+'Exh D-Governmental  '!A49</f>
        <v>Fund Balances (Deficits) at April 1</v>
      </c>
      <c r="B40" s="635" t="s">
        <v>15</v>
      </c>
      <c r="C40" s="115">
        <v>5091</v>
      </c>
      <c r="D40" s="1700"/>
      <c r="E40" s="115">
        <v>5091</v>
      </c>
      <c r="F40" s="948"/>
      <c r="G40" s="115">
        <f>'Exhibit G State'!D13</f>
        <v>5090.8</v>
      </c>
      <c r="H40" s="1700"/>
      <c r="I40" s="938">
        <f>ROUND(SUM(G40)-SUM(C40),1)</f>
        <v>-0.2</v>
      </c>
      <c r="J40" s="81"/>
      <c r="K40" s="3736">
        <f>ROUND(SUM(G40)-SUM(E40),1)</f>
        <v>-0.2</v>
      </c>
      <c r="L40" s="81"/>
      <c r="M40" s="1228"/>
      <c r="N40" s="115">
        <v>-1249</v>
      </c>
      <c r="O40" s="1700"/>
      <c r="P40" s="115">
        <v>-1249</v>
      </c>
      <c r="Q40" s="948"/>
      <c r="R40" s="115">
        <f>'Exhibit G Federal'!D13</f>
        <v>-1248.3999999999999</v>
      </c>
      <c r="S40" s="1700"/>
      <c r="T40" s="938">
        <f>ROUND(SUM(R40)-SUM(N40),1)</f>
        <v>0.6</v>
      </c>
      <c r="U40" s="151"/>
      <c r="V40" s="3736">
        <f>ROUND(SUM(R40)-SUM(P40),1)</f>
        <v>0.6</v>
      </c>
      <c r="W40" s="684"/>
      <c r="X40" s="76"/>
      <c r="Y40" s="684"/>
      <c r="Z40" s="76"/>
      <c r="AA40" s="684"/>
      <c r="AB40" s="81"/>
      <c r="AC40" s="684"/>
      <c r="AD40" s="684"/>
      <c r="AR40" s="947"/>
      <c r="AS40" s="947"/>
      <c r="AT40" s="947"/>
      <c r="AU40" s="947"/>
      <c r="AV40" s="947"/>
      <c r="AW40" s="947"/>
    </row>
    <row r="41" spans="1:49" ht="18" customHeight="1" thickBot="1">
      <c r="A41" s="1382" t="str">
        <f>+'Exh D-Governmental  '!A50</f>
        <v>Fund Balances (Deficits) at January 31, 2020</v>
      </c>
      <c r="B41" s="180" t="s">
        <v>15</v>
      </c>
      <c r="C41" s="98">
        <f>ROUND(SUM(C38:C40),1)</f>
        <v>5327</v>
      </c>
      <c r="D41" s="181"/>
      <c r="E41" s="98">
        <f>ROUND(SUM(E38:E40),1)</f>
        <v>5125</v>
      </c>
      <c r="F41" s="181"/>
      <c r="G41" s="98">
        <f>ROUND(SUM(G38:G40),1)</f>
        <v>5609.6</v>
      </c>
      <c r="H41" s="181"/>
      <c r="I41" s="98">
        <f>ROUND(SUM(I38:I40),1)</f>
        <v>282.60000000000002</v>
      </c>
      <c r="J41" s="219"/>
      <c r="K41" s="98">
        <f>ROUND(SUM(K38:K40),1)</f>
        <v>484.6</v>
      </c>
      <c r="L41" s="219"/>
      <c r="M41" s="1229"/>
      <c r="N41" s="98">
        <f>ROUND(SUM(N38:N40),1)</f>
        <v>-113</v>
      </c>
      <c r="O41" s="181"/>
      <c r="P41" s="98">
        <f>ROUND(SUM(P38:P40),1)</f>
        <v>1562</v>
      </c>
      <c r="Q41" s="181"/>
      <c r="R41" s="98">
        <f>ROUND(SUM(R38:R40),1)</f>
        <v>1565.8</v>
      </c>
      <c r="S41" s="181"/>
      <c r="T41" s="98">
        <f>ROUND(SUM(T38:T40),1)</f>
        <v>1678.8</v>
      </c>
      <c r="U41" s="151"/>
      <c r="V41" s="98">
        <f>ROUND(SUM(V38:V40),1)</f>
        <v>3.8</v>
      </c>
      <c r="W41" s="991"/>
      <c r="X41" s="219"/>
      <c r="Y41" s="991"/>
      <c r="Z41" s="219"/>
      <c r="AA41" s="991"/>
      <c r="AB41" s="219"/>
      <c r="AR41" s="947"/>
      <c r="AS41" s="947"/>
      <c r="AT41" s="947"/>
      <c r="AU41" s="947"/>
      <c r="AV41" s="947"/>
      <c r="AW41" s="947"/>
    </row>
    <row r="42" spans="1:49" ht="15" customHeight="1" thickTop="1">
      <c r="A42" s="155"/>
      <c r="G42" s="635"/>
      <c r="J42" s="635"/>
      <c r="V42" s="635"/>
      <c r="W42" s="992"/>
      <c r="X42" s="703"/>
      <c r="Y42" s="992"/>
      <c r="Z42" s="992"/>
      <c r="AA42" s="992"/>
      <c r="AB42" s="992"/>
      <c r="AR42" s="947"/>
      <c r="AS42" s="947"/>
      <c r="AT42" s="947"/>
      <c r="AU42" s="947"/>
      <c r="AV42" s="947"/>
      <c r="AW42" s="947"/>
    </row>
    <row r="43" spans="1:49">
      <c r="A43" s="952" t="str">
        <f>'Exh D-Governmental  '!A52</f>
        <v>(*)    Source: 2019-20 Enacted Financial Plan dated May 13, 2019.</v>
      </c>
      <c r="AR43" s="947"/>
      <c r="AS43" s="947"/>
      <c r="AT43" s="947"/>
      <c r="AU43" s="947"/>
      <c r="AV43" s="947"/>
      <c r="AW43" s="947"/>
    </row>
    <row r="44" spans="1:49">
      <c r="A44" s="658" t="str">
        <f>'Exh D Special Revenue'!A44</f>
        <v>(**)   Source: 2020-21 Executive Budget dated January 21, 2020.</v>
      </c>
      <c r="B44" s="947"/>
      <c r="C44" s="947"/>
      <c r="D44" s="947"/>
      <c r="E44" s="947"/>
      <c r="F44" s="947"/>
      <c r="G44" s="947"/>
      <c r="H44" s="947"/>
      <c r="I44" s="947"/>
      <c r="J44" s="947"/>
      <c r="K44" s="947"/>
      <c r="L44" s="705"/>
      <c r="M44" s="705"/>
      <c r="N44" s="947"/>
      <c r="O44" s="947"/>
      <c r="P44" s="947"/>
      <c r="Q44" s="947"/>
      <c r="R44" s="947"/>
      <c r="S44" s="947"/>
      <c r="T44" s="947"/>
      <c r="U44" s="947"/>
      <c r="V44" s="705"/>
      <c r="W44" s="705"/>
      <c r="X44" s="705"/>
      <c r="Y44" s="705"/>
      <c r="Z44" s="705"/>
      <c r="AA44" s="705"/>
      <c r="AB44" s="705"/>
      <c r="AC44" s="947"/>
      <c r="AD44" s="947"/>
      <c r="AE44" s="947"/>
      <c r="AF44" s="947"/>
      <c r="AG44" s="947"/>
      <c r="AH44" s="947"/>
      <c r="AI44" s="947"/>
      <c r="AJ44" s="947"/>
      <c r="AK44" s="947"/>
      <c r="AL44" s="947"/>
      <c r="AM44" s="947"/>
      <c r="AN44" s="947"/>
      <c r="AO44" s="947"/>
      <c r="AP44" s="947"/>
      <c r="AQ44" s="947"/>
      <c r="AR44" s="947"/>
      <c r="AS44" s="947"/>
      <c r="AT44" s="947"/>
      <c r="AU44" s="947"/>
      <c r="AV44" s="947"/>
      <c r="AW44" s="947"/>
    </row>
    <row r="45" spans="1:49">
      <c r="A45" s="1539"/>
      <c r="B45" s="947"/>
      <c r="C45" s="965"/>
      <c r="D45" s="947"/>
      <c r="E45" s="947"/>
      <c r="F45" s="947"/>
      <c r="G45" s="947"/>
      <c r="H45" s="947"/>
      <c r="I45" s="947"/>
      <c r="J45" s="947"/>
      <c r="K45" s="947"/>
      <c r="L45" s="705"/>
      <c r="M45" s="705"/>
      <c r="N45" s="947"/>
      <c r="O45" s="947"/>
      <c r="P45" s="947"/>
      <c r="Q45" s="947"/>
      <c r="R45" s="947"/>
      <c r="S45" s="947"/>
      <c r="T45" s="947"/>
      <c r="U45" s="947"/>
      <c r="V45" s="705"/>
      <c r="W45" s="705"/>
      <c r="X45" s="705"/>
      <c r="Y45" s="705"/>
      <c r="Z45" s="705"/>
      <c r="AA45" s="705"/>
      <c r="AB45" s="705"/>
      <c r="AC45" s="947"/>
      <c r="AD45" s="947"/>
      <c r="AE45" s="947"/>
      <c r="AF45" s="947"/>
      <c r="AG45" s="947"/>
      <c r="AH45" s="947"/>
      <c r="AI45" s="947"/>
      <c r="AJ45" s="947"/>
      <c r="AK45" s="947"/>
      <c r="AL45" s="947"/>
      <c r="AM45" s="947"/>
      <c r="AN45" s="947"/>
      <c r="AO45" s="947"/>
      <c r="AP45" s="947"/>
      <c r="AQ45" s="947"/>
      <c r="AR45" s="947"/>
      <c r="AS45" s="947"/>
      <c r="AT45" s="947"/>
      <c r="AU45" s="947"/>
      <c r="AV45" s="947"/>
      <c r="AW45" s="947"/>
    </row>
    <row r="46" spans="1:49">
      <c r="A46" s="923"/>
    </row>
    <row r="47" spans="1:49">
      <c r="A47" s="204"/>
      <c r="B47" s="947"/>
      <c r="C47" s="947"/>
      <c r="D47" s="947"/>
      <c r="E47" s="947"/>
      <c r="F47" s="947"/>
      <c r="G47" s="947"/>
      <c r="H47" s="947"/>
      <c r="I47" s="947"/>
      <c r="J47" s="947"/>
      <c r="K47" s="947"/>
      <c r="L47" s="705"/>
      <c r="M47" s="705"/>
      <c r="N47" s="947"/>
      <c r="O47" s="947"/>
      <c r="P47" s="947"/>
      <c r="Q47" s="947"/>
      <c r="R47" s="947"/>
      <c r="S47" s="947"/>
      <c r="T47" s="947"/>
      <c r="U47" s="947"/>
      <c r="V47" s="705"/>
      <c r="W47" s="705"/>
      <c r="X47" s="705"/>
      <c r="Y47" s="705"/>
      <c r="Z47" s="705"/>
      <c r="AA47" s="705"/>
      <c r="AB47" s="705"/>
      <c r="AC47" s="947"/>
      <c r="AD47" s="947"/>
      <c r="AE47" s="947"/>
      <c r="AF47" s="947"/>
      <c r="AG47" s="947"/>
      <c r="AH47" s="947"/>
      <c r="AI47" s="947"/>
      <c r="AJ47" s="947"/>
      <c r="AK47" s="947"/>
      <c r="AL47" s="947"/>
      <c r="AM47" s="947"/>
      <c r="AN47" s="947"/>
      <c r="AO47" s="947"/>
      <c r="AP47" s="947"/>
      <c r="AQ47" s="947"/>
      <c r="AR47" s="947"/>
      <c r="AS47" s="947"/>
      <c r="AT47" s="947"/>
      <c r="AU47" s="947"/>
      <c r="AV47" s="947"/>
      <c r="AW47" s="947"/>
    </row>
    <row r="48" spans="1:49">
      <c r="A48" s="204"/>
      <c r="B48" s="947"/>
      <c r="C48" s="965"/>
      <c r="D48" s="947"/>
      <c r="E48" s="965"/>
      <c r="F48" s="947"/>
      <c r="G48" s="947"/>
      <c r="H48" s="947"/>
      <c r="I48" s="947"/>
      <c r="J48" s="947"/>
      <c r="K48" s="947"/>
      <c r="L48" s="705"/>
      <c r="M48" s="705"/>
      <c r="N48" s="947"/>
      <c r="O48" s="947"/>
      <c r="P48" s="947"/>
      <c r="Q48" s="947"/>
      <c r="R48" s="947"/>
      <c r="S48" s="947"/>
      <c r="T48" s="947"/>
      <c r="U48" s="947"/>
      <c r="V48" s="705"/>
      <c r="W48" s="705"/>
      <c r="X48" s="705"/>
      <c r="Y48" s="705"/>
      <c r="Z48" s="705"/>
      <c r="AA48" s="705"/>
      <c r="AB48" s="705"/>
      <c r="AC48" s="947"/>
      <c r="AD48" s="947"/>
      <c r="AE48" s="947"/>
      <c r="AF48" s="947"/>
      <c r="AG48" s="947"/>
      <c r="AH48" s="947"/>
      <c r="AI48" s="947"/>
      <c r="AJ48" s="947"/>
      <c r="AK48" s="947"/>
      <c r="AL48" s="947"/>
      <c r="AM48" s="947"/>
      <c r="AN48" s="947"/>
      <c r="AO48" s="947"/>
      <c r="AP48" s="947"/>
      <c r="AQ48" s="947"/>
      <c r="AR48" s="947"/>
      <c r="AS48" s="947"/>
      <c r="AT48" s="947"/>
      <c r="AU48" s="947"/>
      <c r="AV48" s="947"/>
      <c r="AW48" s="947"/>
    </row>
    <row r="49" spans="3:5">
      <c r="C49" s="992"/>
      <c r="E49" s="992"/>
    </row>
    <row r="50" spans="3:5">
      <c r="C50" s="992"/>
      <c r="E50" s="992"/>
    </row>
    <row r="51" spans="3:5">
      <c r="C51" s="992"/>
      <c r="E51" s="992"/>
    </row>
    <row r="52" spans="3:5">
      <c r="C52" s="992"/>
      <c r="E52" s="992"/>
    </row>
    <row r="53" spans="3:5">
      <c r="C53" s="992"/>
      <c r="E53" s="992"/>
    </row>
    <row r="54" spans="3:5">
      <c r="C54" s="992"/>
      <c r="E54" s="992"/>
    </row>
    <row r="55" spans="3:5">
      <c r="C55" s="992"/>
      <c r="E55" s="992"/>
    </row>
    <row r="56" spans="3:5">
      <c r="C56" s="992"/>
      <c r="E56" s="992"/>
    </row>
    <row r="57" spans="3:5">
      <c r="C57" s="992"/>
      <c r="E57" s="992"/>
    </row>
    <row r="58" spans="3:5">
      <c r="C58" s="992"/>
      <c r="E58" s="992"/>
    </row>
    <row r="59" spans="3:5">
      <c r="C59" s="992"/>
      <c r="E59" s="992"/>
    </row>
    <row r="60" spans="3:5">
      <c r="C60" s="992"/>
      <c r="E60" s="992"/>
    </row>
    <row r="61" spans="3:5">
      <c r="C61" s="992"/>
      <c r="E61" s="992"/>
    </row>
    <row r="62" spans="3:5">
      <c r="C62" s="992"/>
      <c r="E62" s="992"/>
    </row>
    <row r="63" spans="3:5">
      <c r="C63" s="992"/>
      <c r="E63" s="992"/>
    </row>
    <row r="64" spans="3:5">
      <c r="C64" s="992"/>
      <c r="E64" s="992"/>
    </row>
    <row r="65" spans="3:5">
      <c r="C65" s="992"/>
      <c r="E65" s="992"/>
    </row>
    <row r="66" spans="3:5">
      <c r="C66" s="992"/>
      <c r="E66" s="992"/>
    </row>
    <row r="67" spans="3:5">
      <c r="C67" s="992"/>
      <c r="E67" s="992"/>
    </row>
    <row r="68" spans="3:5">
      <c r="C68" s="992"/>
      <c r="E68" s="992"/>
    </row>
    <row r="69" spans="3:5">
      <c r="C69" s="992"/>
      <c r="E69" s="992"/>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8671875" defaultRowHeight="15"/>
  <cols>
    <col min="1" max="1" width="47.109375" style="947" customWidth="1"/>
    <col min="2" max="2" width="2" style="635" customWidth="1"/>
    <col min="3" max="3" width="15.109375" style="432" customWidth="1"/>
    <col min="4" max="4" width="1.88671875" style="951" customWidth="1"/>
    <col min="5" max="5" width="15.109375" style="432" customWidth="1"/>
    <col min="6" max="6" width="2.88671875" style="951" customWidth="1"/>
    <col min="7" max="7" width="15.109375" style="951" customWidth="1"/>
    <col min="8" max="8" width="2" style="951" customWidth="1"/>
    <col min="9" max="9" width="15.109375" style="951" customWidth="1"/>
    <col min="10" max="10" width="2.109375" style="635" customWidth="1"/>
    <col min="11" max="11" width="15.109375" style="635" customWidth="1"/>
    <col min="12" max="12" width="11.44140625" style="635" customWidth="1"/>
    <col min="13" max="13" width="1.88671875" style="635" customWidth="1"/>
    <col min="14" max="14" width="11.88671875" style="635" customWidth="1"/>
    <col min="15" max="15" width="2.109375" style="635" customWidth="1"/>
    <col min="16" max="16" width="11.44140625" style="635" customWidth="1"/>
    <col min="17" max="17" width="0.5546875" style="635" customWidth="1"/>
    <col min="18" max="18" width="2.109375" style="635" customWidth="1"/>
    <col min="19" max="19" width="10.5546875" style="635" customWidth="1"/>
    <col min="20" max="20" width="11.109375" style="635" customWidth="1"/>
    <col min="21" max="21" width="2.109375" style="635" customWidth="1"/>
    <col min="22" max="22" width="11.109375" style="635" customWidth="1"/>
    <col min="23" max="23" width="2.109375" style="635" customWidth="1"/>
    <col min="24" max="24" width="12.44140625" style="635" customWidth="1"/>
    <col min="25" max="29" width="8.88671875" style="635"/>
    <col min="30" max="30" width="8.88671875" style="951"/>
    <col min="31" max="16384" width="8.88671875" style="947"/>
  </cols>
  <sheetData>
    <row r="1" spans="1:24">
      <c r="A1" s="953" t="s">
        <v>979</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00000000000001"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7"/>
      <c r="J3" s="143"/>
      <c r="K3" s="837"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38"/>
      <c r="J4" s="143"/>
      <c r="K4" s="838"/>
      <c r="L4" s="156"/>
      <c r="M4" s="156"/>
      <c r="N4" s="156"/>
      <c r="O4" s="156"/>
      <c r="P4" s="156"/>
      <c r="Q4" s="156"/>
      <c r="R4" s="156"/>
      <c r="S4" s="156"/>
      <c r="T4" s="156"/>
      <c r="U4" s="156"/>
      <c r="V4" s="156"/>
      <c r="W4" s="156"/>
      <c r="X4" s="156"/>
    </row>
    <row r="5" spans="1:24" ht="17.25" customHeight="1">
      <c r="A5" s="3902" t="str">
        <f>'Exh D-Governmental  '!A5:E5</f>
        <v>FISCAL YEAR 2019-2020</v>
      </c>
      <c r="B5" s="3903"/>
      <c r="C5" s="3903"/>
      <c r="D5" s="3903"/>
      <c r="E5" s="3903"/>
      <c r="F5" s="143"/>
      <c r="G5" s="143"/>
      <c r="H5" s="143"/>
      <c r="I5" s="143"/>
      <c r="J5" s="143"/>
      <c r="K5" s="156"/>
      <c r="L5" s="156"/>
      <c r="M5" s="156"/>
      <c r="N5" s="156"/>
      <c r="O5" s="156"/>
      <c r="P5" s="156"/>
      <c r="Q5" s="156"/>
      <c r="R5" s="156"/>
      <c r="S5" s="156"/>
      <c r="T5" s="156"/>
      <c r="U5" s="156"/>
      <c r="V5" s="156"/>
      <c r="W5" s="156"/>
      <c r="X5" s="156"/>
    </row>
    <row r="6" spans="1:24" ht="17.25" customHeight="1">
      <c r="A6" s="1512" t="str">
        <f>'Exh D-Governmental  '!A6</f>
        <v>FOR TEN MONTHS ENDED JANUARY 31, 2020</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1417</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4"/>
      <c r="C11" s="3904" t="s">
        <v>1150</v>
      </c>
      <c r="D11" s="3904"/>
      <c r="E11" s="3904"/>
      <c r="F11" s="3904"/>
      <c r="G11" s="3904"/>
      <c r="H11" s="3904"/>
      <c r="I11" s="3904"/>
      <c r="J11" s="1215"/>
      <c r="K11" s="1216"/>
      <c r="L11" s="194"/>
      <c r="M11" s="194"/>
      <c r="N11" s="194"/>
      <c r="O11" s="194"/>
      <c r="P11" s="194"/>
      <c r="Q11" s="194"/>
      <c r="R11" s="151"/>
      <c r="S11" s="194"/>
      <c r="T11" s="195"/>
      <c r="U11" s="194"/>
      <c r="V11" s="194"/>
      <c r="W11" s="194"/>
      <c r="X11" s="194"/>
    </row>
    <row r="12" spans="1:24" ht="15.75">
      <c r="A12" s="704"/>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4"/>
      <c r="B13" s="151"/>
      <c r="C13" s="431"/>
      <c r="D13" s="198"/>
      <c r="E13" s="431"/>
      <c r="F13" s="198"/>
      <c r="G13" s="198"/>
      <c r="H13" s="198"/>
      <c r="I13" s="199" t="s">
        <v>885</v>
      </c>
      <c r="J13" s="151"/>
      <c r="K13" s="199" t="s">
        <v>885</v>
      </c>
      <c r="L13" s="151"/>
      <c r="M13" s="151"/>
      <c r="N13" s="151"/>
      <c r="O13" s="151"/>
      <c r="P13" s="200"/>
      <c r="Q13" s="201"/>
      <c r="R13" s="151"/>
      <c r="S13" s="151"/>
      <c r="T13" s="151"/>
      <c r="U13" s="151"/>
      <c r="V13" s="151"/>
      <c r="W13" s="151"/>
      <c r="X13" s="200"/>
    </row>
    <row r="14" spans="1:24" ht="15.75">
      <c r="A14" s="704"/>
      <c r="B14" s="202"/>
      <c r="C14" s="154" t="s">
        <v>1094</v>
      </c>
      <c r="D14" s="152"/>
      <c r="E14" s="153" t="s">
        <v>1095</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4"/>
      <c r="B15" s="202"/>
      <c r="C15" s="153" t="s">
        <v>1133</v>
      </c>
      <c r="D15" s="152"/>
      <c r="E15" s="153" t="s">
        <v>1133</v>
      </c>
      <c r="F15" s="152"/>
      <c r="G15" s="152"/>
      <c r="H15" s="152"/>
      <c r="I15" s="153" t="s">
        <v>1094</v>
      </c>
      <c r="J15" s="151"/>
      <c r="K15" s="153" t="s">
        <v>1095</v>
      </c>
      <c r="L15" s="201"/>
      <c r="M15" s="151"/>
      <c r="N15" s="151"/>
      <c r="O15" s="151"/>
      <c r="P15" s="200"/>
      <c r="Q15" s="201"/>
      <c r="R15" s="151"/>
      <c r="S15" s="200"/>
      <c r="T15" s="201"/>
      <c r="U15" s="151"/>
      <c r="V15" s="151"/>
      <c r="W15" s="151"/>
      <c r="X15" s="200"/>
    </row>
    <row r="16" spans="1:24" ht="15.75">
      <c r="A16" s="704"/>
      <c r="B16" s="201"/>
      <c r="C16" s="153" t="s">
        <v>1134</v>
      </c>
      <c r="D16" s="152"/>
      <c r="E16" s="153" t="s">
        <v>1447</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0"/>
      <c r="C18" s="670"/>
      <c r="D18" s="670"/>
      <c r="E18" s="670"/>
      <c r="F18" s="670"/>
      <c r="G18" s="670"/>
      <c r="H18" s="670"/>
      <c r="I18" s="670"/>
      <c r="J18" s="940"/>
      <c r="K18" s="670"/>
      <c r="L18" s="940"/>
      <c r="M18" s="940"/>
      <c r="N18" s="940"/>
      <c r="O18" s="940"/>
      <c r="P18" s="940"/>
      <c r="Q18" s="940"/>
      <c r="R18" s="940"/>
      <c r="S18" s="940"/>
      <c r="T18" s="940"/>
      <c r="U18" s="940"/>
      <c r="V18" s="940"/>
      <c r="W18" s="940"/>
      <c r="X18" s="940"/>
    </row>
    <row r="19" spans="1:24">
      <c r="A19" s="835" t="s">
        <v>88</v>
      </c>
      <c r="B19" s="941"/>
      <c r="C19" s="670"/>
      <c r="D19" s="670"/>
      <c r="E19" s="670"/>
      <c r="F19" s="670"/>
      <c r="G19" s="670"/>
      <c r="H19" s="941"/>
      <c r="I19" s="670"/>
      <c r="J19" s="940"/>
      <c r="K19" s="670"/>
      <c r="L19" s="940"/>
      <c r="M19" s="940"/>
      <c r="N19" s="940"/>
      <c r="O19" s="940"/>
      <c r="P19" s="940"/>
      <c r="Q19" s="940"/>
      <c r="R19" s="940"/>
      <c r="S19" s="940"/>
      <c r="T19" s="940"/>
      <c r="U19" s="940"/>
      <c r="V19" s="940"/>
      <c r="W19" s="940"/>
      <c r="X19" s="940"/>
    </row>
    <row r="20" spans="1:24">
      <c r="A20" s="835" t="s">
        <v>89</v>
      </c>
      <c r="B20" s="941" t="s">
        <v>15</v>
      </c>
      <c r="C20" s="2109">
        <v>22461</v>
      </c>
      <c r="D20" s="673"/>
      <c r="E20" s="2109">
        <v>23037</v>
      </c>
      <c r="F20" s="673"/>
      <c r="G20" s="1028">
        <f>+'Exhibit H'!AA16</f>
        <v>23108.2</v>
      </c>
      <c r="H20" s="673"/>
      <c r="I20" s="671">
        <f>G20-C20</f>
        <v>647.20000000000073</v>
      </c>
      <c r="J20" s="940"/>
      <c r="K20" s="671">
        <f>G20-E20</f>
        <v>71.200000000000728</v>
      </c>
      <c r="L20" s="987"/>
      <c r="M20" s="940"/>
      <c r="N20" s="940"/>
      <c r="O20" s="940"/>
      <c r="P20" s="940"/>
      <c r="Q20" s="940"/>
      <c r="R20" s="940"/>
      <c r="S20" s="940"/>
      <c r="T20" s="940"/>
      <c r="U20" s="940"/>
      <c r="V20" s="940"/>
      <c r="W20" s="940"/>
      <c r="X20" s="940"/>
    </row>
    <row r="21" spans="1:24">
      <c r="A21" s="835" t="s">
        <v>90</v>
      </c>
      <c r="B21" s="940" t="s">
        <v>15</v>
      </c>
      <c r="C21" s="1141">
        <v>6366</v>
      </c>
      <c r="D21" s="1575"/>
      <c r="E21" s="1141">
        <v>6280</v>
      </c>
      <c r="F21" s="656"/>
      <c r="G21" s="911">
        <f>+'Exhibit H'!AA20</f>
        <v>6293.8</v>
      </c>
      <c r="H21" s="656"/>
      <c r="I21" s="656">
        <f>G21-C21</f>
        <v>-72.199999999999818</v>
      </c>
      <c r="J21" s="959"/>
      <c r="K21" s="1575">
        <f>G21-E21</f>
        <v>13.800000000000182</v>
      </c>
      <c r="L21" s="987"/>
      <c r="M21" s="940"/>
      <c r="N21" s="940"/>
      <c r="O21" s="940"/>
      <c r="P21" s="940"/>
      <c r="Q21" s="940"/>
      <c r="R21" s="940"/>
      <c r="S21" s="940"/>
      <c r="T21" s="940"/>
      <c r="U21" s="940"/>
      <c r="V21" s="940"/>
      <c r="W21" s="940"/>
      <c r="X21" s="940"/>
    </row>
    <row r="22" spans="1:24">
      <c r="A22" s="835" t="s">
        <v>92</v>
      </c>
      <c r="B22" s="940" t="s">
        <v>15</v>
      </c>
      <c r="C22" s="1141">
        <v>886</v>
      </c>
      <c r="D22" s="1575"/>
      <c r="E22" s="1141">
        <v>858</v>
      </c>
      <c r="F22" s="656"/>
      <c r="G22" s="911">
        <f>+'Exhibit H'!AA24</f>
        <v>857.7</v>
      </c>
      <c r="H22" s="656"/>
      <c r="I22" s="656">
        <f t="shared" ref="I22:I25" si="0">G22-C22</f>
        <v>-28.299999999999955</v>
      </c>
      <c r="J22" s="959"/>
      <c r="K22" s="1575">
        <f>G22-E22</f>
        <v>-0.29999999999995453</v>
      </c>
      <c r="L22" s="987"/>
      <c r="M22" s="940"/>
      <c r="N22" s="940"/>
      <c r="O22" s="940"/>
      <c r="P22" s="940"/>
      <c r="Q22" s="940"/>
      <c r="R22" s="940"/>
      <c r="S22" s="940"/>
      <c r="T22" s="940"/>
      <c r="U22" s="940"/>
      <c r="V22" s="940"/>
      <c r="W22" s="940"/>
      <c r="X22" s="940"/>
    </row>
    <row r="23" spans="1:24" ht="15" customHeight="1">
      <c r="A23" s="835" t="s">
        <v>20</v>
      </c>
      <c r="B23" s="940" t="s">
        <v>15</v>
      </c>
      <c r="C23" s="1141">
        <v>272</v>
      </c>
      <c r="D23" s="1575"/>
      <c r="E23" s="1141">
        <v>414</v>
      </c>
      <c r="F23" s="656"/>
      <c r="G23" s="911">
        <f>+'Exhibit H'!AA45</f>
        <v>411.7</v>
      </c>
      <c r="H23" s="656"/>
      <c r="I23" s="656">
        <f t="shared" si="0"/>
        <v>139.69999999999999</v>
      </c>
      <c r="J23" s="959"/>
      <c r="K23" s="1575">
        <f>G23-E23</f>
        <v>-2.3000000000000114</v>
      </c>
      <c r="L23" s="987"/>
      <c r="M23" s="940"/>
      <c r="N23" s="940"/>
      <c r="O23" s="940"/>
      <c r="P23" s="940"/>
      <c r="Q23" s="940"/>
      <c r="R23" s="940"/>
      <c r="S23" s="940"/>
      <c r="T23" s="940"/>
      <c r="U23" s="940"/>
      <c r="V23" s="940"/>
      <c r="W23" s="940"/>
      <c r="X23" s="940"/>
    </row>
    <row r="24" spans="1:24" ht="15" customHeight="1">
      <c r="A24" s="835" t="s">
        <v>21</v>
      </c>
      <c r="B24" s="940" t="s">
        <v>15</v>
      </c>
      <c r="C24" s="1141">
        <v>37</v>
      </c>
      <c r="D24" s="1575"/>
      <c r="E24" s="1141">
        <v>37</v>
      </c>
      <c r="F24" s="656"/>
      <c r="G24" s="911">
        <f>+'Exhibit H'!AA47</f>
        <v>38.4</v>
      </c>
      <c r="H24" s="656"/>
      <c r="I24" s="656">
        <f t="shared" si="0"/>
        <v>1.3999999999999986</v>
      </c>
      <c r="J24" s="959"/>
      <c r="K24" s="1575">
        <f>G24-E24</f>
        <v>1.3999999999999986</v>
      </c>
      <c r="L24" s="987"/>
      <c r="M24" s="940"/>
      <c r="N24" s="963"/>
      <c r="O24" s="940"/>
      <c r="P24" s="963"/>
      <c r="Q24" s="964"/>
      <c r="R24" s="940"/>
      <c r="S24" s="940"/>
      <c r="T24" s="940"/>
      <c r="U24" s="940"/>
      <c r="V24" s="940"/>
      <c r="W24" s="940"/>
      <c r="X24" s="940"/>
    </row>
    <row r="25" spans="1:24">
      <c r="A25" s="835" t="s">
        <v>48</v>
      </c>
      <c r="B25" s="964" t="s">
        <v>15</v>
      </c>
      <c r="C25" s="1141">
        <v>2337</v>
      </c>
      <c r="D25" s="1575"/>
      <c r="E25" s="1141">
        <v>2547</v>
      </c>
      <c r="F25" s="656"/>
      <c r="G25" s="1523">
        <f>+'Exhibit H'!AA64</f>
        <v>2493.3000000000002</v>
      </c>
      <c r="H25" s="656"/>
      <c r="I25" s="656">
        <f t="shared" si="0"/>
        <v>156.30000000000018</v>
      </c>
      <c r="J25" s="959"/>
      <c r="K25" s="1575">
        <f t="shared" ref="K25" si="1">G25-E25</f>
        <v>-53.699999999999818</v>
      </c>
      <c r="L25" s="987"/>
      <c r="M25" s="940"/>
      <c r="N25" s="963"/>
      <c r="O25" s="940"/>
      <c r="P25" s="963"/>
      <c r="Q25" s="964"/>
      <c r="R25" s="940"/>
      <c r="S25" s="940"/>
      <c r="T25" s="940"/>
      <c r="U25" s="940"/>
      <c r="V25" s="940"/>
      <c r="W25" s="940"/>
      <c r="X25" s="940"/>
    </row>
    <row r="26" spans="1:24" ht="18" customHeight="1">
      <c r="A26" s="979" t="s">
        <v>109</v>
      </c>
      <c r="B26" s="151" t="s">
        <v>15</v>
      </c>
      <c r="C26" s="215">
        <f>ROUND(SUM(C20:C25),1)</f>
        <v>32359</v>
      </c>
      <c r="D26" s="112"/>
      <c r="E26" s="215">
        <f>ROUND(SUM(E20:E25),1)</f>
        <v>33173</v>
      </c>
      <c r="F26" s="938"/>
      <c r="G26" s="1524">
        <f>ROUND(SUM(G20:G25),1)</f>
        <v>33203.1</v>
      </c>
      <c r="H26" s="938"/>
      <c r="I26" s="215">
        <f>ROUND(SUM(I20:I25),1)</f>
        <v>844.1</v>
      </c>
      <c r="J26" s="76"/>
      <c r="K26" s="215">
        <f>ROUND(SUM(K20:K25),1)</f>
        <v>30.1</v>
      </c>
      <c r="L26" s="987"/>
      <c r="M26" s="151"/>
      <c r="N26" s="151"/>
      <c r="O26" s="151"/>
      <c r="P26" s="151"/>
      <c r="Q26" s="151"/>
      <c r="R26" s="151"/>
      <c r="S26" s="151"/>
      <c r="T26" s="151"/>
      <c r="U26" s="151"/>
      <c r="V26" s="151"/>
      <c r="W26" s="151"/>
      <c r="X26" s="151"/>
    </row>
    <row r="27" spans="1:24">
      <c r="A27" s="704"/>
      <c r="B27" s="940"/>
      <c r="C27" s="702"/>
      <c r="D27" s="911"/>
      <c r="E27" s="702"/>
      <c r="F27" s="656"/>
      <c r="G27" s="1058"/>
      <c r="H27" s="656"/>
      <c r="I27" s="702"/>
      <c r="J27" s="959"/>
      <c r="K27" s="702"/>
      <c r="L27" s="987"/>
      <c r="M27" s="940"/>
      <c r="N27" s="940"/>
      <c r="O27" s="940"/>
      <c r="P27" s="940"/>
      <c r="Q27" s="940"/>
      <c r="R27" s="940"/>
      <c r="S27" s="940"/>
      <c r="T27" s="940"/>
      <c r="U27" s="940"/>
      <c r="V27" s="940"/>
      <c r="W27" s="940"/>
      <c r="X27" s="940"/>
    </row>
    <row r="28" spans="1:24" ht="15.75">
      <c r="A28" s="29" t="s">
        <v>23</v>
      </c>
      <c r="B28" s="940"/>
      <c r="C28" s="656"/>
      <c r="D28" s="911"/>
      <c r="E28" s="1575"/>
      <c r="F28" s="656"/>
      <c r="G28" s="911"/>
      <c r="H28" s="656"/>
      <c r="I28" s="656"/>
      <c r="J28" s="959"/>
      <c r="K28" s="656"/>
      <c r="L28" s="987"/>
      <c r="M28" s="940"/>
      <c r="N28" s="940"/>
      <c r="O28" s="940"/>
      <c r="P28" s="940"/>
      <c r="Q28" s="940"/>
      <c r="R28" s="940"/>
      <c r="S28" s="940"/>
      <c r="T28" s="940"/>
      <c r="U28" s="940"/>
      <c r="V28" s="940"/>
      <c r="W28" s="940"/>
      <c r="X28" s="940"/>
    </row>
    <row r="29" spans="1:24">
      <c r="A29" s="835" t="s">
        <v>95</v>
      </c>
      <c r="B29" s="961" t="s">
        <v>15</v>
      </c>
      <c r="C29" s="1141">
        <v>29</v>
      </c>
      <c r="D29" s="1575"/>
      <c r="E29" s="1141">
        <v>28</v>
      </c>
      <c r="F29" s="656"/>
      <c r="G29" s="698">
        <f>+'Exhibit H'!AA53</f>
        <v>27</v>
      </c>
      <c r="H29" s="656"/>
      <c r="I29" s="1575">
        <f t="shared" ref="I29:I31" si="2">G29-C29</f>
        <v>-2</v>
      </c>
      <c r="J29" s="959"/>
      <c r="K29" s="1575">
        <f>G29-E29</f>
        <v>-1</v>
      </c>
      <c r="L29" s="987"/>
      <c r="M29" s="940"/>
      <c r="N29" s="961"/>
      <c r="O29" s="940"/>
      <c r="P29" s="963"/>
      <c r="Q29" s="940"/>
      <c r="R29" s="940"/>
      <c r="S29" s="963"/>
      <c r="T29" s="963"/>
      <c r="U29" s="940"/>
      <c r="V29" s="963"/>
      <c r="W29" s="940"/>
      <c r="X29" s="963"/>
    </row>
    <row r="30" spans="1:24" ht="14.25" customHeight="1">
      <c r="A30" s="835" t="s">
        <v>96</v>
      </c>
      <c r="B30" s="964" t="s">
        <v>15</v>
      </c>
      <c r="C30" s="1141">
        <v>1563</v>
      </c>
      <c r="D30" s="1575"/>
      <c r="E30" s="1141">
        <v>1557</v>
      </c>
      <c r="F30" s="656"/>
      <c r="G30" s="1141">
        <f>+'Exhibit H'!AA55</f>
        <v>1556.8</v>
      </c>
      <c r="H30" s="656"/>
      <c r="I30" s="1575">
        <f t="shared" si="2"/>
        <v>-6.2000000000000455</v>
      </c>
      <c r="J30" s="959"/>
      <c r="K30" s="1575">
        <f t="shared" ref="K30:K31" si="3">G30-E30</f>
        <v>-0.20000000000004547</v>
      </c>
      <c r="L30" s="987"/>
      <c r="M30" s="940"/>
      <c r="N30" s="961"/>
      <c r="O30" s="940"/>
      <c r="P30" s="940"/>
      <c r="Q30" s="940"/>
      <c r="R30" s="940"/>
      <c r="S30" s="963"/>
      <c r="T30" s="963"/>
      <c r="U30" s="940"/>
      <c r="V30" s="963"/>
      <c r="W30" s="940"/>
      <c r="X30" s="963"/>
    </row>
    <row r="31" spans="1:24">
      <c r="A31" s="835" t="s">
        <v>99</v>
      </c>
      <c r="B31" s="964" t="s">
        <v>15</v>
      </c>
      <c r="C31" s="1141">
        <v>28220</v>
      </c>
      <c r="D31" s="1575"/>
      <c r="E31" s="1141">
        <v>28722</v>
      </c>
      <c r="F31" s="656"/>
      <c r="G31" s="698">
        <f>-'Exhibit H'!AA65</f>
        <v>29102.6</v>
      </c>
      <c r="H31" s="656"/>
      <c r="I31" s="1575">
        <f t="shared" si="2"/>
        <v>882.59999999999854</v>
      </c>
      <c r="J31" s="959"/>
      <c r="K31" s="1575">
        <f t="shared" si="3"/>
        <v>380.59999999999854</v>
      </c>
      <c r="L31" s="987"/>
      <c r="M31" s="940"/>
      <c r="N31" s="963"/>
      <c r="O31" s="940"/>
      <c r="P31" s="963"/>
      <c r="Q31" s="964"/>
      <c r="R31" s="940"/>
      <c r="S31" s="940"/>
      <c r="T31" s="940"/>
      <c r="U31" s="940"/>
      <c r="V31" s="940"/>
      <c r="W31" s="940"/>
      <c r="X31" s="940"/>
    </row>
    <row r="32" spans="1:24" ht="18" customHeight="1">
      <c r="A32" s="979" t="s">
        <v>118</v>
      </c>
      <c r="B32" s="151" t="s">
        <v>15</v>
      </c>
      <c r="C32" s="215">
        <f>ROUND(SUM(C29:C31),1)</f>
        <v>29812</v>
      </c>
      <c r="D32" s="112"/>
      <c r="E32" s="215">
        <f>ROUND(SUM(E29:E31),1)</f>
        <v>30307</v>
      </c>
      <c r="F32" s="938"/>
      <c r="G32" s="1524">
        <f>ROUND(SUM(G29:G31),1)</f>
        <v>30686.400000000001</v>
      </c>
      <c r="H32" s="938"/>
      <c r="I32" s="215">
        <f>ROUND(SUM(I29:I31),1)</f>
        <v>874.4</v>
      </c>
      <c r="J32" s="76"/>
      <c r="K32" s="215">
        <f>ROUND(SUM(K29:K31),1)</f>
        <v>379.4</v>
      </c>
      <c r="L32" s="987"/>
      <c r="M32" s="151"/>
      <c r="N32" s="151"/>
      <c r="O32" s="151"/>
      <c r="P32" s="151"/>
      <c r="Q32" s="151"/>
      <c r="R32" s="151"/>
      <c r="S32" s="151"/>
      <c r="T32" s="151"/>
      <c r="U32" s="151"/>
      <c r="V32" s="151"/>
      <c r="W32" s="151"/>
      <c r="X32" s="151"/>
    </row>
    <row r="33" spans="1:24">
      <c r="A33" s="704"/>
      <c r="B33" s="940"/>
      <c r="C33" s="702"/>
      <c r="D33" s="911"/>
      <c r="E33" s="702"/>
      <c r="F33" s="656"/>
      <c r="G33" s="1058"/>
      <c r="H33" s="656"/>
      <c r="I33" s="702"/>
      <c r="J33" s="959"/>
      <c r="K33" s="702"/>
      <c r="L33" s="987"/>
      <c r="M33" s="940"/>
      <c r="N33" s="940"/>
      <c r="O33" s="940"/>
      <c r="P33" s="940"/>
      <c r="Q33" s="940"/>
      <c r="R33" s="940"/>
      <c r="S33" s="940"/>
      <c r="T33" s="940"/>
      <c r="U33" s="940"/>
      <c r="V33" s="940"/>
      <c r="W33" s="940"/>
      <c r="X33" s="940"/>
    </row>
    <row r="34" spans="1:24" ht="15.75">
      <c r="A34" s="29" t="s">
        <v>119</v>
      </c>
      <c r="B34" s="940"/>
      <c r="C34" s="656"/>
      <c r="D34" s="911"/>
      <c r="E34" s="1575"/>
      <c r="F34" s="656"/>
      <c r="G34" s="911"/>
      <c r="H34" s="656"/>
      <c r="I34" s="656"/>
      <c r="J34" s="959"/>
      <c r="K34" s="656"/>
      <c r="L34" s="987"/>
      <c r="M34" s="940"/>
      <c r="N34" s="940"/>
      <c r="O34" s="940"/>
      <c r="P34" s="940"/>
      <c r="Q34" s="940"/>
      <c r="R34" s="940"/>
      <c r="S34" s="940"/>
      <c r="T34" s="940"/>
      <c r="U34" s="940"/>
      <c r="V34" s="940"/>
      <c r="W34" s="940"/>
      <c r="X34" s="940"/>
    </row>
    <row r="35" spans="1:24" ht="15.75">
      <c r="A35" s="29" t="s">
        <v>120</v>
      </c>
      <c r="B35" s="940"/>
      <c r="C35" s="656"/>
      <c r="D35" s="911"/>
      <c r="E35" s="1575"/>
      <c r="F35" s="656"/>
      <c r="G35" s="911"/>
      <c r="H35" s="656"/>
      <c r="I35" s="656"/>
      <c r="J35" s="959"/>
      <c r="K35" s="656"/>
      <c r="L35" s="987"/>
      <c r="M35" s="940"/>
      <c r="N35" s="940"/>
      <c r="O35" s="940"/>
      <c r="P35" s="940"/>
      <c r="Q35" s="940"/>
      <c r="R35" s="940"/>
      <c r="S35" s="940"/>
      <c r="T35" s="940"/>
      <c r="U35" s="940"/>
      <c r="V35" s="940"/>
      <c r="W35" s="940"/>
      <c r="X35" s="940"/>
    </row>
    <row r="36" spans="1:24" ht="15.75">
      <c r="A36" s="979" t="s">
        <v>103</v>
      </c>
      <c r="B36" s="978" t="s">
        <v>15</v>
      </c>
      <c r="C36" s="76">
        <f>C26-C32</f>
        <v>2547</v>
      </c>
      <c r="D36" s="1124"/>
      <c r="E36" s="1576">
        <f>E26-E32</f>
        <v>2866</v>
      </c>
      <c r="F36" s="84"/>
      <c r="G36" s="115">
        <f>ROUND(SUM(G26)-SUM(G32),1)</f>
        <v>2516.6999999999998</v>
      </c>
      <c r="H36" s="84"/>
      <c r="I36" s="76">
        <f>ROUND(SUM(I26)-SUM(I32),1)</f>
        <v>-30.3</v>
      </c>
      <c r="J36" s="399"/>
      <c r="K36" s="76">
        <f>ROUND(SUM(K26)-SUM(K32),1)</f>
        <v>-349.3</v>
      </c>
      <c r="L36" s="987"/>
      <c r="M36" s="174"/>
      <c r="N36" s="151"/>
      <c r="O36" s="174"/>
      <c r="P36" s="151"/>
      <c r="Q36" s="151"/>
      <c r="R36" s="174"/>
      <c r="S36" s="151"/>
      <c r="T36" s="151"/>
      <c r="U36" s="174"/>
      <c r="V36" s="151"/>
      <c r="W36" s="174"/>
      <c r="X36" s="151"/>
    </row>
    <row r="37" spans="1:24" ht="15" customHeight="1">
      <c r="C37" s="684"/>
      <c r="D37" s="1700"/>
      <c r="E37" s="684"/>
      <c r="F37" s="948"/>
      <c r="G37" s="1525"/>
      <c r="H37" s="948"/>
      <c r="I37" s="684"/>
      <c r="J37" s="684"/>
      <c r="K37" s="684"/>
      <c r="L37" s="987"/>
    </row>
    <row r="38" spans="1:24" ht="15.75">
      <c r="A38" s="994" t="str">
        <f>'Exh D-Governmental  '!A49</f>
        <v>Fund Balances (Deficits) at April 1</v>
      </c>
      <c r="B38" s="635" t="s">
        <v>15</v>
      </c>
      <c r="C38" s="115">
        <v>65</v>
      </c>
      <c r="D38" s="1700"/>
      <c r="E38" s="115">
        <v>65</v>
      </c>
      <c r="F38" s="948"/>
      <c r="G38" s="115">
        <f>'Exhibit H'!AA12</f>
        <v>64.8</v>
      </c>
      <c r="H38" s="948"/>
      <c r="I38" s="81">
        <f>G38-C38</f>
        <v>-0.20000000000000284</v>
      </c>
      <c r="J38" s="684"/>
      <c r="K38" s="938">
        <f>G38-E38</f>
        <v>-0.20000000000000284</v>
      </c>
      <c r="L38" s="987"/>
    </row>
    <row r="39" spans="1:24" ht="18" customHeight="1" thickBot="1">
      <c r="A39" s="1415" t="str">
        <f>+'Exh D-Governmental  '!A50</f>
        <v>Fund Balances (Deficits) at January 31, 2020</v>
      </c>
      <c r="B39" s="180" t="s">
        <v>15</v>
      </c>
      <c r="C39" s="98">
        <f>ROUND(SUM(C36:C38),1)</f>
        <v>2612</v>
      </c>
      <c r="D39" s="181"/>
      <c r="E39" s="98">
        <f>ROUND(SUM(E36:E38),1)</f>
        <v>2931</v>
      </c>
      <c r="F39" s="181"/>
      <c r="G39" s="1526">
        <f>ROUND(SUM(G36:G38),1)</f>
        <v>2581.5</v>
      </c>
      <c r="H39" s="181"/>
      <c r="I39" s="98">
        <f>ROUND(SUM(I36:I38),1)</f>
        <v>-30.5</v>
      </c>
      <c r="K39" s="98">
        <f>ROUND(SUM(K36:K38),1)</f>
        <v>-349.5</v>
      </c>
      <c r="L39" s="987"/>
    </row>
    <row r="40" spans="1:24" ht="15" customHeight="1" thickTop="1">
      <c r="A40" s="155"/>
      <c r="C40" s="703"/>
      <c r="D40" s="965"/>
      <c r="E40" s="703"/>
      <c r="F40" s="965"/>
      <c r="G40" s="965"/>
      <c r="H40" s="965"/>
      <c r="I40" s="965"/>
      <c r="K40" s="965"/>
    </row>
    <row r="41" spans="1:24">
      <c r="A41" s="952" t="str">
        <f>'Exh D-Governmental  '!A52</f>
        <v>(*)    Source: 2019-20 Enacted Financial Plan dated May 13, 2019.</v>
      </c>
    </row>
    <row r="42" spans="1:24">
      <c r="A42" s="658" t="str">
        <f>'Exh D Special Revenue State Fed'!A44</f>
        <v>(**)   Source: 2020-21 Executive Budget dated January 21, 2020.</v>
      </c>
    </row>
    <row r="43" spans="1:24">
      <c r="A43" s="966"/>
    </row>
    <row r="44" spans="1:24">
      <c r="A44" s="966"/>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8671875" defaultRowHeight="15"/>
  <cols>
    <col min="1" max="1" width="54" style="947" customWidth="1"/>
    <col min="2" max="2" width="2.109375" style="951" customWidth="1"/>
    <col min="3" max="3" width="18.109375" style="432" bestFit="1" customWidth="1"/>
    <col min="4" max="4" width="0.88671875" style="951" customWidth="1"/>
    <col min="5" max="5" width="15.44140625" style="432" customWidth="1"/>
    <col min="6" max="6" width="0.88671875" style="951" customWidth="1"/>
    <col min="7" max="7" width="14" style="951" customWidth="1"/>
    <col min="8" max="8" width="1.44140625" style="951" customWidth="1"/>
    <col min="9" max="9" width="15" style="951" customWidth="1"/>
    <col min="10" max="10" width="1.5546875" style="951" customWidth="1"/>
    <col min="11" max="11" width="15" style="951" customWidth="1"/>
    <col min="12" max="12" width="1" style="951" customWidth="1"/>
    <col min="13" max="13" width="15.109375" style="967" customWidth="1"/>
    <col min="14" max="14" width="1" style="951" customWidth="1"/>
    <col min="15" max="15" width="14" style="951" customWidth="1"/>
    <col min="16" max="19" width="8.88671875" style="951"/>
    <col min="20" max="16384" width="8.88671875" style="947"/>
  </cols>
  <sheetData>
    <row r="1" spans="1:34">
      <c r="A1" s="657" t="s">
        <v>979</v>
      </c>
    </row>
    <row r="2" spans="1:34" ht="16.5">
      <c r="A2" s="185"/>
      <c r="B2" s="187"/>
      <c r="C2" s="426"/>
      <c r="D2" s="187"/>
      <c r="E2" s="426"/>
      <c r="F2" s="187"/>
      <c r="G2" s="187"/>
      <c r="H2" s="187"/>
      <c r="I2" s="187"/>
      <c r="J2" s="187"/>
      <c r="K2" s="187"/>
      <c r="L2" s="187"/>
      <c r="M2" s="1689"/>
    </row>
    <row r="3" spans="1:34" ht="17.25" customHeight="1">
      <c r="A3" s="191" t="s">
        <v>0</v>
      </c>
      <c r="B3" s="148"/>
      <c r="C3" s="428"/>
      <c r="D3" s="143"/>
      <c r="E3" s="429"/>
      <c r="F3" s="143"/>
      <c r="G3" s="143"/>
      <c r="H3" s="143"/>
      <c r="I3" s="143"/>
      <c r="J3" s="143"/>
      <c r="K3" s="143"/>
      <c r="L3" s="143"/>
      <c r="M3" s="837"/>
      <c r="O3" s="837" t="s">
        <v>84</v>
      </c>
    </row>
    <row r="4" spans="1:34" ht="17.25" customHeight="1">
      <c r="A4" s="191" t="s">
        <v>83</v>
      </c>
      <c r="B4" s="148"/>
      <c r="C4" s="428"/>
      <c r="D4" s="143"/>
      <c r="E4" s="429"/>
      <c r="F4" s="143"/>
      <c r="G4" s="143"/>
      <c r="H4" s="143"/>
      <c r="I4" s="143"/>
      <c r="J4" s="143"/>
      <c r="K4" s="143"/>
      <c r="L4" s="143"/>
      <c r="M4" s="838"/>
      <c r="O4" s="838"/>
    </row>
    <row r="5" spans="1:34" ht="17.25" customHeight="1">
      <c r="A5" s="3902" t="str">
        <f>'Exh D-Governmental  '!A5:E5</f>
        <v>FISCAL YEAR 2019-2020</v>
      </c>
      <c r="B5" s="3903"/>
      <c r="C5" s="3903"/>
      <c r="D5" s="3903"/>
      <c r="E5" s="3903"/>
      <c r="F5" s="143"/>
      <c r="G5" s="143"/>
      <c r="H5" s="143"/>
      <c r="I5" s="143"/>
      <c r="J5" s="143"/>
      <c r="K5" s="143"/>
      <c r="L5" s="143"/>
      <c r="M5" s="148"/>
    </row>
    <row r="6" spans="1:34" ht="17.25" customHeight="1">
      <c r="A6" s="1513" t="str">
        <f>+'Exh D-Governmental  '!A6</f>
        <v>FOR TEN MONTHS ENDED JANUARY 31, 2020</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1"/>
    </row>
    <row r="7" spans="1:34" ht="18">
      <c r="A7" s="191" t="s">
        <v>1417</v>
      </c>
      <c r="B7" s="148"/>
      <c r="C7" s="428"/>
      <c r="D7" s="143"/>
      <c r="E7" s="429"/>
      <c r="F7" s="143"/>
      <c r="G7" s="143"/>
      <c r="H7" s="143"/>
      <c r="I7" s="143"/>
      <c r="J7" s="143"/>
      <c r="K7" s="143"/>
      <c r="L7" s="143"/>
      <c r="M7" s="148"/>
    </row>
    <row r="8" spans="1:34" ht="18">
      <c r="A8" s="193"/>
      <c r="B8" s="148"/>
      <c r="C8" s="980"/>
      <c r="D8" s="156"/>
      <c r="E8" s="429"/>
      <c r="F8" s="143"/>
      <c r="G8" s="143"/>
      <c r="H8" s="143"/>
      <c r="I8" s="143"/>
      <c r="J8" s="143"/>
      <c r="K8" s="143"/>
      <c r="L8" s="143"/>
      <c r="M8" s="148"/>
    </row>
    <row r="9" spans="1:34">
      <c r="A9" s="150"/>
      <c r="B9" s="143"/>
      <c r="C9" s="1205"/>
      <c r="D9" s="156"/>
      <c r="E9" s="429"/>
      <c r="F9" s="143"/>
      <c r="G9" s="143"/>
      <c r="H9" s="143"/>
      <c r="I9" s="143"/>
      <c r="J9" s="143"/>
      <c r="K9" s="143"/>
      <c r="L9" s="143"/>
      <c r="M9" s="148"/>
    </row>
    <row r="10" spans="1:34">
      <c r="A10" s="150"/>
      <c r="B10" s="143"/>
      <c r="C10" s="980"/>
      <c r="D10" s="147"/>
      <c r="E10" s="428"/>
      <c r="F10" s="148"/>
      <c r="G10" s="148"/>
      <c r="H10" s="148"/>
      <c r="I10" s="148"/>
      <c r="J10" s="148"/>
      <c r="K10" s="148"/>
      <c r="L10" s="148"/>
      <c r="M10" s="148"/>
      <c r="N10" s="967"/>
    </row>
    <row r="11" spans="1:34" ht="15.75">
      <c r="A11" s="704"/>
      <c r="B11" s="151"/>
      <c r="C11" s="1200"/>
      <c r="D11" s="1211"/>
      <c r="E11" s="1200"/>
      <c r="F11" s="1209"/>
      <c r="G11" s="1219"/>
      <c r="H11" s="1209"/>
      <c r="I11" s="1453" t="s">
        <v>1151</v>
      </c>
      <c r="J11" s="1687"/>
      <c r="K11" s="1687"/>
      <c r="L11" s="1687"/>
      <c r="M11" s="1209"/>
      <c r="N11" s="1212"/>
      <c r="O11" s="1197"/>
    </row>
    <row r="12" spans="1:34" ht="15.75">
      <c r="A12" s="704"/>
      <c r="B12" s="151"/>
      <c r="C12" s="152"/>
      <c r="D12" s="152"/>
      <c r="E12" s="152"/>
      <c r="F12" s="152"/>
      <c r="G12" s="152"/>
      <c r="H12" s="152"/>
      <c r="I12" s="152"/>
      <c r="J12" s="152"/>
      <c r="K12" s="152"/>
      <c r="L12" s="152"/>
      <c r="M12" s="199" t="s">
        <v>85</v>
      </c>
      <c r="N12" s="153"/>
      <c r="O12" s="153" t="s">
        <v>85</v>
      </c>
    </row>
    <row r="13" spans="1:34" ht="15.75">
      <c r="A13" s="704"/>
      <c r="B13" s="151"/>
      <c r="C13" s="152"/>
      <c r="D13" s="152"/>
      <c r="E13" s="152"/>
      <c r="F13" s="152"/>
      <c r="G13" s="152"/>
      <c r="H13" s="152"/>
      <c r="I13" s="152"/>
      <c r="J13" s="152"/>
      <c r="K13" s="152"/>
      <c r="L13" s="152"/>
      <c r="M13" s="199" t="s">
        <v>885</v>
      </c>
      <c r="N13" s="153"/>
      <c r="O13" s="153" t="s">
        <v>885</v>
      </c>
    </row>
    <row r="14" spans="1:34" ht="15.75">
      <c r="A14" s="704"/>
      <c r="B14" s="151"/>
      <c r="C14" s="154" t="s">
        <v>1094</v>
      </c>
      <c r="D14" s="152"/>
      <c r="E14" s="153" t="s">
        <v>1095</v>
      </c>
      <c r="F14" s="152"/>
      <c r="G14" s="152"/>
      <c r="H14" s="152"/>
      <c r="I14" s="152"/>
      <c r="J14" s="152"/>
      <c r="K14" s="152"/>
      <c r="L14" s="152"/>
      <c r="M14" s="199" t="s">
        <v>86</v>
      </c>
      <c r="N14" s="153"/>
      <c r="O14" s="153" t="s">
        <v>86</v>
      </c>
    </row>
    <row r="15" spans="1:34" ht="15.75" customHeight="1">
      <c r="A15" s="704"/>
      <c r="B15" s="151"/>
      <c r="C15" s="153" t="s">
        <v>1133</v>
      </c>
      <c r="D15" s="152"/>
      <c r="E15" s="153" t="s">
        <v>1133</v>
      </c>
      <c r="F15" s="152"/>
      <c r="G15" s="152"/>
      <c r="H15" s="152"/>
      <c r="I15" s="152"/>
      <c r="J15" s="152"/>
      <c r="K15" s="152"/>
      <c r="L15" s="152"/>
      <c r="M15" s="199" t="s">
        <v>1094</v>
      </c>
      <c r="N15" s="153"/>
      <c r="O15" s="153" t="s">
        <v>1095</v>
      </c>
    </row>
    <row r="16" spans="1:34" ht="15.75">
      <c r="A16" s="704"/>
      <c r="B16" s="151"/>
      <c r="C16" s="153" t="s">
        <v>1134</v>
      </c>
      <c r="D16" s="152"/>
      <c r="E16" s="153" t="s">
        <v>1447</v>
      </c>
      <c r="F16" s="152"/>
      <c r="G16" s="154" t="s">
        <v>85</v>
      </c>
      <c r="H16" s="152"/>
      <c r="I16" s="1232" t="s">
        <v>1274</v>
      </c>
      <c r="J16" s="152"/>
      <c r="K16" s="1232" t="s">
        <v>811</v>
      </c>
      <c r="L16" s="152"/>
      <c r="M16" s="199" t="s">
        <v>87</v>
      </c>
      <c r="N16" s="153"/>
      <c r="O16" s="153" t="s">
        <v>87</v>
      </c>
    </row>
    <row r="17" spans="1:34">
      <c r="A17" s="155"/>
      <c r="B17" s="156"/>
      <c r="C17" s="157"/>
      <c r="D17" s="156"/>
      <c r="E17" s="157"/>
      <c r="F17" s="143"/>
      <c r="G17" s="157"/>
      <c r="H17" s="143"/>
      <c r="I17" s="143"/>
      <c r="J17" s="143"/>
      <c r="K17" s="143"/>
      <c r="L17" s="143"/>
      <c r="M17" s="1690"/>
      <c r="O17" s="157"/>
    </row>
    <row r="18" spans="1:34" ht="15.75">
      <c r="A18" s="29" t="s">
        <v>14</v>
      </c>
      <c r="B18" s="940"/>
      <c r="C18" s="670"/>
      <c r="D18" s="940"/>
      <c r="E18" s="670"/>
      <c r="F18" s="670"/>
      <c r="G18" s="670" t="s">
        <v>15</v>
      </c>
      <c r="H18" s="670"/>
      <c r="I18" s="670"/>
      <c r="J18" s="670"/>
      <c r="K18" s="670"/>
      <c r="L18" s="670"/>
      <c r="M18" s="1691"/>
      <c r="O18" s="670"/>
    </row>
    <row r="19" spans="1:34">
      <c r="A19" s="835" t="s">
        <v>88</v>
      </c>
      <c r="B19" s="941" t="s">
        <v>15</v>
      </c>
      <c r="C19" s="671"/>
      <c r="D19" s="987"/>
      <c r="E19" s="671"/>
      <c r="F19" s="671"/>
      <c r="G19" s="969"/>
      <c r="H19" s="673"/>
      <c r="I19" s="673"/>
      <c r="J19" s="673"/>
      <c r="K19" s="673"/>
      <c r="L19" s="673"/>
      <c r="M19" s="910"/>
      <c r="N19" s="940"/>
      <c r="O19" s="671"/>
      <c r="P19" s="940"/>
      <c r="Q19" s="940"/>
      <c r="R19" s="940"/>
      <c r="S19" s="940"/>
      <c r="T19" s="940"/>
      <c r="U19" s="940"/>
      <c r="V19" s="940"/>
      <c r="W19" s="940"/>
      <c r="X19" s="940"/>
      <c r="Y19" s="940"/>
      <c r="Z19" s="940"/>
      <c r="AA19" s="940"/>
      <c r="AB19" s="940"/>
      <c r="AC19" s="635"/>
      <c r="AD19" s="635"/>
      <c r="AE19" s="635"/>
      <c r="AF19" s="635"/>
      <c r="AG19" s="635"/>
      <c r="AH19" s="951"/>
    </row>
    <row r="20" spans="1:34">
      <c r="A20" s="835" t="s">
        <v>90</v>
      </c>
      <c r="B20" s="940" t="s">
        <v>15</v>
      </c>
      <c r="C20" s="957">
        <f>'Exh D Captl Projects State Fed'!C20+'Exh D Captl Projects State Fed'!M20</f>
        <v>539</v>
      </c>
      <c r="D20" s="959"/>
      <c r="E20" s="957">
        <f>'Exh D Captl Projects State Fed'!E20+'Exh D Captl Projects State Fed'!O20</f>
        <v>540</v>
      </c>
      <c r="F20" s="672"/>
      <c r="G20" s="957">
        <f>+'Exh D Captl Projects State Fed'!G20</f>
        <v>537.79999999999995</v>
      </c>
      <c r="H20" s="672"/>
      <c r="I20" s="957">
        <v>0</v>
      </c>
      <c r="J20" s="672"/>
      <c r="K20" s="1695">
        <f>+G20+I20</f>
        <v>537.79999999999995</v>
      </c>
      <c r="L20" s="672"/>
      <c r="M20" s="910">
        <f t="shared" ref="M20:M26" si="0">ROUND(SUM(K20)-SUM(C20),1)</f>
        <v>-1.2</v>
      </c>
      <c r="N20" s="940"/>
      <c r="O20" s="910">
        <f t="shared" ref="O20:O24" si="1">ROUND(SUM(K20)-SUM(E20),1)</f>
        <v>-2.2000000000000002</v>
      </c>
      <c r="P20" s="940"/>
      <c r="Q20" s="940"/>
      <c r="R20" s="940"/>
      <c r="S20" s="940"/>
      <c r="T20" s="940"/>
      <c r="U20" s="940"/>
      <c r="V20" s="940"/>
      <c r="W20" s="940"/>
      <c r="X20" s="940"/>
      <c r="Y20" s="940"/>
      <c r="Z20" s="940"/>
      <c r="AA20" s="940"/>
      <c r="AB20" s="940"/>
      <c r="AC20" s="635"/>
      <c r="AD20" s="635"/>
      <c r="AE20" s="635"/>
      <c r="AF20" s="635"/>
      <c r="AG20" s="635"/>
      <c r="AH20" s="951"/>
    </row>
    <row r="21" spans="1:34">
      <c r="A21" s="835" t="s">
        <v>91</v>
      </c>
      <c r="B21" s="941" t="s">
        <v>15</v>
      </c>
      <c r="C21" s="700">
        <f>'Exh D Captl Projects State Fed'!C21+'Exh D Captl Projects State Fed'!M21</f>
        <v>559</v>
      </c>
      <c r="D21" s="959"/>
      <c r="E21" s="700">
        <f>'Exh D Captl Projects State Fed'!E21+'Exh D Captl Projects State Fed'!O21</f>
        <v>569</v>
      </c>
      <c r="F21" s="672"/>
      <c r="G21" s="700">
        <f>+'Exh D Captl Projects State Fed'!G21</f>
        <v>569.70000000000005</v>
      </c>
      <c r="H21" s="672"/>
      <c r="I21" s="672">
        <v>0</v>
      </c>
      <c r="J21" s="672"/>
      <c r="K21" s="3233">
        <f t="shared" ref="K21:K26" si="2">+G21+I21</f>
        <v>569.70000000000005</v>
      </c>
      <c r="L21" s="672"/>
      <c r="M21" s="911">
        <f t="shared" si="0"/>
        <v>10.7</v>
      </c>
      <c r="N21" s="961"/>
      <c r="O21" s="911">
        <f t="shared" si="1"/>
        <v>0.7</v>
      </c>
      <c r="P21" s="940"/>
      <c r="Q21" s="961"/>
      <c r="R21" s="940"/>
      <c r="S21" s="961"/>
      <c r="T21" s="940"/>
      <c r="U21" s="940"/>
      <c r="V21" s="961"/>
      <c r="W21" s="940"/>
      <c r="X21" s="940"/>
      <c r="Y21" s="961"/>
      <c r="Z21" s="203"/>
      <c r="AA21" s="961"/>
      <c r="AB21" s="940"/>
      <c r="AC21" s="635"/>
      <c r="AD21" s="635"/>
      <c r="AE21" s="635"/>
      <c r="AF21" s="635"/>
      <c r="AG21" s="635"/>
      <c r="AH21" s="951"/>
    </row>
    <row r="22" spans="1:34">
      <c r="A22" s="835" t="s">
        <v>92</v>
      </c>
      <c r="B22" s="940" t="s">
        <v>15</v>
      </c>
      <c r="C22" s="700">
        <f>'Exh D Captl Projects State Fed'!C22+'Exh D Captl Projects State Fed'!M22</f>
        <v>96</v>
      </c>
      <c r="D22" s="959"/>
      <c r="E22" s="700">
        <f>'Exh D Captl Projects State Fed'!E22+'Exh D Captl Projects State Fed'!O22</f>
        <v>95</v>
      </c>
      <c r="F22" s="672"/>
      <c r="G22" s="700">
        <f>+'Exh D Captl Projects State Fed'!G22</f>
        <v>95.3</v>
      </c>
      <c r="H22" s="672"/>
      <c r="I22" s="672">
        <v>0</v>
      </c>
      <c r="J22" s="672"/>
      <c r="K22" s="1696">
        <f>+G22+I22</f>
        <v>95.3</v>
      </c>
      <c r="L22" s="672"/>
      <c r="M22" s="911">
        <f t="shared" si="0"/>
        <v>-0.7</v>
      </c>
      <c r="N22" s="940"/>
      <c r="O22" s="911">
        <f t="shared" si="1"/>
        <v>0.3</v>
      </c>
      <c r="P22" s="940"/>
      <c r="Q22" s="940"/>
      <c r="R22" s="940"/>
      <c r="S22" s="940"/>
      <c r="T22" s="940"/>
      <c r="U22" s="940"/>
      <c r="V22" s="940"/>
      <c r="W22" s="940"/>
      <c r="X22" s="940"/>
      <c r="Y22" s="940"/>
      <c r="Z22" s="940"/>
      <c r="AA22" s="940"/>
      <c r="AB22" s="940"/>
      <c r="AC22" s="635"/>
      <c r="AD22" s="635"/>
      <c r="AE22" s="635"/>
      <c r="AF22" s="635"/>
      <c r="AG22" s="635"/>
      <c r="AH22" s="951"/>
    </row>
    <row r="23" spans="1:34">
      <c r="A23" s="835" t="s">
        <v>20</v>
      </c>
      <c r="B23" s="940" t="s">
        <v>15</v>
      </c>
      <c r="C23" s="700">
        <f>'Exh D Captl Projects State Fed'!C23+'Exh D Captl Projects State Fed'!M23</f>
        <v>5534</v>
      </c>
      <c r="D23" s="959"/>
      <c r="E23" s="700">
        <f>'Exh D Captl Projects State Fed'!E23+'Exh D Captl Projects State Fed'!O23</f>
        <v>4606</v>
      </c>
      <c r="F23" s="656"/>
      <c r="G23" s="656">
        <f>+'Exh D Captl Projects State Fed'!G23+'Exh D Captl Projects State Fed'!Q23</f>
        <v>4512</v>
      </c>
      <c r="H23" s="656"/>
      <c r="I23" s="1575">
        <v>0</v>
      </c>
      <c r="J23" s="1575"/>
      <c r="K23" s="1696">
        <f t="shared" si="2"/>
        <v>4512</v>
      </c>
      <c r="L23" s="1575"/>
      <c r="M23" s="911">
        <f t="shared" si="0"/>
        <v>-1022</v>
      </c>
      <c r="O23" s="911">
        <f t="shared" si="1"/>
        <v>-94</v>
      </c>
    </row>
    <row r="24" spans="1:34">
      <c r="A24" s="835" t="s">
        <v>21</v>
      </c>
      <c r="B24" s="940" t="s">
        <v>15</v>
      </c>
      <c r="C24" s="700">
        <f>'Exh D Captl Projects State Fed'!C24+'Exh D Captl Projects State Fed'!M24</f>
        <v>1612</v>
      </c>
      <c r="D24" s="959"/>
      <c r="E24" s="700">
        <f>'Exh D Captl Projects State Fed'!E24+'Exh D Captl Projects State Fed'!O24</f>
        <v>1708</v>
      </c>
      <c r="F24" s="656"/>
      <c r="G24" s="656">
        <f>+'Exh D Captl Projects State Fed'!G24+'Exh D Captl Projects State Fed'!Q24</f>
        <v>1850.5</v>
      </c>
      <c r="H24" s="656"/>
      <c r="I24" s="1575">
        <v>0</v>
      </c>
      <c r="J24" s="1575"/>
      <c r="K24" s="1696">
        <f t="shared" si="2"/>
        <v>1850.5</v>
      </c>
      <c r="L24" s="1575"/>
      <c r="M24" s="911">
        <f t="shared" si="0"/>
        <v>238.5</v>
      </c>
      <c r="O24" s="911">
        <f t="shared" si="1"/>
        <v>142.5</v>
      </c>
    </row>
    <row r="25" spans="1:34">
      <c r="A25" s="835" t="s">
        <v>98</v>
      </c>
      <c r="B25" s="940" t="s">
        <v>15</v>
      </c>
      <c r="C25" s="700">
        <f>'Exh D Captl Projects State Fed'!C25+'Exh D Captl Projects State Fed'!M25</f>
        <v>0</v>
      </c>
      <c r="D25" s="1210"/>
      <c r="E25" s="700">
        <f>'Exh D Captl Projects State Fed'!E25+'Exh D Captl Projects State Fed'!O25</f>
        <v>0</v>
      </c>
      <c r="F25" s="656"/>
      <c r="G25" s="672">
        <f>+'Exh D Captl Projects State Fed'!G25+'Exh D Captl Projects State Fed'!Q25</f>
        <v>0</v>
      </c>
      <c r="H25" s="656"/>
      <c r="I25" s="1575">
        <v>0</v>
      </c>
      <c r="J25" s="1575"/>
      <c r="K25" s="672">
        <f t="shared" si="2"/>
        <v>0</v>
      </c>
      <c r="L25" s="1575"/>
      <c r="M25" s="911">
        <f t="shared" si="0"/>
        <v>0</v>
      </c>
      <c r="O25" s="911">
        <f t="shared" ref="O25:O26" si="3">ROUND(SUM(K25)-SUM(E25),1)</f>
        <v>0</v>
      </c>
    </row>
    <row r="26" spans="1:34">
      <c r="A26" s="835" t="s">
        <v>48</v>
      </c>
      <c r="B26" s="940" t="s">
        <v>15</v>
      </c>
      <c r="C26" s="700">
        <f>'Exh D Captl Projects State Fed'!C26+'Exh D Captl Projects State Fed'!M26</f>
        <v>2686</v>
      </c>
      <c r="D26" s="959"/>
      <c r="E26" s="700">
        <f>'Exh D Captl Projects State Fed'!E26+'Exh D Captl Projects State Fed'!O26</f>
        <v>3754</v>
      </c>
      <c r="F26" s="656"/>
      <c r="G26" s="695">
        <f>+'Exh D Captl Projects State Fed'!G26+'Exh D Captl Projects State Fed'!Q26</f>
        <v>3847.7000000000003</v>
      </c>
      <c r="H26" s="656"/>
      <c r="I26" s="911">
        <f>'Exhibit I'!AC93</f>
        <v>-175.90000000000009</v>
      </c>
      <c r="J26" s="1575"/>
      <c r="K26" s="1696">
        <f t="shared" si="2"/>
        <v>3671.8</v>
      </c>
      <c r="L26" s="1575"/>
      <c r="M26" s="911">
        <f t="shared" si="0"/>
        <v>985.8</v>
      </c>
      <c r="O26" s="911">
        <f t="shared" si="3"/>
        <v>-82.2</v>
      </c>
    </row>
    <row r="27" spans="1:34" ht="18" customHeight="1">
      <c r="A27" s="1140" t="s">
        <v>109</v>
      </c>
      <c r="B27" s="151" t="s">
        <v>15</v>
      </c>
      <c r="C27" s="1926">
        <f>ROUND(SUM(C20:C26),1)</f>
        <v>11026</v>
      </c>
      <c r="D27" s="1576"/>
      <c r="E27" s="1926">
        <f>ROUND(SUM(E20:E26),1)</f>
        <v>11272</v>
      </c>
      <c r="F27" s="938"/>
      <c r="G27" s="215">
        <f>ROUND(SUM(G20:G26),1)</f>
        <v>11413</v>
      </c>
      <c r="H27" s="938"/>
      <c r="I27" s="1586">
        <f>ROUND(SUM(I20:I26),1)</f>
        <v>-175.9</v>
      </c>
      <c r="J27" s="938"/>
      <c r="K27" s="1586">
        <f>ROUND(SUM(K20:K26),1)</f>
        <v>11237.1</v>
      </c>
      <c r="L27" s="938"/>
      <c r="M27" s="1524">
        <f>ROUND(SUM(M20:M26),1)</f>
        <v>211.1</v>
      </c>
      <c r="O27" s="215">
        <f>ROUND(SUM(O20:O26),1)</f>
        <v>-34.9</v>
      </c>
    </row>
    <row r="28" spans="1:34">
      <c r="A28" s="704"/>
      <c r="B28" s="940" t="s">
        <v>15</v>
      </c>
      <c r="C28" s="1924"/>
      <c r="D28" s="959"/>
      <c r="E28" s="1924"/>
      <c r="F28" s="656"/>
      <c r="G28" s="702"/>
      <c r="H28" s="656"/>
      <c r="I28" s="1575"/>
      <c r="J28" s="1575"/>
      <c r="K28" s="1575"/>
      <c r="L28" s="1575"/>
      <c r="M28" s="1058" t="s">
        <v>15</v>
      </c>
      <c r="O28" s="702" t="s">
        <v>15</v>
      </c>
    </row>
    <row r="29" spans="1:34" ht="15.75">
      <c r="A29" s="29" t="s">
        <v>23</v>
      </c>
      <c r="B29" s="940" t="s">
        <v>15</v>
      </c>
      <c r="C29" s="1575"/>
      <c r="D29" s="959"/>
      <c r="E29" s="1575"/>
      <c r="F29" s="656"/>
      <c r="G29" s="656"/>
      <c r="H29" s="656"/>
      <c r="I29" s="1575"/>
      <c r="J29" s="1575"/>
      <c r="K29" s="1575"/>
      <c r="L29" s="1575"/>
      <c r="M29" s="911"/>
      <c r="O29" s="656"/>
    </row>
    <row r="30" spans="1:34">
      <c r="A30" s="835" t="s">
        <v>94</v>
      </c>
      <c r="B30" s="940" t="s">
        <v>15</v>
      </c>
      <c r="C30" s="700">
        <f>'Exh D Captl Projects State Fed'!C30+'Exh D Captl Projects State Fed'!M30</f>
        <v>4220</v>
      </c>
      <c r="D30" s="959"/>
      <c r="E30" s="700">
        <f>'Exh D Captl Projects State Fed'!E30+'Exh D Captl Projects State Fed'!O30</f>
        <v>4068</v>
      </c>
      <c r="F30" s="656"/>
      <c r="G30" s="656">
        <f>+'Exh D Captl Projects State Fed'!G30+'Exh D Captl Projects State Fed'!Q30</f>
        <v>4329</v>
      </c>
      <c r="H30" s="656"/>
      <c r="I30" s="1575">
        <v>0</v>
      </c>
      <c r="J30" s="1575"/>
      <c r="K30" s="1696">
        <f>+G30+I30</f>
        <v>4329</v>
      </c>
      <c r="L30" s="1575"/>
      <c r="M30" s="911">
        <f>ROUND(SUM(K30)-SUM(C30),1)</f>
        <v>109</v>
      </c>
      <c r="O30" s="911">
        <f t="shared" ref="O30:O32" si="4">ROUND(SUM(K30)-SUM(E30),1)</f>
        <v>261</v>
      </c>
    </row>
    <row r="31" spans="1:34">
      <c r="A31" s="835" t="s">
        <v>42</v>
      </c>
      <c r="B31" s="940" t="s">
        <v>15</v>
      </c>
      <c r="C31" s="700">
        <f>'Exh D Captl Projects State Fed'!C31+'Exh D Captl Projects State Fed'!M31</f>
        <v>7301</v>
      </c>
      <c r="D31" s="1210"/>
      <c r="E31" s="700">
        <f>'Exh D Captl Projects State Fed'!E31+'Exh D Captl Projects State Fed'!O31</f>
        <v>6210</v>
      </c>
      <c r="F31" s="656"/>
      <c r="G31" s="656">
        <f>+'Exh D Captl Projects State Fed'!G31+'Exh D Captl Projects State Fed'!Q31</f>
        <v>5976.8</v>
      </c>
      <c r="H31" s="656"/>
      <c r="I31" s="1575">
        <v>0</v>
      </c>
      <c r="J31" s="1575"/>
      <c r="K31" s="1696">
        <f>+G31+I31</f>
        <v>5976.8</v>
      </c>
      <c r="L31" s="1575"/>
      <c r="M31" s="911">
        <f>ROUND(SUM(K31)-SUM(C31),1)</f>
        <v>-1324.2</v>
      </c>
      <c r="O31" s="911">
        <f t="shared" si="4"/>
        <v>-233.2</v>
      </c>
    </row>
    <row r="32" spans="1:34">
      <c r="A32" s="835" t="s">
        <v>99</v>
      </c>
      <c r="B32" s="940" t="s">
        <v>15</v>
      </c>
      <c r="C32" s="700">
        <f>'Exh D Captl Projects State Fed'!C32+'Exh D Captl Projects State Fed'!M32</f>
        <v>687</v>
      </c>
      <c r="D32" s="959"/>
      <c r="E32" s="700">
        <f>'Exh D Captl Projects State Fed'!E32+'Exh D Captl Projects State Fed'!O32</f>
        <v>740</v>
      </c>
      <c r="F32" s="656"/>
      <c r="G32" s="656">
        <f>+'Exh D Captl Projects State Fed'!G32+'Exh D Captl Projects State Fed'!Q32</f>
        <v>916.2</v>
      </c>
      <c r="H32" s="656"/>
      <c r="I32" s="911">
        <f>-'Exhibit I'!AC94</f>
        <v>-175.9</v>
      </c>
      <c r="J32" s="1575"/>
      <c r="K32" s="1696">
        <f>+G32+I32</f>
        <v>740.30000000000007</v>
      </c>
      <c r="L32" s="1575"/>
      <c r="M32" s="911">
        <f>ROUND(SUM(K32)-SUM(C32),1)</f>
        <v>53.3</v>
      </c>
      <c r="O32" s="911">
        <f t="shared" si="4"/>
        <v>0.3</v>
      </c>
    </row>
    <row r="33" spans="1:34" ht="18" customHeight="1">
      <c r="A33" s="1140" t="s">
        <v>118</v>
      </c>
      <c r="B33" s="151" t="s">
        <v>15</v>
      </c>
      <c r="C33" s="1926">
        <f>ROUND(SUM(C30:C32),1)</f>
        <v>12208</v>
      </c>
      <c r="D33" s="1576"/>
      <c r="E33" s="1926">
        <f>ROUND(SUM(E30:E32),1)</f>
        <v>11018</v>
      </c>
      <c r="F33" s="938"/>
      <c r="G33" s="215">
        <f>ROUND(SUM(G30:G32),1)</f>
        <v>11222</v>
      </c>
      <c r="H33" s="938"/>
      <c r="I33" s="1586">
        <f>ROUND(SUM(I30:I32),1)</f>
        <v>-175.9</v>
      </c>
      <c r="J33" s="938"/>
      <c r="K33" s="1586">
        <f>ROUND(SUM(K30:K32),1)</f>
        <v>11046.1</v>
      </c>
      <c r="L33" s="938"/>
      <c r="M33" s="1524">
        <f>ROUND(SUM(M30:M32),1)</f>
        <v>-1161.9000000000001</v>
      </c>
      <c r="O33" s="215">
        <f>ROUND(SUM(O30:O32),1)</f>
        <v>28.1</v>
      </c>
    </row>
    <row r="34" spans="1:34">
      <c r="A34" s="704"/>
      <c r="B34" s="940" t="s">
        <v>15</v>
      </c>
      <c r="C34" s="1924"/>
      <c r="D34" s="959"/>
      <c r="E34" s="1924"/>
      <c r="F34" s="656"/>
      <c r="G34" s="702"/>
      <c r="H34" s="656"/>
      <c r="I34" s="1575"/>
      <c r="J34" s="1575"/>
      <c r="K34" s="1575"/>
      <c r="L34" s="1575"/>
      <c r="M34" s="1058"/>
      <c r="O34" s="702"/>
    </row>
    <row r="35" spans="1:34" ht="15.75">
      <c r="A35" s="29" t="s">
        <v>101</v>
      </c>
      <c r="B35" s="940"/>
      <c r="C35" s="1575"/>
      <c r="D35" s="959"/>
      <c r="E35" s="1575"/>
      <c r="F35" s="656"/>
      <c r="G35" s="656"/>
      <c r="H35" s="656"/>
      <c r="I35" s="1575"/>
      <c r="J35" s="1575"/>
      <c r="K35" s="1575"/>
      <c r="L35" s="1575"/>
      <c r="M35" s="911"/>
      <c r="O35" s="656"/>
    </row>
    <row r="36" spans="1:34" ht="15.75">
      <c r="A36" s="29" t="s">
        <v>102</v>
      </c>
      <c r="B36" s="940"/>
      <c r="C36" s="1575"/>
      <c r="D36" s="959"/>
      <c r="E36" s="1575"/>
      <c r="F36" s="656"/>
      <c r="G36" s="656"/>
      <c r="H36" s="656"/>
      <c r="I36" s="1575"/>
      <c r="J36" s="1575"/>
      <c r="K36" s="1575"/>
      <c r="L36" s="1575"/>
      <c r="M36" s="911"/>
      <c r="O36" s="656"/>
    </row>
    <row r="37" spans="1:34" ht="15.75">
      <c r="A37" s="1140" t="s">
        <v>103</v>
      </c>
      <c r="B37" s="174" t="s">
        <v>15</v>
      </c>
      <c r="C37" s="1576">
        <f>ROUND(SUM(C27)-SUM(C33),1)</f>
        <v>-1182</v>
      </c>
      <c r="D37" s="1576"/>
      <c r="E37" s="1576">
        <f>ROUND(SUM(E27)-SUM(E33),1)</f>
        <v>254</v>
      </c>
      <c r="F37" s="84"/>
      <c r="G37" s="76">
        <f>ROUND(SUM(G27)-SUM(G33),1)</f>
        <v>191</v>
      </c>
      <c r="H37" s="84"/>
      <c r="I37" s="84">
        <v>0</v>
      </c>
      <c r="J37" s="84"/>
      <c r="K37" s="1576">
        <f>ROUND(SUM(K27)-SUM(K33),1)</f>
        <v>191</v>
      </c>
      <c r="L37" s="84"/>
      <c r="M37" s="115">
        <f>ROUND(SUM(M27)-SUM(M33),1)</f>
        <v>1373</v>
      </c>
      <c r="N37" s="635"/>
      <c r="O37" s="76">
        <f>ROUND(SUM(O27)-SUM(O33),1)</f>
        <v>-63</v>
      </c>
    </row>
    <row r="38" spans="1:34" ht="15.75">
      <c r="B38" s="635"/>
      <c r="C38" s="684"/>
      <c r="D38" s="1576"/>
      <c r="E38" s="684"/>
      <c r="F38" s="948"/>
      <c r="G38" s="684"/>
      <c r="H38" s="948"/>
      <c r="I38" s="948"/>
      <c r="J38" s="948"/>
      <c r="K38" s="684"/>
      <c r="L38" s="948"/>
      <c r="M38" s="1525"/>
      <c r="O38" s="684"/>
    </row>
    <row r="39" spans="1:34" ht="15.75">
      <c r="A39" s="1140" t="str">
        <f>+'Exh D-Governmental  '!A49</f>
        <v>Fund Balances (Deficits) at April 1</v>
      </c>
      <c r="B39" s="950" t="s">
        <v>15</v>
      </c>
      <c r="C39" s="1930">
        <f>'Exh D Captl Projects State Fed'!C39+'Exh D Captl Projects State Fed'!M39</f>
        <v>-1138</v>
      </c>
      <c r="D39" s="1576"/>
      <c r="E39" s="1930">
        <v>-1138</v>
      </c>
      <c r="F39" s="948"/>
      <c r="G39" s="76">
        <f>'Exhibit I'!E15</f>
        <v>-1137.9000000000001</v>
      </c>
      <c r="H39" s="948"/>
      <c r="I39" s="3199">
        <v>0</v>
      </c>
      <c r="J39" s="948"/>
      <c r="K39" s="1932">
        <f>+G39+I39</f>
        <v>-1137.9000000000001</v>
      </c>
      <c r="L39" s="948"/>
      <c r="M39" s="1692">
        <f>ROUND(SUM(K39-C39),1)</f>
        <v>0.1</v>
      </c>
      <c r="N39" s="635"/>
      <c r="O39" s="1692">
        <f>ROUND(SUM(K39-E39),1)</f>
        <v>0.1</v>
      </c>
      <c r="P39" s="635"/>
      <c r="Q39" s="635"/>
      <c r="R39" s="635"/>
      <c r="S39" s="635"/>
      <c r="T39" s="635"/>
      <c r="U39" s="635"/>
      <c r="V39" s="635"/>
      <c r="W39" s="635"/>
      <c r="X39" s="635"/>
      <c r="Y39" s="635"/>
      <c r="Z39" s="635"/>
      <c r="AA39" s="635"/>
      <c r="AB39" s="635"/>
      <c r="AC39" s="635"/>
      <c r="AD39" s="635"/>
      <c r="AE39" s="635"/>
      <c r="AF39" s="635"/>
      <c r="AG39" s="635"/>
      <c r="AH39" s="951"/>
    </row>
    <row r="40" spans="1:34" ht="16.5" thickBot="1">
      <c r="A40" s="1414" t="str">
        <f>+'Exh D-Governmental  '!A50</f>
        <v>Fund Balances (Deficits) at January 31, 2020</v>
      </c>
      <c r="B40" s="180" t="s">
        <v>15</v>
      </c>
      <c r="C40" s="98">
        <f>ROUND(SUM(C37:C39),1)</f>
        <v>-2320</v>
      </c>
      <c r="D40" s="219"/>
      <c r="E40" s="98">
        <f>ROUND(SUM(E37:E39),1)</f>
        <v>-884</v>
      </c>
      <c r="F40" s="181"/>
      <c r="G40" s="98">
        <f>ROUND(SUM(G37:G39),1)</f>
        <v>-946.9</v>
      </c>
      <c r="H40" s="181"/>
      <c r="I40" s="98">
        <f>ROUND(SUM(I37:I39),1)</f>
        <v>0</v>
      </c>
      <c r="J40" s="181"/>
      <c r="K40" s="98">
        <f>ROUND(SUM(K37:K39),1)</f>
        <v>-946.9</v>
      </c>
      <c r="L40" s="181"/>
      <c r="M40" s="1526">
        <f>ROUND(SUM(M37:M39),1)</f>
        <v>1373.1</v>
      </c>
      <c r="N40" s="635"/>
      <c r="O40" s="98">
        <f>ROUND(SUM(O37:O39),1)</f>
        <v>-62.9</v>
      </c>
      <c r="P40" s="635"/>
      <c r="Q40" s="635"/>
      <c r="R40" s="635"/>
      <c r="S40" s="635"/>
      <c r="T40" s="635"/>
      <c r="U40" s="635"/>
      <c r="V40" s="635"/>
      <c r="W40" s="635"/>
      <c r="X40" s="635"/>
      <c r="Y40" s="635"/>
      <c r="Z40" s="635"/>
      <c r="AA40" s="635"/>
      <c r="AB40" s="635"/>
      <c r="AC40" s="635"/>
      <c r="AD40" s="635"/>
      <c r="AE40" s="635"/>
      <c r="AF40" s="635"/>
      <c r="AG40" s="635"/>
      <c r="AH40" s="951"/>
    </row>
    <row r="41" spans="1:34" ht="15.75" thickTop="1">
      <c r="B41" s="635"/>
      <c r="C41" s="635"/>
      <c r="D41" s="635"/>
      <c r="E41" s="635"/>
      <c r="G41" s="974"/>
    </row>
    <row r="42" spans="1:34">
      <c r="A42" s="2193" t="str">
        <f>'Exh D-Governmental  '!A52</f>
        <v>(*)    Source: 2019-20 Enacted Financial Plan dated May 13, 2019.</v>
      </c>
      <c r="B42" s="635"/>
      <c r="D42" s="635"/>
    </row>
    <row r="43" spans="1:34" s="1009" customFormat="1">
      <c r="A43" s="3863" t="str">
        <f>'Exh D Debt Service'!A42</f>
        <v>(**)   Source: 2020-21 Executive Budget dated January 21, 2020.</v>
      </c>
      <c r="B43" s="1994"/>
      <c r="C43" s="433"/>
      <c r="D43" s="1994"/>
      <c r="E43" s="433"/>
      <c r="F43" s="967"/>
      <c r="G43" s="1693"/>
      <c r="H43" s="1691"/>
      <c r="I43" s="1691"/>
      <c r="J43" s="1691"/>
      <c r="K43" s="1691"/>
      <c r="L43" s="1691"/>
      <c r="M43" s="1693"/>
      <c r="N43" s="1691"/>
      <c r="O43" s="3864"/>
      <c r="P43" s="967"/>
      <c r="Q43" s="967"/>
      <c r="R43" s="967"/>
      <c r="S43" s="967"/>
    </row>
    <row r="44" spans="1:34">
      <c r="A44" s="1539"/>
      <c r="B44" s="635"/>
      <c r="D44" s="635"/>
    </row>
    <row r="45" spans="1:34">
      <c r="A45" s="1539"/>
      <c r="B45" s="635"/>
      <c r="D45" s="635"/>
    </row>
    <row r="46" spans="1:34">
      <c r="A46" s="1067"/>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8671875" defaultRowHeight="15"/>
  <cols>
    <col min="1" max="1" width="51.88671875" style="947" customWidth="1"/>
    <col min="2" max="2" width="2.109375" style="951" customWidth="1"/>
    <col min="3" max="3" width="15.88671875" style="432" customWidth="1"/>
    <col min="4" max="4" width="1.109375" style="951" customWidth="1"/>
    <col min="5" max="5" width="15.88671875" style="432" customWidth="1"/>
    <col min="6" max="6" width="1.109375" style="951" customWidth="1"/>
    <col min="7" max="7" width="15.88671875" style="951" customWidth="1"/>
    <col min="8" max="8" width="0.88671875" style="951" customWidth="1"/>
    <col min="9" max="9" width="19.44140625" style="951" customWidth="1"/>
    <col min="10" max="10" width="1.109375" style="635" customWidth="1"/>
    <col min="11" max="11" width="19.44140625" style="951" customWidth="1"/>
    <col min="12" max="12" width="1.109375" style="951" customWidth="1"/>
    <col min="13" max="13" width="15.88671875" style="635" customWidth="1"/>
    <col min="14" max="14" width="1.109375" style="635" customWidth="1"/>
    <col min="15" max="15" width="15.88671875" style="635" customWidth="1"/>
    <col min="16" max="16" width="1.109375" style="635" customWidth="1"/>
    <col min="17" max="17" width="15.88671875" style="635" customWidth="1"/>
    <col min="18" max="18" width="1.109375" style="635" customWidth="1"/>
    <col min="19" max="19" width="15.88671875" style="635" customWidth="1"/>
    <col min="20" max="20" width="1.88671875" style="635" customWidth="1"/>
    <col min="21" max="21" width="15.88671875" style="432" customWidth="1"/>
    <col min="22" max="22" width="0.88671875" style="635" customWidth="1"/>
    <col min="23" max="23" width="15.88671875" style="432" customWidth="1"/>
    <col min="24" max="24" width="1.109375" style="635" customWidth="1"/>
    <col min="25" max="25" width="15.88671875" style="635" customWidth="1"/>
    <col min="26" max="26" width="1" style="635" customWidth="1"/>
    <col min="27" max="27" width="15.88671875" style="635" customWidth="1"/>
    <col min="28" max="28" width="3.88671875" style="951" bestFit="1" customWidth="1"/>
    <col min="29" max="33" width="8.88671875" style="951"/>
    <col min="34" max="16384" width="8.88671875" style="947"/>
  </cols>
  <sheetData>
    <row r="1" spans="1:48">
      <c r="A1" s="953" t="s">
        <v>979</v>
      </c>
    </row>
    <row r="2" spans="1:48" ht="16.5">
      <c r="A2" s="185"/>
      <c r="B2" s="187"/>
      <c r="C2" s="426"/>
      <c r="D2" s="187"/>
      <c r="E2" s="426"/>
      <c r="F2" s="187"/>
      <c r="G2" s="187"/>
      <c r="H2" s="187"/>
      <c r="I2" s="187"/>
      <c r="J2" s="186"/>
      <c r="K2" s="187"/>
      <c r="L2" s="187"/>
      <c r="M2" s="186"/>
      <c r="N2" s="186"/>
      <c r="O2" s="186"/>
      <c r="P2" s="186"/>
      <c r="Q2" s="186"/>
      <c r="R2" s="186"/>
      <c r="S2" s="186"/>
      <c r="T2" s="186"/>
      <c r="U2" s="1203"/>
      <c r="V2" s="186"/>
      <c r="W2" s="1203"/>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7"/>
      <c r="T3" s="156"/>
      <c r="U3" s="837" t="s">
        <v>84</v>
      </c>
      <c r="V3" s="156"/>
      <c r="W3" s="1205"/>
      <c r="X3" s="156"/>
      <c r="Y3" s="156"/>
      <c r="Z3" s="156"/>
      <c r="AA3" s="1206"/>
    </row>
    <row r="4" spans="1:48" ht="17.25" customHeight="1">
      <c r="A4" s="191" t="s">
        <v>1212</v>
      </c>
      <c r="B4" s="148"/>
      <c r="C4" s="428"/>
      <c r="D4" s="143"/>
      <c r="E4" s="428"/>
      <c r="F4" s="143"/>
      <c r="G4" s="143"/>
      <c r="H4" s="143"/>
      <c r="I4" s="143"/>
      <c r="J4" s="156"/>
      <c r="K4" s="143"/>
      <c r="L4" s="143"/>
      <c r="M4" s="156"/>
      <c r="N4" s="156"/>
      <c r="O4" s="156"/>
      <c r="P4" s="156"/>
      <c r="Q4" s="156"/>
      <c r="R4" s="156"/>
      <c r="S4" s="838"/>
      <c r="T4" s="156"/>
      <c r="U4" s="838"/>
      <c r="V4" s="156"/>
      <c r="W4" s="1205"/>
      <c r="X4" s="156"/>
      <c r="Y4" s="156"/>
      <c r="Z4" s="156"/>
      <c r="AA4" s="1207"/>
    </row>
    <row r="5" spans="1:48" ht="17.25" customHeight="1">
      <c r="A5" s="3902" t="str">
        <f>'Exh D-Governmental  '!A5:E5</f>
        <v>FISCAL YEAR 2019-2020</v>
      </c>
      <c r="B5" s="3903"/>
      <c r="C5" s="3903"/>
      <c r="D5" s="3903"/>
      <c r="E5" s="3903"/>
      <c r="F5" s="143"/>
      <c r="G5" s="143"/>
      <c r="H5" s="143"/>
      <c r="I5" s="143"/>
      <c r="J5" s="156"/>
      <c r="K5" s="143"/>
      <c r="L5" s="143"/>
      <c r="M5" s="156"/>
      <c r="N5" s="156"/>
      <c r="O5" s="156"/>
      <c r="P5" s="156"/>
      <c r="Q5" s="156"/>
      <c r="R5" s="156"/>
      <c r="S5" s="156"/>
      <c r="T5" s="156"/>
      <c r="U5" s="1205"/>
      <c r="V5" s="156"/>
      <c r="W5" s="1205"/>
      <c r="X5" s="156"/>
      <c r="Y5" s="156"/>
      <c r="Z5" s="156"/>
      <c r="AA5" s="156"/>
    </row>
    <row r="6" spans="1:48" ht="17.25" customHeight="1">
      <c r="A6" s="1513" t="str">
        <f>'Exh D-Governmental  '!A6</f>
        <v>FOR TEN MONTHS ENDED JANUARY 31, 2020</v>
      </c>
      <c r="B6" s="147"/>
      <c r="C6" s="428"/>
      <c r="D6" s="143"/>
      <c r="E6" s="428"/>
      <c r="F6" s="143"/>
      <c r="G6" s="143"/>
      <c r="H6" s="143"/>
      <c r="I6" s="143"/>
      <c r="J6" s="156"/>
      <c r="K6" s="143"/>
      <c r="L6" s="143"/>
      <c r="M6" s="156"/>
      <c r="N6" s="156"/>
      <c r="O6" s="156"/>
      <c r="P6" s="156"/>
      <c r="Q6" s="156"/>
      <c r="R6" s="156"/>
      <c r="S6" s="156"/>
      <c r="T6" s="156"/>
      <c r="U6" s="1205"/>
      <c r="V6" s="156"/>
      <c r="W6" s="1205"/>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1"/>
    </row>
    <row r="7" spans="1:48" ht="18">
      <c r="A7" s="191" t="s">
        <v>1417</v>
      </c>
      <c r="B7" s="148"/>
      <c r="C7" s="428"/>
      <c r="D7" s="143"/>
      <c r="E7" s="428"/>
      <c r="F7" s="143"/>
      <c r="G7" s="143"/>
      <c r="H7" s="143"/>
      <c r="I7" s="143"/>
      <c r="J7" s="156"/>
      <c r="K7" s="143"/>
      <c r="L7" s="143"/>
      <c r="M7" s="156"/>
      <c r="N7" s="156"/>
      <c r="O7" s="156"/>
      <c r="P7" s="156"/>
      <c r="Q7" s="156"/>
      <c r="R7" s="156"/>
      <c r="S7" s="156"/>
      <c r="T7" s="156"/>
      <c r="U7" s="1205"/>
      <c r="V7" s="156"/>
      <c r="W7" s="1205"/>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5"/>
      <c r="V8" s="156"/>
      <c r="W8" s="1205"/>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5"/>
      <c r="V9" s="156"/>
      <c r="W9" s="1205"/>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0"/>
      <c r="V10" s="147"/>
      <c r="W10" s="980"/>
      <c r="X10" s="147"/>
      <c r="Y10" s="147"/>
      <c r="Z10" s="147"/>
      <c r="AA10" s="147"/>
      <c r="AB10" s="967"/>
    </row>
    <row r="11" spans="1:48" ht="15.75">
      <c r="A11" s="704"/>
      <c r="B11" s="151"/>
      <c r="C11" s="3904" t="s">
        <v>1152</v>
      </c>
      <c r="D11" s="3904"/>
      <c r="E11" s="3904"/>
      <c r="F11" s="3904"/>
      <c r="G11" s="3904"/>
      <c r="H11" s="3904"/>
      <c r="I11" s="3904"/>
      <c r="J11" s="1199"/>
      <c r="K11" s="1199"/>
      <c r="L11" s="205"/>
      <c r="M11" s="3904" t="s">
        <v>1153</v>
      </c>
      <c r="N11" s="3904"/>
      <c r="O11" s="3904"/>
      <c r="P11" s="3904"/>
      <c r="Q11" s="3904"/>
      <c r="R11" s="3904"/>
      <c r="S11" s="3904"/>
      <c r="T11" s="1212"/>
      <c r="U11" s="1453"/>
      <c r="V11" s="1453"/>
      <c r="W11" s="196"/>
      <c r="X11" s="196"/>
      <c r="Y11" s="196"/>
      <c r="Z11" s="196"/>
      <c r="AA11" s="196"/>
      <c r="AB11" s="967"/>
    </row>
    <row r="12" spans="1:48" ht="15.75">
      <c r="A12" s="704"/>
      <c r="B12" s="151"/>
      <c r="C12" s="434"/>
      <c r="D12" s="152"/>
      <c r="E12" s="434"/>
      <c r="F12" s="152"/>
      <c r="G12" s="152"/>
      <c r="H12" s="152"/>
      <c r="I12" s="206" t="s">
        <v>85</v>
      </c>
      <c r="J12" s="206"/>
      <c r="K12" s="206" t="s">
        <v>85</v>
      </c>
      <c r="L12" s="954"/>
      <c r="M12" s="434"/>
      <c r="N12" s="152"/>
      <c r="O12" s="434"/>
      <c r="P12" s="152"/>
      <c r="Q12" s="152"/>
      <c r="R12" s="152"/>
      <c r="S12" s="206" t="s">
        <v>85</v>
      </c>
      <c r="T12" s="151"/>
      <c r="U12" s="206" t="s">
        <v>85</v>
      </c>
      <c r="V12" s="151"/>
      <c r="W12" s="996"/>
      <c r="X12" s="151"/>
      <c r="Y12" s="151"/>
      <c r="Z12" s="151"/>
      <c r="AA12" s="206"/>
    </row>
    <row r="13" spans="1:48" ht="15.75">
      <c r="A13" s="704"/>
      <c r="B13" s="151"/>
      <c r="C13" s="434"/>
      <c r="D13" s="152"/>
      <c r="E13" s="434"/>
      <c r="F13" s="152"/>
      <c r="G13" s="152"/>
      <c r="H13" s="152"/>
      <c r="I13" s="153" t="s">
        <v>885</v>
      </c>
      <c r="J13" s="201"/>
      <c r="K13" s="153" t="s">
        <v>885</v>
      </c>
      <c r="L13" s="954"/>
      <c r="M13" s="434"/>
      <c r="N13" s="152"/>
      <c r="O13" s="434"/>
      <c r="P13" s="152"/>
      <c r="Q13" s="152"/>
      <c r="R13" s="152"/>
      <c r="S13" s="153" t="s">
        <v>885</v>
      </c>
      <c r="T13" s="151"/>
      <c r="U13" s="153" t="s">
        <v>885</v>
      </c>
      <c r="V13" s="151"/>
      <c r="W13" s="996"/>
      <c r="X13" s="151"/>
      <c r="Y13" s="151"/>
      <c r="Z13" s="151"/>
      <c r="AA13" s="201"/>
    </row>
    <row r="14" spans="1:48" ht="15.75" customHeight="1">
      <c r="A14" s="704"/>
      <c r="B14" s="151"/>
      <c r="C14" s="154" t="s">
        <v>1094</v>
      </c>
      <c r="D14" s="947"/>
      <c r="E14" s="154" t="s">
        <v>1095</v>
      </c>
      <c r="F14" s="152"/>
      <c r="G14" s="152"/>
      <c r="H14" s="152"/>
      <c r="I14" s="153" t="s">
        <v>86</v>
      </c>
      <c r="J14" s="201"/>
      <c r="K14" s="153" t="s">
        <v>86</v>
      </c>
      <c r="L14" s="954"/>
      <c r="M14" s="154" t="s">
        <v>1094</v>
      </c>
      <c r="N14" s="947"/>
      <c r="O14" s="154" t="s">
        <v>1095</v>
      </c>
      <c r="P14" s="152"/>
      <c r="Q14" s="152"/>
      <c r="R14" s="152"/>
      <c r="S14" s="153" t="s">
        <v>86</v>
      </c>
      <c r="T14" s="202"/>
      <c r="U14" s="153" t="s">
        <v>86</v>
      </c>
      <c r="V14" s="705"/>
      <c r="W14" s="200"/>
      <c r="X14" s="151"/>
      <c r="Y14" s="151"/>
      <c r="Z14" s="151"/>
      <c r="AA14" s="201"/>
    </row>
    <row r="15" spans="1:48" ht="15.75" customHeight="1">
      <c r="A15" s="704"/>
      <c r="B15" s="151"/>
      <c r="C15" s="153" t="s">
        <v>1133</v>
      </c>
      <c r="D15" s="152"/>
      <c r="E15" s="153" t="s">
        <v>1133</v>
      </c>
      <c r="F15" s="152"/>
      <c r="G15" s="152"/>
      <c r="H15" s="152"/>
      <c r="I15" s="153" t="s">
        <v>1094</v>
      </c>
      <c r="J15" s="200"/>
      <c r="K15" s="154" t="s">
        <v>1095</v>
      </c>
      <c r="L15" s="997"/>
      <c r="M15" s="153" t="s">
        <v>1133</v>
      </c>
      <c r="N15" s="152"/>
      <c r="O15" s="153" t="s">
        <v>1133</v>
      </c>
      <c r="P15" s="152"/>
      <c r="Q15" s="152"/>
      <c r="R15" s="152"/>
      <c r="S15" s="153" t="s">
        <v>1094</v>
      </c>
      <c r="T15" s="202"/>
      <c r="U15" s="154" t="s">
        <v>1095</v>
      </c>
      <c r="V15" s="151"/>
      <c r="W15" s="201"/>
      <c r="X15" s="151"/>
      <c r="Y15" s="151"/>
      <c r="Z15" s="151"/>
      <c r="AA15" s="200"/>
    </row>
    <row r="16" spans="1:48" ht="15.75">
      <c r="A16" s="704"/>
      <c r="B16" s="151"/>
      <c r="C16" s="153" t="s">
        <v>1134</v>
      </c>
      <c r="D16" s="152"/>
      <c r="E16" s="153" t="s">
        <v>1447</v>
      </c>
      <c r="F16" s="152"/>
      <c r="G16" s="154" t="s">
        <v>85</v>
      </c>
      <c r="H16" s="152"/>
      <c r="I16" s="153" t="s">
        <v>87</v>
      </c>
      <c r="J16" s="201"/>
      <c r="K16" s="153" t="s">
        <v>87</v>
      </c>
      <c r="L16" s="954"/>
      <c r="M16" s="153" t="s">
        <v>1134</v>
      </c>
      <c r="N16" s="152"/>
      <c r="O16" s="153" t="s">
        <v>1447</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5"/>
      <c r="M17" s="157"/>
      <c r="N17" s="143"/>
      <c r="O17" s="157"/>
      <c r="P17" s="143"/>
      <c r="Q17" s="157"/>
      <c r="R17" s="143"/>
      <c r="S17" s="157"/>
      <c r="T17" s="156"/>
      <c r="U17" s="157"/>
      <c r="V17" s="156"/>
      <c r="W17" s="156"/>
      <c r="X17" s="156"/>
      <c r="Y17" s="156"/>
      <c r="Z17" s="156"/>
      <c r="AA17" s="156"/>
    </row>
    <row r="18" spans="1:48" ht="15.75">
      <c r="A18" s="29" t="s">
        <v>14</v>
      </c>
      <c r="B18" s="940"/>
      <c r="C18" s="670"/>
      <c r="D18" s="670"/>
      <c r="E18" s="670"/>
      <c r="F18" s="670"/>
      <c r="G18" s="830" t="s">
        <v>15</v>
      </c>
      <c r="H18" s="670"/>
      <c r="I18" s="670"/>
      <c r="J18" s="940"/>
      <c r="K18" s="670"/>
      <c r="L18" s="956"/>
      <c r="M18" s="670"/>
      <c r="N18" s="670"/>
      <c r="O18" s="670"/>
      <c r="P18" s="670"/>
      <c r="Q18" s="670" t="s">
        <v>15</v>
      </c>
      <c r="R18" s="670"/>
      <c r="S18" s="670"/>
      <c r="T18" s="940"/>
      <c r="U18" s="670"/>
      <c r="V18" s="940"/>
      <c r="W18" s="940"/>
      <c r="X18" s="940"/>
      <c r="Y18" s="940"/>
      <c r="Z18" s="940"/>
      <c r="AA18" s="940"/>
    </row>
    <row r="19" spans="1:48">
      <c r="A19" s="835" t="s">
        <v>88</v>
      </c>
      <c r="B19" s="941" t="s">
        <v>15</v>
      </c>
      <c r="C19" s="671"/>
      <c r="D19" s="673"/>
      <c r="E19" s="671"/>
      <c r="F19" s="673"/>
      <c r="G19" s="671"/>
      <c r="H19" s="673"/>
      <c r="I19" s="671"/>
      <c r="J19" s="987"/>
      <c r="K19" s="671"/>
      <c r="L19" s="968"/>
      <c r="M19" s="671"/>
      <c r="N19" s="671"/>
      <c r="O19" s="671"/>
      <c r="P19" s="671"/>
      <c r="Q19" s="969"/>
      <c r="R19" s="673"/>
      <c r="S19" s="671"/>
      <c r="T19" s="673"/>
      <c r="U19" s="671"/>
      <c r="V19" s="987"/>
      <c r="W19" s="987"/>
      <c r="X19" s="987"/>
      <c r="Y19" s="1213"/>
      <c r="Z19" s="985"/>
      <c r="AA19" s="987"/>
      <c r="AB19" s="940"/>
      <c r="AC19" s="940"/>
      <c r="AD19" s="940"/>
      <c r="AE19" s="940"/>
      <c r="AF19" s="940"/>
      <c r="AG19" s="940"/>
      <c r="AH19" s="940"/>
      <c r="AI19" s="940"/>
      <c r="AJ19" s="940"/>
      <c r="AK19" s="940"/>
      <c r="AL19" s="940"/>
      <c r="AM19" s="940"/>
      <c r="AN19" s="940"/>
      <c r="AO19" s="940"/>
      <c r="AP19" s="940"/>
      <c r="AQ19" s="635"/>
      <c r="AR19" s="635"/>
      <c r="AS19" s="635"/>
      <c r="AT19" s="635"/>
      <c r="AU19" s="635"/>
      <c r="AV19" s="951"/>
    </row>
    <row r="20" spans="1:48">
      <c r="A20" s="835" t="s">
        <v>90</v>
      </c>
      <c r="B20" s="940" t="s">
        <v>15</v>
      </c>
      <c r="C20" s="2109">
        <v>539</v>
      </c>
      <c r="D20" s="671"/>
      <c r="E20" s="2109">
        <v>540</v>
      </c>
      <c r="F20" s="671"/>
      <c r="G20" s="957">
        <f>+'Exhibit I State'!AD22</f>
        <v>537.79999999999995</v>
      </c>
      <c r="H20" s="671"/>
      <c r="I20" s="671">
        <f t="shared" ref="I20:I26" si="0">ROUND(SUM(G20)-SUM(C20),1)</f>
        <v>-1.2</v>
      </c>
      <c r="J20" s="987"/>
      <c r="K20" s="671">
        <f t="shared" ref="K20:K26" si="1">ROUND(SUM(G20)-SUM(E20),1)</f>
        <v>-2.2000000000000002</v>
      </c>
      <c r="L20" s="968"/>
      <c r="M20" s="2109">
        <v>0</v>
      </c>
      <c r="N20" s="2109"/>
      <c r="O20" s="2109">
        <v>0</v>
      </c>
      <c r="P20" s="674"/>
      <c r="Q20" s="957">
        <v>0</v>
      </c>
      <c r="R20" s="674"/>
      <c r="S20" s="671">
        <f t="shared" ref="S20:S26" si="2">ROUND(SUM(Q20)-SUM(M20),1)</f>
        <v>0</v>
      </c>
      <c r="T20" s="987"/>
      <c r="U20" s="671">
        <f t="shared" ref="U20:U26" si="3">ROUND(SUM(Q20)-SUM(O20),1)</f>
        <v>0</v>
      </c>
      <c r="V20" s="1214"/>
      <c r="W20" s="986"/>
      <c r="X20" s="1214"/>
      <c r="Y20" s="986"/>
      <c r="Z20" s="1214"/>
      <c r="AA20" s="987"/>
      <c r="AB20" s="940"/>
      <c r="AC20" s="940"/>
      <c r="AD20" s="940"/>
      <c r="AE20" s="940"/>
      <c r="AF20" s="940"/>
      <c r="AG20" s="940"/>
      <c r="AH20" s="940"/>
      <c r="AI20" s="940"/>
      <c r="AJ20" s="940"/>
      <c r="AK20" s="940"/>
      <c r="AL20" s="940"/>
      <c r="AM20" s="940"/>
      <c r="AN20" s="940"/>
      <c r="AO20" s="940"/>
      <c r="AP20" s="940"/>
      <c r="AQ20" s="635"/>
      <c r="AR20" s="635"/>
      <c r="AS20" s="635"/>
      <c r="AT20" s="635"/>
      <c r="AU20" s="635"/>
      <c r="AV20" s="951"/>
    </row>
    <row r="21" spans="1:48">
      <c r="A21" s="835" t="s">
        <v>91</v>
      </c>
      <c r="B21" s="941" t="s">
        <v>15</v>
      </c>
      <c r="C21" s="1141">
        <v>559</v>
      </c>
      <c r="D21" s="695"/>
      <c r="E21" s="1141">
        <v>569</v>
      </c>
      <c r="F21" s="695"/>
      <c r="G21" s="700">
        <f>+'Exhibit I State'!AD27</f>
        <v>569.70000000000005</v>
      </c>
      <c r="H21" s="695"/>
      <c r="I21" s="656">
        <f t="shared" si="0"/>
        <v>10.7</v>
      </c>
      <c r="J21" s="959"/>
      <c r="K21" s="1575">
        <f t="shared" si="1"/>
        <v>0.7</v>
      </c>
      <c r="L21" s="970"/>
      <c r="M21" s="1141">
        <v>0</v>
      </c>
      <c r="N21" s="1141"/>
      <c r="O21" s="1141">
        <v>0</v>
      </c>
      <c r="P21" s="672"/>
      <c r="Q21" s="700">
        <v>0</v>
      </c>
      <c r="R21" s="672"/>
      <c r="S21" s="656">
        <f t="shared" si="2"/>
        <v>0</v>
      </c>
      <c r="T21" s="695"/>
      <c r="U21" s="1575">
        <f t="shared" si="3"/>
        <v>0</v>
      </c>
      <c r="V21" s="962"/>
      <c r="W21" s="990"/>
      <c r="X21" s="962"/>
      <c r="Y21" s="990"/>
      <c r="Z21" s="962"/>
      <c r="AA21" s="959"/>
      <c r="AB21" s="961"/>
      <c r="AC21" s="940"/>
      <c r="AD21" s="940"/>
      <c r="AE21" s="961"/>
      <c r="AF21" s="940"/>
      <c r="AG21" s="961"/>
      <c r="AH21" s="940"/>
      <c r="AI21" s="940"/>
      <c r="AJ21" s="961"/>
      <c r="AK21" s="940"/>
      <c r="AL21" s="940"/>
      <c r="AM21" s="961"/>
      <c r="AN21" s="203"/>
      <c r="AO21" s="961"/>
      <c r="AP21" s="940"/>
      <c r="AQ21" s="635"/>
      <c r="AR21" s="635"/>
      <c r="AS21" s="635"/>
      <c r="AT21" s="635"/>
      <c r="AU21" s="635"/>
      <c r="AV21" s="951"/>
    </row>
    <row r="22" spans="1:48">
      <c r="A22" s="835" t="s">
        <v>92</v>
      </c>
      <c r="B22" s="940" t="s">
        <v>15</v>
      </c>
      <c r="C22" s="1141">
        <v>96</v>
      </c>
      <c r="D22" s="1575"/>
      <c r="E22" s="1141">
        <v>95</v>
      </c>
      <c r="F22" s="656"/>
      <c r="G22" s="700">
        <f>+'Exhibit I State'!AD30</f>
        <v>95.3</v>
      </c>
      <c r="H22" s="656"/>
      <c r="I22" s="656">
        <f t="shared" si="0"/>
        <v>-0.7</v>
      </c>
      <c r="J22" s="959"/>
      <c r="K22" s="1575">
        <f t="shared" si="1"/>
        <v>0.3</v>
      </c>
      <c r="L22" s="970"/>
      <c r="M22" s="1141">
        <v>0</v>
      </c>
      <c r="N22" s="1141"/>
      <c r="O22" s="1141">
        <v>0</v>
      </c>
      <c r="P22" s="672"/>
      <c r="Q22" s="700">
        <v>0</v>
      </c>
      <c r="R22" s="672"/>
      <c r="S22" s="656">
        <f t="shared" si="2"/>
        <v>0</v>
      </c>
      <c r="T22" s="959"/>
      <c r="U22" s="1575">
        <f t="shared" si="3"/>
        <v>0</v>
      </c>
      <c r="V22" s="962"/>
      <c r="W22" s="990"/>
      <c r="X22" s="962"/>
      <c r="Y22" s="990"/>
      <c r="Z22" s="962"/>
      <c r="AA22" s="959"/>
      <c r="AB22" s="940"/>
      <c r="AC22" s="940"/>
      <c r="AD22" s="940"/>
      <c r="AE22" s="940"/>
      <c r="AF22" s="940"/>
      <c r="AG22" s="940"/>
      <c r="AH22" s="940"/>
      <c r="AI22" s="940"/>
      <c r="AJ22" s="940"/>
      <c r="AK22" s="940"/>
      <c r="AL22" s="940"/>
      <c r="AM22" s="940"/>
      <c r="AN22" s="940"/>
      <c r="AO22" s="940"/>
      <c r="AP22" s="940"/>
      <c r="AQ22" s="635"/>
      <c r="AR22" s="635"/>
      <c r="AS22" s="635"/>
      <c r="AT22" s="635"/>
      <c r="AU22" s="635"/>
      <c r="AV22" s="951"/>
    </row>
    <row r="23" spans="1:48">
      <c r="A23" s="835" t="s">
        <v>20</v>
      </c>
      <c r="B23" s="940" t="s">
        <v>15</v>
      </c>
      <c r="C23" s="1141">
        <v>5534</v>
      </c>
      <c r="D23" s="1575"/>
      <c r="E23" s="1141">
        <v>4606</v>
      </c>
      <c r="F23" s="656"/>
      <c r="G23" s="700">
        <f>+'Exhibit I State'!AD60</f>
        <v>4511.3</v>
      </c>
      <c r="H23" s="656"/>
      <c r="I23" s="656">
        <f t="shared" si="0"/>
        <v>-1022.7</v>
      </c>
      <c r="J23" s="959"/>
      <c r="K23" s="1575">
        <f t="shared" si="1"/>
        <v>-94.7</v>
      </c>
      <c r="L23" s="970"/>
      <c r="M23" s="1141">
        <v>0</v>
      </c>
      <c r="N23" s="1575"/>
      <c r="O23" s="1141">
        <v>0</v>
      </c>
      <c r="P23" s="656"/>
      <c r="Q23" s="656">
        <f>+'Exhibit I Federal'!AD42</f>
        <v>0.7</v>
      </c>
      <c r="R23" s="656"/>
      <c r="S23" s="656">
        <f t="shared" si="2"/>
        <v>0.7</v>
      </c>
      <c r="T23" s="959"/>
      <c r="U23" s="1575">
        <f>ROUND(SUM(Q23)-SUM(O23),1)</f>
        <v>0.7</v>
      </c>
      <c r="V23" s="959"/>
      <c r="W23" s="990"/>
      <c r="X23" s="959"/>
      <c r="Y23" s="990"/>
      <c r="Z23" s="959"/>
      <c r="AA23" s="959"/>
    </row>
    <row r="24" spans="1:48">
      <c r="A24" s="835" t="s">
        <v>21</v>
      </c>
      <c r="B24" s="940" t="s">
        <v>15</v>
      </c>
      <c r="C24" s="1141">
        <v>0</v>
      </c>
      <c r="D24" s="1575"/>
      <c r="E24" s="1141">
        <v>2</v>
      </c>
      <c r="F24" s="656"/>
      <c r="G24" s="700">
        <f>+'Exhibit I State'!AD62</f>
        <v>2.2999999999999998</v>
      </c>
      <c r="H24" s="656"/>
      <c r="I24" s="656">
        <f t="shared" si="0"/>
        <v>2.2999999999999998</v>
      </c>
      <c r="J24" s="959"/>
      <c r="K24" s="1575">
        <f t="shared" si="1"/>
        <v>0.3</v>
      </c>
      <c r="L24" s="970"/>
      <c r="M24" s="1141">
        <v>1612</v>
      </c>
      <c r="N24" s="1575"/>
      <c r="O24" s="1141">
        <v>1706</v>
      </c>
      <c r="P24" s="656"/>
      <c r="Q24" s="656">
        <f>+'Exhibit I Federal'!AD44</f>
        <v>1848.2</v>
      </c>
      <c r="R24" s="656"/>
      <c r="S24" s="656">
        <f t="shared" si="2"/>
        <v>236.2</v>
      </c>
      <c r="T24" s="959"/>
      <c r="U24" s="1575">
        <f t="shared" si="3"/>
        <v>142.19999999999999</v>
      </c>
      <c r="V24" s="959"/>
      <c r="W24" s="990"/>
      <c r="X24" s="959"/>
      <c r="Y24" s="990"/>
      <c r="Z24" s="959"/>
      <c r="AA24" s="959"/>
    </row>
    <row r="25" spans="1:48">
      <c r="A25" s="835" t="s">
        <v>98</v>
      </c>
      <c r="B25" s="940" t="s">
        <v>15</v>
      </c>
      <c r="C25" s="1141">
        <v>0</v>
      </c>
      <c r="D25" s="1575"/>
      <c r="E25" s="1141">
        <v>0</v>
      </c>
      <c r="F25" s="656"/>
      <c r="G25" s="700">
        <f>+'Exhibit I State'!AA91</f>
        <v>0</v>
      </c>
      <c r="H25" s="656"/>
      <c r="I25" s="656">
        <f t="shared" si="0"/>
        <v>0</v>
      </c>
      <c r="J25" s="959"/>
      <c r="K25" s="1575">
        <f t="shared" si="1"/>
        <v>0</v>
      </c>
      <c r="L25" s="971"/>
      <c r="M25" s="1141">
        <v>0</v>
      </c>
      <c r="N25" s="911"/>
      <c r="O25" s="1141">
        <v>0</v>
      </c>
      <c r="P25" s="656"/>
      <c r="Q25" s="672">
        <v>0</v>
      </c>
      <c r="R25" s="656"/>
      <c r="S25" s="656">
        <f t="shared" si="2"/>
        <v>0</v>
      </c>
      <c r="T25" s="960"/>
      <c r="U25" s="1575">
        <f t="shared" si="3"/>
        <v>0</v>
      </c>
      <c r="V25" s="959"/>
      <c r="W25" s="990"/>
      <c r="X25" s="959"/>
      <c r="Y25" s="990"/>
      <c r="Z25" s="959"/>
      <c r="AA25" s="959"/>
    </row>
    <row r="26" spans="1:48">
      <c r="A26" s="835" t="s">
        <v>48</v>
      </c>
      <c r="B26" s="940" t="s">
        <v>15</v>
      </c>
      <c r="C26" s="1141">
        <v>2986</v>
      </c>
      <c r="D26" s="1575"/>
      <c r="E26" s="1141">
        <v>3930</v>
      </c>
      <c r="F26" s="656"/>
      <c r="G26" s="698">
        <f>+'Exhibit I State'!AD92</f>
        <v>3847.7000000000003</v>
      </c>
      <c r="H26" s="656"/>
      <c r="I26" s="656">
        <f t="shared" si="0"/>
        <v>861.7</v>
      </c>
      <c r="J26" s="959"/>
      <c r="K26" s="1575">
        <f t="shared" si="1"/>
        <v>-82.3</v>
      </c>
      <c r="L26" s="970"/>
      <c r="M26" s="1141">
        <v>-300</v>
      </c>
      <c r="N26" s="911"/>
      <c r="O26" s="1141">
        <v>-176</v>
      </c>
      <c r="P26" s="656"/>
      <c r="Q26" s="695">
        <f>+'Exhibit I Federal'!I73</f>
        <v>0</v>
      </c>
      <c r="R26" s="656"/>
      <c r="S26" s="656">
        <f t="shared" si="2"/>
        <v>300</v>
      </c>
      <c r="T26" s="960"/>
      <c r="U26" s="1575">
        <f t="shared" si="3"/>
        <v>176</v>
      </c>
      <c r="V26" s="959"/>
      <c r="W26" s="990"/>
      <c r="X26" s="959"/>
      <c r="Y26" s="990"/>
      <c r="Z26" s="959"/>
      <c r="AA26" s="959"/>
    </row>
    <row r="27" spans="1:48" ht="18" customHeight="1">
      <c r="A27" s="173" t="s">
        <v>109</v>
      </c>
      <c r="B27" s="151" t="s">
        <v>15</v>
      </c>
      <c r="C27" s="1927">
        <f>ROUND(SUM(C20:C26),1)</f>
        <v>9714</v>
      </c>
      <c r="D27" s="938"/>
      <c r="E27" s="1927">
        <f>ROUND(SUM(E20:E26),1)</f>
        <v>9742</v>
      </c>
      <c r="F27" s="938"/>
      <c r="G27" s="215">
        <f>ROUND(SUM(G20:G26),1)</f>
        <v>9564.1</v>
      </c>
      <c r="H27" s="938"/>
      <c r="I27" s="215">
        <f>ROUND(SUM(I20:I26),1)</f>
        <v>-149.9</v>
      </c>
      <c r="J27" s="76"/>
      <c r="K27" s="215">
        <f>ROUND(SUM(K20:K26),1)</f>
        <v>-177.9</v>
      </c>
      <c r="L27" s="972"/>
      <c r="M27" s="1927">
        <f>ROUND(SUM(M20:M26),1)</f>
        <v>1312</v>
      </c>
      <c r="N27" s="938"/>
      <c r="O27" s="1927">
        <f>ROUND(SUM(O20:O26),1)</f>
        <v>1530</v>
      </c>
      <c r="P27" s="938"/>
      <c r="Q27" s="215">
        <f>ROUND(SUM(Q20:Q26),1)</f>
        <v>1848.9</v>
      </c>
      <c r="R27" s="938"/>
      <c r="S27" s="215">
        <f>ROUND(SUM(S20:S26),1)</f>
        <v>536.9</v>
      </c>
      <c r="T27" s="76"/>
      <c r="U27" s="215">
        <f>ROUND(SUM(U20:U26),1)</f>
        <v>318.89999999999998</v>
      </c>
      <c r="V27" s="76"/>
      <c r="W27" s="76"/>
      <c r="X27" s="76"/>
      <c r="Y27" s="76"/>
      <c r="Z27" s="76"/>
      <c r="AA27" s="76"/>
    </row>
    <row r="28" spans="1:48">
      <c r="A28" s="704"/>
      <c r="B28" s="940" t="s">
        <v>15</v>
      </c>
      <c r="C28" s="1928"/>
      <c r="D28" s="1575"/>
      <c r="E28" s="1928"/>
      <c r="F28" s="656"/>
      <c r="G28" s="702"/>
      <c r="H28" s="656"/>
      <c r="I28" s="702"/>
      <c r="J28" s="959"/>
      <c r="K28" s="702"/>
      <c r="L28" s="970"/>
      <c r="M28" s="1928"/>
      <c r="N28" s="1575"/>
      <c r="O28" s="1928"/>
      <c r="P28" s="656"/>
      <c r="Q28" s="702"/>
      <c r="R28" s="656"/>
      <c r="S28" s="702" t="s">
        <v>15</v>
      </c>
      <c r="T28" s="959"/>
      <c r="U28" s="702"/>
      <c r="V28" s="959"/>
      <c r="W28" s="959"/>
      <c r="X28" s="959"/>
      <c r="Y28" s="959"/>
      <c r="Z28" s="959"/>
      <c r="AA28" s="959"/>
    </row>
    <row r="29" spans="1:48" ht="15.75">
      <c r="A29" s="29" t="s">
        <v>23</v>
      </c>
      <c r="B29" s="940" t="s">
        <v>15</v>
      </c>
      <c r="C29" s="911"/>
      <c r="D29" s="1575"/>
      <c r="E29" s="911"/>
      <c r="F29" s="656"/>
      <c r="G29" s="656" t="s">
        <v>15</v>
      </c>
      <c r="H29" s="656"/>
      <c r="I29" s="656"/>
      <c r="J29" s="959"/>
      <c r="K29" s="1575"/>
      <c r="L29" s="970"/>
      <c r="M29" s="911"/>
      <c r="N29" s="1575"/>
      <c r="O29" s="911"/>
      <c r="P29" s="656"/>
      <c r="Q29" s="656"/>
      <c r="R29" s="656"/>
      <c r="S29" s="656"/>
      <c r="T29" s="959"/>
      <c r="U29" s="1575"/>
      <c r="V29" s="959"/>
      <c r="W29" s="959"/>
      <c r="X29" s="959"/>
      <c r="Y29" s="959"/>
      <c r="Z29" s="959"/>
      <c r="AA29" s="959"/>
    </row>
    <row r="30" spans="1:48">
      <c r="A30" s="835" t="s">
        <v>94</v>
      </c>
      <c r="B30" s="940" t="s">
        <v>15</v>
      </c>
      <c r="C30" s="1141">
        <v>3607</v>
      </c>
      <c r="D30" s="1575"/>
      <c r="E30" s="1141">
        <v>3586</v>
      </c>
      <c r="F30" s="656"/>
      <c r="G30" s="672">
        <f>+'Exhibit I State'!AD78</f>
        <v>3674.5</v>
      </c>
      <c r="H30" s="656"/>
      <c r="I30" s="656">
        <f>ROUND(SUM(G30)-SUM(C30),1)</f>
        <v>67.5</v>
      </c>
      <c r="J30" s="959"/>
      <c r="K30" s="1575">
        <f t="shared" ref="K30:K32" si="4">ROUND(SUM(G30)-SUM(E30),1)</f>
        <v>88.5</v>
      </c>
      <c r="L30" s="970"/>
      <c r="M30" s="1141">
        <v>613</v>
      </c>
      <c r="N30" s="1575"/>
      <c r="O30" s="1141">
        <v>482</v>
      </c>
      <c r="P30" s="656"/>
      <c r="Q30" s="656">
        <f>+'Exhibit I Federal'!AD60</f>
        <v>654.5</v>
      </c>
      <c r="R30" s="656"/>
      <c r="S30" s="656">
        <f>ROUND(SUM(Q30)-SUM(M30),1)</f>
        <v>41.5</v>
      </c>
      <c r="T30" s="959"/>
      <c r="U30" s="1575">
        <f t="shared" ref="U30:U32" si="5">ROUND(SUM(Q30)-SUM(O30),1)</f>
        <v>172.5</v>
      </c>
      <c r="V30" s="959"/>
      <c r="W30" s="990"/>
      <c r="X30" s="959"/>
      <c r="Y30" s="990"/>
      <c r="Z30" s="959"/>
      <c r="AA30" s="959"/>
    </row>
    <row r="31" spans="1:48">
      <c r="A31" s="835" t="s">
        <v>42</v>
      </c>
      <c r="B31" s="940" t="s">
        <v>15</v>
      </c>
      <c r="C31" s="1141">
        <v>6341</v>
      </c>
      <c r="D31" s="1575"/>
      <c r="E31" s="1141">
        <v>5204</v>
      </c>
      <c r="F31" s="656"/>
      <c r="G31" s="672">
        <f>+'Exhibit I State'!AD83</f>
        <v>4998</v>
      </c>
      <c r="H31" s="656"/>
      <c r="I31" s="656">
        <f>ROUND(SUM(G31)-SUM(C31),1)</f>
        <v>-1343</v>
      </c>
      <c r="J31" s="959"/>
      <c r="K31" s="1575">
        <f t="shared" si="4"/>
        <v>-206</v>
      </c>
      <c r="L31" s="971"/>
      <c r="M31" s="1141">
        <v>960</v>
      </c>
      <c r="N31" s="1575"/>
      <c r="O31" s="1141">
        <v>1006</v>
      </c>
      <c r="P31" s="656"/>
      <c r="Q31" s="656">
        <f>+'Exhibit I Federal'!AD65</f>
        <v>978.8</v>
      </c>
      <c r="R31" s="656"/>
      <c r="S31" s="656">
        <f>ROUND(SUM(Q31)-SUM(M31),1)</f>
        <v>18.8</v>
      </c>
      <c r="T31" s="959"/>
      <c r="U31" s="1575">
        <f t="shared" si="5"/>
        <v>-27.2</v>
      </c>
      <c r="V31" s="959"/>
      <c r="W31" s="990"/>
      <c r="X31" s="959"/>
      <c r="Y31" s="990"/>
      <c r="Z31" s="959"/>
      <c r="AA31" s="959"/>
    </row>
    <row r="32" spans="1:48">
      <c r="A32" s="835" t="s">
        <v>99</v>
      </c>
      <c r="B32" s="940" t="s">
        <v>15</v>
      </c>
      <c r="C32" s="1141">
        <v>687</v>
      </c>
      <c r="D32" s="1575"/>
      <c r="E32" s="1141">
        <v>740</v>
      </c>
      <c r="F32" s="656"/>
      <c r="G32" s="695">
        <f>-'Exhibit I State'!AD93</f>
        <v>740.1</v>
      </c>
      <c r="H32" s="656"/>
      <c r="I32" s="656">
        <f>ROUND(SUM(G32)-SUM(C32),1)</f>
        <v>53.1</v>
      </c>
      <c r="J32" s="959"/>
      <c r="K32" s="1575">
        <f t="shared" si="4"/>
        <v>0.1</v>
      </c>
      <c r="L32" s="970"/>
      <c r="M32" s="1141">
        <v>0</v>
      </c>
      <c r="N32" s="1575"/>
      <c r="O32" s="1141">
        <v>0</v>
      </c>
      <c r="P32" s="656"/>
      <c r="Q32" s="695">
        <f>-'Exhibit I Federal'!AD74</f>
        <v>176.1</v>
      </c>
      <c r="R32" s="656"/>
      <c r="S32" s="656">
        <f>ROUND(SUM(Q32)-SUM(M32),1)</f>
        <v>176.1</v>
      </c>
      <c r="T32" s="960"/>
      <c r="U32" s="1575">
        <f t="shared" si="5"/>
        <v>176.1</v>
      </c>
      <c r="V32" s="959"/>
      <c r="W32" s="990"/>
      <c r="X32" s="959"/>
      <c r="Y32" s="990"/>
      <c r="Z32" s="959"/>
      <c r="AA32" s="959"/>
    </row>
    <row r="33" spans="1:48" ht="18" customHeight="1">
      <c r="A33" s="173" t="s">
        <v>118</v>
      </c>
      <c r="B33" s="151" t="s">
        <v>15</v>
      </c>
      <c r="C33" s="1927">
        <f>ROUND(SUM(C30:C32),1)</f>
        <v>10635</v>
      </c>
      <c r="D33" s="938"/>
      <c r="E33" s="1927">
        <f>ROUND(SUM(E30:E32),1)</f>
        <v>9530</v>
      </c>
      <c r="F33" s="938"/>
      <c r="G33" s="215">
        <f>ROUND(SUM(G30:G32),1)</f>
        <v>9412.6</v>
      </c>
      <c r="H33" s="938"/>
      <c r="I33" s="215">
        <f>ROUND(SUM(I30:I32),1)</f>
        <v>-1222.4000000000001</v>
      </c>
      <c r="J33" s="76"/>
      <c r="K33" s="215">
        <f>ROUND(SUM(K30:K32),1)</f>
        <v>-117.4</v>
      </c>
      <c r="L33" s="972"/>
      <c r="M33" s="1926">
        <f>ROUND(SUM(M30:M32),1)</f>
        <v>1573</v>
      </c>
      <c r="N33" s="938"/>
      <c r="O33" s="1926">
        <f>ROUND(SUM(O30:O32),1)</f>
        <v>1488</v>
      </c>
      <c r="P33" s="938"/>
      <c r="Q33" s="215">
        <f>ROUND(SUM(Q30:Q32),1)</f>
        <v>1809.4</v>
      </c>
      <c r="R33" s="938"/>
      <c r="S33" s="215">
        <f>ROUND(SUM(S30:S32),1)</f>
        <v>236.4</v>
      </c>
      <c r="T33" s="76"/>
      <c r="U33" s="215">
        <f>ROUND(SUM(U30:U32),1)</f>
        <v>321.39999999999998</v>
      </c>
      <c r="V33" s="76"/>
      <c r="W33" s="76"/>
      <c r="X33" s="76"/>
      <c r="Y33" s="76"/>
      <c r="Z33" s="76"/>
      <c r="AA33" s="76"/>
    </row>
    <row r="34" spans="1:48">
      <c r="A34" s="704"/>
      <c r="B34" s="940" t="s">
        <v>15</v>
      </c>
      <c r="C34" s="1928"/>
      <c r="D34" s="1575"/>
      <c r="E34" s="1928"/>
      <c r="F34" s="656"/>
      <c r="G34" s="702"/>
      <c r="H34" s="656"/>
      <c r="I34" s="702"/>
      <c r="J34" s="959"/>
      <c r="K34" s="702"/>
      <c r="L34" s="970"/>
      <c r="M34" s="1924"/>
      <c r="N34" s="1575"/>
      <c r="O34" s="1924"/>
      <c r="P34" s="656"/>
      <c r="Q34" s="702"/>
      <c r="R34" s="656"/>
      <c r="S34" s="702"/>
      <c r="T34" s="959"/>
      <c r="U34" s="702"/>
      <c r="V34" s="959"/>
      <c r="W34" s="959"/>
      <c r="X34" s="959"/>
      <c r="Y34" s="959"/>
      <c r="Z34" s="959"/>
      <c r="AA34" s="959"/>
    </row>
    <row r="35" spans="1:48" ht="15.75">
      <c r="A35" s="29" t="s">
        <v>101</v>
      </c>
      <c r="B35" s="940"/>
      <c r="C35" s="911"/>
      <c r="D35" s="1575"/>
      <c r="E35" s="911"/>
      <c r="F35" s="656"/>
      <c r="G35" s="656"/>
      <c r="H35" s="656"/>
      <c r="I35" s="656"/>
      <c r="J35" s="959"/>
      <c r="K35" s="1575"/>
      <c r="L35" s="970"/>
      <c r="M35" s="1575"/>
      <c r="N35" s="1575"/>
      <c r="O35" s="1575"/>
      <c r="P35" s="656"/>
      <c r="Q35" s="656"/>
      <c r="R35" s="656"/>
      <c r="S35" s="656"/>
      <c r="T35" s="959"/>
      <c r="U35" s="1575"/>
      <c r="V35" s="959"/>
      <c r="W35" s="959"/>
      <c r="X35" s="959"/>
      <c r="Y35" s="959"/>
      <c r="Z35" s="959"/>
      <c r="AA35" s="959"/>
    </row>
    <row r="36" spans="1:48" ht="15.75">
      <c r="A36" s="29" t="s">
        <v>102</v>
      </c>
      <c r="B36" s="940"/>
      <c r="C36" s="911"/>
      <c r="D36" s="1575"/>
      <c r="E36" s="911"/>
      <c r="F36" s="656"/>
      <c r="G36" s="656"/>
      <c r="H36" s="656"/>
      <c r="I36" s="656"/>
      <c r="J36" s="959"/>
      <c r="K36" s="1575"/>
      <c r="L36" s="970"/>
      <c r="M36" s="1575"/>
      <c r="N36" s="1575"/>
      <c r="O36" s="1575"/>
      <c r="P36" s="656"/>
      <c r="Q36" s="656"/>
      <c r="R36" s="656"/>
      <c r="S36" s="656"/>
      <c r="T36" s="959"/>
      <c r="U36" s="1575"/>
      <c r="V36" s="959"/>
      <c r="W36" s="959"/>
      <c r="X36" s="959"/>
      <c r="Y36" s="959"/>
      <c r="Z36" s="959"/>
      <c r="AA36" s="959"/>
    </row>
    <row r="37" spans="1:48" ht="15.75">
      <c r="A37" s="173" t="s">
        <v>103</v>
      </c>
      <c r="B37" s="174" t="s">
        <v>15</v>
      </c>
      <c r="C37" s="115">
        <f>ROUND(SUM(C27)-SUM(C33),1)</f>
        <v>-921</v>
      </c>
      <c r="D37" s="84"/>
      <c r="E37" s="115">
        <f>ROUND(SUM(E27)-SUM(E33),1)</f>
        <v>212</v>
      </c>
      <c r="F37" s="84"/>
      <c r="G37" s="76">
        <f>ROUND(SUM(G27)-SUM(G33),1)</f>
        <v>151.5</v>
      </c>
      <c r="H37" s="84"/>
      <c r="I37" s="76">
        <f>ROUND(SUM(I27)-SUM(I33),1)</f>
        <v>1072.5</v>
      </c>
      <c r="J37" s="76"/>
      <c r="K37" s="1576">
        <f>ROUND(SUM(K27)-SUM(K33),1)</f>
        <v>-60.5</v>
      </c>
      <c r="L37" s="972"/>
      <c r="M37" s="1576">
        <f>ROUND(SUM(M27)-SUM(M33),1)</f>
        <v>-261</v>
      </c>
      <c r="N37" s="84"/>
      <c r="O37" s="1576">
        <f>ROUND(SUM(O27)-SUM(O33),1)</f>
        <v>42</v>
      </c>
      <c r="P37" s="84"/>
      <c r="Q37" s="76">
        <f>ROUND(SUM(Q27)-SUM(Q33),1)</f>
        <v>39.5</v>
      </c>
      <c r="R37" s="84"/>
      <c r="S37" s="76">
        <f>ROUND(SUM(S27)-SUM(S33),1)</f>
        <v>300.5</v>
      </c>
      <c r="T37" s="1576"/>
      <c r="U37" s="1576">
        <f t="shared" ref="U37" si="6">ROUND(SUM(U27)-SUM(U33),1)</f>
        <v>-2.5</v>
      </c>
      <c r="V37" s="399"/>
      <c r="W37" s="76"/>
      <c r="X37" s="399"/>
      <c r="Y37" s="76"/>
      <c r="Z37" s="399"/>
      <c r="AA37" s="76"/>
      <c r="AB37" s="635"/>
    </row>
    <row r="38" spans="1:48" ht="15.75">
      <c r="B38" s="635"/>
      <c r="C38" s="1525"/>
      <c r="D38" s="948"/>
      <c r="E38" s="1525"/>
      <c r="F38" s="948"/>
      <c r="G38" s="684"/>
      <c r="H38" s="948"/>
      <c r="I38" s="684"/>
      <c r="J38" s="684"/>
      <c r="K38" s="684"/>
      <c r="L38" s="972"/>
      <c r="M38" s="684"/>
      <c r="N38" s="948"/>
      <c r="O38" s="684"/>
      <c r="P38" s="948"/>
      <c r="Q38" s="684"/>
      <c r="R38" s="948"/>
      <c r="S38" s="684"/>
      <c r="T38" s="684"/>
      <c r="U38" s="938"/>
      <c r="V38" s="684"/>
      <c r="W38" s="684"/>
      <c r="X38" s="684"/>
      <c r="Y38" s="684"/>
      <c r="Z38" s="684"/>
      <c r="AA38" s="684"/>
    </row>
    <row r="39" spans="1:48" ht="15.75">
      <c r="A39" s="173" t="s">
        <v>104</v>
      </c>
      <c r="B39" s="950" t="s">
        <v>15</v>
      </c>
      <c r="C39" s="115">
        <v>-633</v>
      </c>
      <c r="D39" s="1700"/>
      <c r="E39" s="115">
        <v>-633</v>
      </c>
      <c r="F39" s="948"/>
      <c r="G39" s="115">
        <f>'Exhibit I State'!E14</f>
        <v>-633.20000000000005</v>
      </c>
      <c r="H39" s="948"/>
      <c r="I39" s="81">
        <f>ROUND(SUM(G39-C39),1)</f>
        <v>-0.2</v>
      </c>
      <c r="J39" s="81"/>
      <c r="K39" s="81">
        <f>ROUND(SUM(G39-E39),1)</f>
        <v>-0.2</v>
      </c>
      <c r="L39" s="972"/>
      <c r="M39" s="115">
        <v>-505</v>
      </c>
      <c r="N39" s="1700"/>
      <c r="O39" s="115">
        <v>-505</v>
      </c>
      <c r="P39" s="948"/>
      <c r="Q39" s="115">
        <f>'Exhibit I Federal'!E14</f>
        <v>-504.7</v>
      </c>
      <c r="R39" s="948"/>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1"/>
    </row>
    <row r="40" spans="1:48" ht="16.5" thickBot="1">
      <c r="A40" s="1415" t="str">
        <f>+'Exh D-Governmental  '!A50</f>
        <v>Fund Balances (Deficits) at January 31, 2020</v>
      </c>
      <c r="B40" s="180" t="s">
        <v>15</v>
      </c>
      <c r="C40" s="98">
        <f>ROUND(SUM(C37:C39),1)</f>
        <v>-1554</v>
      </c>
      <c r="D40" s="181"/>
      <c r="E40" s="98">
        <f>ROUND(SUM(E37:E39),1)</f>
        <v>-421</v>
      </c>
      <c r="F40" s="181"/>
      <c r="G40" s="98">
        <f>ROUND(SUM(G37:G39),1)</f>
        <v>-481.7</v>
      </c>
      <c r="H40" s="181"/>
      <c r="I40" s="98">
        <f>ROUND(SUM(I37:I39),1)</f>
        <v>1072.3</v>
      </c>
      <c r="J40" s="219"/>
      <c r="K40" s="98">
        <f>ROUND(SUM(K37:K39),1)</f>
        <v>-60.7</v>
      </c>
      <c r="L40" s="973"/>
      <c r="M40" s="98">
        <f>ROUND(SUM(M37:M39),1)</f>
        <v>-766</v>
      </c>
      <c r="N40" s="181"/>
      <c r="O40" s="98">
        <f>ROUND(SUM(O37:O39),1)</f>
        <v>-463</v>
      </c>
      <c r="P40" s="181"/>
      <c r="Q40" s="98">
        <f>ROUND(SUM(Q37:Q39),1)</f>
        <v>-465.2</v>
      </c>
      <c r="R40" s="181"/>
      <c r="S40" s="98">
        <f>ROUND(SUM(S37:S39),1)</f>
        <v>300.8</v>
      </c>
      <c r="T40" s="181"/>
      <c r="U40" s="98">
        <f>ROUND(SUM(U37:U39),1)</f>
        <v>-2.2000000000000002</v>
      </c>
      <c r="V40" s="991"/>
      <c r="W40" s="219"/>
      <c r="X40" s="991"/>
      <c r="Y40" s="219"/>
      <c r="Z40" s="991"/>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1"/>
    </row>
    <row r="41" spans="1:48" ht="15.75" thickTop="1">
      <c r="B41" s="635"/>
      <c r="L41" s="635"/>
      <c r="N41" s="951"/>
      <c r="P41" s="951"/>
      <c r="Q41" s="974"/>
      <c r="R41" s="951"/>
      <c r="S41" s="951"/>
      <c r="U41" s="951"/>
      <c r="W41" s="635"/>
      <c r="Y41" s="949"/>
    </row>
    <row r="42" spans="1:48">
      <c r="A42" s="952" t="str">
        <f>'Exh D-Governmental  '!A52</f>
        <v>(*)    Source: 2019-20 Enacted Financial Plan dated May 13, 2019.</v>
      </c>
      <c r="B42" s="635"/>
      <c r="S42" s="1449"/>
    </row>
    <row r="43" spans="1:48" s="1009" customFormat="1">
      <c r="A43" s="3863" t="str">
        <f>'Exh D Capital Projects'!A43</f>
        <v>(**)   Source: 2020-21 Executive Budget dated January 21, 2020.</v>
      </c>
      <c r="B43" s="1994"/>
      <c r="C43" s="433"/>
      <c r="D43" s="967"/>
      <c r="E43" s="433"/>
      <c r="F43" s="967"/>
      <c r="G43" s="967"/>
      <c r="H43" s="967"/>
      <c r="I43" s="967"/>
      <c r="J43" s="967"/>
      <c r="K43" s="1994"/>
      <c r="L43" s="433"/>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967"/>
    </row>
    <row r="44" spans="1:48">
      <c r="A44" s="1539"/>
      <c r="B44" s="635"/>
      <c r="Y44" s="963"/>
      <c r="Z44" s="940"/>
      <c r="AA44" s="963"/>
      <c r="AB44" s="670"/>
      <c r="AC44" s="975"/>
    </row>
    <row r="45" spans="1:48">
      <c r="A45" s="1539"/>
      <c r="B45" s="635"/>
    </row>
    <row r="46" spans="1:48">
      <c r="A46" s="1067"/>
      <c r="B46" s="635"/>
    </row>
    <row r="47" spans="1:48">
      <c r="A47" s="183"/>
      <c r="B47" s="635"/>
    </row>
    <row r="48" spans="1:48">
      <c r="B48" s="635"/>
    </row>
    <row r="49" spans="2:7">
      <c r="B49" s="635"/>
    </row>
    <row r="52" spans="2:7">
      <c r="G52" s="974"/>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workbookViewId="0"/>
  </sheetViews>
  <sheetFormatPr defaultColWidth="9.88671875" defaultRowHeight="12.75"/>
  <cols>
    <col min="1" max="1" width="32.109375" style="2914" customWidth="1"/>
    <col min="2" max="2" width="10.88671875" style="2914" customWidth="1"/>
    <col min="3" max="3" width="3.44140625" style="2914" customWidth="1"/>
    <col min="4" max="4" width="12.109375" style="2914" customWidth="1"/>
    <col min="5" max="5" width="1.88671875" style="2914" customWidth="1"/>
    <col min="6" max="6" width="17" style="2914" bestFit="1" customWidth="1"/>
    <col min="7" max="7" width="1.88671875" style="2914" customWidth="1"/>
    <col min="8" max="8" width="12.109375" style="2914" customWidth="1"/>
    <col min="9" max="9" width="1.88671875" style="2914" customWidth="1"/>
    <col min="10" max="10" width="12.109375" style="2914" customWidth="1"/>
    <col min="11" max="11" width="1.88671875" style="2914" customWidth="1"/>
    <col min="12" max="12" width="12.109375" style="2914" customWidth="1"/>
    <col min="13" max="13" width="1.88671875" style="2914" customWidth="1"/>
    <col min="14" max="14" width="13" style="2914" customWidth="1"/>
    <col min="15" max="15" width="1.88671875" style="2914" customWidth="1"/>
    <col min="16" max="16" width="12.109375" style="2914" customWidth="1"/>
    <col min="17" max="17" width="1.88671875" style="2914" customWidth="1"/>
    <col min="18" max="18" width="12.109375" style="2914" customWidth="1"/>
    <col min="19" max="19" width="1.88671875" style="2914" customWidth="1"/>
    <col min="20" max="20" width="1" style="2914" customWidth="1"/>
    <col min="21" max="21" width="1.88671875" style="2914" customWidth="1"/>
    <col min="22" max="22" width="12.109375" style="2914" customWidth="1"/>
    <col min="23" max="23" width="1.88671875" style="2914" customWidth="1"/>
    <col min="24" max="24" width="17" style="2914" bestFit="1" customWidth="1"/>
    <col min="25" max="25" width="1.88671875" style="2914" customWidth="1"/>
    <col min="26" max="26" width="1" style="2914" customWidth="1"/>
    <col min="27" max="27" width="1.88671875" style="2914" customWidth="1"/>
    <col min="28" max="28" width="12.109375" style="2940" customWidth="1"/>
    <col min="29" max="29" width="1.88671875" style="2940" customWidth="1"/>
    <col min="30" max="30" width="16.109375" style="2940" customWidth="1"/>
    <col min="31" max="31" width="1.5546875" style="2940" customWidth="1"/>
    <col min="32" max="32" width="0.44140625" style="2940" customWidth="1"/>
    <col min="33" max="33" width="1.5546875" style="2940" customWidth="1"/>
    <col min="34" max="34" width="14.5546875" style="2940" bestFit="1" customWidth="1"/>
    <col min="35" max="35" width="1.88671875" style="2914" customWidth="1"/>
    <col min="36" max="36" width="13.109375" style="2914" customWidth="1"/>
    <col min="37" max="37" width="2.109375" style="2914" customWidth="1"/>
    <col min="38" max="38" width="1.88671875" style="2914" customWidth="1"/>
    <col min="39" max="16384" width="9.88671875" style="2914"/>
  </cols>
  <sheetData>
    <row r="1" spans="1:38" s="2906" customFormat="1" ht="15">
      <c r="A1" s="2294" t="s">
        <v>979</v>
      </c>
      <c r="AB1" s="3245"/>
      <c r="AC1" s="3245"/>
      <c r="AD1" s="3245"/>
      <c r="AE1" s="3245"/>
      <c r="AF1" s="3245"/>
      <c r="AG1" s="3245"/>
      <c r="AH1" s="3245"/>
    </row>
    <row r="2" spans="1:38" s="2909" customFormat="1">
      <c r="A2" s="2907"/>
      <c r="B2" s="2908"/>
      <c r="C2" s="2908"/>
      <c r="D2" s="2906"/>
      <c r="E2" s="2908"/>
      <c r="F2" s="2908"/>
      <c r="G2" s="2908"/>
      <c r="H2" s="2908"/>
      <c r="I2" s="2908"/>
      <c r="J2" s="2908"/>
      <c r="K2" s="2908"/>
      <c r="L2" s="2908"/>
      <c r="M2" s="2908"/>
      <c r="N2" s="2908"/>
      <c r="O2" s="2908"/>
      <c r="P2" s="2908"/>
      <c r="Q2" s="2908"/>
      <c r="R2" s="2908"/>
      <c r="S2" s="2908"/>
      <c r="T2" s="2908"/>
      <c r="U2" s="2908"/>
      <c r="V2" s="2908"/>
      <c r="W2" s="2908"/>
      <c r="X2" s="2908"/>
      <c r="Y2" s="2908"/>
      <c r="Z2" s="2908"/>
      <c r="AA2" s="2908"/>
      <c r="AB2" s="3246"/>
      <c r="AC2" s="3246"/>
      <c r="AD2" s="3246"/>
      <c r="AE2" s="3246"/>
      <c r="AF2" s="3246"/>
      <c r="AG2" s="3246"/>
      <c r="AH2" s="3246"/>
    </row>
    <row r="3" spans="1:38" ht="18">
      <c r="A3" s="2910" t="s">
        <v>0</v>
      </c>
      <c r="B3" s="2911"/>
      <c r="C3" s="2911"/>
      <c r="D3" s="2906"/>
      <c r="E3" s="2911"/>
      <c r="F3" s="2911"/>
      <c r="G3" s="2911"/>
      <c r="H3" s="2911"/>
      <c r="I3" s="2911"/>
      <c r="J3" s="2911"/>
      <c r="K3" s="2911"/>
      <c r="L3" s="2912"/>
      <c r="M3" s="2912"/>
      <c r="N3" s="2912"/>
      <c r="O3" s="2912"/>
      <c r="P3" s="2911"/>
      <c r="Q3" s="2911"/>
      <c r="R3" s="2911"/>
      <c r="S3" s="2912"/>
      <c r="T3" s="2911"/>
      <c r="U3" s="2912"/>
      <c r="V3" s="2912"/>
      <c r="W3" s="2912"/>
      <c r="X3" s="2912"/>
      <c r="Y3" s="2912"/>
      <c r="Z3" s="2912"/>
      <c r="AA3" s="2912"/>
      <c r="AB3" s="3247"/>
      <c r="AC3" s="3247"/>
      <c r="AD3" s="3247"/>
      <c r="AE3" s="3247"/>
      <c r="AF3" s="3527"/>
      <c r="AG3" s="3527"/>
      <c r="AH3" s="2939"/>
      <c r="AI3" s="2913"/>
    </row>
    <row r="4" spans="1:38" ht="18">
      <c r="A4" s="2915" t="s">
        <v>1</v>
      </c>
      <c r="B4" s="2911"/>
      <c r="C4" s="2911"/>
      <c r="D4" s="2906"/>
      <c r="E4" s="2911"/>
      <c r="F4" s="2911"/>
      <c r="G4" s="2911"/>
      <c r="H4" s="2911"/>
      <c r="I4" s="2911"/>
      <c r="J4" s="2911"/>
      <c r="K4" s="2911"/>
      <c r="L4" s="2912"/>
      <c r="M4" s="2912"/>
      <c r="N4" s="2912"/>
      <c r="O4" s="2912"/>
      <c r="P4" s="2911"/>
      <c r="Q4" s="2911"/>
      <c r="R4" s="2911"/>
      <c r="S4" s="2912"/>
      <c r="T4" s="2911"/>
      <c r="U4" s="2912"/>
      <c r="V4" s="2912"/>
      <c r="W4" s="2912"/>
      <c r="X4" s="2912"/>
      <c r="Y4" s="2912"/>
      <c r="Z4" s="2912"/>
      <c r="AA4" s="2912"/>
      <c r="AB4" s="3247"/>
      <c r="AC4" s="3247"/>
      <c r="AD4" s="3247"/>
      <c r="AE4" s="3247"/>
      <c r="AF4" s="3527"/>
      <c r="AG4" s="3527"/>
      <c r="AH4" s="2939"/>
      <c r="AI4" s="2913"/>
    </row>
    <row r="5" spans="1:38" ht="18">
      <c r="A5" s="2910" t="s">
        <v>1620</v>
      </c>
      <c r="B5" s="2911"/>
      <c r="C5" s="2911"/>
      <c r="D5" s="2906"/>
      <c r="E5" s="2911"/>
      <c r="F5" s="2911"/>
      <c r="G5" s="2911"/>
      <c r="H5" s="2912"/>
      <c r="I5" s="2912"/>
      <c r="J5" s="2912"/>
      <c r="K5" s="2911"/>
      <c r="L5" s="2912"/>
      <c r="M5" s="2912"/>
      <c r="N5" s="2912"/>
      <c r="O5" s="2912"/>
      <c r="P5" s="2911"/>
      <c r="Q5" s="2911"/>
      <c r="R5" s="2911"/>
      <c r="S5" s="2912"/>
      <c r="T5" s="2911"/>
      <c r="U5" s="2912"/>
      <c r="V5" s="2912"/>
      <c r="W5" s="2912"/>
      <c r="X5" s="2912"/>
      <c r="Y5" s="2912"/>
      <c r="Z5" s="2912"/>
      <c r="AA5" s="2912"/>
      <c r="AB5" s="3247"/>
      <c r="AC5" s="3247"/>
      <c r="AD5" s="3247"/>
      <c r="AE5" s="3247"/>
      <c r="AF5" s="3527"/>
      <c r="AG5" s="3527"/>
      <c r="AH5" s="2939"/>
      <c r="AI5" s="2913"/>
    </row>
    <row r="6" spans="1:38" ht="18">
      <c r="A6" s="2910" t="s">
        <v>1416</v>
      </c>
      <c r="B6" s="2911"/>
      <c r="C6" s="2911"/>
      <c r="D6" s="2906"/>
      <c r="E6" s="2911"/>
      <c r="F6" s="2911"/>
      <c r="G6" s="2911"/>
      <c r="H6" s="2911"/>
      <c r="I6" s="2911"/>
      <c r="J6" s="2911"/>
      <c r="K6" s="2911"/>
      <c r="L6" s="2912"/>
      <c r="M6" s="2912"/>
      <c r="N6" s="2912"/>
      <c r="O6" s="2912"/>
      <c r="P6" s="2911"/>
      <c r="Q6" s="2911"/>
      <c r="R6" s="2911"/>
      <c r="S6" s="2912"/>
      <c r="T6" s="2911"/>
      <c r="U6" s="2912"/>
      <c r="V6" s="2912"/>
      <c r="W6" s="2912"/>
      <c r="X6" s="2912"/>
      <c r="Y6" s="2912"/>
      <c r="Z6" s="2912"/>
      <c r="AA6" s="2912"/>
      <c r="AB6" s="3247"/>
      <c r="AC6" s="3247"/>
      <c r="AD6" s="3247"/>
      <c r="AE6" s="3247"/>
      <c r="AF6" s="3527"/>
      <c r="AG6" s="3527"/>
      <c r="AH6" s="2939"/>
      <c r="AI6" s="2913"/>
    </row>
    <row r="7" spans="1:38" ht="18">
      <c r="A7" s="2911"/>
      <c r="B7" s="2911"/>
      <c r="C7" s="2911"/>
      <c r="D7" s="2906"/>
      <c r="E7" s="2911"/>
      <c r="F7" s="2911"/>
      <c r="G7" s="2911"/>
      <c r="H7" s="2911"/>
      <c r="I7" s="2911"/>
      <c r="J7" s="2911"/>
      <c r="K7" s="2911"/>
      <c r="L7" s="2912"/>
      <c r="M7" s="2912"/>
      <c r="N7" s="2912"/>
      <c r="O7" s="2912"/>
      <c r="P7" s="2912"/>
      <c r="Q7" s="2912"/>
      <c r="R7" s="2912"/>
      <c r="S7" s="2912"/>
      <c r="T7" s="2912"/>
      <c r="U7" s="2912"/>
      <c r="V7" s="2912"/>
      <c r="W7" s="2912"/>
      <c r="X7" s="2912"/>
      <c r="Y7" s="2912"/>
      <c r="Z7" s="2912"/>
      <c r="AA7" s="2912"/>
      <c r="AB7" s="3248"/>
      <c r="AC7" s="3248"/>
      <c r="AD7" s="3248"/>
      <c r="AE7" s="3248"/>
      <c r="AF7" s="3527"/>
      <c r="AG7" s="3527"/>
      <c r="AH7" s="2939"/>
      <c r="AI7" s="2913"/>
      <c r="AJ7" s="2916" t="s">
        <v>902</v>
      </c>
    </row>
    <row r="8" spans="1:38" ht="15.75">
      <c r="A8" s="2294"/>
      <c r="B8" s="2294"/>
      <c r="C8" s="2294"/>
      <c r="D8" s="2906"/>
      <c r="E8" s="2294"/>
      <c r="F8" s="2294"/>
      <c r="G8" s="2294"/>
      <c r="H8" s="2294"/>
      <c r="I8" s="2294"/>
      <c r="J8" s="2294"/>
      <c r="K8" s="2294"/>
      <c r="L8" s="2376"/>
      <c r="M8" s="2376"/>
      <c r="N8" s="2376"/>
      <c r="O8" s="2376"/>
      <c r="P8" s="2376"/>
      <c r="Q8" s="2376"/>
      <c r="R8" s="2376"/>
      <c r="S8" s="2376"/>
      <c r="T8" s="2376"/>
      <c r="U8" s="2376"/>
      <c r="V8" s="2376"/>
      <c r="W8" s="2376"/>
      <c r="X8" s="2376"/>
      <c r="Y8" s="2376"/>
      <c r="Z8" s="2376"/>
      <c r="AA8" s="2376"/>
      <c r="AB8" s="3204"/>
      <c r="AC8" s="3204"/>
      <c r="AD8" s="3204"/>
      <c r="AE8" s="3204"/>
      <c r="AF8" s="2395"/>
      <c r="AG8" s="2395"/>
      <c r="AH8" s="2939"/>
      <c r="AI8" s="2913"/>
    </row>
    <row r="9" spans="1:38" ht="15.75">
      <c r="A9" s="2294"/>
      <c r="B9" s="2294"/>
      <c r="C9" s="2294"/>
      <c r="D9" s="2906"/>
      <c r="E9" s="2376"/>
      <c r="F9" s="2376"/>
      <c r="G9" s="2376"/>
      <c r="H9" s="2376"/>
      <c r="I9" s="2376"/>
      <c r="J9" s="2376"/>
      <c r="K9" s="2376"/>
      <c r="L9" s="2376"/>
      <c r="M9" s="2376"/>
      <c r="N9" s="2376"/>
      <c r="O9" s="2376"/>
      <c r="P9" s="2376"/>
      <c r="Q9" s="2376"/>
      <c r="R9" s="2376"/>
      <c r="S9" s="2376"/>
      <c r="T9" s="2376"/>
      <c r="U9" s="2376"/>
      <c r="V9" s="2917"/>
      <c r="W9" s="2917"/>
      <c r="X9" s="2917"/>
      <c r="Y9" s="2917"/>
      <c r="Z9" s="2917"/>
      <c r="AA9" s="2917"/>
      <c r="AB9" s="3249"/>
      <c r="AC9" s="3249"/>
      <c r="AD9" s="3249"/>
      <c r="AE9" s="3249"/>
      <c r="AF9" s="3204"/>
      <c r="AG9" s="3204"/>
      <c r="AH9" s="3528"/>
      <c r="AI9" s="2918"/>
    </row>
    <row r="10" spans="1:38" ht="4.3499999999999996" customHeight="1">
      <c r="A10" s="2294"/>
      <c r="B10" s="2294"/>
      <c r="C10" s="2294"/>
      <c r="D10" s="2294"/>
      <c r="E10" s="2294"/>
      <c r="F10" s="2294"/>
      <c r="G10" s="2294"/>
      <c r="H10" s="2294"/>
      <c r="I10" s="2294"/>
      <c r="J10" s="2294"/>
      <c r="K10" s="2294"/>
      <c r="L10" s="2294"/>
      <c r="M10" s="2294"/>
      <c r="N10" s="2294"/>
      <c r="O10" s="2294"/>
      <c r="P10" s="2294"/>
      <c r="Q10" s="2294"/>
      <c r="R10" s="2294"/>
      <c r="S10" s="2294"/>
      <c r="T10" s="2317"/>
      <c r="U10" s="2317"/>
      <c r="V10" s="2294"/>
      <c r="W10" s="2294"/>
      <c r="X10" s="2294"/>
      <c r="Y10" s="2294"/>
      <c r="Z10" s="2294"/>
      <c r="AA10" s="2294"/>
      <c r="AB10" s="2395"/>
      <c r="AC10" s="2395"/>
      <c r="AD10" s="2395"/>
      <c r="AE10" s="2395"/>
      <c r="AF10" s="2395"/>
      <c r="AG10" s="2395"/>
      <c r="AH10" s="2939"/>
      <c r="AI10" s="2913"/>
    </row>
    <row r="11" spans="1:38" ht="15" customHeight="1">
      <c r="A11" s="2294"/>
      <c r="B11" s="2294"/>
      <c r="C11" s="2294"/>
      <c r="D11" s="2919" t="s">
        <v>3</v>
      </c>
      <c r="E11" s="2919"/>
      <c r="F11" s="2919"/>
      <c r="G11" s="2317"/>
      <c r="H11" s="2919" t="s">
        <v>57</v>
      </c>
      <c r="I11" s="2919"/>
      <c r="J11" s="2919"/>
      <c r="K11" s="2317"/>
      <c r="L11" s="2919" t="s">
        <v>5</v>
      </c>
      <c r="M11" s="2919"/>
      <c r="N11" s="2919"/>
      <c r="O11" s="2317"/>
      <c r="P11" s="2919" t="s">
        <v>121</v>
      </c>
      <c r="Q11" s="2919"/>
      <c r="R11" s="2919"/>
      <c r="S11" s="2294"/>
      <c r="T11" s="2317"/>
      <c r="U11" s="2317"/>
      <c r="V11" s="2920" t="s">
        <v>903</v>
      </c>
      <c r="W11" s="2919"/>
      <c r="X11" s="2919"/>
      <c r="Y11" s="2919"/>
      <c r="Z11" s="2921"/>
      <c r="AA11" s="2921"/>
      <c r="AB11" s="3653"/>
      <c r="AC11" s="3653"/>
      <c r="AD11" s="3653"/>
      <c r="AE11" s="3529"/>
      <c r="AF11" s="3530"/>
      <c r="AG11" s="3531"/>
      <c r="AH11" s="3532" t="s">
        <v>904</v>
      </c>
      <c r="AI11" s="2919"/>
      <c r="AJ11" s="2919"/>
    </row>
    <row r="12" spans="1:38" ht="15.75">
      <c r="A12" s="2294"/>
      <c r="B12" s="2294"/>
      <c r="C12" s="2294"/>
      <c r="D12" s="1544" t="s">
        <v>7</v>
      </c>
      <c r="E12" s="1544"/>
      <c r="F12" s="2922" t="str">
        <f>'Exhibit A'!F11</f>
        <v>10 MOS. ENDED</v>
      </c>
      <c r="G12" s="2392"/>
      <c r="H12" s="1544" t="s">
        <v>7</v>
      </c>
      <c r="I12" s="1545"/>
      <c r="J12" s="1544" t="str">
        <f>F12</f>
        <v>10 MOS. ENDED</v>
      </c>
      <c r="K12" s="2392"/>
      <c r="L12" s="1544" t="s">
        <v>7</v>
      </c>
      <c r="M12" s="1545"/>
      <c r="N12" s="1544" t="str">
        <f>F12</f>
        <v>10 MOS. ENDED</v>
      </c>
      <c r="O12" s="2392"/>
      <c r="P12" s="1544" t="s">
        <v>7</v>
      </c>
      <c r="Q12" s="1545"/>
      <c r="R12" s="1544" t="str">
        <f>F12</f>
        <v>10 MOS. ENDED</v>
      </c>
      <c r="S12" s="2376"/>
      <c r="T12" s="2392"/>
      <c r="U12" s="2392"/>
      <c r="V12" s="1544" t="s">
        <v>7</v>
      </c>
      <c r="W12" s="1544"/>
      <c r="X12" s="1544" t="str">
        <f>F12</f>
        <v>10 MOS. ENDED</v>
      </c>
      <c r="Y12" s="1544"/>
      <c r="Z12" s="1546"/>
      <c r="AA12" s="1546"/>
      <c r="AB12" s="3654" t="s">
        <v>7</v>
      </c>
      <c r="AC12" s="3654"/>
      <c r="AD12" s="3654" t="str">
        <f>F12</f>
        <v>10 MOS. ENDED</v>
      </c>
      <c r="AE12" s="3533"/>
      <c r="AF12" s="3533"/>
      <c r="AG12" s="3534"/>
      <c r="AH12" s="3535" t="s">
        <v>8</v>
      </c>
      <c r="AI12" s="1545"/>
      <c r="AJ12" s="2922" t="s">
        <v>9</v>
      </c>
      <c r="AK12" s="2923"/>
      <c r="AL12" s="2913"/>
    </row>
    <row r="13" spans="1:38" ht="15.75">
      <c r="A13" s="2294"/>
      <c r="B13" s="2294"/>
      <c r="C13" s="2294"/>
      <c r="D13" s="1547" t="str">
        <f>'Exhibit A'!D12</f>
        <v>JAN. 2020</v>
      </c>
      <c r="E13" s="1550"/>
      <c r="F13" s="1547" t="str">
        <f>'Exhibit A'!F12</f>
        <v>JAN. 31, 2020</v>
      </c>
      <c r="G13" s="2376"/>
      <c r="H13" s="1547" t="str">
        <f>D13</f>
        <v>JAN. 2020</v>
      </c>
      <c r="I13" s="1550"/>
      <c r="J13" s="1547" t="str">
        <f>F13</f>
        <v>JAN. 31, 2020</v>
      </c>
      <c r="K13" s="2376"/>
      <c r="L13" s="1547" t="str">
        <f>D13</f>
        <v>JAN. 2020</v>
      </c>
      <c r="M13" s="1550"/>
      <c r="N13" s="1547" t="str">
        <f>F13</f>
        <v>JAN. 31, 2020</v>
      </c>
      <c r="O13" s="2376"/>
      <c r="P13" s="1547" t="str">
        <f>D13</f>
        <v>JAN. 2020</v>
      </c>
      <c r="Q13" s="1550"/>
      <c r="R13" s="1547" t="str">
        <f>F13</f>
        <v>JAN. 31, 2020</v>
      </c>
      <c r="S13" s="2376"/>
      <c r="T13" s="2392"/>
      <c r="U13" s="2392"/>
      <c r="V13" s="1548" t="str">
        <f>D13</f>
        <v>JAN. 2020</v>
      </c>
      <c r="W13" s="1549"/>
      <c r="X13" s="1548" t="str">
        <f>F13</f>
        <v>JAN. 31, 2020</v>
      </c>
      <c r="Y13" s="1549"/>
      <c r="Z13" s="2924"/>
      <c r="AA13" s="2924"/>
      <c r="AB13" s="3655" t="str">
        <f>'Exhibit A'!AB12</f>
        <v>JAN. 2019</v>
      </c>
      <c r="AC13" s="3250"/>
      <c r="AD13" s="3655" t="str">
        <f>'Exhibit A'!AD12</f>
        <v>JAN. 31, 2019</v>
      </c>
      <c r="AE13" s="3250"/>
      <c r="AF13" s="3536"/>
      <c r="AG13" s="3537"/>
      <c r="AH13" s="3538" t="s">
        <v>12</v>
      </c>
      <c r="AI13" s="1550"/>
      <c r="AJ13" s="1547" t="s">
        <v>13</v>
      </c>
      <c r="AK13" s="2923"/>
      <c r="AL13" s="2925"/>
    </row>
    <row r="14" spans="1:38" ht="15">
      <c r="A14" s="2294"/>
      <c r="B14" s="2294"/>
      <c r="C14" s="2294"/>
      <c r="D14" s="2317"/>
      <c r="E14" s="2317"/>
      <c r="F14" s="2317"/>
      <c r="G14" s="2294"/>
      <c r="H14" s="2317"/>
      <c r="I14" s="2317"/>
      <c r="J14" s="2317"/>
      <c r="K14" s="2294"/>
      <c r="L14" s="2317"/>
      <c r="M14" s="2317"/>
      <c r="N14" s="2317"/>
      <c r="O14" s="2294"/>
      <c r="P14" s="2317"/>
      <c r="Q14" s="2317"/>
      <c r="R14" s="2317"/>
      <c r="S14" s="2294"/>
      <c r="T14" s="2926"/>
      <c r="U14" s="2926"/>
      <c r="V14" s="2927"/>
      <c r="W14" s="2317"/>
      <c r="X14" s="2927"/>
      <c r="Y14" s="2317"/>
      <c r="Z14" s="2928"/>
      <c r="AA14" s="2317"/>
      <c r="AB14" s="3656"/>
      <c r="AC14" s="3251"/>
      <c r="AD14" s="3656"/>
      <c r="AE14" s="3251"/>
      <c r="AF14" s="3708"/>
      <c r="AG14" s="3251"/>
      <c r="AH14" s="3251"/>
      <c r="AI14" s="2317"/>
      <c r="AJ14" s="2929"/>
      <c r="AK14" s="2913"/>
      <c r="AL14" s="2913"/>
    </row>
    <row r="15" spans="1:38" ht="18" customHeight="1">
      <c r="A15" s="2930" t="s">
        <v>1191</v>
      </c>
      <c r="B15" s="2931"/>
      <c r="C15" s="2931"/>
      <c r="D15" s="2294"/>
      <c r="E15" s="2294"/>
      <c r="F15" s="2294"/>
      <c r="G15" s="2294"/>
      <c r="H15" s="2294"/>
      <c r="I15" s="2294"/>
      <c r="J15" s="2294"/>
      <c r="K15" s="2294"/>
      <c r="L15" s="2294"/>
      <c r="M15" s="2294"/>
      <c r="N15" s="2294"/>
      <c r="O15" s="2294"/>
      <c r="P15" s="2294"/>
      <c r="Q15" s="2294"/>
      <c r="R15" s="2294"/>
      <c r="S15" s="2294"/>
      <c r="T15" s="2926"/>
      <c r="U15" s="2926"/>
      <c r="V15" s="2294"/>
      <c r="W15" s="2294"/>
      <c r="X15" s="2294"/>
      <c r="Y15" s="2294"/>
      <c r="Z15" s="2928"/>
      <c r="AA15" s="2317"/>
      <c r="AB15" s="2395"/>
      <c r="AC15" s="2395"/>
      <c r="AD15" s="2395"/>
      <c r="AE15" s="2395"/>
      <c r="AF15" s="3708"/>
      <c r="AG15" s="2395"/>
      <c r="AH15" s="2395"/>
      <c r="AI15" s="2294"/>
      <c r="AJ15" s="2929"/>
      <c r="AK15" s="2913"/>
      <c r="AL15" s="2913"/>
    </row>
    <row r="16" spans="1:38" s="2940" customFormat="1" ht="18" customHeight="1">
      <c r="A16" s="2932" t="s">
        <v>905</v>
      </c>
      <c r="B16" s="2932"/>
      <c r="C16" s="2933"/>
      <c r="D16" s="1838">
        <f>'Exhibit F'!V17</f>
        <v>5045.6000000000022</v>
      </c>
      <c r="E16" s="2934"/>
      <c r="F16" s="1838">
        <f>'Exhibit F'!AC17</f>
        <v>33882.400000000001</v>
      </c>
      <c r="G16" s="2934"/>
      <c r="H16" s="1849">
        <v>0</v>
      </c>
      <c r="I16" s="2934"/>
      <c r="J16" s="1849">
        <v>0</v>
      </c>
      <c r="K16" s="2934"/>
      <c r="L16" s="1849">
        <v>0</v>
      </c>
      <c r="M16" s="2934"/>
      <c r="N16" s="1849">
        <v>0</v>
      </c>
      <c r="O16" s="2934"/>
      <c r="P16" s="1849">
        <v>0</v>
      </c>
      <c r="Q16" s="2934"/>
      <c r="R16" s="1849">
        <v>0</v>
      </c>
      <c r="S16" s="1838"/>
      <c r="T16" s="2935"/>
      <c r="U16" s="2936"/>
      <c r="V16" s="1880">
        <f t="shared" ref="V16:V20" si="0">SUM(D16)+SUM(H16)+SUM(L16)+SUM(P16)</f>
        <v>5045.6000000000022</v>
      </c>
      <c r="W16" s="2934"/>
      <c r="X16" s="1880">
        <f>SUM(F16)+SUM(J16)+SUM(N16)+SUM(R16)</f>
        <v>33882.400000000001</v>
      </c>
      <c r="Y16" s="2937"/>
      <c r="Z16" s="2938"/>
      <c r="AA16" s="2934"/>
      <c r="AB16" s="3657">
        <v>4975.3</v>
      </c>
      <c r="AC16" s="2934"/>
      <c r="AD16" s="1880">
        <f>'Cashflow Governmental'!AE21</f>
        <v>32407.200000000001</v>
      </c>
      <c r="AE16" s="1880"/>
      <c r="AF16" s="3708"/>
      <c r="AG16" s="2937"/>
      <c r="AH16" s="1880">
        <f>ROUND(SUM(X16)-SUM(AD16),1)</f>
        <v>1475.2</v>
      </c>
      <c r="AI16" s="2467"/>
      <c r="AJ16" s="1881">
        <f>ROUND(AH16/AD16,3)</f>
        <v>4.5999999999999999E-2</v>
      </c>
      <c r="AK16" s="1882"/>
      <c r="AL16" s="2939"/>
    </row>
    <row r="17" spans="1:38" s="2940" customFormat="1" ht="18" customHeight="1">
      <c r="A17" s="2941" t="s">
        <v>976</v>
      </c>
      <c r="B17" s="2932"/>
      <c r="C17" s="2942"/>
      <c r="D17" s="634">
        <f>'Exhibit F'!V18</f>
        <v>3842.2</v>
      </c>
      <c r="E17" s="634"/>
      <c r="F17" s="634">
        <f>'Exhibit F'!AC18</f>
        <v>16798</v>
      </c>
      <c r="G17" s="634"/>
      <c r="H17" s="1840">
        <v>0</v>
      </c>
      <c r="I17" s="1842"/>
      <c r="J17" s="1841">
        <v>0</v>
      </c>
      <c r="K17" s="634"/>
      <c r="L17" s="1840">
        <v>0</v>
      </c>
      <c r="M17" s="1842"/>
      <c r="N17" s="1841">
        <v>0</v>
      </c>
      <c r="O17" s="634"/>
      <c r="P17" s="1840">
        <v>0</v>
      </c>
      <c r="Q17" s="1842"/>
      <c r="R17" s="1841">
        <v>0</v>
      </c>
      <c r="S17" s="634"/>
      <c r="T17" s="2943"/>
      <c r="U17" s="2943"/>
      <c r="V17" s="1842">
        <f t="shared" si="0"/>
        <v>3842.2</v>
      </c>
      <c r="W17" s="1456"/>
      <c r="X17" s="1842">
        <f t="shared" ref="X17:X24" si="1">SUM(F17)+SUM(J17)+SUM(N17)+SUM(R17)</f>
        <v>16798</v>
      </c>
      <c r="Y17" s="2944"/>
      <c r="Z17" s="2945"/>
      <c r="AA17" s="1456"/>
      <c r="AB17" s="1839">
        <v>3577.2000000000003</v>
      </c>
      <c r="AC17" s="634"/>
      <c r="AD17" s="1842">
        <f>'Cashflow Governmental'!AE22</f>
        <v>13784.6</v>
      </c>
      <c r="AE17" s="1842"/>
      <c r="AF17" s="3708"/>
      <c r="AG17" s="2944"/>
      <c r="AH17" s="1842">
        <f>ROUND(SUM(X17)-SUM(AD17),1)</f>
        <v>3013.4</v>
      </c>
      <c r="AI17" s="2946"/>
      <c r="AJ17" s="1882">
        <f>ROUND(AH17/AD17,3)</f>
        <v>0.219</v>
      </c>
      <c r="AK17" s="1882"/>
      <c r="AL17" s="2939"/>
    </row>
    <row r="18" spans="1:38" s="2940" customFormat="1" ht="18" customHeight="1">
      <c r="A18" s="2932" t="s">
        <v>906</v>
      </c>
      <c r="B18" s="2932" t="s">
        <v>15</v>
      </c>
      <c r="C18" s="2932"/>
      <c r="D18" s="634">
        <f>'Exhibit F'!V19</f>
        <v>25.699999999999818</v>
      </c>
      <c r="E18" s="634"/>
      <c r="F18" s="634">
        <f>'Exhibit F'!AC19</f>
        <v>3224.5</v>
      </c>
      <c r="G18" s="634"/>
      <c r="H18" s="1840">
        <v>0</v>
      </c>
      <c r="I18" s="1842"/>
      <c r="J18" s="1841">
        <v>0</v>
      </c>
      <c r="K18" s="634"/>
      <c r="L18" s="1840">
        <v>0</v>
      </c>
      <c r="M18" s="1842"/>
      <c r="N18" s="1841">
        <v>0</v>
      </c>
      <c r="O18" s="634"/>
      <c r="P18" s="1840">
        <v>0</v>
      </c>
      <c r="Q18" s="1842"/>
      <c r="R18" s="1841">
        <v>0</v>
      </c>
      <c r="S18" s="634"/>
      <c r="T18" s="2943"/>
      <c r="U18" s="2943"/>
      <c r="V18" s="1842">
        <f t="shared" si="0"/>
        <v>25.699999999999818</v>
      </c>
      <c r="W18" s="1456"/>
      <c r="X18" s="1842">
        <f t="shared" si="1"/>
        <v>3224.5</v>
      </c>
      <c r="Y18" s="2944"/>
      <c r="Z18" s="2945"/>
      <c r="AA18" s="1456"/>
      <c r="AB18" s="1839">
        <v>23.4</v>
      </c>
      <c r="AC18" s="634"/>
      <c r="AD18" s="1842">
        <f>'Cashflow Governmental'!AE23</f>
        <v>2438.9</v>
      </c>
      <c r="AE18" s="1842"/>
      <c r="AF18" s="3708"/>
      <c r="AG18" s="2944"/>
      <c r="AH18" s="1842">
        <f>ROUND(SUM(X18)-SUM(AD18),1)</f>
        <v>785.6</v>
      </c>
      <c r="AI18" s="2946"/>
      <c r="AJ18" s="1882">
        <f>ROUND(AH18/AD18,3)</f>
        <v>0.32200000000000001</v>
      </c>
      <c r="AK18" s="1882"/>
      <c r="AL18" s="2939"/>
    </row>
    <row r="19" spans="1:38" s="2940" customFormat="1" ht="18" customHeight="1">
      <c r="A19" s="2941" t="s">
        <v>907</v>
      </c>
      <c r="B19" s="2932"/>
      <c r="C19" s="2932"/>
      <c r="D19" s="634">
        <f>'Exhibit F'!V20</f>
        <v>-9.6000000000001364</v>
      </c>
      <c r="E19" s="634"/>
      <c r="F19" s="634">
        <f>'Exhibit F'!AC20</f>
        <v>-1005.2</v>
      </c>
      <c r="G19" s="634"/>
      <c r="H19" s="1840">
        <v>0</v>
      </c>
      <c r="I19" s="1842"/>
      <c r="J19" s="1841">
        <v>0</v>
      </c>
      <c r="K19" s="634"/>
      <c r="L19" s="1840">
        <v>0</v>
      </c>
      <c r="M19" s="1842"/>
      <c r="N19" s="1841">
        <v>0</v>
      </c>
      <c r="O19" s="634"/>
      <c r="P19" s="1840">
        <v>0</v>
      </c>
      <c r="Q19" s="1842"/>
      <c r="R19" s="1841">
        <v>0</v>
      </c>
      <c r="S19" s="634"/>
      <c r="T19" s="2943"/>
      <c r="U19" s="2943"/>
      <c r="V19" s="1842">
        <f t="shared" si="0"/>
        <v>-9.6000000000001364</v>
      </c>
      <c r="W19" s="1456"/>
      <c r="X19" s="1842">
        <f t="shared" si="1"/>
        <v>-1005.2</v>
      </c>
      <c r="Y19" s="2944"/>
      <c r="Z19" s="2945"/>
      <c r="AA19" s="1456"/>
      <c r="AB19" s="1839">
        <v>-17.399999999999999</v>
      </c>
      <c r="AC19" s="634"/>
      <c r="AD19" s="1842">
        <f>'Cashflow Governmental'!AE24</f>
        <v>-1025.0999999999999</v>
      </c>
      <c r="AE19" s="1842"/>
      <c r="AF19" s="3708"/>
      <c r="AG19" s="2944"/>
      <c r="AH19" s="1842">
        <f>-ROUND(SUM(X19)-SUM(AD19),1)</f>
        <v>-19.899999999999999</v>
      </c>
      <c r="AI19" s="2946"/>
      <c r="AJ19" s="1882">
        <f>-ROUND(AH19/AD19,3)</f>
        <v>-1.9E-2</v>
      </c>
      <c r="AK19" s="1882"/>
      <c r="AL19" s="2939"/>
    </row>
    <row r="20" spans="1:38" s="2940" customFormat="1" ht="18" customHeight="1">
      <c r="A20" s="2941" t="s">
        <v>908</v>
      </c>
      <c r="B20" s="2932" t="s">
        <v>15</v>
      </c>
      <c r="C20" s="2932"/>
      <c r="D20" s="634">
        <f>'Exhibit F'!V21</f>
        <v>87.200000000000273</v>
      </c>
      <c r="E20" s="634"/>
      <c r="F20" s="634">
        <f>'Exhibit F'!AC21</f>
        <v>1096.1000000000001</v>
      </c>
      <c r="G20" s="634"/>
      <c r="H20" s="1840">
        <v>0</v>
      </c>
      <c r="I20" s="1842"/>
      <c r="J20" s="1841">
        <v>0</v>
      </c>
      <c r="K20" s="634"/>
      <c r="L20" s="1840">
        <v>0</v>
      </c>
      <c r="M20" s="1842"/>
      <c r="N20" s="1841">
        <v>0</v>
      </c>
      <c r="O20" s="634"/>
      <c r="P20" s="1840">
        <v>0</v>
      </c>
      <c r="Q20" s="1842"/>
      <c r="R20" s="1841">
        <v>0</v>
      </c>
      <c r="S20" s="634"/>
      <c r="T20" s="2943"/>
      <c r="U20" s="2943"/>
      <c r="V20" s="1842">
        <f t="shared" si="0"/>
        <v>87.200000000000273</v>
      </c>
      <c r="W20" s="1456"/>
      <c r="X20" s="1842">
        <f t="shared" si="1"/>
        <v>1096.1000000000001</v>
      </c>
      <c r="Y20" s="2944"/>
      <c r="Z20" s="2945"/>
      <c r="AA20" s="1456"/>
      <c r="AB20" s="1839">
        <v>125</v>
      </c>
      <c r="AC20" s="634"/>
      <c r="AD20" s="1842">
        <f>'Cashflow Governmental'!AE25</f>
        <v>1055.0999999999999</v>
      </c>
      <c r="AE20" s="1842"/>
      <c r="AF20" s="3708"/>
      <c r="AG20" s="2944"/>
      <c r="AH20" s="1842">
        <f>ROUND(SUM(X20)-SUM(AD20),1)</f>
        <v>41</v>
      </c>
      <c r="AI20" s="2946"/>
      <c r="AJ20" s="3682">
        <f>ROUND(AH20/AD20,3)</f>
        <v>3.9E-2</v>
      </c>
      <c r="AK20" s="1882"/>
      <c r="AL20" s="2939"/>
    </row>
    <row r="21" spans="1:38" s="2955" customFormat="1" ht="18" customHeight="1">
      <c r="A21" s="2947" t="s">
        <v>909</v>
      </c>
      <c r="B21" s="2947"/>
      <c r="C21" s="2947"/>
      <c r="D21" s="1850">
        <f>ROUND(SUM(D16:D20),1)</f>
        <v>8991.1</v>
      </c>
      <c r="E21" s="1517"/>
      <c r="F21" s="1850">
        <f>ROUND(SUM(F16:F20),1)</f>
        <v>53995.8</v>
      </c>
      <c r="G21" s="23"/>
      <c r="H21" s="1850">
        <f>ROUND(SUM(H16:H20),1)</f>
        <v>0</v>
      </c>
      <c r="I21" s="2948"/>
      <c r="J21" s="1850">
        <f>ROUND(SUM(J16:J20),1)</f>
        <v>0</v>
      </c>
      <c r="K21" s="23"/>
      <c r="L21" s="1850">
        <f>ROUND(SUM(L16:L20),1)</f>
        <v>0</v>
      </c>
      <c r="M21" s="2948"/>
      <c r="N21" s="1850">
        <f>ROUND(SUM(N16:N20),1)</f>
        <v>0</v>
      </c>
      <c r="O21" s="23"/>
      <c r="P21" s="1850">
        <f>ROUND(SUM(P16:P20),1)</f>
        <v>0</v>
      </c>
      <c r="Q21" s="2948"/>
      <c r="R21" s="1850">
        <f>ROUND(SUM(R16:R20),1)</f>
        <v>0</v>
      </c>
      <c r="S21" s="23"/>
      <c r="T21" s="2949"/>
      <c r="U21" s="2949"/>
      <c r="V21" s="2950">
        <f>ROUND(SUM(V16:V20),1)</f>
        <v>8991.1</v>
      </c>
      <c r="W21" s="1517"/>
      <c r="X21" s="2950">
        <f>ROUND(SUM(X16:X20),1)</f>
        <v>53995.8</v>
      </c>
      <c r="Y21" s="2951"/>
      <c r="Z21" s="2374"/>
      <c r="AA21" s="1517"/>
      <c r="AB21" s="1497">
        <f>ROUND(SUM(AB16:AB20),1)</f>
        <v>8683.5</v>
      </c>
      <c r="AC21" s="23"/>
      <c r="AD21" s="3662">
        <f>ROUND(SUM(AD16:AD20),1)</f>
        <v>48660.7</v>
      </c>
      <c r="AE21" s="2948"/>
      <c r="AF21" s="3708"/>
      <c r="AG21" s="2951"/>
      <c r="AH21" s="3733">
        <f>ROUND(SUM(X21)-SUM(AD21),1)</f>
        <v>5335.1</v>
      </c>
      <c r="AI21" s="2952"/>
      <c r="AJ21" s="3684">
        <f>ROUND(AH21/AD21,3)</f>
        <v>0.11</v>
      </c>
      <c r="AK21" s="2953"/>
      <c r="AL21" s="2954"/>
    </row>
    <row r="22" spans="1:38" s="2940" customFormat="1" ht="18" customHeight="1">
      <c r="A22" s="2941" t="s">
        <v>910</v>
      </c>
      <c r="B22" s="2932"/>
      <c r="C22" s="2932"/>
      <c r="D22" s="1839">
        <f>'Exhibit F'!V23</f>
        <v>-2107.4</v>
      </c>
      <c r="E22" s="1842"/>
      <c r="F22" s="1839">
        <f>'Exhibit F'!AC23</f>
        <v>-2149.1</v>
      </c>
      <c r="G22" s="634"/>
      <c r="H22" s="634">
        <f>'Exhibit G'!V17</f>
        <v>2107.4</v>
      </c>
      <c r="I22" s="1842"/>
      <c r="J22" s="1855">
        <f>'Exhibit G'!AD17</f>
        <v>2149.1</v>
      </c>
      <c r="K22" s="634"/>
      <c r="L22" s="1851">
        <v>0</v>
      </c>
      <c r="M22" s="1842"/>
      <c r="N22" s="1851">
        <v>0</v>
      </c>
      <c r="O22" s="634"/>
      <c r="P22" s="1851">
        <v>0</v>
      </c>
      <c r="Q22" s="1842"/>
      <c r="R22" s="1851">
        <v>0</v>
      </c>
      <c r="S22" s="634"/>
      <c r="T22" s="2943"/>
      <c r="U22" s="2943"/>
      <c r="V22" s="2956">
        <f>SUM(D22)+SUM(H22)+SUM(L22)+SUM(P22)</f>
        <v>0</v>
      </c>
      <c r="W22" s="1456"/>
      <c r="X22" s="2956">
        <f t="shared" si="1"/>
        <v>0</v>
      </c>
      <c r="Y22" s="2944"/>
      <c r="Z22" s="2945"/>
      <c r="AA22" s="1456"/>
      <c r="AB22" s="1839">
        <v>0</v>
      </c>
      <c r="AC22" s="1456"/>
      <c r="AD22" s="1842">
        <f>'Cashflow Governmental'!AE27</f>
        <v>0</v>
      </c>
      <c r="AE22" s="1840"/>
      <c r="AF22" s="3708"/>
      <c r="AG22" s="2944"/>
      <c r="AH22" s="1841">
        <f>ROUND(SUM(X22)-SUM(AD22),1)</f>
        <v>0</v>
      </c>
      <c r="AI22" s="2946"/>
      <c r="AJ22" s="1774">
        <f>ROUND(IF(AD22=0,0,AH22/(AD22)),3)</f>
        <v>0</v>
      </c>
      <c r="AK22" s="2957"/>
      <c r="AL22" s="2939"/>
    </row>
    <row r="23" spans="1:38" s="2940" customFormat="1" ht="18" customHeight="1">
      <c r="A23" s="2941" t="s">
        <v>911</v>
      </c>
      <c r="B23" s="2932"/>
      <c r="C23" s="2932"/>
      <c r="D23" s="1839">
        <f>'Exhibit F'!V24</f>
        <v>-4449.6000000000013</v>
      </c>
      <c r="E23" s="634"/>
      <c r="F23" s="1839">
        <f>'Exhibit F'!AC24</f>
        <v>-23108.2</v>
      </c>
      <c r="G23" s="634"/>
      <c r="H23" s="1840">
        <v>0</v>
      </c>
      <c r="I23" s="1842"/>
      <c r="J23" s="1841">
        <v>0</v>
      </c>
      <c r="K23" s="634"/>
      <c r="L23" s="1842">
        <f>'Exhibit H'!T16</f>
        <v>4449.6000000000013</v>
      </c>
      <c r="M23" s="1842"/>
      <c r="N23" s="1842">
        <f>'Exhibit H'!AA16</f>
        <v>23108.2</v>
      </c>
      <c r="O23" s="634"/>
      <c r="P23" s="1840">
        <v>0</v>
      </c>
      <c r="Q23" s="1842"/>
      <c r="R23" s="1841">
        <v>0</v>
      </c>
      <c r="S23" s="634"/>
      <c r="T23" s="2943"/>
      <c r="U23" s="2943"/>
      <c r="V23" s="1842">
        <f>ROUND(SUM(D23)+SUM(H23)+SUM(L23)+SUM(P23),1)</f>
        <v>0</v>
      </c>
      <c r="W23" s="1456"/>
      <c r="X23" s="1842">
        <f t="shared" si="1"/>
        <v>0</v>
      </c>
      <c r="Y23" s="2944"/>
      <c r="Z23" s="2945"/>
      <c r="AA23" s="1456"/>
      <c r="AB23" s="1839">
        <v>0</v>
      </c>
      <c r="AC23" s="1456"/>
      <c r="AD23" s="1842">
        <f>'Cashflow Governmental'!AE28</f>
        <v>0</v>
      </c>
      <c r="AE23" s="1840"/>
      <c r="AF23" s="3708"/>
      <c r="AG23" s="2944"/>
      <c r="AH23" s="1841">
        <f>ROUND(SUM(X23)-SUM(AD23),1)</f>
        <v>0</v>
      </c>
      <c r="AI23" s="2946"/>
      <c r="AJ23" s="1774">
        <f>ROUND(IF(AD23=0,0,AH23/(AD23)),3)</f>
        <v>0</v>
      </c>
      <c r="AK23" s="2957"/>
      <c r="AL23" s="2939"/>
    </row>
    <row r="24" spans="1:38" s="2940" customFormat="1" ht="18" customHeight="1">
      <c r="A24" s="2932" t="s">
        <v>912</v>
      </c>
      <c r="B24" s="2932"/>
      <c r="C24" s="2932"/>
      <c r="D24" s="1839">
        <f>'Exhibit F'!V25</f>
        <v>-91.899999999999636</v>
      </c>
      <c r="E24" s="1456"/>
      <c r="F24" s="1839">
        <f>'Exhibit F'!AC25</f>
        <v>-7779.4</v>
      </c>
      <c r="G24" s="634"/>
      <c r="H24" s="1840">
        <v>0</v>
      </c>
      <c r="I24" s="1842"/>
      <c r="J24" s="1841">
        <v>0</v>
      </c>
      <c r="K24" s="634"/>
      <c r="L24" s="1840">
        <v>0</v>
      </c>
      <c r="M24" s="1842"/>
      <c r="N24" s="1841">
        <v>0</v>
      </c>
      <c r="O24" s="634"/>
      <c r="P24" s="1840">
        <v>0</v>
      </c>
      <c r="Q24" s="1842"/>
      <c r="R24" s="1841">
        <v>0</v>
      </c>
      <c r="S24" s="634"/>
      <c r="T24" s="2943"/>
      <c r="U24" s="2943"/>
      <c r="V24" s="1842">
        <f>SUM(D24)+SUM(H24)+SUM(L24)+SUM(P24)</f>
        <v>-91.899999999999636</v>
      </c>
      <c r="W24" s="1456"/>
      <c r="X24" s="1842">
        <f t="shared" si="1"/>
        <v>-7779.4</v>
      </c>
      <c r="Y24" s="2944"/>
      <c r="Z24" s="2945"/>
      <c r="AA24" s="1456"/>
      <c r="AB24" s="1839">
        <v>-71</v>
      </c>
      <c r="AC24" s="634"/>
      <c r="AD24" s="1842">
        <f>'Cashflow Governmental'!AE29</f>
        <v>-7518.2</v>
      </c>
      <c r="AE24" s="1842"/>
      <c r="AF24" s="3708"/>
      <c r="AG24" s="2944"/>
      <c r="AH24" s="1842">
        <f>-ROUND(SUM(X24)-SUM(AD24),1)</f>
        <v>261.2</v>
      </c>
      <c r="AI24" s="2946"/>
      <c r="AJ24" s="1884">
        <f>-ROUND(AH24/AD24,3)</f>
        <v>3.5000000000000003E-2</v>
      </c>
      <c r="AK24" s="1882"/>
      <c r="AL24" s="2939"/>
    </row>
    <row r="25" spans="1:38" s="2940" customFormat="1" ht="18" customHeight="1">
      <c r="A25" s="2958" t="s">
        <v>913</v>
      </c>
      <c r="B25" s="2932"/>
      <c r="C25" s="2932"/>
      <c r="D25" s="1852">
        <f>ROUND(SUM(D21:D24),1)</f>
        <v>2342.1999999999998</v>
      </c>
      <c r="E25" s="1517"/>
      <c r="F25" s="1852">
        <f>ROUND(SUM(F21:F24),1)</f>
        <v>20959.099999999999</v>
      </c>
      <c r="G25" s="23"/>
      <c r="H25" s="1852">
        <f>ROUND(SUM(H21:H24),1)</f>
        <v>2107.4</v>
      </c>
      <c r="I25" s="2948"/>
      <c r="J25" s="1852">
        <f>ROUND(SUM(J21:J24),1)</f>
        <v>2149.1</v>
      </c>
      <c r="K25" s="23"/>
      <c r="L25" s="1852">
        <f>ROUND(SUM(L21:L24),1)</f>
        <v>4449.6000000000004</v>
      </c>
      <c r="M25" s="2948"/>
      <c r="N25" s="1852">
        <f>ROUND(SUM(N21:N24),1)</f>
        <v>23108.2</v>
      </c>
      <c r="O25" s="23"/>
      <c r="P25" s="1852">
        <f>ROUND(SUM(P21:P24),1)</f>
        <v>0</v>
      </c>
      <c r="Q25" s="2948"/>
      <c r="R25" s="1852">
        <f>ROUND(SUM(R21:R24),1)</f>
        <v>0</v>
      </c>
      <c r="S25" s="23"/>
      <c r="T25" s="2949"/>
      <c r="U25" s="2949"/>
      <c r="V25" s="2950">
        <f>ROUND(SUM(V21:V24),1)</f>
        <v>8899.2000000000007</v>
      </c>
      <c r="W25" s="1517"/>
      <c r="X25" s="2950">
        <f>ROUND(SUM(X21:X24),1)</f>
        <v>46216.4</v>
      </c>
      <c r="Y25" s="2959"/>
      <c r="Z25" s="2374"/>
      <c r="AA25" s="1517"/>
      <c r="AB25" s="3658">
        <f>ROUND(SUM(AB21:AB24),1)</f>
        <v>8612.5</v>
      </c>
      <c r="AC25" s="23"/>
      <c r="AD25" s="2950">
        <f>ROUND(SUM(AD21:AD24),1)</f>
        <v>41142.5</v>
      </c>
      <c r="AE25" s="1517" t="s">
        <v>15</v>
      </c>
      <c r="AF25" s="3708"/>
      <c r="AG25" s="2951"/>
      <c r="AH25" s="1885">
        <f>ROUND(SUM(X25)-SUM(AD25),1)</f>
        <v>5073.8999999999996</v>
      </c>
      <c r="AI25" s="2952"/>
      <c r="AJ25" s="1886">
        <f>ROUND(AH25/AD25,3)</f>
        <v>0.123</v>
      </c>
      <c r="AK25" s="2953"/>
      <c r="AL25" s="2954"/>
    </row>
    <row r="26" spans="1:38" ht="18" customHeight="1">
      <c r="A26" s="2931"/>
      <c r="B26" s="2931"/>
      <c r="C26" s="2931"/>
      <c r="D26" s="1556"/>
      <c r="E26" s="630"/>
      <c r="F26" s="1556"/>
      <c r="G26" s="629"/>
      <c r="H26" s="1556"/>
      <c r="I26" s="630"/>
      <c r="J26" s="1556"/>
      <c r="K26" s="629"/>
      <c r="L26" s="1556"/>
      <c r="M26" s="630"/>
      <c r="N26" s="1556"/>
      <c r="O26" s="629"/>
      <c r="P26" s="1556"/>
      <c r="Q26" s="630"/>
      <c r="R26" s="1556"/>
      <c r="S26" s="629"/>
      <c r="T26" s="2960"/>
      <c r="U26" s="2960"/>
      <c r="V26" s="1556"/>
      <c r="W26" s="630"/>
      <c r="X26" s="1556"/>
      <c r="Y26" s="630"/>
      <c r="Z26" s="2961"/>
      <c r="AA26" s="630"/>
      <c r="AB26" s="1853"/>
      <c r="AC26" s="634"/>
      <c r="AD26" s="1853"/>
      <c r="AE26" s="1456"/>
      <c r="AF26" s="3708"/>
      <c r="AG26" s="1456"/>
      <c r="AH26" s="1456"/>
      <c r="AI26" s="627"/>
      <c r="AJ26" s="2962"/>
      <c r="AK26" s="2963"/>
      <c r="AL26" s="2913"/>
    </row>
    <row r="27" spans="1:38" ht="18" customHeight="1">
      <c r="A27" s="2964" t="s">
        <v>1192</v>
      </c>
      <c r="B27" s="2931"/>
      <c r="C27" s="2965"/>
      <c r="D27" s="629"/>
      <c r="E27" s="629"/>
      <c r="F27" s="629"/>
      <c r="G27" s="629"/>
      <c r="H27" s="629"/>
      <c r="I27" s="629"/>
      <c r="J27" s="629"/>
      <c r="K27" s="629"/>
      <c r="L27" s="629"/>
      <c r="M27" s="629"/>
      <c r="N27" s="629"/>
      <c r="O27" s="629"/>
      <c r="P27" s="629"/>
      <c r="Q27" s="629"/>
      <c r="R27" s="629"/>
      <c r="S27" s="629"/>
      <c r="T27" s="2960"/>
      <c r="U27" s="2960"/>
      <c r="V27" s="630"/>
      <c r="W27" s="630"/>
      <c r="X27" s="629"/>
      <c r="Y27" s="629"/>
      <c r="Z27" s="2961"/>
      <c r="AA27" s="630"/>
      <c r="AB27" s="634"/>
      <c r="AC27" s="634"/>
      <c r="AD27" s="634"/>
      <c r="AE27" s="634"/>
      <c r="AF27" s="3708"/>
      <c r="AG27" s="634"/>
      <c r="AH27" s="634"/>
      <c r="AI27" s="2320"/>
      <c r="AJ27" s="2962"/>
      <c r="AK27" s="2963"/>
      <c r="AL27" s="2913"/>
    </row>
    <row r="28" spans="1:38" s="2940" customFormat="1" ht="18" customHeight="1">
      <c r="A28" s="2932" t="s">
        <v>914</v>
      </c>
      <c r="B28" s="2932"/>
      <c r="C28" s="2932"/>
      <c r="D28" s="634">
        <f>'Exhibit F'!V28</f>
        <v>635.5</v>
      </c>
      <c r="E28" s="634"/>
      <c r="F28" s="634">
        <f>'Exhibit F'!AC28</f>
        <v>6298.8</v>
      </c>
      <c r="G28" s="634"/>
      <c r="H28" s="634">
        <f>'Exhibit G'!V20</f>
        <v>90.399999999999835</v>
      </c>
      <c r="I28" s="634"/>
      <c r="J28" s="634">
        <f>'Exhibit G'!AD20</f>
        <v>923.9</v>
      </c>
      <c r="K28" s="634"/>
      <c r="L28" s="1842">
        <f>'Exhibit H'!T19</f>
        <v>635</v>
      </c>
      <c r="M28" s="1842"/>
      <c r="N28" s="1842">
        <f>'Exhibit H'!AA19</f>
        <v>6293.8</v>
      </c>
      <c r="O28" s="634"/>
      <c r="P28" s="1840">
        <v>0</v>
      </c>
      <c r="Q28" s="1842"/>
      <c r="R28" s="1841">
        <v>0</v>
      </c>
      <c r="S28" s="634"/>
      <c r="T28" s="2943"/>
      <c r="U28" s="2943"/>
      <c r="V28" s="1842">
        <f t="shared" ref="V28:V37" si="2">SUM(D28)+SUM(H28)+SUM(L28)+SUM(P28)</f>
        <v>1360.8999999999999</v>
      </c>
      <c r="W28" s="1456"/>
      <c r="X28" s="1842">
        <f t="shared" ref="X28:X37" si="3">SUM(F28)+SUM(J28)+SUM(N28)+SUM(R28)</f>
        <v>13516.5</v>
      </c>
      <c r="Y28" s="634"/>
      <c r="Z28" s="2945"/>
      <c r="AA28" s="1456"/>
      <c r="AB28" s="1839">
        <v>1229.0999999999999</v>
      </c>
      <c r="AC28" s="634"/>
      <c r="AD28" s="1842">
        <f>'Cashflow Governmental'!AE32</f>
        <v>12752.3</v>
      </c>
      <c r="AE28" s="1842"/>
      <c r="AF28" s="3708"/>
      <c r="AG28" s="634"/>
      <c r="AH28" s="634">
        <f t="shared" ref="AH28:AH38" si="4">ROUND(SUM(X28)-SUM(AD28),1)</f>
        <v>764.2</v>
      </c>
      <c r="AI28" s="2946"/>
      <c r="AJ28" s="1882">
        <f t="shared" ref="AJ28:AJ38" si="5">ROUND(AH28/AD28,3)</f>
        <v>0.06</v>
      </c>
      <c r="AK28" s="1882"/>
      <c r="AL28" s="2939"/>
    </row>
    <row r="29" spans="1:38" s="2940" customFormat="1" ht="18" customHeight="1">
      <c r="A29" s="2941" t="s">
        <v>915</v>
      </c>
      <c r="B29" s="2932"/>
      <c r="C29" s="2966"/>
      <c r="D29" s="634">
        <f>'Exhibit F'!V29</f>
        <v>0</v>
      </c>
      <c r="E29" s="1842"/>
      <c r="F29" s="634">
        <f>'Exhibit F'!AC29</f>
        <v>0</v>
      </c>
      <c r="G29" s="634"/>
      <c r="H29" s="634">
        <f>'Exhibit G'!V21</f>
        <v>0</v>
      </c>
      <c r="I29" s="1842"/>
      <c r="J29" s="634">
        <f>'Exhibit G'!AD21</f>
        <v>12.9</v>
      </c>
      <c r="K29" s="634"/>
      <c r="L29" s="1840">
        <v>0</v>
      </c>
      <c r="M29" s="1842"/>
      <c r="N29" s="1841">
        <v>0</v>
      </c>
      <c r="O29" s="634"/>
      <c r="P29" s="1839">
        <f>'Exhibit I'!W20</f>
        <v>0</v>
      </c>
      <c r="Q29" s="634"/>
      <c r="R29" s="1839">
        <f>'Exhibit I'!AF20</f>
        <v>70.599999999999994</v>
      </c>
      <c r="S29" s="634"/>
      <c r="T29" s="2943"/>
      <c r="U29" s="2943"/>
      <c r="V29" s="1842">
        <f t="shared" si="2"/>
        <v>0</v>
      </c>
      <c r="W29" s="1456"/>
      <c r="X29" s="1842">
        <f t="shared" si="3"/>
        <v>83.5</v>
      </c>
      <c r="Y29" s="2944"/>
      <c r="Z29" s="2945"/>
      <c r="AA29" s="1456"/>
      <c r="AB29" s="1839">
        <v>0.4</v>
      </c>
      <c r="AC29" s="634"/>
      <c r="AD29" s="1842">
        <f>'Cashflow Governmental'!AE33</f>
        <v>108.8</v>
      </c>
      <c r="AE29" s="1842"/>
      <c r="AF29" s="3708"/>
      <c r="AG29" s="2944"/>
      <c r="AH29" s="1842">
        <f t="shared" si="4"/>
        <v>-25.3</v>
      </c>
      <c r="AI29" s="2967"/>
      <c r="AJ29" s="1882">
        <f t="shared" si="5"/>
        <v>-0.23300000000000001</v>
      </c>
      <c r="AK29" s="1882"/>
      <c r="AL29" s="2939"/>
    </row>
    <row r="30" spans="1:38" ht="18" customHeight="1">
      <c r="A30" s="2931" t="s">
        <v>916</v>
      </c>
      <c r="B30" s="2931"/>
      <c r="C30" s="2931"/>
      <c r="D30" s="634">
        <f>'Exhibit F'!V30</f>
        <v>24.000000000000014</v>
      </c>
      <c r="E30" s="634"/>
      <c r="F30" s="634">
        <f>'Exhibit F'!AC30</f>
        <v>272.2</v>
      </c>
      <c r="G30" s="634"/>
      <c r="H30" s="634">
        <f>'Exhibit G'!V22</f>
        <v>55.300000000000011</v>
      </c>
      <c r="I30" s="1842"/>
      <c r="J30" s="634">
        <f>'Exhibit G'!AD22</f>
        <v>626.1</v>
      </c>
      <c r="K30" s="634"/>
      <c r="L30" s="1840">
        <v>0</v>
      </c>
      <c r="M30" s="1842"/>
      <c r="N30" s="1841">
        <v>0</v>
      </c>
      <c r="O30" s="634"/>
      <c r="P30" s="1840">
        <v>0</v>
      </c>
      <c r="Q30" s="1842"/>
      <c r="R30" s="1841">
        <v>0</v>
      </c>
      <c r="S30" s="629"/>
      <c r="T30" s="2960"/>
      <c r="U30" s="2960"/>
      <c r="V30" s="1551">
        <f t="shared" si="2"/>
        <v>79.300000000000026</v>
      </c>
      <c r="W30" s="630"/>
      <c r="X30" s="1551">
        <f t="shared" si="3"/>
        <v>898.3</v>
      </c>
      <c r="Y30" s="2968"/>
      <c r="Z30" s="2961"/>
      <c r="AA30" s="630"/>
      <c r="AB30" s="1839">
        <v>91.1</v>
      </c>
      <c r="AC30" s="634"/>
      <c r="AD30" s="1842">
        <f>'Cashflow Governmental'!AE34</f>
        <v>966.5</v>
      </c>
      <c r="AE30" s="1855"/>
      <c r="AF30" s="3709"/>
      <c r="AG30" s="2944"/>
      <c r="AH30" s="1842">
        <f t="shared" si="4"/>
        <v>-68.2</v>
      </c>
      <c r="AI30" s="2969"/>
      <c r="AJ30" s="1552">
        <f t="shared" si="5"/>
        <v>-7.0999999999999994E-2</v>
      </c>
      <c r="AK30" s="1552"/>
      <c r="AL30" s="2913"/>
    </row>
    <row r="31" spans="1:38" ht="18" customHeight="1">
      <c r="A31" s="2931" t="s">
        <v>1277</v>
      </c>
      <c r="B31" s="2931"/>
      <c r="C31" s="2931"/>
      <c r="D31" s="634">
        <v>0</v>
      </c>
      <c r="E31" s="634"/>
      <c r="F31" s="634">
        <v>0</v>
      </c>
      <c r="G31" s="634"/>
      <c r="H31" s="634">
        <f>'Exhibit G'!V23</f>
        <v>0.50000000000000011</v>
      </c>
      <c r="I31" s="1842"/>
      <c r="J31" s="634">
        <f>'Exhibit G'!AD23</f>
        <v>4.8</v>
      </c>
      <c r="K31" s="634"/>
      <c r="L31" s="1840">
        <v>0</v>
      </c>
      <c r="M31" s="1842"/>
      <c r="N31" s="1841">
        <v>0</v>
      </c>
      <c r="O31" s="634"/>
      <c r="P31" s="1840">
        <v>0</v>
      </c>
      <c r="Q31" s="1842"/>
      <c r="R31" s="1841">
        <v>0</v>
      </c>
      <c r="S31" s="629"/>
      <c r="T31" s="2960"/>
      <c r="U31" s="2960"/>
      <c r="V31" s="1551">
        <f>SUM(D31)+SUM(H31)+SUM(L31)+SUM(P31)</f>
        <v>0.50000000000000011</v>
      </c>
      <c r="W31" s="630"/>
      <c r="X31" s="1551">
        <f>SUM(F31)+SUM(J31)+SUM(N31)+SUM(R31)</f>
        <v>4.8</v>
      </c>
      <c r="Y31" s="2968"/>
      <c r="Z31" s="2961"/>
      <c r="AA31" s="630"/>
      <c r="AB31" s="1839">
        <v>0.4</v>
      </c>
      <c r="AC31" s="634"/>
      <c r="AD31" s="1842">
        <f>'Cashflow Governmental'!AE35</f>
        <v>3.1</v>
      </c>
      <c r="AE31" s="1855"/>
      <c r="AF31" s="3709"/>
      <c r="AG31" s="2944"/>
      <c r="AH31" s="1842">
        <f>ROUND(SUM(X31)-SUM(AD31),1)</f>
        <v>1.7</v>
      </c>
      <c r="AI31" s="2969"/>
      <c r="AJ31" s="1475">
        <f>ROUND(IF(AD31=0,0,AH31/(AD31)),3)</f>
        <v>0.54800000000000004</v>
      </c>
      <c r="AK31" s="1552"/>
      <c r="AL31" s="2913"/>
    </row>
    <row r="32" spans="1:38" ht="18" customHeight="1">
      <c r="A32" s="2931" t="s">
        <v>917</v>
      </c>
      <c r="B32" s="2931"/>
      <c r="C32" s="2931"/>
      <c r="D32" s="634">
        <f>'Exhibit F'!V31</f>
        <v>0</v>
      </c>
      <c r="E32" s="1842"/>
      <c r="F32" s="634">
        <f>'Exhibit F'!AC31</f>
        <v>0</v>
      </c>
      <c r="G32" s="634"/>
      <c r="H32" s="634">
        <f>'Exhibit G'!V24</f>
        <v>8.9000000000000075</v>
      </c>
      <c r="I32" s="1842"/>
      <c r="J32" s="634">
        <f>'Exhibit G'!AD24</f>
        <v>92.5</v>
      </c>
      <c r="K32" s="634"/>
      <c r="L32" s="1840">
        <v>0</v>
      </c>
      <c r="M32" s="1842"/>
      <c r="N32" s="1841">
        <v>0</v>
      </c>
      <c r="O32" s="634"/>
      <c r="P32" s="634">
        <f>'Exhibit I'!W21</f>
        <v>33.499999999999993</v>
      </c>
      <c r="Q32" s="1842"/>
      <c r="R32" s="634">
        <f>'Exhibit I'!AF21</f>
        <v>345.2</v>
      </c>
      <c r="S32" s="629"/>
      <c r="T32" s="2960"/>
      <c r="U32" s="2960"/>
      <c r="V32" s="1551">
        <f t="shared" si="2"/>
        <v>42.4</v>
      </c>
      <c r="W32" s="630"/>
      <c r="X32" s="1551">
        <f t="shared" si="3"/>
        <v>437.7</v>
      </c>
      <c r="Y32" s="629"/>
      <c r="Z32" s="2961"/>
      <c r="AA32" s="630"/>
      <c r="AB32" s="1839">
        <v>41.3</v>
      </c>
      <c r="AC32" s="634"/>
      <c r="AD32" s="1842">
        <f>'Cashflow Governmental'!AE36</f>
        <v>445.6</v>
      </c>
      <c r="AE32" s="1842"/>
      <c r="AF32" s="3709"/>
      <c r="AG32" s="634"/>
      <c r="AH32" s="1842">
        <f t="shared" si="4"/>
        <v>-7.9</v>
      </c>
      <c r="AI32" s="2320"/>
      <c r="AJ32" s="1552">
        <f t="shared" si="5"/>
        <v>-1.7999999999999999E-2</v>
      </c>
      <c r="AK32" s="1552"/>
      <c r="AL32" s="2913"/>
    </row>
    <row r="33" spans="1:38" ht="18" customHeight="1">
      <c r="A33" s="2931" t="s">
        <v>918</v>
      </c>
      <c r="B33" s="2931"/>
      <c r="C33" s="2931"/>
      <c r="D33" s="634">
        <f>'Exhibit F'!V32</f>
        <v>34.6</v>
      </c>
      <c r="E33" s="634"/>
      <c r="F33" s="634">
        <f>'Exhibit F'!AC32</f>
        <v>234.1</v>
      </c>
      <c r="G33" s="634"/>
      <c r="H33" s="634">
        <f>'Exhibit G'!V25</f>
        <v>0</v>
      </c>
      <c r="I33" s="1842"/>
      <c r="J33" s="634">
        <f>'Exhibit G'!AD25</f>
        <v>0</v>
      </c>
      <c r="K33" s="634"/>
      <c r="L33" s="1840">
        <v>0</v>
      </c>
      <c r="M33" s="1842"/>
      <c r="N33" s="1841">
        <v>0</v>
      </c>
      <c r="O33" s="634"/>
      <c r="P33" s="1840">
        <v>0</v>
      </c>
      <c r="Q33" s="1842"/>
      <c r="R33" s="1841">
        <v>0</v>
      </c>
      <c r="S33" s="629"/>
      <c r="T33" s="2960"/>
      <c r="U33" s="2960"/>
      <c r="V33" s="1551">
        <f t="shared" si="2"/>
        <v>34.6</v>
      </c>
      <c r="W33" s="630"/>
      <c r="X33" s="1551">
        <f t="shared" si="3"/>
        <v>234.1</v>
      </c>
      <c r="Y33" s="2968"/>
      <c r="Z33" s="2961"/>
      <c r="AA33" s="630"/>
      <c r="AB33" s="1839">
        <v>31.5</v>
      </c>
      <c r="AC33" s="634"/>
      <c r="AD33" s="1842">
        <f>'Cashflow Governmental'!AE37</f>
        <v>230.2</v>
      </c>
      <c r="AE33" s="1842"/>
      <c r="AF33" s="3709"/>
      <c r="AG33" s="2944"/>
      <c r="AH33" s="1842">
        <f t="shared" si="4"/>
        <v>3.9</v>
      </c>
      <c r="AI33" s="2969"/>
      <c r="AJ33" s="1552">
        <f t="shared" si="5"/>
        <v>1.7000000000000001E-2</v>
      </c>
      <c r="AK33" s="1552"/>
      <c r="AL33" s="2913"/>
    </row>
    <row r="34" spans="1:38" ht="18" customHeight="1">
      <c r="A34" s="2931" t="s">
        <v>919</v>
      </c>
      <c r="B34" s="2931"/>
      <c r="C34" s="2931"/>
      <c r="D34" s="634">
        <f>'Exhibit F'!V33</f>
        <v>0</v>
      </c>
      <c r="E34" s="1842"/>
      <c r="F34" s="634">
        <f>'Exhibit F'!AC33</f>
        <v>0</v>
      </c>
      <c r="G34" s="634"/>
      <c r="H34" s="634">
        <f>'Exhibit G'!V26</f>
        <v>0</v>
      </c>
      <c r="I34" s="1842"/>
      <c r="J34" s="634">
        <f>'Exhibit G'!AD26</f>
        <v>0.4</v>
      </c>
      <c r="K34" s="634"/>
      <c r="L34" s="1840">
        <v>0</v>
      </c>
      <c r="M34" s="1842"/>
      <c r="N34" s="1841">
        <v>0</v>
      </c>
      <c r="O34" s="634"/>
      <c r="P34" s="634">
        <f>'Exhibit I'!W22</f>
        <v>12.199999999999992</v>
      </c>
      <c r="Q34" s="1842"/>
      <c r="R34" s="634">
        <f>'Exhibit I'!AF22</f>
        <v>122</v>
      </c>
      <c r="S34" s="629"/>
      <c r="T34" s="2960"/>
      <c r="U34" s="2960"/>
      <c r="V34" s="1551">
        <f>SUM(D34)+SUM(H34)+SUM(L34)+SUM(P34)</f>
        <v>12.199999999999992</v>
      </c>
      <c r="W34" s="630"/>
      <c r="X34" s="1551">
        <f t="shared" si="3"/>
        <v>122.4</v>
      </c>
      <c r="Y34" s="2968"/>
      <c r="Z34" s="2961"/>
      <c r="AA34" s="630"/>
      <c r="AB34" s="1839">
        <v>13.3</v>
      </c>
      <c r="AC34" s="634"/>
      <c r="AD34" s="1842">
        <f>'Cashflow Governmental'!AE38</f>
        <v>127.8</v>
      </c>
      <c r="AE34" s="1855"/>
      <c r="AF34" s="3709"/>
      <c r="AG34" s="2944"/>
      <c r="AH34" s="1841">
        <f t="shared" si="4"/>
        <v>-5.4</v>
      </c>
      <c r="AI34" s="2970"/>
      <c r="AJ34" s="1552">
        <f>ROUND(AH34/AD34,3)</f>
        <v>-4.2000000000000003E-2</v>
      </c>
      <c r="AK34" s="1552"/>
      <c r="AL34" s="2913"/>
    </row>
    <row r="35" spans="1:38" ht="18" customHeight="1">
      <c r="A35" s="2931" t="s">
        <v>1594</v>
      </c>
      <c r="B35" s="2931"/>
      <c r="C35" s="2931"/>
      <c r="D35" s="634">
        <f>'Exhibit F'!V34</f>
        <v>0</v>
      </c>
      <c r="E35" s="1842"/>
      <c r="F35" s="634">
        <f>'Exhibit F'!AC34</f>
        <v>0</v>
      </c>
      <c r="G35" s="634"/>
      <c r="H35" s="634">
        <v>0</v>
      </c>
      <c r="I35" s="1842"/>
      <c r="J35" s="634">
        <v>0</v>
      </c>
      <c r="K35" s="634"/>
      <c r="L35" s="1840">
        <v>0</v>
      </c>
      <c r="M35" s="1842"/>
      <c r="N35" s="1841">
        <v>0</v>
      </c>
      <c r="O35" s="634"/>
      <c r="P35" s="634">
        <v>0</v>
      </c>
      <c r="Q35" s="1842"/>
      <c r="R35" s="634">
        <v>0</v>
      </c>
      <c r="S35" s="629"/>
      <c r="T35" s="2960"/>
      <c r="U35" s="2960"/>
      <c r="V35" s="1551">
        <f>SUM(D35)+SUM(H35)+SUM(L35)+SUM(P35)</f>
        <v>0</v>
      </c>
      <c r="W35" s="630"/>
      <c r="X35" s="1551">
        <f>SUM(F35)+SUM(J35)+SUM(N35)+SUM(R35)</f>
        <v>0</v>
      </c>
      <c r="Y35" s="2968"/>
      <c r="Z35" s="2961"/>
      <c r="AA35" s="630"/>
      <c r="AB35" s="1839">
        <v>0</v>
      </c>
      <c r="AC35" s="634"/>
      <c r="AD35" s="1842">
        <f>'Cashflow Governmental'!AE39</f>
        <v>0</v>
      </c>
      <c r="AE35" s="1855"/>
      <c r="AF35" s="3709"/>
      <c r="AG35" s="2944"/>
      <c r="AH35" s="1841">
        <f>ROUND(SUM(X35)-SUM(AD35),1)</f>
        <v>0</v>
      </c>
      <c r="AI35" s="2970"/>
      <c r="AJ35" s="1552">
        <f>ROUND(IF(AD35=0,0,-AH35/(AD35)),3)</f>
        <v>0</v>
      </c>
      <c r="AK35" s="1552"/>
      <c r="AL35" s="2913"/>
    </row>
    <row r="36" spans="1:38" ht="18" customHeight="1">
      <c r="A36" s="2931" t="s">
        <v>1595</v>
      </c>
      <c r="B36" s="2931"/>
      <c r="C36" s="2931"/>
      <c r="D36" s="634">
        <f>'Exhibit F'!V35</f>
        <v>16.899999999999999</v>
      </c>
      <c r="E36" s="1842"/>
      <c r="F36" s="634">
        <f>'Exhibit F'!AC35</f>
        <v>16.899999999999999</v>
      </c>
      <c r="G36" s="634"/>
      <c r="H36" s="634">
        <v>0</v>
      </c>
      <c r="I36" s="1842"/>
      <c r="J36" s="634">
        <v>0</v>
      </c>
      <c r="K36" s="634"/>
      <c r="L36" s="1840">
        <v>0</v>
      </c>
      <c r="M36" s="1842"/>
      <c r="N36" s="1841">
        <v>0</v>
      </c>
      <c r="O36" s="634"/>
      <c r="P36" s="634">
        <v>0</v>
      </c>
      <c r="Q36" s="1842"/>
      <c r="R36" s="634">
        <v>0</v>
      </c>
      <c r="S36" s="629"/>
      <c r="T36" s="2960"/>
      <c r="U36" s="2960"/>
      <c r="V36" s="1551">
        <f>SUM(D36)+SUM(H36)+SUM(L36)+SUM(P36)</f>
        <v>16.899999999999999</v>
      </c>
      <c r="W36" s="630"/>
      <c r="X36" s="1551">
        <f t="shared" ref="X36" si="6">SUM(F36)+SUM(J36)+SUM(N36)+SUM(R36)</f>
        <v>16.899999999999999</v>
      </c>
      <c r="Y36" s="2968"/>
      <c r="Z36" s="2961"/>
      <c r="AA36" s="630"/>
      <c r="AB36" s="1839">
        <v>0</v>
      </c>
      <c r="AC36" s="634"/>
      <c r="AD36" s="1842">
        <v>0</v>
      </c>
      <c r="AE36" s="1855"/>
      <c r="AF36" s="3709"/>
      <c r="AG36" s="2944"/>
      <c r="AH36" s="1841">
        <f t="shared" ref="AH36" si="7">ROUND(SUM(X36)-SUM(AD36),1)</f>
        <v>16.899999999999999</v>
      </c>
      <c r="AI36" s="2970"/>
      <c r="AJ36" s="1475">
        <f>ROUND(IF(AD36=0,1,-AH36/(AD36)),3)</f>
        <v>1</v>
      </c>
      <c r="AK36" s="1552"/>
      <c r="AL36" s="2913"/>
    </row>
    <row r="37" spans="1:38" ht="18" customHeight="1">
      <c r="A37" s="2971" t="s">
        <v>920</v>
      </c>
      <c r="B37" s="2931"/>
      <c r="C37" s="2931"/>
      <c r="D37" s="634">
        <f>'Exhibit F'!V36</f>
        <v>0</v>
      </c>
      <c r="E37" s="1456"/>
      <c r="F37" s="634">
        <f>'Exhibit F'!AC36</f>
        <v>0</v>
      </c>
      <c r="G37" s="634"/>
      <c r="H37" s="634">
        <f>'Exhibit G'!V27</f>
        <v>0</v>
      </c>
      <c r="I37" s="1842"/>
      <c r="J37" s="634">
        <f>'Exhibit G'!AD27</f>
        <v>0</v>
      </c>
      <c r="K37" s="634"/>
      <c r="L37" s="1840">
        <v>0</v>
      </c>
      <c r="M37" s="1842"/>
      <c r="N37" s="1841">
        <v>0</v>
      </c>
      <c r="O37" s="634"/>
      <c r="P37" s="1840">
        <v>0</v>
      </c>
      <c r="Q37" s="1456"/>
      <c r="R37" s="1841">
        <v>0</v>
      </c>
      <c r="S37" s="629"/>
      <c r="T37" s="2960"/>
      <c r="U37" s="2960"/>
      <c r="V37" s="1551">
        <f t="shared" si="2"/>
        <v>0</v>
      </c>
      <c r="W37" s="630"/>
      <c r="X37" s="1551">
        <f t="shared" si="3"/>
        <v>0</v>
      </c>
      <c r="Y37" s="2972"/>
      <c r="Z37" s="2961"/>
      <c r="AA37" s="630"/>
      <c r="AB37" s="1839">
        <v>10.6</v>
      </c>
      <c r="AC37" s="634"/>
      <c r="AD37" s="1842">
        <f>'Cashflow Governmental'!AE41</f>
        <v>49.7</v>
      </c>
      <c r="AE37" s="1855"/>
      <c r="AF37" s="3709"/>
      <c r="AG37" s="2944"/>
      <c r="AH37" s="1883">
        <f t="shared" si="4"/>
        <v>-49.7</v>
      </c>
      <c r="AI37" s="2969"/>
      <c r="AJ37" s="1553">
        <f t="shared" si="5"/>
        <v>-1</v>
      </c>
      <c r="AK37" s="1552"/>
      <c r="AL37" s="2913"/>
    </row>
    <row r="38" spans="1:38" ht="18" customHeight="1">
      <c r="A38" s="2930" t="s">
        <v>921</v>
      </c>
      <c r="B38" s="2931"/>
      <c r="C38" s="2931"/>
      <c r="D38" s="1554">
        <f>ROUND(SUM(D28:D37),1)</f>
        <v>711</v>
      </c>
      <c r="E38" s="2344"/>
      <c r="F38" s="1554">
        <f>ROUND(SUM(F28:F37),1)</f>
        <v>6822</v>
      </c>
      <c r="G38" s="23"/>
      <c r="H38" s="1554">
        <f>ROUND(SUM(H28:H37),1)</f>
        <v>155.1</v>
      </c>
      <c r="I38" s="2344"/>
      <c r="J38" s="1554">
        <f>ROUND(SUM(J28:J37),1)</f>
        <v>1660.6</v>
      </c>
      <c r="K38" s="1399"/>
      <c r="L38" s="1852">
        <f>ROUND(SUM(L28:L37),1)</f>
        <v>635</v>
      </c>
      <c r="M38" s="1517"/>
      <c r="N38" s="1852">
        <f>ROUND(SUM(N28:N37),1)</f>
        <v>6293.8</v>
      </c>
      <c r="O38" s="1399"/>
      <c r="P38" s="1554">
        <f>ROUND(SUM(P28:P37),1)</f>
        <v>45.7</v>
      </c>
      <c r="Q38" s="2344"/>
      <c r="R38" s="1554">
        <f>ROUND(SUM(R28:R37),1)</f>
        <v>537.79999999999995</v>
      </c>
      <c r="S38" s="1399"/>
      <c r="T38" s="2973"/>
      <c r="U38" s="2973"/>
      <c r="V38" s="1554">
        <f>ROUND(SUM(V28:V37),1)</f>
        <v>1546.8</v>
      </c>
      <c r="W38" s="2344"/>
      <c r="X38" s="1554">
        <f>ROUND(SUM(X28:X37),1)</f>
        <v>15314.2</v>
      </c>
      <c r="Y38" s="2974"/>
      <c r="Z38" s="2345"/>
      <c r="AA38" s="2344"/>
      <c r="AB38" s="1852">
        <f>ROUND(SUM(AB28:AB37),1)</f>
        <v>1417.7</v>
      </c>
      <c r="AC38" s="23"/>
      <c r="AD38" s="1852">
        <f>ROUND(SUM(AD28:AD37),1)</f>
        <v>14684</v>
      </c>
      <c r="AE38" s="1517"/>
      <c r="AF38" s="3710"/>
      <c r="AG38" s="1517"/>
      <c r="AH38" s="1885">
        <f t="shared" si="4"/>
        <v>630.20000000000005</v>
      </c>
      <c r="AI38" s="2314"/>
      <c r="AJ38" s="1555">
        <f t="shared" si="5"/>
        <v>4.2999999999999997E-2</v>
      </c>
      <c r="AK38" s="2975"/>
      <c r="AL38" s="2976"/>
    </row>
    <row r="39" spans="1:38" ht="18" customHeight="1">
      <c r="A39" s="2931"/>
      <c r="B39" s="2931"/>
      <c r="C39" s="2931"/>
      <c r="D39" s="1556"/>
      <c r="E39" s="630"/>
      <c r="F39" s="1556"/>
      <c r="G39" s="634"/>
      <c r="H39" s="1556"/>
      <c r="I39" s="630"/>
      <c r="J39" s="1556"/>
      <c r="K39" s="629"/>
      <c r="L39" s="1853"/>
      <c r="M39" s="1456"/>
      <c r="N39" s="1853"/>
      <c r="O39" s="629"/>
      <c r="P39" s="1556"/>
      <c r="Q39" s="630"/>
      <c r="R39" s="1556"/>
      <c r="S39" s="629"/>
      <c r="T39" s="2960"/>
      <c r="U39" s="2960"/>
      <c r="V39" s="1556"/>
      <c r="W39" s="630"/>
      <c r="X39" s="1556"/>
      <c r="Y39" s="630"/>
      <c r="Z39" s="2961"/>
      <c r="AA39" s="630"/>
      <c r="AB39" s="1853"/>
      <c r="AC39" s="634"/>
      <c r="AD39" s="1853"/>
      <c r="AE39" s="1456"/>
      <c r="AF39" s="3709"/>
      <c r="AG39" s="1456"/>
      <c r="AH39" s="1456"/>
      <c r="AI39" s="627"/>
      <c r="AJ39" s="2962"/>
      <c r="AK39" s="2963"/>
      <c r="AL39" s="2913"/>
    </row>
    <row r="40" spans="1:38" ht="18" customHeight="1">
      <c r="A40" s="2930" t="s">
        <v>1193</v>
      </c>
      <c r="B40" s="2931"/>
      <c r="C40" s="2931"/>
      <c r="D40" s="629"/>
      <c r="E40" s="629"/>
      <c r="F40" s="629"/>
      <c r="G40" s="634"/>
      <c r="H40" s="629"/>
      <c r="I40" s="629"/>
      <c r="J40" s="629"/>
      <c r="K40" s="629"/>
      <c r="L40" s="634"/>
      <c r="M40" s="634"/>
      <c r="N40" s="634"/>
      <c r="O40" s="629"/>
      <c r="P40" s="629"/>
      <c r="Q40" s="629"/>
      <c r="R40" s="629"/>
      <c r="S40" s="629"/>
      <c r="T40" s="2960"/>
      <c r="U40" s="2960"/>
      <c r="V40" s="630"/>
      <c r="W40" s="630"/>
      <c r="X40" s="629"/>
      <c r="Y40" s="629"/>
      <c r="Z40" s="2961"/>
      <c r="AA40" s="630"/>
      <c r="AB40" s="3659"/>
      <c r="AC40" s="634"/>
      <c r="AD40" s="3659"/>
      <c r="AE40" s="634"/>
      <c r="AF40" s="3709"/>
      <c r="AG40" s="634"/>
      <c r="AH40" s="634"/>
      <c r="AI40" s="2320"/>
      <c r="AJ40" s="1552"/>
      <c r="AK40" s="2963"/>
      <c r="AL40" s="2913"/>
    </row>
    <row r="41" spans="1:38" ht="18" customHeight="1">
      <c r="A41" s="2931" t="s">
        <v>922</v>
      </c>
      <c r="B41" s="2931"/>
      <c r="C41" s="2931"/>
      <c r="D41" s="634">
        <f>'Exhibit F'!V39</f>
        <v>122.69999999999982</v>
      </c>
      <c r="E41" s="634"/>
      <c r="F41" s="634">
        <f>'Exhibit F'!AC39</f>
        <v>2923.7999999999997</v>
      </c>
      <c r="G41" s="634"/>
      <c r="H41" s="634">
        <f>'Exhibit G'!V30</f>
        <v>31.099999999999937</v>
      </c>
      <c r="I41" s="634"/>
      <c r="J41" s="634">
        <f>'Exhibit G'!AD30</f>
        <v>764.8</v>
      </c>
      <c r="K41" s="634"/>
      <c r="L41" s="1840">
        <v>0</v>
      </c>
      <c r="M41" s="1842"/>
      <c r="N41" s="1841">
        <v>0</v>
      </c>
      <c r="O41" s="634"/>
      <c r="P41" s="1840">
        <f>'Exhibit I'!W25</f>
        <v>0</v>
      </c>
      <c r="Q41" s="1842"/>
      <c r="R41" s="1840">
        <f>'Exhibit I'!AF25</f>
        <v>0</v>
      </c>
      <c r="S41" s="629"/>
      <c r="T41" s="2960"/>
      <c r="U41" s="2960"/>
      <c r="V41" s="1551">
        <f>SUM(D41)+SUM(H41)+SUM(L41)+SUM(P41)</f>
        <v>153.79999999999976</v>
      </c>
      <c r="W41" s="630"/>
      <c r="X41" s="1551">
        <f>SUM(F41)+SUM(J41)+SUM(N41)+SUM(R41)</f>
        <v>3688.5999999999995</v>
      </c>
      <c r="Y41" s="629"/>
      <c r="Z41" s="2961"/>
      <c r="AA41" s="630"/>
      <c r="AB41" s="1839">
        <v>227.4</v>
      </c>
      <c r="AC41" s="634"/>
      <c r="AD41" s="1855">
        <f>'Cashflow Governmental'!AE44</f>
        <v>3246.1</v>
      </c>
      <c r="AE41" s="1842"/>
      <c r="AF41" s="3709"/>
      <c r="AG41" s="634"/>
      <c r="AH41" s="1842">
        <f t="shared" ref="AH41:AH46" si="8">ROUND(SUM(X41)-SUM(AD41),1)</f>
        <v>442.5</v>
      </c>
      <c r="AI41" s="2969"/>
      <c r="AJ41" s="1552">
        <f t="shared" ref="AJ41:AJ46" si="9">ROUND(AH41/AD41,3)</f>
        <v>0.13600000000000001</v>
      </c>
      <c r="AK41" s="1552"/>
      <c r="AL41" s="2913"/>
    </row>
    <row r="42" spans="1:38" ht="18" customHeight="1">
      <c r="A42" s="2931" t="s">
        <v>923</v>
      </c>
      <c r="B42" s="2931"/>
      <c r="C42" s="2931"/>
      <c r="D42" s="634">
        <f>'Exhibit F'!V40</f>
        <v>-0.99999999999994316</v>
      </c>
      <c r="E42" s="634"/>
      <c r="F42" s="634">
        <f>'Exhibit F'!AC40</f>
        <v>293.3</v>
      </c>
      <c r="G42" s="634"/>
      <c r="H42" s="1856">
        <f>'Exhibit G'!V31</f>
        <v>-0.30000000000000426</v>
      </c>
      <c r="I42" s="634"/>
      <c r="J42" s="1856">
        <f>'Exhibit G'!AD31</f>
        <v>109.4</v>
      </c>
      <c r="K42" s="634"/>
      <c r="L42" s="1840">
        <v>0</v>
      </c>
      <c r="M42" s="1842"/>
      <c r="N42" s="1841">
        <v>0</v>
      </c>
      <c r="O42" s="634"/>
      <c r="P42" s="634">
        <f>'Exhibit I'!W26</f>
        <v>0</v>
      </c>
      <c r="Q42" s="1842"/>
      <c r="R42" s="634">
        <f>'Exhibit I'!AF26</f>
        <v>11.1</v>
      </c>
      <c r="S42" s="629"/>
      <c r="T42" s="2960"/>
      <c r="U42" s="2960"/>
      <c r="V42" s="1551">
        <f>SUM(D42)+SUM(H42)+SUM(L42)+SUM(P42)</f>
        <v>-1.2999999999999474</v>
      </c>
      <c r="W42" s="630"/>
      <c r="X42" s="1551">
        <f>SUM(F42)+SUM(J42)+SUM(N42)+SUM(R42)</f>
        <v>413.80000000000007</v>
      </c>
      <c r="Y42" s="629"/>
      <c r="Z42" s="2961"/>
      <c r="AA42" s="630"/>
      <c r="AB42" s="1839">
        <v>2.2999999999999998</v>
      </c>
      <c r="AC42" s="634"/>
      <c r="AD42" s="1855">
        <f>'Cashflow Governmental'!AE45</f>
        <v>418.4</v>
      </c>
      <c r="AE42" s="1842"/>
      <c r="AF42" s="3709"/>
      <c r="AG42" s="634"/>
      <c r="AH42" s="1842">
        <f t="shared" si="8"/>
        <v>-4.5999999999999996</v>
      </c>
      <c r="AI42" s="2969"/>
      <c r="AJ42" s="1552">
        <f t="shared" si="9"/>
        <v>-1.0999999999999999E-2</v>
      </c>
      <c r="AK42" s="1552"/>
      <c r="AL42" s="2913"/>
    </row>
    <row r="43" spans="1:38" ht="18" customHeight="1">
      <c r="A43" s="2931" t="s">
        <v>924</v>
      </c>
      <c r="B43" s="2931"/>
      <c r="C43" s="2931"/>
      <c r="D43" s="634">
        <f>'Exhibit F'!V41</f>
        <v>2.2999999999999545</v>
      </c>
      <c r="E43" s="634"/>
      <c r="F43" s="634">
        <f>'Exhibit F'!AC41</f>
        <v>1345.2</v>
      </c>
      <c r="G43" s="634"/>
      <c r="H43" s="634">
        <f>'Exhibit G'!V32</f>
        <v>-0.89999999999997726</v>
      </c>
      <c r="I43" s="634"/>
      <c r="J43" s="634">
        <f>'Exhibit G'!AD32</f>
        <v>182.8</v>
      </c>
      <c r="K43" s="634"/>
      <c r="L43" s="1840">
        <v>0</v>
      </c>
      <c r="M43" s="1842"/>
      <c r="N43" s="1841">
        <v>0</v>
      </c>
      <c r="O43" s="634"/>
      <c r="P43" s="1840">
        <v>0</v>
      </c>
      <c r="Q43" s="1842"/>
      <c r="R43" s="1840">
        <v>0</v>
      </c>
      <c r="S43" s="629"/>
      <c r="T43" s="2960"/>
      <c r="U43" s="2960"/>
      <c r="V43" s="1551">
        <f>SUM(D43)+SUM(H43)+SUM(L43)+SUM(P43)</f>
        <v>1.3999999999999773</v>
      </c>
      <c r="W43" s="630"/>
      <c r="X43" s="1551">
        <f>SUM(F43)+SUM(J43)+SUM(N43)+SUM(R43)</f>
        <v>1528</v>
      </c>
      <c r="Y43" s="629"/>
      <c r="Z43" s="2961"/>
      <c r="AA43" s="630"/>
      <c r="AB43" s="1839">
        <v>-2.3000000000000003</v>
      </c>
      <c r="AC43" s="634"/>
      <c r="AD43" s="1855">
        <f>'Cashflow Governmental'!AE46</f>
        <v>1128.8999999999999</v>
      </c>
      <c r="AE43" s="1842"/>
      <c r="AF43" s="3709"/>
      <c r="AG43" s="634"/>
      <c r="AH43" s="1842">
        <f t="shared" si="8"/>
        <v>399.1</v>
      </c>
      <c r="AI43" s="2969"/>
      <c r="AJ43" s="1552">
        <f t="shared" si="9"/>
        <v>0.35399999999999998</v>
      </c>
      <c r="AK43" s="1552"/>
      <c r="AL43" s="2913"/>
    </row>
    <row r="44" spans="1:38" ht="18" customHeight="1">
      <c r="A44" s="2931" t="s">
        <v>925</v>
      </c>
      <c r="B44" s="2931"/>
      <c r="C44" s="2931"/>
      <c r="D44" s="634">
        <f>'Exhibit F'!V42</f>
        <v>-0.5</v>
      </c>
      <c r="E44" s="634"/>
      <c r="F44" s="634">
        <f>'Exhibit F'!AC42</f>
        <v>-28.4</v>
      </c>
      <c r="G44" s="634"/>
      <c r="H44" s="634">
        <f>'Exhibit G'!V33</f>
        <v>0.10000000000000142</v>
      </c>
      <c r="I44" s="634"/>
      <c r="J44" s="634">
        <f>'Exhibit G'!AD33</f>
        <v>-1.9</v>
      </c>
      <c r="K44" s="634"/>
      <c r="L44" s="1840">
        <v>0</v>
      </c>
      <c r="M44" s="1842"/>
      <c r="N44" s="1841">
        <v>0</v>
      </c>
      <c r="O44" s="634"/>
      <c r="P44" s="1840">
        <v>0</v>
      </c>
      <c r="Q44" s="1842"/>
      <c r="R44" s="1840">
        <v>0</v>
      </c>
      <c r="S44" s="629"/>
      <c r="T44" s="2960"/>
      <c r="U44" s="2960"/>
      <c r="V44" s="1551">
        <f>SUM(D44)+SUM(H44)+SUM(L44)+SUM(P44)</f>
        <v>-0.39999999999999858</v>
      </c>
      <c r="W44" s="630"/>
      <c r="X44" s="1551">
        <f>SUM(F44)+SUM(J44)+SUM(N44)+SUM(R44)</f>
        <v>-30.299999999999997</v>
      </c>
      <c r="Y44" s="629"/>
      <c r="Z44" s="2961"/>
      <c r="AA44" s="630"/>
      <c r="AB44" s="1839">
        <v>18</v>
      </c>
      <c r="AC44" s="634"/>
      <c r="AD44" s="1855">
        <f>'Cashflow Governmental'!AE47</f>
        <v>79.3</v>
      </c>
      <c r="AE44" s="1842"/>
      <c r="AF44" s="3709"/>
      <c r="AG44" s="634"/>
      <c r="AH44" s="1842">
        <f t="shared" si="8"/>
        <v>-109.6</v>
      </c>
      <c r="AI44" s="2969"/>
      <c r="AJ44" s="2293">
        <f>ROUND(AH44/AD44,3)</f>
        <v>-1.3819999999999999</v>
      </c>
      <c r="AK44" s="1552"/>
      <c r="AL44" s="2913"/>
    </row>
    <row r="45" spans="1:38" ht="18" customHeight="1">
      <c r="A45" s="2931" t="s">
        <v>926</v>
      </c>
      <c r="B45" s="2931"/>
      <c r="C45" s="2931"/>
      <c r="D45" s="634">
        <f>'Exhibit F'!V43</f>
        <v>0</v>
      </c>
      <c r="E45" s="1842"/>
      <c r="F45" s="634">
        <f>'Exhibit F'!AC43</f>
        <v>0</v>
      </c>
      <c r="G45" s="634"/>
      <c r="H45" s="634">
        <f>'Exhibit G'!V34</f>
        <v>43.100000000000044</v>
      </c>
      <c r="I45" s="1842"/>
      <c r="J45" s="634">
        <f>'Exhibit G'!AD34</f>
        <v>436.5</v>
      </c>
      <c r="K45" s="634"/>
      <c r="L45" s="1840">
        <v>0</v>
      </c>
      <c r="M45" s="1842"/>
      <c r="N45" s="1841">
        <v>0</v>
      </c>
      <c r="O45" s="634"/>
      <c r="P45" s="634">
        <f>'Exhibit I'!W27</f>
        <v>54.900000000000105</v>
      </c>
      <c r="Q45" s="1842"/>
      <c r="R45" s="634">
        <f>'Exhibit I'!AF27</f>
        <v>558.6</v>
      </c>
      <c r="S45" s="629"/>
      <c r="T45" s="2960"/>
      <c r="U45" s="2960"/>
      <c r="V45" s="1551">
        <f>SUM(D45)+SUM(H45)+SUM(L45)+SUM(P45)</f>
        <v>98.000000000000142</v>
      </c>
      <c r="W45" s="630"/>
      <c r="X45" s="1551">
        <f>SUM(F45)+SUM(J45)+SUM(N45)+SUM(R45)</f>
        <v>995.1</v>
      </c>
      <c r="Y45" s="629"/>
      <c r="Z45" s="2961"/>
      <c r="AA45" s="630"/>
      <c r="AB45" s="1839">
        <v>92.899999999999991</v>
      </c>
      <c r="AC45" s="634"/>
      <c r="AD45" s="1855">
        <f>'Cashflow Governmental'!AE48</f>
        <v>971.5</v>
      </c>
      <c r="AE45" s="1842"/>
      <c r="AF45" s="3709"/>
      <c r="AG45" s="634"/>
      <c r="AH45" s="1842">
        <f t="shared" si="8"/>
        <v>23.6</v>
      </c>
      <c r="AI45" s="2970"/>
      <c r="AJ45" s="1552">
        <f t="shared" si="9"/>
        <v>2.4E-2</v>
      </c>
      <c r="AK45" s="1552"/>
      <c r="AL45" s="2913"/>
    </row>
    <row r="46" spans="1:38" ht="18" customHeight="1">
      <c r="A46" s="2930" t="s">
        <v>921</v>
      </c>
      <c r="B46" s="2931"/>
      <c r="C46" s="2931"/>
      <c r="D46" s="1554">
        <f>ROUND(SUM(D41:D45),1)</f>
        <v>123.5</v>
      </c>
      <c r="E46" s="2344"/>
      <c r="F46" s="1554">
        <f>ROUND(SUM(F41:F45),1)</f>
        <v>4533.8999999999996</v>
      </c>
      <c r="G46" s="1399"/>
      <c r="H46" s="1554">
        <f>ROUND(SUM(H41:H45),1)</f>
        <v>73.099999999999994</v>
      </c>
      <c r="I46" s="2344"/>
      <c r="J46" s="1554">
        <f>ROUND(SUM(J41:J45),1)</f>
        <v>1491.6</v>
      </c>
      <c r="K46" s="1399"/>
      <c r="L46" s="1854">
        <f>ROUND(SUM(L41:L45),1)</f>
        <v>0</v>
      </c>
      <c r="M46" s="2948"/>
      <c r="N46" s="1854">
        <f>ROUND(SUM(N41:N45),1)</f>
        <v>0</v>
      </c>
      <c r="O46" s="1399"/>
      <c r="P46" s="1554">
        <f>ROUND(SUM(P41:P45),1)</f>
        <v>54.9</v>
      </c>
      <c r="Q46" s="2344"/>
      <c r="R46" s="1554">
        <f>ROUND(SUM(R41:R45),1)</f>
        <v>569.70000000000005</v>
      </c>
      <c r="S46" s="1399"/>
      <c r="T46" s="2973"/>
      <c r="U46" s="2973"/>
      <c r="V46" s="1554">
        <f>ROUND(SUM(V41:V45),1)</f>
        <v>251.5</v>
      </c>
      <c r="W46" s="2344"/>
      <c r="X46" s="1554">
        <f>ROUND(SUM(X41:X45),1)</f>
        <v>6595.2</v>
      </c>
      <c r="Y46" s="2974"/>
      <c r="Z46" s="2345"/>
      <c r="AA46" s="2344"/>
      <c r="AB46" s="1852">
        <f>ROUND(SUM(AB41:AB45),1)</f>
        <v>338.3</v>
      </c>
      <c r="AC46" s="23"/>
      <c r="AD46" s="1852">
        <f>ROUND(SUM(AD41:AD45),1)</f>
        <v>5844.2</v>
      </c>
      <c r="AE46" s="1517"/>
      <c r="AF46" s="3710"/>
      <c r="AG46" s="1517"/>
      <c r="AH46" s="3539">
        <f t="shared" si="8"/>
        <v>751</v>
      </c>
      <c r="AI46" s="2314"/>
      <c r="AJ46" s="1555">
        <f t="shared" si="9"/>
        <v>0.129</v>
      </c>
      <c r="AK46" s="2975"/>
      <c r="AL46" s="2976"/>
    </row>
    <row r="47" spans="1:38" ht="18" customHeight="1">
      <c r="A47" s="2931"/>
      <c r="B47" s="2931"/>
      <c r="C47" s="2931"/>
      <c r="D47" s="1556"/>
      <c r="E47" s="630"/>
      <c r="F47" s="1556"/>
      <c r="G47" s="629"/>
      <c r="H47" s="1556"/>
      <c r="I47" s="630"/>
      <c r="J47" s="1556"/>
      <c r="K47" s="629"/>
      <c r="L47" s="1853"/>
      <c r="M47" s="1456"/>
      <c r="N47" s="1853"/>
      <c r="O47" s="629"/>
      <c r="P47" s="1556"/>
      <c r="Q47" s="630"/>
      <c r="R47" s="1556"/>
      <c r="S47" s="629"/>
      <c r="T47" s="2960"/>
      <c r="U47" s="2960"/>
      <c r="V47" s="1556"/>
      <c r="W47" s="630"/>
      <c r="X47" s="1556"/>
      <c r="Y47" s="630"/>
      <c r="Z47" s="2961"/>
      <c r="AA47" s="630"/>
      <c r="AB47" s="1853"/>
      <c r="AC47" s="634"/>
      <c r="AD47" s="1853"/>
      <c r="AE47" s="1456"/>
      <c r="AF47" s="3709"/>
      <c r="AG47" s="1456"/>
      <c r="AH47" s="1456"/>
      <c r="AI47" s="627"/>
      <c r="AJ47" s="2962"/>
      <c r="AK47" s="2963"/>
      <c r="AL47" s="2913"/>
    </row>
    <row r="48" spans="1:38" ht="18" customHeight="1">
      <c r="A48" s="2964" t="s">
        <v>1194</v>
      </c>
      <c r="B48" s="2931"/>
      <c r="C48" s="2931"/>
      <c r="D48" s="629"/>
      <c r="E48" s="629"/>
      <c r="F48" s="629"/>
      <c r="G48" s="634"/>
      <c r="H48" s="629"/>
      <c r="I48" s="629"/>
      <c r="J48" s="629"/>
      <c r="K48" s="629"/>
      <c r="L48" s="634"/>
      <c r="M48" s="634"/>
      <c r="N48" s="634"/>
      <c r="O48" s="629"/>
      <c r="P48" s="629"/>
      <c r="Q48" s="629"/>
      <c r="R48" s="629"/>
      <c r="S48" s="629"/>
      <c r="T48" s="2960"/>
      <c r="U48" s="2960"/>
      <c r="V48" s="630"/>
      <c r="W48" s="630"/>
      <c r="X48" s="629"/>
      <c r="Y48" s="629"/>
      <c r="Z48" s="2961"/>
      <c r="AA48" s="630"/>
      <c r="AB48" s="1456"/>
      <c r="AC48" s="634"/>
      <c r="AD48" s="634"/>
      <c r="AE48" s="634"/>
      <c r="AF48" s="3709"/>
      <c r="AG48" s="634"/>
      <c r="AH48" s="634"/>
      <c r="AI48" s="2320"/>
      <c r="AJ48" s="1552"/>
      <c r="AK48" s="2963"/>
      <c r="AL48" s="2913"/>
    </row>
    <row r="49" spans="1:38" ht="18" customHeight="1">
      <c r="A49" s="2931" t="s">
        <v>927</v>
      </c>
      <c r="B49" s="2931"/>
      <c r="C49" s="2931"/>
      <c r="D49" s="1840">
        <f>'Exhibit F'!V46</f>
        <v>0</v>
      </c>
      <c r="E49" s="634"/>
      <c r="F49" s="634">
        <f>'Exhibit F'!AC46</f>
        <v>0</v>
      </c>
      <c r="G49" s="634"/>
      <c r="H49" s="1840">
        <v>0</v>
      </c>
      <c r="I49" s="1842"/>
      <c r="J49" s="1841">
        <v>0</v>
      </c>
      <c r="K49" s="634"/>
      <c r="L49" s="1841">
        <v>0</v>
      </c>
      <c r="M49" s="1841"/>
      <c r="N49" s="1841">
        <v>0</v>
      </c>
      <c r="O49" s="634"/>
      <c r="P49" s="1840">
        <v>0</v>
      </c>
      <c r="Q49" s="1842"/>
      <c r="R49" s="1841">
        <v>0</v>
      </c>
      <c r="S49" s="629"/>
      <c r="T49" s="2960"/>
      <c r="U49" s="2960"/>
      <c r="V49" s="1398">
        <f t="shared" ref="V49:V54" si="10">SUM(D49)+SUM(H49)+SUM(L49)+SUM(P49)</f>
        <v>0</v>
      </c>
      <c r="W49" s="630"/>
      <c r="X49" s="1551">
        <f t="shared" ref="X49:X54" si="11">SUM(F49)+SUM(J49)+SUM(N49)+SUM(R49)</f>
        <v>0</v>
      </c>
      <c r="Y49" s="2968"/>
      <c r="Z49" s="2961"/>
      <c r="AA49" s="630"/>
      <c r="AB49" s="1839">
        <v>0</v>
      </c>
      <c r="AC49" s="634"/>
      <c r="AD49" s="1855">
        <f>'Cashflow Governmental'!AE51</f>
        <v>0</v>
      </c>
      <c r="AE49" s="1842"/>
      <c r="AF49" s="3709"/>
      <c r="AG49" s="2944"/>
      <c r="AH49" s="1842">
        <f t="shared" ref="AH49:AH56" si="12">ROUND(SUM(X49)-SUM(AD49),1)</f>
        <v>0</v>
      </c>
      <c r="AI49" s="2969"/>
      <c r="AJ49" s="1475">
        <f>ROUND(IF(AD49=0,0,-AH49/(AD49)),3)</f>
        <v>0</v>
      </c>
      <c r="AK49" s="1552"/>
      <c r="AL49" s="2913"/>
    </row>
    <row r="50" spans="1:38" ht="18" customHeight="1">
      <c r="A50" s="2931" t="s">
        <v>928</v>
      </c>
      <c r="B50" s="2931"/>
      <c r="C50" s="2931"/>
      <c r="D50" s="1840">
        <f>'Exhibit F'!V47</f>
        <v>93.5</v>
      </c>
      <c r="E50" s="634"/>
      <c r="F50" s="634">
        <f>'Exhibit F'!AC47</f>
        <v>907</v>
      </c>
      <c r="G50" s="634"/>
      <c r="H50" s="1840">
        <v>0</v>
      </c>
      <c r="I50" s="1842"/>
      <c r="J50" s="1841">
        <v>0</v>
      </c>
      <c r="K50" s="634"/>
      <c r="L50" s="1841">
        <v>0</v>
      </c>
      <c r="M50" s="1841"/>
      <c r="N50" s="1841">
        <v>0</v>
      </c>
      <c r="O50" s="634"/>
      <c r="P50" s="1840">
        <v>0</v>
      </c>
      <c r="Q50" s="1842"/>
      <c r="R50" s="1841">
        <v>0</v>
      </c>
      <c r="S50" s="629"/>
      <c r="T50" s="2960"/>
      <c r="U50" s="2960"/>
      <c r="V50" s="1551">
        <f t="shared" si="10"/>
        <v>93.5</v>
      </c>
      <c r="W50" s="630"/>
      <c r="X50" s="1551">
        <f t="shared" si="11"/>
        <v>907</v>
      </c>
      <c r="Y50" s="2968"/>
      <c r="Z50" s="2961"/>
      <c r="AA50" s="630"/>
      <c r="AB50" s="1839">
        <v>117</v>
      </c>
      <c r="AC50" s="634"/>
      <c r="AD50" s="1855">
        <f>'Cashflow Governmental'!AE52</f>
        <v>958.3</v>
      </c>
      <c r="AE50" s="1855"/>
      <c r="AF50" s="3709"/>
      <c r="AG50" s="2944"/>
      <c r="AH50" s="1842">
        <f t="shared" si="12"/>
        <v>-51.3</v>
      </c>
      <c r="AI50" s="2969"/>
      <c r="AJ50" s="1552">
        <f>ROUND(AH50/AD50,3)</f>
        <v>-5.3999999999999999E-2</v>
      </c>
      <c r="AK50" s="1552"/>
      <c r="AL50" s="2913"/>
    </row>
    <row r="51" spans="1:38" ht="18" customHeight="1">
      <c r="A51" s="2931" t="s">
        <v>929</v>
      </c>
      <c r="B51" s="2931"/>
      <c r="C51" s="2931"/>
      <c r="D51" s="1840">
        <f>'Exhibit F'!V48</f>
        <v>0.70000000000000107</v>
      </c>
      <c r="E51" s="634"/>
      <c r="F51" s="634">
        <f>'Exhibit F'!AC48</f>
        <v>12.9</v>
      </c>
      <c r="G51" s="634"/>
      <c r="H51" s="1840">
        <v>0</v>
      </c>
      <c r="I51" s="1842"/>
      <c r="J51" s="1841">
        <v>0</v>
      </c>
      <c r="K51" s="634"/>
      <c r="L51" s="1841">
        <v>0</v>
      </c>
      <c r="M51" s="1841"/>
      <c r="N51" s="1841">
        <v>0</v>
      </c>
      <c r="O51" s="634"/>
      <c r="P51" s="1840">
        <v>0</v>
      </c>
      <c r="Q51" s="1842"/>
      <c r="R51" s="1841">
        <v>0</v>
      </c>
      <c r="S51" s="629"/>
      <c r="T51" s="2960"/>
      <c r="U51" s="2960"/>
      <c r="V51" s="1551">
        <f t="shared" si="10"/>
        <v>0.70000000000000107</v>
      </c>
      <c r="W51" s="630"/>
      <c r="X51" s="1551">
        <f t="shared" si="11"/>
        <v>12.9</v>
      </c>
      <c r="Y51" s="2968"/>
      <c r="Z51" s="2961"/>
      <c r="AA51" s="630"/>
      <c r="AB51" s="1839">
        <v>1</v>
      </c>
      <c r="AC51" s="634"/>
      <c r="AD51" s="1855">
        <f>'Cashflow Governmental'!AE53</f>
        <v>13.6</v>
      </c>
      <c r="AE51" s="1855"/>
      <c r="AF51" s="3709"/>
      <c r="AG51" s="2944"/>
      <c r="AH51" s="1842">
        <f t="shared" si="12"/>
        <v>-0.7</v>
      </c>
      <c r="AI51" s="2969"/>
      <c r="AJ51" s="1552">
        <f>ROUND(AH51/AD51,3)</f>
        <v>-5.0999999999999997E-2</v>
      </c>
      <c r="AK51" s="1552"/>
      <c r="AL51" s="2913"/>
    </row>
    <row r="52" spans="1:38" ht="18" customHeight="1">
      <c r="A52" s="2931" t="s">
        <v>930</v>
      </c>
      <c r="B52" s="2931"/>
      <c r="C52" s="2931"/>
      <c r="D52" s="1840">
        <f>'Exhibit F'!V49</f>
        <v>0</v>
      </c>
      <c r="E52" s="1842"/>
      <c r="F52" s="634">
        <f>'Exhibit F'!AC49</f>
        <v>0</v>
      </c>
      <c r="G52" s="634"/>
      <c r="H52" s="1840">
        <v>0</v>
      </c>
      <c r="I52" s="1842"/>
      <c r="J52" s="1841">
        <v>0</v>
      </c>
      <c r="K52" s="634"/>
      <c r="L52" s="1842">
        <f>'Exhibit H'!T22</f>
        <v>82.900000000000091</v>
      </c>
      <c r="M52" s="1842"/>
      <c r="N52" s="1842">
        <f>'Exhibit H'!AA22</f>
        <v>856.7</v>
      </c>
      <c r="O52" s="634"/>
      <c r="P52" s="1839">
        <f>'Exhibit I'!W30</f>
        <v>11.899999999999986</v>
      </c>
      <c r="Q52" s="1842"/>
      <c r="R52" s="1855">
        <f>'Exhibit I'!AF30</f>
        <v>95.3</v>
      </c>
      <c r="S52" s="629"/>
      <c r="T52" s="2960"/>
      <c r="U52" s="2960"/>
      <c r="V52" s="1551">
        <f t="shared" si="10"/>
        <v>94.800000000000082</v>
      </c>
      <c r="W52" s="630"/>
      <c r="X52" s="1551">
        <f t="shared" si="11"/>
        <v>952</v>
      </c>
      <c r="Y52" s="2968"/>
      <c r="Z52" s="2961"/>
      <c r="AA52" s="630"/>
      <c r="AB52" s="1839">
        <v>91.9</v>
      </c>
      <c r="AC52" s="634"/>
      <c r="AD52" s="1855">
        <f>'Cashflow Governmental'!AE54</f>
        <v>977.19999999999993</v>
      </c>
      <c r="AE52" s="1842"/>
      <c r="AF52" s="3709"/>
      <c r="AG52" s="2944"/>
      <c r="AH52" s="1842">
        <f t="shared" si="12"/>
        <v>-25.2</v>
      </c>
      <c r="AI52" s="2977"/>
      <c r="AJ52" s="1552">
        <f>ROUND(AH52/AD52,3)</f>
        <v>-2.5999999999999999E-2</v>
      </c>
      <c r="AK52" s="1552"/>
      <c r="AL52" s="2913"/>
    </row>
    <row r="53" spans="1:38" ht="18" customHeight="1">
      <c r="A53" s="2931" t="s">
        <v>931</v>
      </c>
      <c r="B53" s="2931"/>
      <c r="C53" s="2931"/>
      <c r="D53" s="1840">
        <f>'Exhibit F'!V50</f>
        <v>-0.10000000000000009</v>
      </c>
      <c r="E53" s="1456"/>
      <c r="F53" s="634">
        <f>'Exhibit F'!AC50</f>
        <v>1.9</v>
      </c>
      <c r="G53" s="634"/>
      <c r="H53" s="1840">
        <v>0</v>
      </c>
      <c r="I53" s="1842"/>
      <c r="J53" s="1841">
        <v>0</v>
      </c>
      <c r="K53" s="634"/>
      <c r="L53" s="1841">
        <v>0</v>
      </c>
      <c r="M53" s="1841"/>
      <c r="N53" s="1841">
        <v>0</v>
      </c>
      <c r="O53" s="634"/>
      <c r="P53" s="1840">
        <v>0</v>
      </c>
      <c r="Q53" s="1842"/>
      <c r="R53" s="1841">
        <v>0</v>
      </c>
      <c r="S53" s="629"/>
      <c r="T53" s="2960"/>
      <c r="U53" s="2960"/>
      <c r="V53" s="1551">
        <f t="shared" si="10"/>
        <v>-0.10000000000000009</v>
      </c>
      <c r="W53" s="630"/>
      <c r="X53" s="1551">
        <f t="shared" si="11"/>
        <v>1.9</v>
      </c>
      <c r="Y53" s="2968"/>
      <c r="Z53" s="2961"/>
      <c r="AA53" s="630"/>
      <c r="AB53" s="1839">
        <v>0.2</v>
      </c>
      <c r="AC53" s="634"/>
      <c r="AD53" s="1855">
        <f>'Cashflow Governmental'!AE55</f>
        <v>2.2999999999999998</v>
      </c>
      <c r="AE53" s="1842"/>
      <c r="AF53" s="3709"/>
      <c r="AG53" s="2944"/>
      <c r="AH53" s="1842">
        <f t="shared" si="12"/>
        <v>-0.4</v>
      </c>
      <c r="AI53" s="2977"/>
      <c r="AJ53" s="1475">
        <f>ROUND(IF(AD53=0,0,AH53/(AD53)),3)</f>
        <v>-0.17399999999999999</v>
      </c>
      <c r="AK53" s="1552"/>
      <c r="AL53" s="2913"/>
    </row>
    <row r="54" spans="1:38" ht="18" customHeight="1">
      <c r="A54" s="2971" t="s">
        <v>932</v>
      </c>
      <c r="B54" s="2931"/>
      <c r="C54" s="2931"/>
      <c r="D54" s="1840">
        <f>'Exhibit F'!V51</f>
        <v>0</v>
      </c>
      <c r="E54" s="1456"/>
      <c r="F54" s="634">
        <f>'Exhibit F'!AC51</f>
        <v>0</v>
      </c>
      <c r="G54" s="634"/>
      <c r="H54" s="634">
        <v>0</v>
      </c>
      <c r="I54" s="1842"/>
      <c r="J54" s="1842">
        <v>0</v>
      </c>
      <c r="K54" s="634"/>
      <c r="L54" s="1841">
        <v>0</v>
      </c>
      <c r="M54" s="1841"/>
      <c r="N54" s="1841">
        <v>0</v>
      </c>
      <c r="O54" s="634"/>
      <c r="P54" s="1840">
        <v>0</v>
      </c>
      <c r="Q54" s="1842"/>
      <c r="R54" s="1841">
        <v>0</v>
      </c>
      <c r="S54" s="629"/>
      <c r="T54" s="2960"/>
      <c r="U54" s="2960"/>
      <c r="V54" s="1551">
        <f t="shared" si="10"/>
        <v>0</v>
      </c>
      <c r="W54" s="630"/>
      <c r="X54" s="1551">
        <f t="shared" si="11"/>
        <v>0</v>
      </c>
      <c r="Y54" s="2968"/>
      <c r="Z54" s="2961"/>
      <c r="AA54" s="630"/>
      <c r="AB54" s="1839">
        <v>0</v>
      </c>
      <c r="AC54" s="634"/>
      <c r="AD54" s="1855">
        <f>'Cashflow Governmental'!AE56</f>
        <v>0</v>
      </c>
      <c r="AE54" s="1842"/>
      <c r="AF54" s="3709"/>
      <c r="AG54" s="2944"/>
      <c r="AH54" s="1841">
        <f t="shared" si="12"/>
        <v>0</v>
      </c>
      <c r="AI54" s="2977"/>
      <c r="AJ54" s="1475">
        <f>ROUND(IF(AD54=0,0,AH54/(AD54)),3)</f>
        <v>0</v>
      </c>
      <c r="AK54" s="1552"/>
      <c r="AL54" s="2913"/>
    </row>
    <row r="55" spans="1:38" ht="18" customHeight="1">
      <c r="A55" s="2874" t="s">
        <v>1427</v>
      </c>
      <c r="B55" s="2932"/>
      <c r="C55" s="2932"/>
      <c r="D55" s="1840">
        <f>'Exhibit F'!V52</f>
        <v>0.20000000000000009</v>
      </c>
      <c r="E55" s="1456"/>
      <c r="F55" s="634">
        <f>'Exhibit F'!AC52</f>
        <v>0.9</v>
      </c>
      <c r="G55" s="634"/>
      <c r="H55" s="634">
        <v>0</v>
      </c>
      <c r="I55" s="1842"/>
      <c r="J55" s="1842">
        <v>0</v>
      </c>
      <c r="K55" s="634"/>
      <c r="L55" s="1840">
        <f>'Exhibit H'!T23</f>
        <v>0.30000000000000004</v>
      </c>
      <c r="M55" s="1842"/>
      <c r="N55" s="1841">
        <f>'Exhibit H'!AA23</f>
        <v>1</v>
      </c>
      <c r="O55" s="634"/>
      <c r="P55" s="1840">
        <v>0</v>
      </c>
      <c r="Q55" s="1842"/>
      <c r="R55" s="1841">
        <v>0</v>
      </c>
      <c r="S55" s="629"/>
      <c r="T55" s="2960"/>
      <c r="U55" s="2960"/>
      <c r="V55" s="1551">
        <f t="shared" ref="V55" si="13">SUM(D55)+SUM(H55)+SUM(L55)+SUM(P55)</f>
        <v>0.50000000000000011</v>
      </c>
      <c r="W55" s="630"/>
      <c r="X55" s="1551">
        <f t="shared" ref="X55" si="14">SUM(F55)+SUM(J55)+SUM(N55)+SUM(R55)</f>
        <v>1.9</v>
      </c>
      <c r="Y55" s="2968"/>
      <c r="Z55" s="2961"/>
      <c r="AA55" s="630"/>
      <c r="AB55" s="1839">
        <v>0</v>
      </c>
      <c r="AC55" s="634"/>
      <c r="AD55" s="1855">
        <f>'Cashflow Governmental'!AE57</f>
        <v>0</v>
      </c>
      <c r="AE55" s="1842"/>
      <c r="AF55" s="3709"/>
      <c r="AG55" s="2944"/>
      <c r="AH55" s="1841">
        <f t="shared" ref="AH55" si="15">ROUND(SUM(X55)-SUM(AD55),1)</f>
        <v>1.9</v>
      </c>
      <c r="AI55" s="2977"/>
      <c r="AJ55" s="1475">
        <f>ROUND(IF(AD55=0,1,AH55/(AD55)),3)</f>
        <v>1</v>
      </c>
      <c r="AK55" s="1552"/>
      <c r="AL55" s="2913"/>
    </row>
    <row r="56" spans="1:38" ht="18" customHeight="1">
      <c r="A56" s="2930" t="s">
        <v>921</v>
      </c>
      <c r="B56" s="2931"/>
      <c r="C56" s="2931"/>
      <c r="D56" s="1554">
        <f>ROUND(SUM(D49:D55),1)</f>
        <v>94.3</v>
      </c>
      <c r="E56" s="2344"/>
      <c r="F56" s="1554">
        <f>ROUND(SUM(F49:F55),1)</f>
        <v>922.7</v>
      </c>
      <c r="G56" s="23"/>
      <c r="H56" s="1557">
        <f>ROUND(SUM(H49:H55),1)</f>
        <v>0</v>
      </c>
      <c r="I56" s="2978"/>
      <c r="J56" s="1557">
        <f>ROUND(SUM(J49:J55),1)</f>
        <v>0</v>
      </c>
      <c r="K56" s="1399"/>
      <c r="L56" s="1554">
        <f>ROUND(SUM(L49:L55),1)</f>
        <v>83.2</v>
      </c>
      <c r="M56" s="2344"/>
      <c r="N56" s="1554">
        <f>ROUND(SUM(N49:N55),1)</f>
        <v>857.7</v>
      </c>
      <c r="O56" s="1399" t="s">
        <v>15</v>
      </c>
      <c r="P56" s="1554">
        <f>ROUND(SUM(P49:P55),1)</f>
        <v>11.9</v>
      </c>
      <c r="Q56" s="2344"/>
      <c r="R56" s="1554">
        <f>ROUND(SUM(R49:R55),1)</f>
        <v>95.3</v>
      </c>
      <c r="S56" s="1399"/>
      <c r="T56" s="2973"/>
      <c r="U56" s="2973"/>
      <c r="V56" s="1557">
        <f>ROUND(SUM(V49:V55),1)</f>
        <v>189.4</v>
      </c>
      <c r="W56" s="2344"/>
      <c r="X56" s="1557">
        <f>ROUND(SUM(X49:X55),1)</f>
        <v>1875.7</v>
      </c>
      <c r="Y56" s="2979"/>
      <c r="Z56" s="2345"/>
      <c r="AA56" s="2344"/>
      <c r="AB56" s="2950">
        <f>ROUND(SUM(AB49:AB55),1)</f>
        <v>210.1</v>
      </c>
      <c r="AC56" s="23"/>
      <c r="AD56" s="2950">
        <f>ROUND(SUM(AD49:AD55),1)</f>
        <v>1951.4</v>
      </c>
      <c r="AE56" s="2948"/>
      <c r="AF56" s="3710"/>
      <c r="AG56" s="2951"/>
      <c r="AH56" s="1885">
        <f t="shared" si="12"/>
        <v>-75.7</v>
      </c>
      <c r="AI56" s="2314"/>
      <c r="AJ56" s="1555">
        <f>ROUND(AH56/AD56,3)</f>
        <v>-3.9E-2</v>
      </c>
      <c r="AK56" s="2975"/>
      <c r="AL56" s="2976"/>
    </row>
    <row r="57" spans="1:38" ht="18" customHeight="1">
      <c r="A57" s="2931"/>
      <c r="B57" s="2931"/>
      <c r="C57" s="2931"/>
      <c r="D57" s="1558"/>
      <c r="E57" s="2314"/>
      <c r="F57" s="1558"/>
      <c r="G57" s="2376"/>
      <c r="H57" s="1558"/>
      <c r="I57" s="2314"/>
      <c r="J57" s="1558"/>
      <c r="K57" s="2376"/>
      <c r="L57" s="1558"/>
      <c r="M57" s="2314"/>
      <c r="N57" s="1558"/>
      <c r="O57" s="2376"/>
      <c r="P57" s="1558"/>
      <c r="Q57" s="2314"/>
      <c r="R57" s="1558"/>
      <c r="S57" s="2376"/>
      <c r="T57" s="2980"/>
      <c r="U57" s="2980"/>
      <c r="V57" s="1558"/>
      <c r="W57" s="2392"/>
      <c r="X57" s="1558"/>
      <c r="Y57" s="2314"/>
      <c r="Z57" s="2981"/>
      <c r="AA57" s="2392"/>
      <c r="AB57" s="3660"/>
      <c r="AC57" s="3204"/>
      <c r="AD57" s="3660"/>
      <c r="AE57" s="2375"/>
      <c r="AF57" s="3711"/>
      <c r="AG57" s="2375"/>
      <c r="AH57" s="3540"/>
      <c r="AI57" s="2314"/>
      <c r="AJ57" s="1559"/>
      <c r="AK57" s="2976"/>
      <c r="AL57" s="2976"/>
    </row>
    <row r="58" spans="1:38" ht="18" customHeight="1" thickBot="1">
      <c r="A58" s="2930" t="s">
        <v>933</v>
      </c>
      <c r="B58" s="2931"/>
      <c r="C58" s="2931"/>
      <c r="D58" s="1560">
        <f>ROUND(SUM(D25)+SUM(D38)+SUM(D46)+SUM(D56),1)</f>
        <v>3271</v>
      </c>
      <c r="E58" s="2982"/>
      <c r="F58" s="1560">
        <f>ROUND(SUM(F25)+SUM(F38)+SUM(F46)+SUM(F56),1)</f>
        <v>33237.699999999997</v>
      </c>
      <c r="G58" s="2983"/>
      <c r="H58" s="1560">
        <f>ROUND(SUM(H25)+SUM(H38)+SUM(H46)+SUM(H56),1)</f>
        <v>2335.6</v>
      </c>
      <c r="I58" s="2982"/>
      <c r="J58" s="1560">
        <f>ROUND(SUM(J25)+SUM(J38)+SUM(J46)+SUM(J56),1)</f>
        <v>5301.3</v>
      </c>
      <c r="K58" s="2982"/>
      <c r="L58" s="1560">
        <f>ROUND(SUM(L25)+SUM(L38)+SUM(L46)+SUM(L56),1)</f>
        <v>5167.8</v>
      </c>
      <c r="M58" s="2982"/>
      <c r="N58" s="1560">
        <f>ROUND(SUM(N25)+SUM(N38)+SUM(N46)+SUM(N56),1)</f>
        <v>30259.7</v>
      </c>
      <c r="O58" s="2982"/>
      <c r="P58" s="1560">
        <f>ROUND(SUM(P25)+SUM(P38)+SUM(P46)+SUM(P56),1)</f>
        <v>112.5</v>
      </c>
      <c r="Q58" s="2982"/>
      <c r="R58" s="1560">
        <f>ROUND(SUM(R25)+SUM(R38)+SUM(R46)+SUM(R56),1)</f>
        <v>1202.8</v>
      </c>
      <c r="S58" s="2984"/>
      <c r="T58" s="2985"/>
      <c r="U58" s="2982"/>
      <c r="V58" s="2986">
        <f>ROUND(SUM(V25)+SUM(V38)+SUM(V46)+SUM(V56),1)</f>
        <v>10886.9</v>
      </c>
      <c r="W58" s="2982"/>
      <c r="X58" s="2986">
        <f>ROUND(SUM(X25)+SUM(X38)+SUM(X46)+SUM(X56),1)</f>
        <v>70001.5</v>
      </c>
      <c r="Y58" s="2987"/>
      <c r="Z58" s="2988"/>
      <c r="AA58" s="2982"/>
      <c r="AB58" s="3661">
        <f>ROUND(SUM(AB25)+SUM(AB38)+SUM(AB46)+SUM(AB56),1)</f>
        <v>10578.6</v>
      </c>
      <c r="AC58" s="2382"/>
      <c r="AD58" s="3661">
        <f>ROUND(SUM(AD25)+SUM(AD38)+SUM(AD46)+SUM(AD56),1)</f>
        <v>63622.1</v>
      </c>
      <c r="AE58" s="2382"/>
      <c r="AF58" s="3712"/>
      <c r="AG58" s="2382"/>
      <c r="AH58" s="25">
        <f>ROUND(SUM(X58)-SUM(AD58),1)</f>
        <v>6379.4</v>
      </c>
      <c r="AI58" s="2314"/>
      <c r="AJ58" s="1561">
        <f>ROUND(AH58/AD58,3)</f>
        <v>0.1</v>
      </c>
      <c r="AK58" s="2975"/>
      <c r="AL58" s="2976"/>
    </row>
    <row r="59" spans="1:38" ht="15" customHeight="1" thickTop="1"/>
    <row r="60" spans="1:38" ht="15" customHeight="1"/>
    <row r="61" spans="1:38" ht="15" customHeight="1"/>
  </sheetData>
  <pageMargins left="0.4" right="0.25" top="0.5" bottom="0.40277777777777801" header="0" footer="0.25"/>
  <pageSetup scale="41" firstPageNumber="16" orientation="landscape" useFirstPageNumber="1" r:id="rId1"/>
  <headerFooter scaleWithDoc="0" alignWithMargins="0">
    <oddFooter>&amp;C&amp;8&amp;P</oddFooter>
  </headerFooter>
  <ignoredErrors>
    <ignoredError sqref="F38 R38 F46 AJ49 AJ22:AJ23" unlockedFormula="1"/>
    <ignoredError sqref="AH24 AJ19 AH19 V31 V21:X22 AJ21 V23"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workbookViewId="0"/>
  </sheetViews>
  <sheetFormatPr defaultColWidth="8.88671875" defaultRowHeight="16.5" customHeight="1"/>
  <cols>
    <col min="1" max="1" width="43.88671875" style="214" customWidth="1"/>
    <col min="2" max="2" width="1.88671875" style="214" customWidth="1"/>
    <col min="3" max="3" width="13.44140625" style="214" customWidth="1"/>
    <col min="4" max="4" width="1.88671875" style="214" customWidth="1"/>
    <col min="5" max="5" width="13.109375" style="214" customWidth="1"/>
    <col min="6" max="6" width="1.88671875" style="214" customWidth="1"/>
    <col min="7" max="7" width="12.88671875" style="214" customWidth="1"/>
    <col min="8" max="8" width="1.88671875" style="214" customWidth="1"/>
    <col min="9" max="9" width="14.44140625" style="214" customWidth="1"/>
    <col min="10" max="10" width="1.88671875" style="214" customWidth="1"/>
    <col min="11" max="11" width="13.109375" style="214" customWidth="1"/>
    <col min="12" max="12" width="1.88671875" style="214" customWidth="1"/>
    <col min="13" max="13" width="13.109375" style="214" customWidth="1"/>
    <col min="14" max="14" width="1.88671875" style="214" customWidth="1"/>
    <col min="15" max="15" width="13.109375" style="214" customWidth="1"/>
    <col min="16" max="16" width="1.88671875" style="214" customWidth="1"/>
    <col min="17" max="17" width="13.44140625" style="299" customWidth="1"/>
    <col min="18" max="18" width="1.88671875" style="214" customWidth="1"/>
    <col min="19" max="19" width="13.109375" style="214" customWidth="1"/>
    <col min="20" max="20" width="1.88671875" style="214" customWidth="1"/>
    <col min="21" max="21" width="13" style="214" customWidth="1"/>
    <col min="22" max="22" width="1.88671875" style="214" customWidth="1"/>
    <col min="23" max="23" width="13.88671875" style="214" customWidth="1"/>
    <col min="24" max="24" width="1.88671875" style="214" customWidth="1"/>
    <col min="25" max="25" width="12.88671875" style="214" customWidth="1"/>
    <col min="26" max="27" width="1.88671875" style="214" customWidth="1"/>
    <col min="28" max="28" width="15.109375" style="299" customWidth="1"/>
    <col min="29" max="30" width="1.88671875" style="299" customWidth="1"/>
    <col min="31" max="31" width="17.44140625" style="299" customWidth="1"/>
    <col min="32" max="32" width="0.88671875" style="299" customWidth="1"/>
    <col min="33" max="33" width="1.88671875" style="299" customWidth="1"/>
    <col min="34" max="34" width="12.88671875" style="299" bestFit="1" customWidth="1"/>
    <col min="35" max="35" width="1.109375" style="299" customWidth="1"/>
    <col min="36" max="36" width="11.88671875" style="299" customWidth="1"/>
    <col min="37" max="37" width="8.88671875" style="299"/>
    <col min="38" max="16384" width="8.88671875" style="214"/>
  </cols>
  <sheetData>
    <row r="1" spans="1:37" ht="16.5" customHeight="1">
      <c r="A1" s="657" t="s">
        <v>979</v>
      </c>
    </row>
    <row r="2" spans="1:37" ht="16.5" customHeight="1">
      <c r="A2" s="839"/>
    </row>
    <row r="3" spans="1:37" ht="23.1" customHeight="1">
      <c r="A3" s="222" t="s">
        <v>0</v>
      </c>
      <c r="B3" s="225"/>
      <c r="C3" s="225"/>
      <c r="D3" s="225"/>
      <c r="E3" s="225"/>
      <c r="F3" s="225"/>
      <c r="G3" s="225"/>
      <c r="H3" s="225"/>
      <c r="I3" s="225"/>
      <c r="J3" s="225"/>
      <c r="K3" s="225"/>
      <c r="L3" s="225"/>
      <c r="M3" s="225"/>
      <c r="N3" s="225"/>
      <c r="O3" s="225"/>
      <c r="P3" s="225"/>
      <c r="Q3" s="3252"/>
      <c r="R3" s="225"/>
      <c r="S3" s="225"/>
      <c r="T3" s="225"/>
      <c r="U3" s="225"/>
      <c r="V3" s="225"/>
      <c r="W3" s="225"/>
      <c r="X3" s="225"/>
      <c r="Y3" s="225"/>
      <c r="Z3" s="225"/>
      <c r="AA3" s="225"/>
      <c r="AB3" s="3252"/>
      <c r="AC3" s="3252"/>
      <c r="AD3" s="3252"/>
      <c r="AE3" s="3252"/>
      <c r="AF3" s="3252"/>
      <c r="AG3" s="3252"/>
      <c r="AI3" s="3252"/>
    </row>
    <row r="4" spans="1:37" ht="23.25" customHeight="1">
      <c r="A4" s="222" t="s">
        <v>123</v>
      </c>
      <c r="B4" s="225"/>
      <c r="C4" s="225"/>
      <c r="D4" s="225"/>
      <c r="E4" s="225"/>
      <c r="F4" s="225"/>
      <c r="G4" s="225"/>
      <c r="H4" s="225"/>
      <c r="I4" s="225" t="s">
        <v>15</v>
      </c>
      <c r="J4" s="225"/>
      <c r="K4" s="225"/>
      <c r="L4" s="225"/>
      <c r="M4" s="225"/>
      <c r="N4" s="225"/>
      <c r="O4" s="225"/>
      <c r="P4" s="225"/>
      <c r="Q4" s="3252"/>
      <c r="R4" s="225"/>
      <c r="S4" s="225"/>
      <c r="T4" s="225"/>
      <c r="U4" s="225"/>
      <c r="V4" s="225"/>
      <c r="W4" s="225"/>
      <c r="X4" s="225"/>
      <c r="Y4" s="225" t="s">
        <v>15</v>
      </c>
      <c r="Z4" s="225"/>
      <c r="AA4" s="225"/>
      <c r="AB4" s="3252"/>
      <c r="AC4" s="3252"/>
      <c r="AD4" s="3252"/>
      <c r="AE4" s="3252"/>
      <c r="AF4" s="3252"/>
      <c r="AG4" s="3252"/>
      <c r="AI4" s="3252"/>
    </row>
    <row r="5" spans="1:37" ht="23.25" customHeight="1">
      <c r="A5" s="224" t="s">
        <v>124</v>
      </c>
      <c r="B5" s="225"/>
      <c r="C5" s="225"/>
      <c r="D5" s="225"/>
      <c r="E5" s="225"/>
      <c r="F5" s="225"/>
      <c r="G5" s="225"/>
      <c r="H5" s="225"/>
      <c r="I5" s="225"/>
      <c r="J5" s="225"/>
      <c r="K5" s="225"/>
      <c r="L5" s="225"/>
      <c r="M5" s="225"/>
      <c r="N5" s="225"/>
      <c r="O5" s="225"/>
      <c r="P5" s="225"/>
      <c r="Q5" s="3252"/>
      <c r="R5" s="225"/>
      <c r="S5" s="225"/>
      <c r="T5" s="225"/>
      <c r="U5" s="225"/>
      <c r="V5" s="225"/>
      <c r="W5" s="225"/>
      <c r="X5" s="225"/>
      <c r="Y5" s="225"/>
      <c r="Z5" s="225"/>
      <c r="AA5" s="225"/>
      <c r="AC5" s="3905"/>
      <c r="AD5" s="3906"/>
      <c r="AE5" s="3906"/>
      <c r="AF5" s="3906"/>
      <c r="AG5" s="3906"/>
      <c r="AH5" s="3906"/>
      <c r="AI5" s="3906"/>
      <c r="AJ5" s="3906"/>
    </row>
    <row r="6" spans="1:37" ht="23.25" customHeight="1">
      <c r="A6" s="224" t="s">
        <v>1476</v>
      </c>
      <c r="B6" s="225"/>
      <c r="C6" s="225"/>
      <c r="D6" s="225"/>
      <c r="E6" s="225"/>
      <c r="F6" s="225"/>
      <c r="G6" s="225"/>
      <c r="H6" s="225"/>
      <c r="I6" s="225"/>
      <c r="J6" s="225"/>
      <c r="K6" s="225"/>
      <c r="L6" s="225"/>
      <c r="M6" s="225"/>
      <c r="N6" s="225"/>
      <c r="O6" s="225"/>
      <c r="P6" s="225"/>
      <c r="Q6" s="3252"/>
      <c r="R6" s="225"/>
      <c r="S6" s="225"/>
      <c r="T6" s="225"/>
      <c r="U6" s="225"/>
      <c r="V6" s="225"/>
      <c r="W6" s="225"/>
      <c r="X6" s="225"/>
      <c r="Y6" s="225"/>
      <c r="Z6" s="225"/>
      <c r="AA6" s="225"/>
      <c r="AB6" s="3252"/>
      <c r="AC6" s="3252"/>
      <c r="AD6" s="3252"/>
      <c r="AE6" s="3252"/>
      <c r="AF6" s="3252"/>
      <c r="AG6" s="3252"/>
      <c r="AI6" s="3252"/>
    </row>
    <row r="7" spans="1:37" ht="23.25" customHeight="1">
      <c r="A7" s="222" t="s">
        <v>1416</v>
      </c>
      <c r="B7" s="225"/>
      <c r="C7" s="225"/>
      <c r="D7" s="225"/>
      <c r="E7" s="225"/>
      <c r="F7" s="225"/>
      <c r="G7" s="225"/>
      <c r="H7" s="225"/>
      <c r="I7" s="225"/>
      <c r="J7" s="225"/>
      <c r="K7" s="225"/>
      <c r="L7" s="225"/>
      <c r="M7" s="225"/>
      <c r="N7" s="225"/>
      <c r="O7" s="225"/>
      <c r="P7" s="225"/>
      <c r="Q7" s="3252"/>
      <c r="R7" s="225"/>
      <c r="S7" s="225"/>
      <c r="T7" s="225"/>
      <c r="U7" s="225"/>
      <c r="V7" s="225"/>
      <c r="W7" s="225"/>
      <c r="X7" s="225"/>
      <c r="Y7" s="225"/>
      <c r="Z7" s="225"/>
      <c r="AA7" s="225"/>
      <c r="AB7" s="3252"/>
      <c r="AC7" s="3252"/>
      <c r="AD7" s="3252"/>
      <c r="AE7" s="3252"/>
      <c r="AF7" s="3252"/>
      <c r="AG7" s="3252"/>
      <c r="AI7" s="3252"/>
    </row>
    <row r="8" spans="1:37" ht="16.5" customHeight="1">
      <c r="A8" s="225"/>
      <c r="B8" s="225"/>
      <c r="C8" s="225"/>
      <c r="D8" s="225"/>
      <c r="E8" s="225"/>
      <c r="F8" s="225"/>
      <c r="G8" s="225"/>
      <c r="H8" s="225"/>
      <c r="I8" s="225"/>
      <c r="J8" s="225"/>
      <c r="K8" s="225"/>
      <c r="L8" s="225"/>
      <c r="M8" s="225"/>
      <c r="N8" s="225"/>
      <c r="O8" s="225"/>
      <c r="P8" s="225"/>
      <c r="Q8" s="3252"/>
      <c r="R8" s="225"/>
      <c r="S8" s="225"/>
      <c r="T8" s="225"/>
      <c r="U8" s="225"/>
      <c r="V8" s="225"/>
      <c r="W8" s="225"/>
      <c r="X8" s="225"/>
      <c r="Y8" s="225"/>
      <c r="Z8" s="225"/>
      <c r="AA8" s="225"/>
      <c r="AB8" s="3252"/>
      <c r="AC8" s="3252"/>
      <c r="AD8" s="3252"/>
      <c r="AE8" s="3252"/>
      <c r="AF8" s="3252"/>
      <c r="AG8" s="3252"/>
      <c r="AI8" s="3252"/>
    </row>
    <row r="9" spans="1:37" ht="16.5" customHeight="1">
      <c r="A9" s="225"/>
      <c r="B9" s="225"/>
      <c r="C9" s="225"/>
      <c r="D9" s="225"/>
      <c r="E9" s="225"/>
      <c r="F9" s="225"/>
      <c r="G9" s="225"/>
      <c r="H9" s="225"/>
      <c r="I9" s="225"/>
      <c r="J9" s="225"/>
      <c r="K9" s="225"/>
      <c r="L9" s="225"/>
      <c r="M9" s="225"/>
      <c r="N9" s="225"/>
      <c r="O9" s="225"/>
      <c r="P9" s="225"/>
      <c r="Q9" s="3252"/>
      <c r="R9" s="225"/>
      <c r="S9" s="225"/>
      <c r="T9" s="225"/>
      <c r="U9" s="225"/>
      <c r="V9" s="225"/>
      <c r="W9" s="225"/>
      <c r="X9" s="225"/>
      <c r="Y9" s="225"/>
      <c r="Z9" s="225"/>
      <c r="AA9" s="225"/>
      <c r="AB9" s="3252"/>
      <c r="AC9" s="3252"/>
      <c r="AD9" s="3252"/>
      <c r="AE9" s="3252"/>
      <c r="AF9" s="3252"/>
      <c r="AG9" s="3252"/>
      <c r="AI9" s="3252"/>
    </row>
    <row r="10" spans="1:37" ht="16.5" customHeight="1">
      <c r="A10" s="225"/>
      <c r="B10" s="225"/>
      <c r="C10" s="225"/>
      <c r="D10" s="225"/>
      <c r="E10" s="225"/>
      <c r="F10" s="225"/>
      <c r="G10" s="225"/>
      <c r="H10" s="225"/>
      <c r="I10" s="225"/>
      <c r="J10" s="225"/>
      <c r="K10" s="225"/>
      <c r="L10" s="225"/>
      <c r="M10" s="225"/>
      <c r="N10" s="225"/>
      <c r="O10" s="225"/>
      <c r="P10" s="225"/>
      <c r="Q10" s="3252"/>
      <c r="R10" s="225"/>
      <c r="S10" s="225"/>
      <c r="T10" s="225"/>
      <c r="U10" s="225"/>
      <c r="V10" s="225"/>
      <c r="W10" s="225"/>
      <c r="X10" s="225"/>
      <c r="Y10" s="225"/>
      <c r="Z10" s="225"/>
      <c r="AA10" s="225"/>
      <c r="AB10" s="3252"/>
      <c r="AC10" s="3252"/>
      <c r="AD10" s="3252"/>
      <c r="AE10" s="3252"/>
      <c r="AF10" s="3252"/>
      <c r="AG10" s="3252"/>
      <c r="AI10" s="3252"/>
    </row>
    <row r="11" spans="1:37" ht="16.5" customHeight="1">
      <c r="A11" s="225"/>
      <c r="B11" s="225"/>
      <c r="C11" s="225"/>
      <c r="D11" s="225"/>
      <c r="E11" s="225"/>
      <c r="F11" s="225"/>
      <c r="G11" s="225"/>
      <c r="H11" s="225"/>
      <c r="I11" s="225"/>
      <c r="J11" s="225"/>
      <c r="K11" s="225"/>
      <c r="L11" s="225"/>
      <c r="M11" s="225"/>
      <c r="N11" s="225"/>
      <c r="O11" s="225"/>
      <c r="P11" s="225"/>
      <c r="Q11" s="3252"/>
      <c r="R11" s="225"/>
      <c r="S11" s="225"/>
      <c r="T11" s="225"/>
      <c r="U11" s="225"/>
      <c r="V11" s="225"/>
      <c r="W11" s="225"/>
      <c r="X11" s="225"/>
      <c r="Y11" s="225"/>
      <c r="Z11" s="225"/>
      <c r="AA11" s="225"/>
      <c r="AC11" s="3252"/>
      <c r="AD11" s="3252"/>
      <c r="AE11" s="3252"/>
      <c r="AF11" s="3252"/>
      <c r="AG11" s="3252"/>
      <c r="AI11" s="3252"/>
    </row>
    <row r="12" spans="1:37" ht="16.5" customHeight="1">
      <c r="A12" s="225"/>
      <c r="B12" s="225"/>
      <c r="C12" s="225"/>
      <c r="D12" s="225"/>
      <c r="E12" s="225"/>
      <c r="F12" s="225"/>
      <c r="G12" s="225"/>
      <c r="H12" s="225"/>
      <c r="I12" s="225"/>
      <c r="J12" s="225"/>
      <c r="K12" s="225"/>
      <c r="L12" s="225"/>
      <c r="M12" s="225"/>
      <c r="N12" s="225"/>
      <c r="O12" s="225"/>
      <c r="P12" s="225"/>
      <c r="Q12" s="3252"/>
      <c r="R12" s="225"/>
      <c r="S12" s="225"/>
      <c r="T12" s="225"/>
      <c r="U12" s="225"/>
      <c r="V12" s="225"/>
      <c r="W12" s="225"/>
      <c r="X12" s="225"/>
      <c r="Z12" s="225"/>
      <c r="AA12" s="523"/>
      <c r="AB12" s="3907" t="s">
        <v>1566</v>
      </c>
      <c r="AC12" s="3908"/>
      <c r="AD12" s="3908"/>
      <c r="AE12" s="3908"/>
      <c r="AF12" s="3908"/>
      <c r="AG12" s="3908"/>
      <c r="AH12" s="3908"/>
      <c r="AI12" s="3908"/>
      <c r="AJ12" s="3908"/>
    </row>
    <row r="13" spans="1:37" ht="16.5" customHeight="1">
      <c r="A13" s="225"/>
      <c r="B13" s="225"/>
      <c r="C13" s="1592" t="s">
        <v>1326</v>
      </c>
      <c r="D13" s="521"/>
      <c r="E13" s="521"/>
      <c r="F13" s="521"/>
      <c r="G13" s="521"/>
      <c r="H13" s="521"/>
      <c r="I13" s="521"/>
      <c r="J13" s="521"/>
      <c r="K13" s="521"/>
      <c r="L13" s="521"/>
      <c r="M13" s="521"/>
      <c r="N13" s="521"/>
      <c r="O13" s="521"/>
      <c r="P13" s="521"/>
      <c r="Q13" s="3253"/>
      <c r="R13" s="521"/>
      <c r="S13" s="521"/>
      <c r="T13" s="521"/>
      <c r="U13" s="1592" t="s">
        <v>1398</v>
      </c>
      <c r="V13" s="521"/>
      <c r="W13" s="521"/>
      <c r="X13" s="521"/>
      <c r="Y13" s="521"/>
      <c r="Z13" s="521"/>
      <c r="AA13" s="521"/>
      <c r="AB13" s="3253"/>
      <c r="AC13" s="3254"/>
      <c r="AD13" s="3254"/>
      <c r="AE13" s="3254"/>
      <c r="AF13" s="3253"/>
      <c r="AG13" s="3253"/>
      <c r="AH13" s="3474" t="s">
        <v>8</v>
      </c>
      <c r="AI13" s="3475"/>
      <c r="AJ13" s="3474" t="s">
        <v>9</v>
      </c>
    </row>
    <row r="14" spans="1:37" ht="16.5" customHeight="1">
      <c r="A14" s="225"/>
      <c r="B14" s="225"/>
      <c r="C14" s="760" t="s">
        <v>125</v>
      </c>
      <c r="D14" s="521"/>
      <c r="E14" s="760" t="s">
        <v>126</v>
      </c>
      <c r="F14" s="521"/>
      <c r="G14" s="760" t="s">
        <v>127</v>
      </c>
      <c r="H14" s="521"/>
      <c r="I14" s="760" t="s">
        <v>128</v>
      </c>
      <c r="J14" s="521"/>
      <c r="K14" s="760" t="s">
        <v>129</v>
      </c>
      <c r="L14" s="521"/>
      <c r="M14" s="760" t="s">
        <v>130</v>
      </c>
      <c r="N14" s="521"/>
      <c r="O14" s="760" t="s">
        <v>131</v>
      </c>
      <c r="P14" s="521"/>
      <c r="Q14" s="3474" t="s">
        <v>132</v>
      </c>
      <c r="R14" s="521"/>
      <c r="S14" s="760" t="s">
        <v>133</v>
      </c>
      <c r="T14" s="521"/>
      <c r="U14" s="760" t="s">
        <v>134</v>
      </c>
      <c r="V14" s="521"/>
      <c r="W14" s="760" t="s">
        <v>135</v>
      </c>
      <c r="X14" s="521"/>
      <c r="Y14" s="760" t="s">
        <v>136</v>
      </c>
      <c r="Z14" s="521"/>
      <c r="AA14" s="521"/>
      <c r="AB14" s="3255">
        <v>2020</v>
      </c>
      <c r="AC14" s="3253"/>
      <c r="AD14" s="3253"/>
      <c r="AE14" s="3255">
        <v>2019</v>
      </c>
      <c r="AF14" s="3253"/>
      <c r="AG14" s="3253"/>
      <c r="AH14" s="3476" t="s">
        <v>12</v>
      </c>
      <c r="AI14" s="3475"/>
      <c r="AJ14" s="3476" t="s">
        <v>13</v>
      </c>
    </row>
    <row r="15" spans="1:37" ht="6" customHeight="1">
      <c r="A15" s="225"/>
      <c r="B15" s="225"/>
      <c r="C15" s="524"/>
      <c r="D15" s="225"/>
      <c r="E15" s="524"/>
      <c r="F15" s="225"/>
      <c r="G15" s="524"/>
      <c r="H15" s="225"/>
      <c r="I15" s="524"/>
      <c r="J15" s="225"/>
      <c r="K15" s="524"/>
      <c r="L15" s="225"/>
      <c r="M15" s="524"/>
      <c r="N15" s="225"/>
      <c r="O15" s="524" t="s">
        <v>15</v>
      </c>
      <c r="P15" s="225"/>
      <c r="Q15" s="3256"/>
      <c r="R15" s="225"/>
      <c r="S15" s="524"/>
      <c r="T15" s="225"/>
      <c r="U15" s="524" t="s">
        <v>15</v>
      </c>
      <c r="V15" s="225"/>
      <c r="W15" s="524"/>
      <c r="X15" s="225"/>
      <c r="Y15" s="524"/>
      <c r="Z15" s="225"/>
      <c r="AA15" s="225"/>
      <c r="AB15" s="3256"/>
      <c r="AC15" s="3252"/>
      <c r="AD15" s="3252"/>
      <c r="AE15" s="3256"/>
      <c r="AF15" s="3252"/>
      <c r="AG15" s="3252"/>
      <c r="AI15" s="3252"/>
    </row>
    <row r="16" spans="1:37" ht="16.5" customHeight="1">
      <c r="A16" s="522" t="s">
        <v>137</v>
      </c>
      <c r="B16" s="225"/>
      <c r="C16" s="1782">
        <f>'Exhibit F'!D12+'Exhibit G'!D13+'Exhibit H'!B12+'Exhibit I'!E15</f>
        <v>9975</v>
      </c>
      <c r="D16" s="525"/>
      <c r="E16" s="525">
        <f>C148</f>
        <v>18267.7</v>
      </c>
      <c r="F16" s="525"/>
      <c r="G16" s="525">
        <f>E148</f>
        <v>10925.1</v>
      </c>
      <c r="H16" s="525"/>
      <c r="I16" s="525">
        <f>G148</f>
        <v>13728.6</v>
      </c>
      <c r="J16" s="525"/>
      <c r="K16" s="525">
        <f>I148</f>
        <v>12775.1</v>
      </c>
      <c r="L16" s="525"/>
      <c r="M16" s="525">
        <f>K148</f>
        <v>13740.6</v>
      </c>
      <c r="N16" s="525"/>
      <c r="O16" s="525">
        <f>M148</f>
        <v>14310.2</v>
      </c>
      <c r="P16" s="525"/>
      <c r="Q16" s="1782">
        <f>O148</f>
        <v>14340</v>
      </c>
      <c r="R16" s="525"/>
      <c r="S16" s="525">
        <f>Q148</f>
        <v>12090.9</v>
      </c>
      <c r="T16" s="525"/>
      <c r="U16" s="525">
        <f>S148</f>
        <v>14900.3</v>
      </c>
      <c r="V16" s="525"/>
      <c r="W16" s="525"/>
      <c r="X16" s="525"/>
      <c r="Y16" s="525"/>
      <c r="Z16" s="525"/>
      <c r="AA16" s="526"/>
      <c r="AB16" s="1782">
        <f>C16</f>
        <v>9975</v>
      </c>
      <c r="AC16" s="1782"/>
      <c r="AD16" s="3477"/>
      <c r="AE16" s="1782">
        <f>'Exhibit F'!AF12+'Exhibit G'!AG13+'Exhibit H'!AD12+'Exhibit I'!AI15</f>
        <v>12749</v>
      </c>
      <c r="AF16" s="1782"/>
      <c r="AG16" s="1782"/>
      <c r="AH16" s="1782">
        <f>ROUND(SUM(AB16-AE16),1)</f>
        <v>-2774</v>
      </c>
      <c r="AI16" s="3253"/>
      <c r="AJ16" s="3478">
        <f>ROUND(SUM(AH16/AE16),3)</f>
        <v>-0.218</v>
      </c>
      <c r="AK16" s="3479"/>
    </row>
    <row r="17" spans="1:36" ht="16.5" customHeight="1">
      <c r="A17" s="225"/>
      <c r="B17" s="225"/>
      <c r="C17" s="225" t="s">
        <v>15</v>
      </c>
      <c r="D17" s="225"/>
      <c r="E17" s="527"/>
      <c r="F17" s="225"/>
      <c r="G17" s="527"/>
      <c r="H17" s="225"/>
      <c r="I17" s="527"/>
      <c r="J17" s="225"/>
      <c r="K17" s="527"/>
      <c r="L17" s="225"/>
      <c r="M17" s="527"/>
      <c r="N17" s="225"/>
      <c r="O17" s="527"/>
      <c r="P17" s="225"/>
      <c r="Q17" s="3484"/>
      <c r="R17" s="225"/>
      <c r="S17" s="527"/>
      <c r="T17" s="225"/>
      <c r="U17" s="527"/>
      <c r="V17" s="225"/>
      <c r="W17" s="527"/>
      <c r="X17" s="225"/>
      <c r="Y17" s="527"/>
      <c r="Z17" s="225"/>
      <c r="AA17" s="528"/>
      <c r="AB17" s="3252" t="s">
        <v>15</v>
      </c>
      <c r="AC17" s="3252"/>
      <c r="AD17" s="3480"/>
      <c r="AE17" s="3252" t="s">
        <v>15</v>
      </c>
      <c r="AF17" s="3252"/>
      <c r="AG17" s="3252"/>
      <c r="AH17" s="907"/>
      <c r="AI17" s="3252"/>
      <c r="AJ17" s="907"/>
    </row>
    <row r="18" spans="1:36" ht="16.5" customHeight="1">
      <c r="A18" s="207" t="s">
        <v>14</v>
      </c>
      <c r="B18" s="225"/>
      <c r="C18" s="225"/>
      <c r="D18" s="225"/>
      <c r="E18" s="527"/>
      <c r="F18" s="225"/>
      <c r="G18" s="527"/>
      <c r="H18" s="225"/>
      <c r="I18" s="527"/>
      <c r="J18" s="225"/>
      <c r="K18" s="527"/>
      <c r="L18" s="225"/>
      <c r="M18" s="527"/>
      <c r="N18" s="225"/>
      <c r="O18" s="527"/>
      <c r="P18" s="225"/>
      <c r="Q18" s="3484"/>
      <c r="R18" s="225"/>
      <c r="S18" s="527"/>
      <c r="T18" s="225"/>
      <c r="U18" s="527"/>
      <c r="V18" s="225"/>
      <c r="W18" s="527"/>
      <c r="X18" s="225"/>
      <c r="Y18" s="527"/>
      <c r="Z18" s="225"/>
      <c r="AA18" s="528"/>
      <c r="AB18" s="3252"/>
      <c r="AC18" s="3252"/>
      <c r="AD18" s="3480"/>
      <c r="AE18" s="3252"/>
      <c r="AF18" s="3252"/>
      <c r="AG18" s="3252"/>
      <c r="AH18" s="907"/>
      <c r="AI18" s="3252"/>
      <c r="AJ18" s="907"/>
    </row>
    <row r="19" spans="1:36" ht="16.5" customHeight="1">
      <c r="A19" s="261" t="s">
        <v>1097</v>
      </c>
      <c r="B19" s="225"/>
      <c r="C19" s="225"/>
      <c r="D19" s="225"/>
      <c r="E19" s="527"/>
      <c r="F19" s="225"/>
      <c r="G19" s="527"/>
      <c r="H19" s="225"/>
      <c r="I19" s="527"/>
      <c r="J19" s="225"/>
      <c r="K19" s="527"/>
      <c r="L19" s="225"/>
      <c r="M19" s="527"/>
      <c r="N19" s="225"/>
      <c r="O19" s="527"/>
      <c r="P19" s="225"/>
      <c r="Q19" s="3484"/>
      <c r="R19" s="225"/>
      <c r="S19" s="527"/>
      <c r="T19" s="225"/>
      <c r="U19" s="527"/>
      <c r="V19" s="225"/>
      <c r="W19" s="527"/>
      <c r="X19" s="225"/>
      <c r="Y19" s="527"/>
      <c r="Z19" s="225"/>
      <c r="AA19" s="528"/>
      <c r="AB19" s="3252"/>
      <c r="AC19" s="3252"/>
      <c r="AD19" s="3480"/>
      <c r="AE19" s="3252"/>
      <c r="AF19" s="3252"/>
      <c r="AG19" s="3252"/>
      <c r="AH19" s="907"/>
      <c r="AI19" s="3252"/>
      <c r="AJ19" s="907"/>
    </row>
    <row r="20" spans="1:36" ht="16.5" customHeight="1">
      <c r="A20" s="1067" t="s">
        <v>1396</v>
      </c>
      <c r="B20" s="685"/>
      <c r="C20" s="626"/>
      <c r="D20" s="626"/>
      <c r="E20" s="626"/>
      <c r="F20" s="626"/>
      <c r="G20" s="626"/>
      <c r="H20" s="225"/>
      <c r="I20" s="527"/>
      <c r="J20" s="225"/>
      <c r="K20" s="527"/>
      <c r="L20" s="225"/>
      <c r="M20" s="527"/>
      <c r="N20" s="225"/>
      <c r="O20" s="527"/>
      <c r="P20" s="225"/>
      <c r="Q20" s="3484"/>
      <c r="R20" s="225"/>
      <c r="S20" s="527"/>
      <c r="T20" s="225"/>
      <c r="U20" s="527"/>
      <c r="V20" s="225"/>
      <c r="W20" s="527"/>
      <c r="X20" s="225"/>
      <c r="Y20" s="527"/>
      <c r="Z20" s="225"/>
      <c r="AA20" s="976"/>
      <c r="AB20" s="3252"/>
      <c r="AC20" s="3252"/>
      <c r="AD20" s="3480"/>
      <c r="AE20" s="3252"/>
      <c r="AF20" s="3252"/>
      <c r="AG20" s="3252"/>
      <c r="AH20" s="907"/>
      <c r="AI20" s="3252"/>
      <c r="AJ20" s="907"/>
    </row>
    <row r="21" spans="1:36" ht="16.5" customHeight="1">
      <c r="A21" s="685" t="s">
        <v>1103</v>
      </c>
      <c r="B21" s="685"/>
      <c r="C21" s="368">
        <f>+'Exhibit F'!D17</f>
        <v>3237.1</v>
      </c>
      <c r="D21" s="628"/>
      <c r="E21" s="368">
        <f>+'Exhibit F'!F17</f>
        <v>3220.1</v>
      </c>
      <c r="F21" s="628"/>
      <c r="G21" s="368">
        <f>+'Exhibit F'!H17</f>
        <v>2922.2999999999997</v>
      </c>
      <c r="H21" s="529"/>
      <c r="I21" s="368">
        <f>+'Exhibit F'!J17</f>
        <v>3365.7999999999988</v>
      </c>
      <c r="J21" s="529"/>
      <c r="K21" s="368">
        <f>+'Exhibit F'!L17</f>
        <v>2933.7000000000012</v>
      </c>
      <c r="L21" s="225"/>
      <c r="M21" s="368">
        <f>+'Exhibit F'!N17</f>
        <v>2851.0999999999981</v>
      </c>
      <c r="N21" s="225"/>
      <c r="O21" s="368">
        <f>+'Exhibit F'!P17</f>
        <v>3270.6000000000045</v>
      </c>
      <c r="P21" s="225"/>
      <c r="Q21" s="368">
        <f>+'Exhibit F'!R17</f>
        <v>2981.8000000000006</v>
      </c>
      <c r="R21" s="225"/>
      <c r="S21" s="368">
        <f>+'Exhibit F'!T17</f>
        <v>4054.2999999999997</v>
      </c>
      <c r="T21" s="225"/>
      <c r="U21" s="368">
        <f>+'Exhibit F'!V17</f>
        <v>5045.6000000000022</v>
      </c>
      <c r="V21" s="225"/>
      <c r="W21" s="368"/>
      <c r="X21" s="225"/>
      <c r="Y21" s="368"/>
      <c r="Z21" s="225"/>
      <c r="AA21" s="976"/>
      <c r="AB21" s="1685">
        <f>ROUND(SUM(C21:Y21),1)</f>
        <v>33882.400000000001</v>
      </c>
      <c r="AC21" s="3252"/>
      <c r="AD21" s="3480"/>
      <c r="AE21" s="3481">
        <f>+'Exhibit F'!AF17</f>
        <v>32407.200000000001</v>
      </c>
      <c r="AF21" s="3252"/>
      <c r="AG21" s="3252"/>
      <c r="AH21" s="911">
        <f>ROUND(SUM(+AB21-AE21),1)</f>
        <v>1475.2</v>
      </c>
      <c r="AI21" s="3482"/>
      <c r="AJ21" s="1775">
        <f>ROUND(IF(AE21=0,0,AH21/ABS(AE21)),3)</f>
        <v>4.5999999999999999E-2</v>
      </c>
    </row>
    <row r="22" spans="1:36" ht="16.5" customHeight="1">
      <c r="A22" s="685" t="s">
        <v>1391</v>
      </c>
      <c r="B22" s="689"/>
      <c r="C22" s="368">
        <f>+'Exhibit F'!D18</f>
        <v>6843.2</v>
      </c>
      <c r="D22" s="628"/>
      <c r="E22" s="368">
        <f>+'Exhibit F'!F18</f>
        <v>112.60000000000036</v>
      </c>
      <c r="F22" s="628"/>
      <c r="G22" s="368">
        <f>+'Exhibit F'!H18</f>
        <v>2396.4000000000005</v>
      </c>
      <c r="H22" s="529"/>
      <c r="I22" s="368">
        <f>+'Exhibit F'!J18</f>
        <v>118.69999999999891</v>
      </c>
      <c r="J22" s="529"/>
      <c r="K22" s="368">
        <f>+'Exhibit F'!L18</f>
        <v>98.700000000000728</v>
      </c>
      <c r="L22" s="225"/>
      <c r="M22" s="368">
        <f>+'Exhibit F'!N18</f>
        <v>2742</v>
      </c>
      <c r="N22" s="225"/>
      <c r="O22" s="368">
        <f>+'Exhibit F'!P18</f>
        <v>170.89999999999964</v>
      </c>
      <c r="P22" s="225"/>
      <c r="Q22" s="368">
        <f>+'Exhibit F'!R18</f>
        <v>93.5</v>
      </c>
      <c r="R22" s="225"/>
      <c r="S22" s="368">
        <f>+'Exhibit F'!T18</f>
        <v>379.79999999999927</v>
      </c>
      <c r="T22" s="225"/>
      <c r="U22" s="368">
        <f>+'Exhibit F'!V18</f>
        <v>3842.2</v>
      </c>
      <c r="V22" s="225"/>
      <c r="W22" s="368"/>
      <c r="X22" s="225"/>
      <c r="Y22" s="368"/>
      <c r="Z22" s="225"/>
      <c r="AA22" s="976"/>
      <c r="AB22" s="1685">
        <f>ROUND(SUM(C22:Y22),1)</f>
        <v>16798</v>
      </c>
      <c r="AC22" s="3252"/>
      <c r="AD22" s="3480"/>
      <c r="AE22" s="3481">
        <f>+'Exhibit F'!AF18</f>
        <v>13784.6</v>
      </c>
      <c r="AF22" s="3252"/>
      <c r="AG22" s="3252"/>
      <c r="AH22" s="911">
        <f>ROUND(SUM(+AB22-AE22),1)</f>
        <v>3013.4</v>
      </c>
      <c r="AI22" s="3482"/>
      <c r="AJ22" s="1775">
        <f>ROUND(IF(AE22=0,0,AH22/ABS(AE22)),3)</f>
        <v>0.219</v>
      </c>
    </row>
    <row r="23" spans="1:36" ht="16.5" customHeight="1">
      <c r="A23" s="685" t="s">
        <v>1104</v>
      </c>
      <c r="B23" s="685"/>
      <c r="C23" s="368">
        <f>+'Exhibit F'!D19</f>
        <v>2286.9</v>
      </c>
      <c r="D23" s="628"/>
      <c r="E23" s="368">
        <f>+'Exhibit F'!F19</f>
        <v>75.099999999999994</v>
      </c>
      <c r="F23" s="628"/>
      <c r="G23" s="368">
        <f>+'Exhibit F'!H19</f>
        <v>54.1</v>
      </c>
      <c r="H23" s="529"/>
      <c r="I23" s="368">
        <f>+'Exhibit F'!J19</f>
        <v>40.800000000000004</v>
      </c>
      <c r="J23" s="529"/>
      <c r="K23" s="368">
        <f>+'Exhibit F'!L19</f>
        <v>45.099999999999916</v>
      </c>
      <c r="L23" s="225"/>
      <c r="M23" s="368">
        <f>+'Exhibit F'!N19</f>
        <v>65.5</v>
      </c>
      <c r="N23" s="225"/>
      <c r="O23" s="368">
        <f>+'Exhibit F'!P19</f>
        <v>564.19999999999982</v>
      </c>
      <c r="P23" s="225"/>
      <c r="Q23" s="368">
        <f>+'Exhibit F'!R19</f>
        <v>42.500000000000455</v>
      </c>
      <c r="R23" s="225"/>
      <c r="S23" s="368">
        <f>+'Exhibit F'!T19</f>
        <v>24.599999999999909</v>
      </c>
      <c r="T23" s="225"/>
      <c r="U23" s="368">
        <f>+'Exhibit F'!V19</f>
        <v>25.699999999999818</v>
      </c>
      <c r="V23" s="225"/>
      <c r="W23" s="368"/>
      <c r="X23" s="225"/>
      <c r="Y23" s="368"/>
      <c r="Z23" s="225"/>
      <c r="AA23" s="976"/>
      <c r="AB23" s="1685">
        <f>ROUND(SUM(C23:Y23),1)</f>
        <v>3224.5</v>
      </c>
      <c r="AC23" s="3252"/>
      <c r="AD23" s="3480"/>
      <c r="AE23" s="3481">
        <f>+'Exhibit F'!AF19</f>
        <v>2438.9</v>
      </c>
      <c r="AF23" s="3252"/>
      <c r="AG23" s="3252"/>
      <c r="AH23" s="911">
        <f>ROUND(SUM(+AB23-AE23),1)</f>
        <v>785.6</v>
      </c>
      <c r="AI23" s="3482"/>
      <c r="AJ23" s="1775">
        <f>ROUND(IF(AE23=0,0,AH23/ABS(AE23)),3)</f>
        <v>0.32200000000000001</v>
      </c>
    </row>
    <row r="24" spans="1:36" ht="16.5" customHeight="1">
      <c r="A24" s="1093" t="s">
        <v>1105</v>
      </c>
      <c r="B24" s="685"/>
      <c r="C24" s="368">
        <f>+'Exhibit F'!D20</f>
        <v>-296.89999999999998</v>
      </c>
      <c r="D24" s="628"/>
      <c r="E24" s="368">
        <f>+'Exhibit F'!F20</f>
        <v>-31.100000000000023</v>
      </c>
      <c r="F24" s="628"/>
      <c r="G24" s="368">
        <f>+'Exhibit F'!H20</f>
        <v>-25.899999999999977</v>
      </c>
      <c r="H24" s="529"/>
      <c r="I24" s="368">
        <f>+'Exhibit F'!J20</f>
        <v>-21</v>
      </c>
      <c r="J24" s="529"/>
      <c r="K24" s="368">
        <f>+'Exhibit F'!L20</f>
        <v>-20.900000000000034</v>
      </c>
      <c r="L24" s="225"/>
      <c r="M24" s="368">
        <f>+'Exhibit F'!N20</f>
        <v>-47.199999999999989</v>
      </c>
      <c r="N24" s="225"/>
      <c r="O24" s="368">
        <f>+'Exhibit F'!P20</f>
        <v>-475.39999999999992</v>
      </c>
      <c r="P24" s="225"/>
      <c r="Q24" s="368">
        <f>+'Exhibit F'!R20</f>
        <v>-59.499999999999943</v>
      </c>
      <c r="R24" s="225"/>
      <c r="S24" s="368">
        <f>+'Exhibit F'!T20</f>
        <v>-17.700000000000045</v>
      </c>
      <c r="T24" s="225"/>
      <c r="U24" s="368">
        <f>+'Exhibit F'!V20</f>
        <v>-9.6000000000001364</v>
      </c>
      <c r="V24" s="225"/>
      <c r="W24" s="368"/>
      <c r="X24" s="225"/>
      <c r="Y24" s="368"/>
      <c r="Z24" s="225"/>
      <c r="AA24" s="976"/>
      <c r="AB24" s="1685">
        <f t="shared" ref="AB24:AB30" si="0">ROUND(SUM(C24:Y24),1)</f>
        <v>-1005.2</v>
      </c>
      <c r="AC24" s="3252"/>
      <c r="AD24" s="3480"/>
      <c r="AE24" s="3481">
        <f>+'Exhibit F'!AF20</f>
        <v>-1025.0999999999999</v>
      </c>
      <c r="AF24" s="3252"/>
      <c r="AG24" s="3252"/>
      <c r="AH24" s="911">
        <f>-ROUND(SUM(+AB24-AE24),1)</f>
        <v>-19.899999999999999</v>
      </c>
      <c r="AI24" s="3482"/>
      <c r="AJ24" s="1774">
        <f>ROUND(IF(AE24=0,0,AH24/ABS(AE24)),3)</f>
        <v>-1.9E-2</v>
      </c>
    </row>
    <row r="25" spans="1:36" ht="16.5" customHeight="1">
      <c r="A25" s="1093" t="s">
        <v>1390</v>
      </c>
      <c r="B25" s="685"/>
      <c r="C25" s="368">
        <f>+'Exhibit F'!D21</f>
        <v>170.3</v>
      </c>
      <c r="D25" s="628"/>
      <c r="E25" s="368">
        <f>+'Exhibit F'!F21</f>
        <v>105.19999999999999</v>
      </c>
      <c r="F25" s="628"/>
      <c r="G25" s="368">
        <f>+'Exhibit F'!H21</f>
        <v>96.199999999999989</v>
      </c>
      <c r="H25" s="529"/>
      <c r="I25" s="368">
        <f>+'Exhibit F'!J21</f>
        <v>89.300000000000011</v>
      </c>
      <c r="J25" s="529"/>
      <c r="K25" s="368">
        <f>+'Exhibit F'!L21</f>
        <v>95.700000000000045</v>
      </c>
      <c r="L25" s="225"/>
      <c r="M25" s="368">
        <f>+'Exhibit F'!N21</f>
        <v>91.699999999999932</v>
      </c>
      <c r="N25" s="225"/>
      <c r="O25" s="368">
        <f>+'Exhibit F'!P21</f>
        <v>104.30000000000013</v>
      </c>
      <c r="P25" s="225"/>
      <c r="Q25" s="368">
        <f>+'Exhibit F'!R21</f>
        <v>121.59999999999985</v>
      </c>
      <c r="R25" s="225"/>
      <c r="S25" s="368">
        <f>+'Exhibit F'!T21</f>
        <v>134.59999999999991</v>
      </c>
      <c r="T25" s="225"/>
      <c r="U25" s="368">
        <f>+'Exhibit F'!V21</f>
        <v>87.200000000000273</v>
      </c>
      <c r="V25" s="225"/>
      <c r="W25" s="368"/>
      <c r="X25" s="225"/>
      <c r="Y25" s="368"/>
      <c r="Z25" s="225"/>
      <c r="AA25" s="976"/>
      <c r="AB25" s="1685">
        <f t="shared" si="0"/>
        <v>1096.0999999999999</v>
      </c>
      <c r="AC25" s="3252"/>
      <c r="AD25" s="3480"/>
      <c r="AE25" s="3481">
        <f>+'Exhibit F'!AF21</f>
        <v>1055.0999999999999</v>
      </c>
      <c r="AF25" s="3252"/>
      <c r="AG25" s="3252"/>
      <c r="AH25" s="911">
        <f>ROUND(SUM(+AB25-AE25),1)</f>
        <v>41</v>
      </c>
      <c r="AI25" s="3482"/>
      <c r="AJ25" s="1774">
        <f t="shared" ref="AJ25:AJ30" si="1">ROUND(IF(AE25=0,0,AH25/ABS(AE25)),3)</f>
        <v>3.9E-2</v>
      </c>
    </row>
    <row r="26" spans="1:36" ht="16.5" customHeight="1">
      <c r="A26" s="686" t="s">
        <v>1106</v>
      </c>
      <c r="B26" s="686"/>
      <c r="C26" s="688">
        <f>ROUND(SUM(C21:C25),1)</f>
        <v>12240.6</v>
      </c>
      <c r="D26" s="26"/>
      <c r="E26" s="688">
        <f>ROUND(SUM(E21:E25),1)</f>
        <v>3481.9</v>
      </c>
      <c r="F26" s="26"/>
      <c r="G26" s="688">
        <f>ROUND(SUM(G21:G25),1)</f>
        <v>5443.1</v>
      </c>
      <c r="H26" s="225"/>
      <c r="I26" s="902">
        <f>ROUND(SUM(I21:I25),1)</f>
        <v>3593.6</v>
      </c>
      <c r="J26" s="225"/>
      <c r="K26" s="902">
        <f>ROUND(SUM(K21:K25),1)</f>
        <v>3152.3</v>
      </c>
      <c r="L26" s="225"/>
      <c r="M26" s="902">
        <f>ROUND(SUM(M21:M25),1)</f>
        <v>5703.1</v>
      </c>
      <c r="N26" s="225"/>
      <c r="O26" s="902">
        <f>ROUND(SUM(O21:O25),1)</f>
        <v>3634.6</v>
      </c>
      <c r="P26" s="225"/>
      <c r="Q26" s="3258">
        <f>ROUND(SUM(Q21:Q25),1)</f>
        <v>3179.9</v>
      </c>
      <c r="R26" s="225"/>
      <c r="S26" s="902">
        <f>ROUND(SUM(S21:S25),1)</f>
        <v>4575.6000000000004</v>
      </c>
      <c r="T26" s="225"/>
      <c r="U26" s="902">
        <f>ROUND(SUM(U21:U25),1)</f>
        <v>8991.1</v>
      </c>
      <c r="V26" s="225"/>
      <c r="W26" s="902">
        <f>ROUND(SUM(W21:W25),1)</f>
        <v>0</v>
      </c>
      <c r="X26" s="225"/>
      <c r="Y26" s="902">
        <f>ROUND(SUM(Y21:Y25),1)</f>
        <v>0</v>
      </c>
      <c r="Z26" s="225"/>
      <c r="AA26" s="976"/>
      <c r="AB26" s="3257">
        <f>ROUND(SUM(C26:Y26),1)</f>
        <v>53995.8</v>
      </c>
      <c r="AC26" s="3252"/>
      <c r="AD26" s="3480"/>
      <c r="AE26" s="3258">
        <f>ROUND(SUM(AE21:AE25),1)</f>
        <v>48660.7</v>
      </c>
      <c r="AF26" s="3252"/>
      <c r="AG26" s="3252"/>
      <c r="AH26" s="1583">
        <f>ROUND(SUM(AB26-AE26),1)</f>
        <v>5335.1</v>
      </c>
      <c r="AI26" s="3482"/>
      <c r="AJ26" s="2256">
        <f t="shared" si="1"/>
        <v>0.11</v>
      </c>
    </row>
    <row r="27" spans="1:36" ht="16.5" customHeight="1">
      <c r="A27" s="1093" t="s">
        <v>1108</v>
      </c>
      <c r="B27" s="685"/>
      <c r="C27" s="1401">
        <v>0</v>
      </c>
      <c r="D27" s="629"/>
      <c r="E27" s="1401">
        <v>0</v>
      </c>
      <c r="F27" s="629"/>
      <c r="G27" s="1401">
        <v>0</v>
      </c>
      <c r="H27" s="1476"/>
      <c r="I27" s="1401">
        <v>0</v>
      </c>
      <c r="J27" s="1476"/>
      <c r="K27" s="1401">
        <v>0</v>
      </c>
      <c r="L27" s="1477"/>
      <c r="M27" s="1401">
        <v>0</v>
      </c>
      <c r="N27" s="1477"/>
      <c r="O27" s="1401">
        <v>0</v>
      </c>
      <c r="P27" s="225"/>
      <c r="Q27" s="1401">
        <v>0</v>
      </c>
      <c r="R27" s="225"/>
      <c r="S27" s="1401">
        <v>0</v>
      </c>
      <c r="T27" s="225"/>
      <c r="U27" s="1401">
        <v>0</v>
      </c>
      <c r="V27" s="225"/>
      <c r="W27" s="1401"/>
      <c r="X27" s="225"/>
      <c r="Y27" s="1401"/>
      <c r="Z27" s="225"/>
      <c r="AA27" s="976"/>
      <c r="AB27" s="1685">
        <f t="shared" si="0"/>
        <v>0</v>
      </c>
      <c r="AC27" s="3252"/>
      <c r="AD27" s="3480"/>
      <c r="AE27" s="3483">
        <f>+'Exhibit F'!AF23+'Exhibit G'!AG17</f>
        <v>0</v>
      </c>
      <c r="AF27" s="3252"/>
      <c r="AG27" s="3252"/>
      <c r="AH27" s="911">
        <f>ROUND(SUM(+AB27-AE27),1)</f>
        <v>0</v>
      </c>
      <c r="AI27" s="3482"/>
      <c r="AJ27" s="1774">
        <f t="shared" si="1"/>
        <v>0</v>
      </c>
    </row>
    <row r="28" spans="1:36" ht="16.5" customHeight="1">
      <c r="A28" s="1093" t="s">
        <v>1109</v>
      </c>
      <c r="B28" s="685"/>
      <c r="C28" s="631">
        <f>'Exhibit F'!D24+'Exhibit H'!B16</f>
        <v>0</v>
      </c>
      <c r="D28" s="629"/>
      <c r="E28" s="631">
        <f>ROUND('Exhibit F'!F24+'Exhibit H'!D16,1)</f>
        <v>0</v>
      </c>
      <c r="F28" s="629"/>
      <c r="G28" s="631">
        <f>ROUND('Exhibit F'!H24+'Exhibit H'!F16,1)</f>
        <v>0</v>
      </c>
      <c r="H28" s="1476"/>
      <c r="I28" s="631">
        <f>ROUND('Exhibit F'!J24+'Exhibit H'!H16,1)</f>
        <v>0</v>
      </c>
      <c r="J28" s="1476"/>
      <c r="K28" s="631">
        <f>ROUND('Exhibit F'!L24+'Exhibit H'!J16,1)</f>
        <v>0</v>
      </c>
      <c r="L28" s="1477"/>
      <c r="M28" s="631">
        <f>ROUND('Exhibit F'!N24+'Exhibit H'!L16,1)</f>
        <v>0</v>
      </c>
      <c r="N28" s="1477"/>
      <c r="O28" s="631">
        <f>ROUND('Exhibit F'!P24+'Exhibit H'!N16,1)</f>
        <v>0</v>
      </c>
      <c r="P28" s="225"/>
      <c r="Q28" s="631">
        <f>ROUND('Exhibit F'!R24+'Exhibit H'!P16,1)</f>
        <v>0</v>
      </c>
      <c r="R28" s="225"/>
      <c r="S28" s="631">
        <f>ROUND('Exhibit F'!T24+'Exhibit H'!R16,1)</f>
        <v>0</v>
      </c>
      <c r="T28" s="225"/>
      <c r="U28" s="631">
        <f>ROUND('Exhibit F'!V24+'Exhibit H'!T16,1)</f>
        <v>0</v>
      </c>
      <c r="V28" s="225"/>
      <c r="W28" s="631"/>
      <c r="X28" s="225"/>
      <c r="Y28" s="631"/>
      <c r="Z28" s="225"/>
      <c r="AA28" s="976"/>
      <c r="AB28" s="1685">
        <f t="shared" si="0"/>
        <v>0</v>
      </c>
      <c r="AC28" s="3252"/>
      <c r="AD28" s="3480"/>
      <c r="AE28" s="1840">
        <f>+'Exhibit F'!AF24+'Exhibit H'!AD16</f>
        <v>0</v>
      </c>
      <c r="AF28" s="3252"/>
      <c r="AG28" s="3252"/>
      <c r="AH28" s="911">
        <f>ROUND(SUM(+AB28-AE28),1)</f>
        <v>0</v>
      </c>
      <c r="AI28" s="3482"/>
      <c r="AJ28" s="1774">
        <f>ROUND(IF(AE28=0,0,AH28/ABS(AE28)),3)</f>
        <v>0</v>
      </c>
    </row>
    <row r="29" spans="1:36" ht="16.5" customHeight="1">
      <c r="A29" s="685" t="s">
        <v>1392</v>
      </c>
      <c r="B29" s="685"/>
      <c r="C29" s="368">
        <f>+'Exhibit F'!D25</f>
        <v>-3025.2</v>
      </c>
      <c r="D29" s="628"/>
      <c r="E29" s="368">
        <f>+'Exhibit F'!F25</f>
        <v>-997.30000000000018</v>
      </c>
      <c r="F29" s="628"/>
      <c r="G29" s="368">
        <f>+'Exhibit F'!H25</f>
        <v>-233.19999999999982</v>
      </c>
      <c r="H29" s="529"/>
      <c r="I29" s="368">
        <f>+'Exhibit F'!J25</f>
        <v>-262</v>
      </c>
      <c r="J29" s="529"/>
      <c r="K29" s="368">
        <f>+'Exhibit F'!L25</f>
        <v>-243.80000000000018</v>
      </c>
      <c r="L29" s="225"/>
      <c r="M29" s="368">
        <f>+'Exhibit F'!N25</f>
        <v>-871.69999999999982</v>
      </c>
      <c r="N29" s="225"/>
      <c r="O29" s="368">
        <f>+'Exhibit F'!P25</f>
        <v>-1056.1999999999998</v>
      </c>
      <c r="P29" s="225"/>
      <c r="Q29" s="368">
        <f>+'Exhibit F'!R25</f>
        <v>-710.5</v>
      </c>
      <c r="R29" s="225"/>
      <c r="S29" s="368">
        <f>+'Exhibit F'!T25</f>
        <v>-287.60000000000036</v>
      </c>
      <c r="T29" s="225"/>
      <c r="U29" s="368">
        <f>+'Exhibit F'!V25</f>
        <v>-91.899999999999636</v>
      </c>
      <c r="V29" s="225"/>
      <c r="W29" s="368"/>
      <c r="X29" s="225"/>
      <c r="Y29" s="368"/>
      <c r="Z29" s="225"/>
      <c r="AA29" s="976"/>
      <c r="AB29" s="1685">
        <f t="shared" si="0"/>
        <v>-7779.4</v>
      </c>
      <c r="AC29" s="3252"/>
      <c r="AD29" s="3480"/>
      <c r="AE29" s="3481">
        <f>+'Exhibit F'!AF25</f>
        <v>-7518.2</v>
      </c>
      <c r="AF29" s="3252"/>
      <c r="AG29" s="3252"/>
      <c r="AH29" s="911">
        <f>-ROUND(SUM(+AB29-AE29),1)</f>
        <v>261.2</v>
      </c>
      <c r="AI29" s="3482"/>
      <c r="AJ29" s="1774">
        <f t="shared" si="1"/>
        <v>3.5000000000000003E-2</v>
      </c>
    </row>
    <row r="30" spans="1:36" ht="16.5" customHeight="1">
      <c r="A30" s="312" t="s">
        <v>1107</v>
      </c>
      <c r="B30" s="685"/>
      <c r="C30" s="902">
        <f>ROUND(SUM(C26)+SUM(C27)+SUM(C28)+SUM(C29),1)</f>
        <v>9215.4</v>
      </c>
      <c r="D30" s="26"/>
      <c r="E30" s="902">
        <f>ROUND(SUM(E26)+SUM(E27)+SUM(E28)+SUM(E29),1)</f>
        <v>2484.6</v>
      </c>
      <c r="F30" s="26"/>
      <c r="G30" s="902">
        <f>ROUND(SUM(G26)+SUM(G27)+SUM(G28)+SUM(G29),1)</f>
        <v>5209.8999999999996</v>
      </c>
      <c r="H30" s="225"/>
      <c r="I30" s="902">
        <f>ROUND(SUM(I26)+SUM(I27)+SUM(I28)+SUM(I29),1)</f>
        <v>3331.6</v>
      </c>
      <c r="J30" s="225"/>
      <c r="K30" s="902">
        <f>ROUND(SUM(K26)+SUM(K27)+SUM(K28)+SUM(K29),1)</f>
        <v>2908.5</v>
      </c>
      <c r="L30" s="225"/>
      <c r="M30" s="902">
        <f>ROUND(SUM(M26)+SUM(M27)+SUM(M28)+SUM(M29),1)</f>
        <v>4831.3999999999996</v>
      </c>
      <c r="N30" s="225"/>
      <c r="O30" s="902">
        <f>ROUND(SUM(O26)+SUM(O27)+SUM(O28)+SUM(O29),1)</f>
        <v>2578.4</v>
      </c>
      <c r="P30" s="225"/>
      <c r="Q30" s="3258">
        <f>ROUND(SUM(Q26)+SUM(Q27)+SUM(Q28)+SUM(Q29),1)</f>
        <v>2469.4</v>
      </c>
      <c r="R30" s="225"/>
      <c r="S30" s="902">
        <f>ROUND(SUM(S26)+SUM(S27)+SUM(S28)+SUM(S29),1)</f>
        <v>4288</v>
      </c>
      <c r="T30" s="225"/>
      <c r="U30" s="902">
        <f>ROUND(SUM(U26)+SUM(U27)+SUM(U28)+SUM(U29),1)</f>
        <v>8899.2000000000007</v>
      </c>
      <c r="V30" s="225"/>
      <c r="W30" s="902">
        <f>ROUND(SUM(W26)+SUM(W27)+SUM(W28)+SUM(W29),1)</f>
        <v>0</v>
      </c>
      <c r="X30" s="225"/>
      <c r="Y30" s="902">
        <f>ROUND(SUM(Y26)+SUM(Y27)+SUM(Y28)+SUM(Y29),1)</f>
        <v>0</v>
      </c>
      <c r="Z30" s="225"/>
      <c r="AA30" s="976"/>
      <c r="AB30" s="3257">
        <f t="shared" si="0"/>
        <v>46216.4</v>
      </c>
      <c r="AC30" s="3252"/>
      <c r="AD30" s="3480"/>
      <c r="AE30" s="3258">
        <f>ROUND(SUM(AE26)+SUM(AE27)+SUM(AE28)+SUM(AE29),1)</f>
        <v>41142.5</v>
      </c>
      <c r="AF30" s="3252"/>
      <c r="AG30" s="3252"/>
      <c r="AH30" s="1583">
        <f>ROUND(SUM(AH26+AH27+AH28-AH29),1)</f>
        <v>5073.8999999999996</v>
      </c>
      <c r="AI30" s="1040"/>
      <c r="AJ30" s="2256">
        <f t="shared" si="1"/>
        <v>0.123</v>
      </c>
    </row>
    <row r="31" spans="1:36" ht="16.5" customHeight="1">
      <c r="A31" s="1067" t="s">
        <v>1161</v>
      </c>
      <c r="B31" s="689"/>
      <c r="C31" s="624"/>
      <c r="D31" s="624"/>
      <c r="E31" s="624"/>
      <c r="F31" s="624"/>
      <c r="G31" s="624"/>
      <c r="H31" s="225"/>
      <c r="I31" s="624"/>
      <c r="J31" s="225"/>
      <c r="K31" s="624"/>
      <c r="L31" s="225"/>
      <c r="M31" s="624"/>
      <c r="N31" s="225"/>
      <c r="O31" s="624"/>
      <c r="P31" s="225"/>
      <c r="Q31" s="3568"/>
      <c r="R31" s="225"/>
      <c r="S31" s="624"/>
      <c r="T31" s="225"/>
      <c r="U31" s="624"/>
      <c r="V31" s="225"/>
      <c r="W31" s="624"/>
      <c r="X31" s="225"/>
      <c r="Y31" s="624"/>
      <c r="Z31" s="225"/>
      <c r="AA31" s="976"/>
      <c r="AB31" s="3252"/>
      <c r="AC31" s="3252"/>
      <c r="AD31" s="3480"/>
      <c r="AE31" s="3484"/>
      <c r="AF31" s="3252"/>
      <c r="AG31" s="3252"/>
      <c r="AH31" s="115"/>
      <c r="AI31" s="1040"/>
      <c r="AJ31" s="3485"/>
    </row>
    <row r="32" spans="1:36" ht="16.5" customHeight="1">
      <c r="A32" s="685" t="s">
        <v>1112</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f>+'Exhibit F'!L28+'Exhibit G'!L20+'Exhibit H'!J19</f>
        <v>1243.6000000000004</v>
      </c>
      <c r="L32" s="225"/>
      <c r="M32" s="368">
        <f>+'Exhibit F'!N28+'Exhibit G'!N20+'Exhibit H'!L19</f>
        <v>1628.1999999999996</v>
      </c>
      <c r="N32" s="225"/>
      <c r="O32" s="368">
        <f>+'Exhibit F'!P28+'Exhibit G'!P20+'Exhibit H'!N19</f>
        <v>1238.3000000000002</v>
      </c>
      <c r="P32" s="225"/>
      <c r="Q32" s="368">
        <f>+'Exhibit F'!R28+'Exhibit G'!R20+'Exhibit H'!P19</f>
        <v>1250.5999999999999</v>
      </c>
      <c r="R32" s="225"/>
      <c r="S32" s="368">
        <f>+'Exhibit F'!T28+'Exhibit G'!T20+'Exhibit H'!R19</f>
        <v>1586.8000000000006</v>
      </c>
      <c r="T32" s="225"/>
      <c r="U32" s="368">
        <f>+'Exhibit F'!V28+'Exhibit G'!V20+'Exhibit H'!T19</f>
        <v>1360.8999999999999</v>
      </c>
      <c r="V32" s="225"/>
      <c r="W32" s="368"/>
      <c r="X32" s="225"/>
      <c r="Y32" s="368"/>
      <c r="Z32" s="225"/>
      <c r="AA32" s="976"/>
      <c r="AB32" s="1685">
        <f t="shared" ref="AB32:AB41" si="2">ROUND(SUM(C32:Y32),1)</f>
        <v>13516.5</v>
      </c>
      <c r="AC32" s="3252"/>
      <c r="AD32" s="3480"/>
      <c r="AE32" s="3481">
        <f>+'Exhibit F'!AF28+'Exhibit G'!AG20+'Exhibit H'!AD19</f>
        <v>12752.3</v>
      </c>
      <c r="AF32" s="3252"/>
      <c r="AG32" s="3252"/>
      <c r="AH32" s="911">
        <f t="shared" ref="AH32:AH41" si="3">ROUND(SUM(+AB32-AE32),1)</f>
        <v>764.2</v>
      </c>
      <c r="AI32" s="1040"/>
      <c r="AJ32" s="1775">
        <f t="shared" ref="AJ32:AJ42" si="4">ROUND(IF(AE32=0,0,AH32/ABS(AE32)),3)</f>
        <v>0.06</v>
      </c>
    </row>
    <row r="33" spans="1:36" ht="16.5" customHeight="1">
      <c r="A33" s="685" t="s">
        <v>1113</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f>+'Exhibit F'!L29+'Exhibit G'!L21+'Exhibit I'!M20</f>
        <v>0.10000000000000142</v>
      </c>
      <c r="L33" s="225"/>
      <c r="M33" s="368">
        <f>+'Exhibit F'!N29+'Exhibit G'!N21+'Exhibit I'!O20</f>
        <v>41.000000000000007</v>
      </c>
      <c r="N33" s="225"/>
      <c r="O33" s="368">
        <f>+'Exhibit F'!P29+'Exhibit G'!P21+'Exhibit I'!Q20</f>
        <v>-7.3000000000000078</v>
      </c>
      <c r="P33" s="225"/>
      <c r="Q33" s="368">
        <f>+'Exhibit F'!R29+'Exhibit G'!R21+'Exhibit I'!S20</f>
        <v>0.10000000000000142</v>
      </c>
      <c r="R33" s="225"/>
      <c r="S33" s="368">
        <f>+'Exhibit F'!T29+'Exhibit G'!T21+'Exhibit I'!U20</f>
        <v>26.2</v>
      </c>
      <c r="T33" s="225"/>
      <c r="U33" s="368">
        <f>+'Exhibit F'!V29+'Exhibit G'!V21+'Exhibit I'!W20</f>
        <v>0</v>
      </c>
      <c r="V33" s="225"/>
      <c r="W33" s="368"/>
      <c r="X33" s="225"/>
      <c r="Y33" s="368"/>
      <c r="Z33" s="225"/>
      <c r="AA33" s="976"/>
      <c r="AB33" s="1685">
        <f t="shared" si="2"/>
        <v>83.5</v>
      </c>
      <c r="AC33" s="3252"/>
      <c r="AD33" s="3480"/>
      <c r="AE33" s="3481">
        <f>+'Exhibit F'!AF29+'Exhibit G'!AG21+'Exhibit I'!AI20</f>
        <v>108.8</v>
      </c>
      <c r="AF33" s="3252"/>
      <c r="AG33" s="3252"/>
      <c r="AH33" s="911">
        <f t="shared" si="3"/>
        <v>-25.3</v>
      </c>
      <c r="AI33" s="1040"/>
      <c r="AJ33" s="1775">
        <f t="shared" si="4"/>
        <v>-0.23300000000000001</v>
      </c>
    </row>
    <row r="34" spans="1:36" ht="16.5" customHeight="1">
      <c r="A34" s="685" t="s">
        <v>1114</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f>+'Exhibit F'!L30+'Exhibit G'!L22</f>
        <v>92.199999999999974</v>
      </c>
      <c r="L34" s="225"/>
      <c r="M34" s="368">
        <f>+'Exhibit F'!N30+'Exhibit G'!N22</f>
        <v>87.700000000000045</v>
      </c>
      <c r="N34" s="225"/>
      <c r="O34" s="368">
        <f>+'Exhibit F'!P30+'Exhibit G'!P22</f>
        <v>93.8</v>
      </c>
      <c r="P34" s="225"/>
      <c r="Q34" s="368">
        <f>+'Exhibit F'!R30+'Exhibit G'!R22</f>
        <v>84.099999999999966</v>
      </c>
      <c r="R34" s="225"/>
      <c r="S34" s="368">
        <f>+'Exhibit F'!T30+'Exhibit G'!T22</f>
        <v>96.199999999999932</v>
      </c>
      <c r="T34" s="225"/>
      <c r="U34" s="368">
        <f>+'Exhibit F'!V30+'Exhibit G'!V22</f>
        <v>79.300000000000026</v>
      </c>
      <c r="V34" s="225"/>
      <c r="W34" s="368"/>
      <c r="X34" s="225"/>
      <c r="Y34" s="368"/>
      <c r="Z34" s="225"/>
      <c r="AA34" s="976"/>
      <c r="AB34" s="1685">
        <f t="shared" si="2"/>
        <v>898.3</v>
      </c>
      <c r="AC34" s="3252"/>
      <c r="AD34" s="3480"/>
      <c r="AE34" s="3481">
        <f>+'Exhibit F'!AF30+'Exhibit G'!AG22</f>
        <v>966.5</v>
      </c>
      <c r="AF34" s="3252"/>
      <c r="AG34" s="3252"/>
      <c r="AH34" s="911">
        <f t="shared" si="3"/>
        <v>-68.2</v>
      </c>
      <c r="AI34" s="1040"/>
      <c r="AJ34" s="1775">
        <f t="shared" si="4"/>
        <v>-7.0999999999999994E-2</v>
      </c>
    </row>
    <row r="35" spans="1:36" ht="16.5" customHeight="1">
      <c r="A35" s="685" t="s">
        <v>1262</v>
      </c>
      <c r="B35" s="685"/>
      <c r="C35" s="368">
        <f>+'Exhibit G'!D23</f>
        <v>0.5</v>
      </c>
      <c r="D35" s="628"/>
      <c r="E35" s="368">
        <f>+'Exhibit G'!F23</f>
        <v>0.4</v>
      </c>
      <c r="F35" s="628"/>
      <c r="G35" s="368">
        <f>+'Exhibit G'!H23</f>
        <v>0.49999999999999989</v>
      </c>
      <c r="H35" s="529"/>
      <c r="I35" s="368">
        <f>+'Exhibit G'!J23</f>
        <v>0.5</v>
      </c>
      <c r="J35" s="529"/>
      <c r="K35" s="368">
        <f>+'Exhibit G'!L23</f>
        <v>0.4</v>
      </c>
      <c r="L35" s="1577"/>
      <c r="M35" s="368">
        <f>+'Exhibit G'!N23</f>
        <v>0.49999999999999989</v>
      </c>
      <c r="N35" s="1577"/>
      <c r="O35" s="368">
        <f>+'Exhibit G'!P23</f>
        <v>0.40000000000000036</v>
      </c>
      <c r="P35" s="1577"/>
      <c r="Q35" s="368">
        <f>+'Exhibit G'!R23</f>
        <v>0.50000000000000011</v>
      </c>
      <c r="R35" s="1577"/>
      <c r="S35" s="368">
        <f>+'Exhibit G'!T23</f>
        <v>0.59999999999999953</v>
      </c>
      <c r="T35" s="1577"/>
      <c r="U35" s="368">
        <f>+'Exhibit G'!V23</f>
        <v>0.50000000000000011</v>
      </c>
      <c r="V35" s="1577"/>
      <c r="W35" s="368"/>
      <c r="X35" s="1577"/>
      <c r="Y35" s="368"/>
      <c r="Z35" s="1577"/>
      <c r="AA35" s="976"/>
      <c r="AB35" s="1685">
        <f>ROUND(SUM(C35:Y35),1)</f>
        <v>4.8</v>
      </c>
      <c r="AC35" s="3252"/>
      <c r="AD35" s="3480"/>
      <c r="AE35" s="3481">
        <f>'Exhibit G'!AG23</f>
        <v>3.1</v>
      </c>
      <c r="AF35" s="3252"/>
      <c r="AG35" s="3252"/>
      <c r="AH35" s="911">
        <f>ROUND(SUM(+AB35-AE35),1)</f>
        <v>1.7</v>
      </c>
      <c r="AI35" s="1040"/>
      <c r="AJ35" s="1775">
        <f>ROUND(IF(AE35=0,0,AH35/ABS(AE35)),3)</f>
        <v>0.54800000000000004</v>
      </c>
    </row>
    <row r="36" spans="1:36" ht="16.5" customHeight="1">
      <c r="A36" s="685" t="s">
        <v>1115</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f>+'Exhibit F'!L31+'Exhibit G'!L24+'Exhibit I'!M21</f>
        <v>47.90000000000002</v>
      </c>
      <c r="L36" s="225"/>
      <c r="M36" s="368">
        <f>+'Exhibit F'!N31+'Exhibit G'!N24+'Exhibit I'!O21</f>
        <v>43.199999999999989</v>
      </c>
      <c r="N36" s="225"/>
      <c r="O36" s="368">
        <f>+'Exhibit F'!P31+'Exhibit G'!P24+'Exhibit I'!Q21</f>
        <v>47.300000000000018</v>
      </c>
      <c r="P36" s="225"/>
      <c r="Q36" s="368">
        <f>+'Exhibit F'!R31+'Exhibit G'!R24+'Exhibit I'!S21</f>
        <v>41.5</v>
      </c>
      <c r="R36" s="225"/>
      <c r="S36" s="368">
        <f>+'Exhibit F'!T31+'Exhibit G'!T24+'Exhibit I'!U21</f>
        <v>39.900000000000006</v>
      </c>
      <c r="T36" s="225"/>
      <c r="U36" s="368">
        <f>+'Exhibit F'!V31+'Exhibit G'!V24+'Exhibit I'!W21</f>
        <v>42.4</v>
      </c>
      <c r="V36" s="225"/>
      <c r="W36" s="368"/>
      <c r="X36" s="225"/>
      <c r="Y36" s="368"/>
      <c r="Z36" s="225"/>
      <c r="AA36" s="976"/>
      <c r="AB36" s="1685">
        <f t="shared" si="2"/>
        <v>437.7</v>
      </c>
      <c r="AC36" s="3252"/>
      <c r="AD36" s="3480"/>
      <c r="AE36" s="3481">
        <f>+'Exhibit F'!AF31+'Exhibit G'!AG24+'Exhibit I'!AI21</f>
        <v>445.6</v>
      </c>
      <c r="AF36" s="3252"/>
      <c r="AG36" s="3252"/>
      <c r="AH36" s="911">
        <f t="shared" si="3"/>
        <v>-7.9</v>
      </c>
      <c r="AI36" s="1040"/>
      <c r="AJ36" s="1775">
        <f t="shared" si="4"/>
        <v>-1.7999999999999999E-2</v>
      </c>
    </row>
    <row r="37" spans="1:36" ht="16.5" customHeight="1">
      <c r="A37" s="685" t="s">
        <v>1116</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f>+'Exhibit F'!L32+'Exhibit G'!L25</f>
        <v>19.499999999999993</v>
      </c>
      <c r="L37" s="225"/>
      <c r="M37" s="368">
        <f>+'Exhibit F'!N32+'Exhibit G'!N25</f>
        <v>23.500000000000007</v>
      </c>
      <c r="N37" s="225"/>
      <c r="O37" s="368">
        <f>+'Exhibit F'!P32+'Exhibit G'!P25</f>
        <v>19.099999999999994</v>
      </c>
      <c r="P37" s="225"/>
      <c r="Q37" s="368">
        <f>+'Exhibit F'!R32+'Exhibit G'!R25</f>
        <v>24.499999999999993</v>
      </c>
      <c r="R37" s="225"/>
      <c r="S37" s="368">
        <f>+'Exhibit F'!T32+'Exhibit G'!T25</f>
        <v>20.400000000000006</v>
      </c>
      <c r="T37" s="225"/>
      <c r="U37" s="368">
        <f>+'Exhibit F'!V32+'Exhibit G'!V25</f>
        <v>34.6</v>
      </c>
      <c r="V37" s="225"/>
      <c r="W37" s="368"/>
      <c r="X37" s="225"/>
      <c r="Y37" s="368"/>
      <c r="Z37" s="225"/>
      <c r="AA37" s="976"/>
      <c r="AB37" s="1685">
        <f t="shared" si="2"/>
        <v>234.1</v>
      </c>
      <c r="AC37" s="3252"/>
      <c r="AD37" s="3480"/>
      <c r="AE37" s="3481">
        <f>+'Exhibit F'!AF32+'Exhibit G'!AG25</f>
        <v>230.2</v>
      </c>
      <c r="AF37" s="3252"/>
      <c r="AG37" s="3252"/>
      <c r="AH37" s="911">
        <f t="shared" si="3"/>
        <v>3.9</v>
      </c>
      <c r="AI37" s="1040"/>
      <c r="AJ37" s="1775">
        <f t="shared" si="4"/>
        <v>1.7000000000000001E-2</v>
      </c>
    </row>
    <row r="38" spans="1:36" ht="16.5" customHeight="1">
      <c r="A38" s="685" t="s">
        <v>1117</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f>+'Exhibit F'!L33+'Exhibit G'!L26+'Exhibit I'!M22</f>
        <v>10.699999999999989</v>
      </c>
      <c r="L38" s="225"/>
      <c r="M38" s="368">
        <f>+'Exhibit F'!N33+'Exhibit G'!N26+'Exhibit I'!O22</f>
        <v>11.099999999999996</v>
      </c>
      <c r="N38" s="225"/>
      <c r="O38" s="368">
        <f>+'Exhibit F'!P33+'Exhibit G'!P26+'Exhibit I'!Q22</f>
        <v>14.3</v>
      </c>
      <c r="P38" s="225"/>
      <c r="Q38" s="368">
        <f>+'Exhibit F'!R33+'Exhibit G'!R26+'Exhibit I'!S22</f>
        <v>11.000000000000005</v>
      </c>
      <c r="R38" s="225"/>
      <c r="S38" s="368">
        <f>+'Exhibit F'!T33+'Exhibit G'!T26+'Exhibit I'!U22</f>
        <v>13.800000000000008</v>
      </c>
      <c r="T38" s="225"/>
      <c r="U38" s="368">
        <f>+'Exhibit F'!V33+'Exhibit G'!V26+'Exhibit I'!W22</f>
        <v>12.199999999999992</v>
      </c>
      <c r="V38" s="225"/>
      <c r="W38" s="368"/>
      <c r="X38" s="225"/>
      <c r="Y38" s="368"/>
      <c r="Z38" s="225"/>
      <c r="AA38" s="976"/>
      <c r="AB38" s="1685">
        <f t="shared" si="2"/>
        <v>122.4</v>
      </c>
      <c r="AC38" s="3252"/>
      <c r="AD38" s="3480"/>
      <c r="AE38" s="3481">
        <f>+'Exhibit F'!AF33+'Exhibit G'!AG26+'Exhibit I'!AI22</f>
        <v>127.8</v>
      </c>
      <c r="AF38" s="3252"/>
      <c r="AG38" s="3252"/>
      <c r="AH38" s="911">
        <f t="shared" si="3"/>
        <v>-5.4</v>
      </c>
      <c r="AI38" s="1040"/>
      <c r="AJ38" s="3486">
        <f t="shared" si="4"/>
        <v>-4.2000000000000003E-2</v>
      </c>
    </row>
    <row r="39" spans="1:36" ht="16.5" customHeight="1">
      <c r="A39" s="685" t="s">
        <v>1591</v>
      </c>
      <c r="B39" s="685"/>
      <c r="C39" s="368">
        <v>0</v>
      </c>
      <c r="D39" s="628"/>
      <c r="E39" s="368">
        <v>0</v>
      </c>
      <c r="F39" s="628"/>
      <c r="G39" s="368">
        <v>0</v>
      </c>
      <c r="H39" s="529"/>
      <c r="I39" s="368">
        <v>0</v>
      </c>
      <c r="J39" s="529"/>
      <c r="K39" s="368">
        <v>0</v>
      </c>
      <c r="L39" s="1577"/>
      <c r="M39" s="368">
        <v>0</v>
      </c>
      <c r="N39" s="1577"/>
      <c r="O39" s="368">
        <v>0</v>
      </c>
      <c r="P39" s="1577"/>
      <c r="Q39" s="368">
        <v>0</v>
      </c>
      <c r="R39" s="1577"/>
      <c r="S39" s="368">
        <f>+'Exhibit F'!T34</f>
        <v>0</v>
      </c>
      <c r="T39" s="1577"/>
      <c r="U39" s="368">
        <f>+'Exhibit F'!V34</f>
        <v>0</v>
      </c>
      <c r="V39" s="1577"/>
      <c r="W39" s="368"/>
      <c r="X39" s="1577"/>
      <c r="Y39" s="368"/>
      <c r="Z39" s="1577"/>
      <c r="AA39" s="976"/>
      <c r="AB39" s="1685">
        <f>ROUND(SUM(C39:Y39),1)</f>
        <v>0</v>
      </c>
      <c r="AC39" s="3252"/>
      <c r="AD39" s="3480"/>
      <c r="AE39" s="3481">
        <f>+'Exhibit F'!AF34</f>
        <v>0</v>
      </c>
      <c r="AF39" s="3252"/>
      <c r="AG39" s="3252"/>
      <c r="AH39" s="911">
        <f>ROUND(SUM(+AB39-AE39),1)</f>
        <v>0</v>
      </c>
      <c r="AI39" s="1040"/>
      <c r="AJ39" s="3486">
        <f>ROUND(IF(AE39=0,0,AH39/ABS(AE39)),3)</f>
        <v>0</v>
      </c>
    </row>
    <row r="40" spans="1:36" ht="16.5" customHeight="1">
      <c r="A40" s="685" t="s">
        <v>1593</v>
      </c>
      <c r="B40" s="685"/>
      <c r="C40" s="368">
        <v>0</v>
      </c>
      <c r="D40" s="628"/>
      <c r="E40" s="368">
        <v>0</v>
      </c>
      <c r="F40" s="628"/>
      <c r="G40" s="368">
        <v>0</v>
      </c>
      <c r="H40" s="529"/>
      <c r="I40" s="368">
        <v>0</v>
      </c>
      <c r="J40" s="529"/>
      <c r="K40" s="368">
        <v>0</v>
      </c>
      <c r="L40" s="1577"/>
      <c r="M40" s="368">
        <v>0</v>
      </c>
      <c r="N40" s="1577"/>
      <c r="O40" s="368">
        <v>0</v>
      </c>
      <c r="P40" s="1577"/>
      <c r="Q40" s="368">
        <v>0</v>
      </c>
      <c r="R40" s="1577"/>
      <c r="S40" s="368">
        <f>+'Exhibit F'!T35</f>
        <v>0</v>
      </c>
      <c r="T40" s="1577"/>
      <c r="U40" s="368">
        <f>+'Exhibit F'!V35</f>
        <v>16.899999999999999</v>
      </c>
      <c r="V40" s="1577"/>
      <c r="W40" s="368"/>
      <c r="X40" s="1577"/>
      <c r="Y40" s="368"/>
      <c r="Z40" s="1577"/>
      <c r="AA40" s="528"/>
      <c r="AB40" s="1685">
        <f t="shared" si="2"/>
        <v>16.899999999999999</v>
      </c>
      <c r="AC40" s="3252"/>
      <c r="AD40" s="3480"/>
      <c r="AE40" s="3481">
        <f>+'Exhibit F'!AF35</f>
        <v>0</v>
      </c>
      <c r="AF40" s="3252"/>
      <c r="AG40" s="3252"/>
      <c r="AH40" s="911">
        <f t="shared" ref="AH40" si="5">ROUND(SUM(+AB40-AE40),1)</f>
        <v>16.899999999999999</v>
      </c>
      <c r="AI40" s="1040"/>
      <c r="AJ40" s="3486">
        <f>ROUND(IF(AE40=0,1,AH40/ABS(AE40)),3)</f>
        <v>1</v>
      </c>
    </row>
    <row r="41" spans="1:36" ht="16.5" customHeight="1">
      <c r="A41" s="1094" t="s">
        <v>1118</v>
      </c>
      <c r="B41" s="685"/>
      <c r="C41" s="368">
        <f>+'Exhibit F'!D36+'Exhibit G'!D27</f>
        <v>0</v>
      </c>
      <c r="D41" s="628"/>
      <c r="E41" s="368">
        <f>+'Exhibit F'!F36+'Exhibit G'!F27</f>
        <v>0</v>
      </c>
      <c r="F41" s="628"/>
      <c r="G41" s="368">
        <f>+'Exhibit F'!H36+'Exhibit G'!H27</f>
        <v>0</v>
      </c>
      <c r="H41" s="529"/>
      <c r="I41" s="368">
        <f>+'Exhibit F'!J36+'Exhibit G'!J27</f>
        <v>0</v>
      </c>
      <c r="J41" s="529"/>
      <c r="K41" s="368">
        <f>+'Exhibit F'!L36+'Exhibit G'!L27</f>
        <v>0</v>
      </c>
      <c r="L41" s="225"/>
      <c r="M41" s="368">
        <f>+'Exhibit F'!N36+'Exhibit G'!N27</f>
        <v>0</v>
      </c>
      <c r="N41" s="225"/>
      <c r="O41" s="368">
        <f>+'Exhibit F'!P36+'Exhibit G'!P27</f>
        <v>0</v>
      </c>
      <c r="P41" s="225"/>
      <c r="Q41" s="368">
        <f>+'Exhibit F'!R36+'Exhibit G'!R27</f>
        <v>0</v>
      </c>
      <c r="R41" s="225"/>
      <c r="S41" s="368">
        <f>+'Exhibit F'!T36+'Exhibit G'!T27</f>
        <v>0</v>
      </c>
      <c r="T41" s="225"/>
      <c r="U41" s="368">
        <f>+'Exhibit F'!V36+'Exhibit G'!V27</f>
        <v>0</v>
      </c>
      <c r="V41" s="225"/>
      <c r="W41" s="368"/>
      <c r="X41" s="225"/>
      <c r="Y41" s="368"/>
      <c r="Z41" s="225"/>
      <c r="AA41" s="976"/>
      <c r="AB41" s="1685">
        <f t="shared" si="2"/>
        <v>0</v>
      </c>
      <c r="AC41" s="3252"/>
      <c r="AD41" s="3480"/>
      <c r="AE41" s="3481">
        <f>+'Exhibit F'!AF36+'Exhibit G'!AG27</f>
        <v>49.7</v>
      </c>
      <c r="AF41" s="3252"/>
      <c r="AG41" s="3252"/>
      <c r="AH41" s="911">
        <f t="shared" si="3"/>
        <v>-49.7</v>
      </c>
      <c r="AI41" s="1040"/>
      <c r="AJ41" s="1775">
        <f t="shared" si="4"/>
        <v>-1</v>
      </c>
    </row>
    <row r="42" spans="1:36" ht="16.5" customHeight="1">
      <c r="A42" s="312" t="s">
        <v>1111</v>
      </c>
      <c r="B42" s="685"/>
      <c r="C42" s="902">
        <f>ROUND(SUM(C32:C41),1)</f>
        <v>1375</v>
      </c>
      <c r="D42" s="26"/>
      <c r="E42" s="902">
        <f>ROUND(SUM(E32:E41),1)</f>
        <v>1340.5</v>
      </c>
      <c r="F42" s="26"/>
      <c r="G42" s="902">
        <f>ROUND(SUM(G32:G41),1)</f>
        <v>1775.3</v>
      </c>
      <c r="H42" s="225"/>
      <c r="I42" s="902">
        <f>ROUND(SUM(I32:I41),1)</f>
        <v>1424.9</v>
      </c>
      <c r="J42" s="225"/>
      <c r="K42" s="902">
        <f>ROUND(SUM(K32:K41),1)</f>
        <v>1414.4</v>
      </c>
      <c r="L42" s="225"/>
      <c r="M42" s="902">
        <f>ROUND(SUM(M32:M41),1)</f>
        <v>1835.2</v>
      </c>
      <c r="N42" s="225"/>
      <c r="O42" s="902">
        <f>ROUND(SUM(O32:O41),1)</f>
        <v>1405.9</v>
      </c>
      <c r="P42" s="225"/>
      <c r="Q42" s="3258">
        <f>ROUND(SUM(Q32:Q41),1)</f>
        <v>1412.3</v>
      </c>
      <c r="R42" s="225"/>
      <c r="S42" s="902">
        <f>ROUND(SUM(S32:S41),1)</f>
        <v>1783.9</v>
      </c>
      <c r="T42" s="225"/>
      <c r="U42" s="902">
        <f>ROUND(SUM(U32:U41),1)</f>
        <v>1546.8</v>
      </c>
      <c r="V42" s="225"/>
      <c r="W42" s="902">
        <f>ROUND(SUM(W32:W41),1)</f>
        <v>0</v>
      </c>
      <c r="X42" s="225"/>
      <c r="Y42" s="902">
        <f>ROUND(SUM(Y32:Y41),1)</f>
        <v>0</v>
      </c>
      <c r="Z42" s="225"/>
      <c r="AA42" s="976"/>
      <c r="AB42" s="3258">
        <f>ROUND(SUM(AB32:AB41),1)</f>
        <v>15314.2</v>
      </c>
      <c r="AC42" s="3252"/>
      <c r="AD42" s="3480"/>
      <c r="AE42" s="3258">
        <f>ROUND(SUM(AE32:AE41),1)</f>
        <v>14684</v>
      </c>
      <c r="AF42" s="3252"/>
      <c r="AG42" s="3252"/>
      <c r="AH42" s="1583">
        <f>ROUND(SUM(AH32:AH41),1)</f>
        <v>630.20000000000005</v>
      </c>
      <c r="AI42" s="115"/>
      <c r="AJ42" s="3487">
        <f t="shared" si="4"/>
        <v>4.2999999999999997E-2</v>
      </c>
    </row>
    <row r="43" spans="1:36" ht="16.5" customHeight="1">
      <c r="A43" s="1067" t="s">
        <v>1162</v>
      </c>
      <c r="B43" s="685"/>
      <c r="C43" s="624"/>
      <c r="D43" s="624"/>
      <c r="E43" s="624"/>
      <c r="F43" s="624"/>
      <c r="G43" s="624"/>
      <c r="H43" s="225"/>
      <c r="I43" s="624"/>
      <c r="J43" s="225"/>
      <c r="K43" s="624"/>
      <c r="L43" s="225"/>
      <c r="M43" s="624"/>
      <c r="N43" s="225"/>
      <c r="O43" s="624"/>
      <c r="P43" s="225"/>
      <c r="Q43" s="3568"/>
      <c r="R43" s="225"/>
      <c r="S43" s="624"/>
      <c r="T43" s="225"/>
      <c r="U43" s="624"/>
      <c r="V43" s="225"/>
      <c r="W43" s="624"/>
      <c r="X43" s="225"/>
      <c r="Y43" s="624"/>
      <c r="Z43" s="225"/>
      <c r="AA43" s="976"/>
      <c r="AB43" s="3252"/>
      <c r="AC43" s="3252"/>
      <c r="AD43" s="3480"/>
      <c r="AE43" s="3484"/>
      <c r="AF43" s="3252"/>
      <c r="AG43" s="3252"/>
      <c r="AH43" s="115"/>
      <c r="AI43" s="115"/>
      <c r="AJ43" s="3485"/>
    </row>
    <row r="44" spans="1:36" ht="16.5" customHeight="1">
      <c r="A44" s="685" t="s">
        <v>1120</v>
      </c>
      <c r="B44" s="685"/>
      <c r="C44" s="368">
        <f>+'Exhibit F'!D39+'Exhibit G'!D30+'Exhibit I'!E25</f>
        <v>376.70000000000005</v>
      </c>
      <c r="D44" s="628"/>
      <c r="E44" s="368">
        <f>+'Exhibit F'!F39+'Exhibit G'!F30+'Exhibit I'!G25</f>
        <v>-69.000000000000028</v>
      </c>
      <c r="F44" s="628"/>
      <c r="G44" s="368">
        <f>+'Exhibit F'!H39+'Exhibit G'!H30+'Exhibit I'!I25</f>
        <v>901.19999999999993</v>
      </c>
      <c r="H44" s="529"/>
      <c r="I44" s="368">
        <f>+'Exhibit F'!J39+'Exhibit G'!J30+'Exhibit I'!K25</f>
        <v>146.29999999999995</v>
      </c>
      <c r="J44" s="529"/>
      <c r="K44" s="368">
        <f>+'Exhibit F'!L39+'Exhibit G'!L30+'Exhibit I'!M25</f>
        <v>0</v>
      </c>
      <c r="L44" s="225"/>
      <c r="M44" s="368">
        <f>+'Exhibit F'!N39+'Exhibit G'!N30+'Exhibit I'!O25</f>
        <v>941.3</v>
      </c>
      <c r="N44" s="225"/>
      <c r="O44" s="368">
        <f>+'Exhibit F'!P39+'Exhibit G'!P30+'Exhibit I'!Q25</f>
        <v>98.800000000000011</v>
      </c>
      <c r="P44" s="225"/>
      <c r="Q44" s="368">
        <f>+'Exhibit F'!R39+'Exhibit G'!R30+'Exhibit I'!S25</f>
        <v>108.9000000000002</v>
      </c>
      <c r="R44" s="225"/>
      <c r="S44" s="368">
        <f>+'Exhibit F'!T39+'Exhibit G'!T30+'Exhibit I'!U25</f>
        <v>1030.6000000000001</v>
      </c>
      <c r="T44" s="225"/>
      <c r="U44" s="368">
        <f>+'Exhibit F'!V39+'Exhibit G'!V30+'Exhibit I'!W25</f>
        <v>153.79999999999976</v>
      </c>
      <c r="V44" s="225"/>
      <c r="W44" s="368"/>
      <c r="X44" s="225"/>
      <c r="Y44" s="368"/>
      <c r="Z44" s="225"/>
      <c r="AA44" s="976"/>
      <c r="AB44" s="1685">
        <f>ROUND(SUM(C44:Y44),1)</f>
        <v>3688.6</v>
      </c>
      <c r="AC44" s="3252"/>
      <c r="AD44" s="3480"/>
      <c r="AE44" s="3481">
        <f>+'Exhibit F'!AF39+'Exhibit G'!AG30+'Exhibit I'!AI25</f>
        <v>3246.1</v>
      </c>
      <c r="AF44" s="3252"/>
      <c r="AG44" s="3252"/>
      <c r="AH44" s="911">
        <f>ROUND(SUM(+AB44-AE44),1)</f>
        <v>442.5</v>
      </c>
      <c r="AI44" s="115"/>
      <c r="AJ44" s="1775">
        <f t="shared" ref="AJ44:AJ49" si="6">ROUND(IF(AE44=0,0,AH44/ABS(AE44)),3)</f>
        <v>0.13600000000000001</v>
      </c>
    </row>
    <row r="45" spans="1:36" ht="16.5" customHeight="1">
      <c r="A45" s="685" t="s">
        <v>1121</v>
      </c>
      <c r="B45" s="685"/>
      <c r="C45" s="368">
        <f>+'Exhibit F'!D40+'Exhibit G'!D31+'Exhibit I'!E26</f>
        <v>43</v>
      </c>
      <c r="D45" s="628"/>
      <c r="E45" s="368">
        <f>+'Exhibit F'!F40+'Exhibit G'!F31+'Exhibit I'!G26</f>
        <v>1.2000000000000006</v>
      </c>
      <c r="F45" s="628"/>
      <c r="G45" s="368">
        <f>+'Exhibit F'!H40+'Exhibit G'!H31+'Exhibit I'!I26</f>
        <v>109.50000000000001</v>
      </c>
      <c r="H45" s="529"/>
      <c r="I45" s="368">
        <f>+'Exhibit F'!J40+'Exhibit G'!J31+'Exhibit I'!K26</f>
        <v>0.40000000000000568</v>
      </c>
      <c r="J45" s="529"/>
      <c r="K45" s="368">
        <f>+'Exhibit F'!L40+'Exhibit G'!L31+'Exhibit I'!M26</f>
        <v>-1.7000000000000099</v>
      </c>
      <c r="L45" s="225"/>
      <c r="M45" s="368">
        <f>+'Exhibit F'!N40+'Exhibit G'!N31+'Exhibit I'!O26</f>
        <v>140.99999999999997</v>
      </c>
      <c r="N45" s="225"/>
      <c r="O45" s="368">
        <f>+'Exhibit F'!P40+'Exhibit G'!P31+'Exhibit I'!Q26</f>
        <v>2.9000000000000128</v>
      </c>
      <c r="P45" s="225"/>
      <c r="Q45" s="368">
        <f>+'Exhibit F'!R40+'Exhibit G'!R31+'Exhibit I'!S26</f>
        <v>-0.60000000000001741</v>
      </c>
      <c r="R45" s="225"/>
      <c r="S45" s="368">
        <f>+'Exhibit F'!T40+'Exhibit G'!T31+'Exhibit I'!U26</f>
        <v>119.39999999999998</v>
      </c>
      <c r="T45" s="225"/>
      <c r="U45" s="368">
        <f>+'Exhibit F'!V40+'Exhibit G'!V31+'Exhibit I'!W26</f>
        <v>-1.2999999999999474</v>
      </c>
      <c r="V45" s="225"/>
      <c r="W45" s="368"/>
      <c r="X45" s="225"/>
      <c r="Y45" s="368"/>
      <c r="Z45" s="225"/>
      <c r="AA45" s="976"/>
      <c r="AB45" s="1685">
        <f>ROUND(SUM(C45:Y45),1)</f>
        <v>413.8</v>
      </c>
      <c r="AC45" s="3252"/>
      <c r="AD45" s="3480"/>
      <c r="AE45" s="3481">
        <f>+'Exhibit F'!AF40+'Exhibit G'!AG31+'Exhibit I'!AI26</f>
        <v>418.4</v>
      </c>
      <c r="AF45" s="3252"/>
      <c r="AG45" s="3252"/>
      <c r="AH45" s="911">
        <f>ROUND(SUM(+AB45-AE45),1)</f>
        <v>-4.5999999999999996</v>
      </c>
      <c r="AI45" s="115"/>
      <c r="AJ45" s="1775">
        <f t="shared" si="6"/>
        <v>-1.0999999999999999E-2</v>
      </c>
    </row>
    <row r="46" spans="1:36" ht="16.5" customHeight="1">
      <c r="A46" s="685" t="s">
        <v>1122</v>
      </c>
      <c r="B46" s="685"/>
      <c r="C46" s="368">
        <f>+'Exhibit F'!D41+'Exhibit G'!D32</f>
        <v>141.80000000000001</v>
      </c>
      <c r="D46" s="628"/>
      <c r="E46" s="368">
        <f>+'Exhibit F'!F41+'Exhibit G'!F32</f>
        <v>4.9999999999999911</v>
      </c>
      <c r="F46" s="628"/>
      <c r="G46" s="368">
        <f>+'Exhibit F'!H41+'Exhibit G'!H32</f>
        <v>403.20000000000005</v>
      </c>
      <c r="H46" s="529"/>
      <c r="I46" s="368">
        <f>+'Exhibit F'!J41+'Exhibit G'!J32</f>
        <v>56.799999999999983</v>
      </c>
      <c r="J46" s="529"/>
      <c r="K46" s="368">
        <f>+'Exhibit F'!L41+'Exhibit G'!L32</f>
        <v>-1.4999999999999432</v>
      </c>
      <c r="L46" s="225"/>
      <c r="M46" s="368">
        <f>+'Exhibit F'!N41+'Exhibit G'!N32</f>
        <v>436.79999999999995</v>
      </c>
      <c r="N46" s="225"/>
      <c r="O46" s="368">
        <f>+'Exhibit F'!P41+'Exhibit G'!P32</f>
        <v>1.4000000000000483</v>
      </c>
      <c r="P46" s="225"/>
      <c r="Q46" s="368">
        <f>+'Exhibit F'!R41+'Exhibit G'!R32</f>
        <v>25.299999999999912</v>
      </c>
      <c r="R46" s="225"/>
      <c r="S46" s="368">
        <f>+'Exhibit F'!T41+'Exhibit G'!T32</f>
        <v>457.7999999999999</v>
      </c>
      <c r="T46" s="225"/>
      <c r="U46" s="368">
        <f>+'Exhibit F'!V41+'Exhibit G'!V32</f>
        <v>1.3999999999999773</v>
      </c>
      <c r="V46" s="225"/>
      <c r="W46" s="368"/>
      <c r="X46" s="225"/>
      <c r="Y46" s="368"/>
      <c r="Z46" s="225"/>
      <c r="AA46" s="976"/>
      <c r="AB46" s="1685">
        <f>ROUND(SUM(C46:Y46),1)</f>
        <v>1528</v>
      </c>
      <c r="AC46" s="3252"/>
      <c r="AD46" s="3480"/>
      <c r="AE46" s="3481">
        <f>+'Exhibit F'!AF41+'Exhibit G'!AG32</f>
        <v>1128.8999999999999</v>
      </c>
      <c r="AF46" s="3252"/>
      <c r="AG46" s="3252"/>
      <c r="AH46" s="911">
        <f>ROUND(SUM(+AB46-AE46),1)</f>
        <v>399.1</v>
      </c>
      <c r="AI46" s="115"/>
      <c r="AJ46" s="1775">
        <f t="shared" si="6"/>
        <v>0.35399999999999998</v>
      </c>
    </row>
    <row r="47" spans="1:36" ht="16.5" customHeight="1">
      <c r="A47" s="685" t="s">
        <v>1123</v>
      </c>
      <c r="B47" s="685"/>
      <c r="C47" s="368">
        <f>+'Exhibit F'!D42+'Exhibit G'!D33</f>
        <v>145.30000000000001</v>
      </c>
      <c r="D47" s="628"/>
      <c r="E47" s="368">
        <f>+'Exhibit F'!F42+'Exhibit G'!F33</f>
        <v>-121.1</v>
      </c>
      <c r="F47" s="628"/>
      <c r="G47" s="368">
        <f>+'Exhibit F'!H42+'Exhibit G'!H33</f>
        <v>-21.1</v>
      </c>
      <c r="H47" s="529"/>
      <c r="I47" s="368">
        <f>+'Exhibit F'!J42+'Exhibit G'!J33</f>
        <v>-0.19999999999999751</v>
      </c>
      <c r="J47" s="529"/>
      <c r="K47" s="368">
        <f>+'Exhibit F'!L42+'Exhibit G'!L33</f>
        <v>-0.30000000000000249</v>
      </c>
      <c r="L47" s="225"/>
      <c r="M47" s="368">
        <f>+'Exhibit F'!N42+'Exhibit G'!N33</f>
        <v>-1.4000000000000004</v>
      </c>
      <c r="N47" s="225"/>
      <c r="O47" s="368">
        <f>+'Exhibit F'!P42+'Exhibit G'!P33</f>
        <v>-3.0999999999999908</v>
      </c>
      <c r="P47" s="225"/>
      <c r="Q47" s="368">
        <f>+'Exhibit F'!R42+'Exhibit G'!R33</f>
        <v>-41.8</v>
      </c>
      <c r="R47" s="225"/>
      <c r="S47" s="368">
        <f>+'Exhibit F'!T42+'Exhibit G'!T33</f>
        <v>13.799999999999976</v>
      </c>
      <c r="T47" s="225"/>
      <c r="U47" s="368">
        <f>+'Exhibit F'!V42+'Exhibit G'!V33</f>
        <v>-0.39999999999999858</v>
      </c>
      <c r="V47" s="225"/>
      <c r="W47" s="368"/>
      <c r="X47" s="225"/>
      <c r="Y47" s="368"/>
      <c r="Z47" s="225"/>
      <c r="AA47" s="976"/>
      <c r="AB47" s="1685">
        <f>ROUND(SUM(C47:Y47),1)</f>
        <v>-30.3</v>
      </c>
      <c r="AC47" s="3252"/>
      <c r="AD47" s="3480"/>
      <c r="AE47" s="3481">
        <f>+'Exhibit F'!AF42+'Exhibit G'!AG33</f>
        <v>79.3</v>
      </c>
      <c r="AF47" s="3252"/>
      <c r="AG47" s="3252"/>
      <c r="AH47" s="911">
        <f>ROUND(SUM(+AB47-AE47),1)</f>
        <v>-109.6</v>
      </c>
      <c r="AI47" s="115"/>
      <c r="AJ47" s="3486">
        <f t="shared" si="6"/>
        <v>-1.3819999999999999</v>
      </c>
    </row>
    <row r="48" spans="1:36" ht="16.5" customHeight="1">
      <c r="A48" s="685" t="s">
        <v>1124</v>
      </c>
      <c r="B48" s="685"/>
      <c r="C48" s="368">
        <f>+'Exhibit F'!D43+'Exhibit G'!D34+'Exhibit I'!E27</f>
        <v>100.4</v>
      </c>
      <c r="D48" s="628"/>
      <c r="E48" s="368">
        <f>+'Exhibit F'!F43+'Exhibit G'!F34+'Exhibit I'!G27</f>
        <v>99.699999999999989</v>
      </c>
      <c r="F48" s="628"/>
      <c r="G48" s="368">
        <f>+'Exhibit F'!H43+'Exhibit G'!H34+'Exhibit I'!I27</f>
        <v>103.80000000000001</v>
      </c>
      <c r="H48" s="529"/>
      <c r="I48" s="368">
        <f>+'Exhibit F'!J43+'Exhibit G'!J34+'Exhibit I'!K27</f>
        <v>93.799999999999955</v>
      </c>
      <c r="J48" s="529"/>
      <c r="K48" s="368">
        <f>+'Exhibit F'!L43+'Exhibit G'!L34+'Exhibit I'!M27</f>
        <v>107</v>
      </c>
      <c r="L48" s="225"/>
      <c r="M48" s="368">
        <f>+'Exhibit F'!N43+'Exhibit G'!N34+'Exhibit I'!O27</f>
        <v>100.70000000000005</v>
      </c>
      <c r="N48" s="225"/>
      <c r="O48" s="368">
        <f>+'Exhibit F'!P43+'Exhibit G'!P34+'Exhibit I'!Q27</f>
        <v>107.39999999999998</v>
      </c>
      <c r="P48" s="225"/>
      <c r="Q48" s="368">
        <f>+'Exhibit F'!R43+'Exhibit G'!R34+'Exhibit I'!S27</f>
        <v>92.999999999999943</v>
      </c>
      <c r="R48" s="225"/>
      <c r="S48" s="368">
        <f>+'Exhibit F'!T43+'Exhibit G'!T34+'Exhibit I'!U27</f>
        <v>91.299999999999926</v>
      </c>
      <c r="T48" s="225"/>
      <c r="U48" s="368">
        <f>+'Exhibit F'!V43+'Exhibit G'!V34+'Exhibit I'!W27</f>
        <v>98.000000000000142</v>
      </c>
      <c r="V48" s="225"/>
      <c r="W48" s="368"/>
      <c r="X48" s="225"/>
      <c r="Y48" s="368"/>
      <c r="Z48" s="225"/>
      <c r="AA48" s="976"/>
      <c r="AB48" s="1685">
        <f>ROUND(SUM(C48:Y48),1)</f>
        <v>995.1</v>
      </c>
      <c r="AC48" s="3252"/>
      <c r="AD48" s="3480"/>
      <c r="AE48" s="3481">
        <f>+'Exhibit F'!AF43+'Exhibit G'!AG34+'Exhibit I'!AI27</f>
        <v>971.5</v>
      </c>
      <c r="AF48" s="3252"/>
      <c r="AG48" s="3252"/>
      <c r="AH48" s="911">
        <f>ROUND(SUM(+AB48-AE48),1)</f>
        <v>23.6</v>
      </c>
      <c r="AI48" s="115"/>
      <c r="AJ48" s="1775">
        <f t="shared" si="6"/>
        <v>2.4E-2</v>
      </c>
    </row>
    <row r="49" spans="1:36" ht="16.5" customHeight="1">
      <c r="A49" s="312" t="s">
        <v>1119</v>
      </c>
      <c r="B49" s="685"/>
      <c r="C49" s="902">
        <f>ROUND(SUM(C44:C48),1)</f>
        <v>807.2</v>
      </c>
      <c r="D49" s="26"/>
      <c r="E49" s="902">
        <f>ROUND(SUM(E44:E48),1)</f>
        <v>-84.2</v>
      </c>
      <c r="F49" s="26"/>
      <c r="G49" s="902">
        <f>ROUND(SUM(G44:G48),1)</f>
        <v>1496.6</v>
      </c>
      <c r="H49" s="225"/>
      <c r="I49" s="902">
        <f>ROUND(SUM(I44:I48),1)</f>
        <v>297.10000000000002</v>
      </c>
      <c r="J49" s="225"/>
      <c r="K49" s="902">
        <f>ROUND(SUM(K44:K48),1)</f>
        <v>103.5</v>
      </c>
      <c r="L49" s="225"/>
      <c r="M49" s="902">
        <f>ROUND(SUM(M44:M48),1)</f>
        <v>1618.4</v>
      </c>
      <c r="N49" s="225"/>
      <c r="O49" s="902">
        <f>ROUND(SUM(O44:O48),1)</f>
        <v>207.4</v>
      </c>
      <c r="P49" s="225"/>
      <c r="Q49" s="3258">
        <f>ROUND(SUM(Q44:Q48),1)</f>
        <v>184.8</v>
      </c>
      <c r="R49" s="225"/>
      <c r="S49" s="902">
        <f>ROUND(SUM(S44:S48),1)</f>
        <v>1712.9</v>
      </c>
      <c r="T49" s="225"/>
      <c r="U49" s="902">
        <f>ROUND(SUM(U44:U48),1)</f>
        <v>251.5</v>
      </c>
      <c r="V49" s="225"/>
      <c r="W49" s="902">
        <f>ROUND(SUM(W44:W48),1)</f>
        <v>0</v>
      </c>
      <c r="X49" s="225"/>
      <c r="Y49" s="902">
        <f>ROUND(SUM(Y44:Y48),1)</f>
        <v>0</v>
      </c>
      <c r="Z49" s="225"/>
      <c r="AA49" s="976"/>
      <c r="AB49" s="3258">
        <f>ROUND(SUM(AB44:AB48),1)</f>
        <v>6595.2</v>
      </c>
      <c r="AC49" s="3252"/>
      <c r="AD49" s="3480"/>
      <c r="AE49" s="3258">
        <f>ROUND(SUM(AE44:AE48),1)</f>
        <v>5844.2</v>
      </c>
      <c r="AF49" s="3252"/>
      <c r="AG49" s="3252"/>
      <c r="AH49" s="3258">
        <f>ROUND(SUM(AH44:AH48),1)</f>
        <v>751</v>
      </c>
      <c r="AI49" s="115"/>
      <c r="AJ49" s="3487">
        <f t="shared" si="6"/>
        <v>0.129</v>
      </c>
    </row>
    <row r="50" spans="1:36" ht="16.5" customHeight="1">
      <c r="A50" s="1067" t="s">
        <v>1163</v>
      </c>
      <c r="B50" s="685"/>
      <c r="C50" s="624"/>
      <c r="D50" s="624"/>
      <c r="E50" s="624"/>
      <c r="F50" s="624"/>
      <c r="G50" s="624"/>
      <c r="H50" s="225"/>
      <c r="I50" s="624"/>
      <c r="J50" s="225"/>
      <c r="K50" s="624"/>
      <c r="L50" s="225"/>
      <c r="M50" s="624"/>
      <c r="N50" s="225"/>
      <c r="O50" s="624"/>
      <c r="P50" s="225"/>
      <c r="Q50" s="3568"/>
      <c r="R50" s="225"/>
      <c r="S50" s="624"/>
      <c r="T50" s="225"/>
      <c r="U50" s="624"/>
      <c r="V50" s="225"/>
      <c r="W50" s="624"/>
      <c r="X50" s="225"/>
      <c r="Y50" s="624"/>
      <c r="Z50" s="225"/>
      <c r="AA50" s="976"/>
      <c r="AB50" s="3252"/>
      <c r="AC50" s="3252"/>
      <c r="AD50" s="3480"/>
      <c r="AE50" s="3484"/>
      <c r="AF50" s="3252"/>
      <c r="AG50" s="3252"/>
      <c r="AH50" s="115"/>
      <c r="AI50" s="115"/>
      <c r="AJ50" s="3485"/>
    </row>
    <row r="51" spans="1:36" ht="16.5" customHeight="1">
      <c r="A51" s="685" t="s">
        <v>1127</v>
      </c>
      <c r="B51" s="685"/>
      <c r="C51" s="1400">
        <f>+'Exhibit F'!D46</f>
        <v>0</v>
      </c>
      <c r="D51" s="628"/>
      <c r="E51" s="1400">
        <f>+'Exhibit F'!F46</f>
        <v>0</v>
      </c>
      <c r="F51" s="628"/>
      <c r="G51" s="1400">
        <f>+'Exhibit F'!H46</f>
        <v>0</v>
      </c>
      <c r="H51" s="529"/>
      <c r="I51" s="1400">
        <f>+'Exhibit F'!J46</f>
        <v>0</v>
      </c>
      <c r="J51" s="529"/>
      <c r="K51" s="1400">
        <f>+'Exhibit F'!L46</f>
        <v>0</v>
      </c>
      <c r="L51" s="225"/>
      <c r="M51" s="1400">
        <f>+'Exhibit F'!N46</f>
        <v>0</v>
      </c>
      <c r="N51" s="225"/>
      <c r="O51" s="1400">
        <f>+'Exhibit F'!P46</f>
        <v>0</v>
      </c>
      <c r="P51" s="225"/>
      <c r="Q51" s="1400">
        <f>+'Exhibit F'!R46</f>
        <v>0</v>
      </c>
      <c r="R51" s="225"/>
      <c r="S51" s="1400">
        <f>+'Exhibit F'!T46</f>
        <v>0</v>
      </c>
      <c r="T51" s="225"/>
      <c r="U51" s="1400">
        <f>+'Exhibit F'!V46</f>
        <v>0</v>
      </c>
      <c r="V51" s="225"/>
      <c r="W51" s="1400"/>
      <c r="X51" s="225"/>
      <c r="Y51" s="1400"/>
      <c r="Z51" s="225"/>
      <c r="AA51" s="976"/>
      <c r="AB51" s="1685">
        <f t="shared" ref="AB51:AB56" si="7">ROUND(SUM(C51:Y51),1)</f>
        <v>0</v>
      </c>
      <c r="AC51" s="3252"/>
      <c r="AD51" s="3480"/>
      <c r="AE51" s="1839">
        <f>+'Exhibit F'!AF46</f>
        <v>0</v>
      </c>
      <c r="AF51" s="3230"/>
      <c r="AG51" s="3230"/>
      <c r="AH51" s="2054">
        <f t="shared" ref="AH51:AH56" si="8">ROUND(SUM(+AB51-AE51),1)</f>
        <v>0</v>
      </c>
      <c r="AI51" s="1499"/>
      <c r="AJ51" s="1774">
        <f>-ROUND(IF(AE51=0,0,AH51/ABS(AE51)),3)</f>
        <v>0</v>
      </c>
    </row>
    <row r="52" spans="1:36" ht="16.5" customHeight="1">
      <c r="A52" s="685" t="s">
        <v>1128</v>
      </c>
      <c r="B52" s="685"/>
      <c r="C52" s="368">
        <f>+'Exhibit F'!D47</f>
        <v>79.7</v>
      </c>
      <c r="D52" s="628"/>
      <c r="E52" s="368">
        <f>+'Exhibit F'!F47</f>
        <v>57.3</v>
      </c>
      <c r="F52" s="628"/>
      <c r="G52" s="368">
        <f>+'Exhibit F'!H47</f>
        <v>62.199999999999989</v>
      </c>
      <c r="H52" s="529"/>
      <c r="I52" s="368">
        <f>+'Exhibit F'!J47</f>
        <v>124.69999999999999</v>
      </c>
      <c r="J52" s="529"/>
      <c r="K52" s="368">
        <f>+'Exhibit F'!L47</f>
        <v>41.800000000000011</v>
      </c>
      <c r="L52" s="529"/>
      <c r="M52" s="368">
        <f>+'Exhibit F'!N47</f>
        <v>53.800000000000011</v>
      </c>
      <c r="N52" s="225"/>
      <c r="O52" s="368">
        <f>+'Exhibit F'!P47</f>
        <v>163.20000000000005</v>
      </c>
      <c r="P52" s="225"/>
      <c r="Q52" s="368">
        <f>+'Exhibit F'!R47</f>
        <v>87.199999999999932</v>
      </c>
      <c r="R52" s="225"/>
      <c r="S52" s="368">
        <f>+'Exhibit F'!T47</f>
        <v>143.59999999999997</v>
      </c>
      <c r="T52" s="225"/>
      <c r="U52" s="368">
        <f>+'Exhibit F'!V47</f>
        <v>93.5</v>
      </c>
      <c r="V52" s="225"/>
      <c r="W52" s="368"/>
      <c r="X52" s="225"/>
      <c r="Y52" s="368"/>
      <c r="Z52" s="225"/>
      <c r="AA52" s="976"/>
      <c r="AB52" s="1685">
        <f t="shared" si="7"/>
        <v>907</v>
      </c>
      <c r="AC52" s="3252"/>
      <c r="AD52" s="3480"/>
      <c r="AE52" s="3481">
        <f>+'Exhibit F'!AF47</f>
        <v>958.3</v>
      </c>
      <c r="AF52" s="3252"/>
      <c r="AG52" s="3252"/>
      <c r="AH52" s="911">
        <f t="shared" si="8"/>
        <v>-51.3</v>
      </c>
      <c r="AI52" s="115"/>
      <c r="AJ52" s="1775">
        <f t="shared" ref="AJ52:AJ58" si="9">ROUND(IF(AE52=0,0,AH52/ABS(AE52)),3)</f>
        <v>-5.3999999999999999E-2</v>
      </c>
    </row>
    <row r="53" spans="1:36" ht="16.5" customHeight="1">
      <c r="A53" s="685" t="s">
        <v>1129</v>
      </c>
      <c r="B53" s="685"/>
      <c r="C53" s="368">
        <f>+'Exhibit F'!D48</f>
        <v>0.9</v>
      </c>
      <c r="D53" s="628"/>
      <c r="E53" s="368">
        <f>+'Exhibit F'!F48</f>
        <v>1.1000000000000001</v>
      </c>
      <c r="F53" s="628"/>
      <c r="G53" s="368">
        <f>+'Exhibit F'!H48</f>
        <v>1.6</v>
      </c>
      <c r="H53" s="529"/>
      <c r="I53" s="368">
        <f>+'Exhibit F'!J48</f>
        <v>1.1999999999999997</v>
      </c>
      <c r="J53" s="529"/>
      <c r="K53" s="368">
        <f>+'Exhibit F'!L48</f>
        <v>2.2000000000000002</v>
      </c>
      <c r="L53" s="529"/>
      <c r="M53" s="368">
        <f>+'Exhibit F'!N48</f>
        <v>2.1000000000000005</v>
      </c>
      <c r="N53" s="225"/>
      <c r="O53" s="368">
        <f>+'Exhibit F'!P48</f>
        <v>1</v>
      </c>
      <c r="P53" s="225"/>
      <c r="Q53" s="368">
        <f>+'Exhibit F'!R48</f>
        <v>1.0999999999999996</v>
      </c>
      <c r="R53" s="225"/>
      <c r="S53" s="368">
        <f>+'Exhibit F'!T48</f>
        <v>1</v>
      </c>
      <c r="T53" s="225"/>
      <c r="U53" s="368">
        <f>+'Exhibit F'!V48</f>
        <v>0.70000000000000107</v>
      </c>
      <c r="V53" s="225"/>
      <c r="W53" s="368"/>
      <c r="X53" s="225"/>
      <c r="Y53" s="368"/>
      <c r="Z53" s="225"/>
      <c r="AA53" s="976"/>
      <c r="AB53" s="1685">
        <f t="shared" si="7"/>
        <v>12.9</v>
      </c>
      <c r="AC53" s="3252"/>
      <c r="AD53" s="3480"/>
      <c r="AE53" s="3481">
        <f>+'Exhibit F'!AF48</f>
        <v>13.6</v>
      </c>
      <c r="AF53" s="3252"/>
      <c r="AG53" s="3252"/>
      <c r="AH53" s="911">
        <f t="shared" si="8"/>
        <v>-0.7</v>
      </c>
      <c r="AI53" s="115"/>
      <c r="AJ53" s="1775">
        <f t="shared" si="9"/>
        <v>-5.0999999999999997E-2</v>
      </c>
    </row>
    <row r="54" spans="1:36" ht="16.5" customHeight="1">
      <c r="A54" s="685" t="s">
        <v>1130</v>
      </c>
      <c r="B54" s="685"/>
      <c r="C54" s="368">
        <f>+'Exhibit F'!D49+'Exhibit H'!B22+'Exhibit I'!E30</f>
        <v>82.9</v>
      </c>
      <c r="D54" s="628"/>
      <c r="E54" s="368">
        <f>+'Exhibit F'!F49+'Exhibit H'!D22+'Exhibit I'!G30</f>
        <v>86</v>
      </c>
      <c r="F54" s="628"/>
      <c r="G54" s="368">
        <f>+'Exhibit F'!H49+'Exhibit H'!F22+'Exhibit I'!I30</f>
        <v>98.6</v>
      </c>
      <c r="H54" s="529"/>
      <c r="I54" s="368">
        <f>+'Exhibit F'!J49+'Exhibit H'!H22+'Exhibit I'!K30</f>
        <v>130.80000000000004</v>
      </c>
      <c r="J54" s="529"/>
      <c r="K54" s="368">
        <f>+'Exhibit F'!L49+'Exhibit H'!J22+'Exhibit I'!M30</f>
        <v>90.69999999999996</v>
      </c>
      <c r="L54" s="529"/>
      <c r="M54" s="368">
        <f>+'Exhibit F'!N49+'Exhibit H'!L22+'Exhibit I'!O30</f>
        <v>97.200000000000074</v>
      </c>
      <c r="N54" s="225"/>
      <c r="O54" s="368">
        <f>+'Exhibit F'!P49+'Exhibit H'!N22+'Exhibit I'!Q30</f>
        <v>85.199999999999932</v>
      </c>
      <c r="P54" s="225"/>
      <c r="Q54" s="368">
        <f>+'Exhibit F'!R49+'Exhibit H'!P22+'Exhibit I'!S30</f>
        <v>99.700000000000074</v>
      </c>
      <c r="R54" s="225"/>
      <c r="S54" s="368">
        <f>+'Exhibit F'!T49+'Exhibit H'!R22+'Exhibit I'!U30</f>
        <v>86.09999999999998</v>
      </c>
      <c r="T54" s="225"/>
      <c r="U54" s="368">
        <f>+'Exhibit F'!V49+'Exhibit H'!T22+'Exhibit I'!W30</f>
        <v>94.800000000000082</v>
      </c>
      <c r="V54" s="225"/>
      <c r="W54" s="368"/>
      <c r="X54" s="225"/>
      <c r="Y54" s="368"/>
      <c r="Z54" s="225"/>
      <c r="AA54" s="976"/>
      <c r="AB54" s="1685">
        <f t="shared" si="7"/>
        <v>952</v>
      </c>
      <c r="AC54" s="3252"/>
      <c r="AD54" s="3480"/>
      <c r="AE54" s="3481">
        <f>+'Exhibit F'!AF49+'Exhibit H'!AD22+'Exhibit I'!AI30</f>
        <v>977.19999999999993</v>
      </c>
      <c r="AF54" s="3252"/>
      <c r="AG54" s="3252"/>
      <c r="AH54" s="911">
        <f t="shared" si="8"/>
        <v>-25.2</v>
      </c>
      <c r="AI54" s="115"/>
      <c r="AJ54" s="1775">
        <f t="shared" si="9"/>
        <v>-2.5999999999999999E-2</v>
      </c>
    </row>
    <row r="55" spans="1:36" ht="16.5" customHeight="1">
      <c r="A55" s="685" t="s">
        <v>1131</v>
      </c>
      <c r="B55" s="685"/>
      <c r="C55" s="368">
        <f>+'Exhibit F'!D50</f>
        <v>0.2</v>
      </c>
      <c r="D55" s="628"/>
      <c r="E55" s="368">
        <f>+'Exhibit F'!F50</f>
        <v>9.9999999999999978E-2</v>
      </c>
      <c r="F55" s="628"/>
      <c r="G55" s="368">
        <f>+'Exhibit F'!H50</f>
        <v>0.3</v>
      </c>
      <c r="H55" s="529"/>
      <c r="I55" s="368">
        <f>+'Exhibit F'!J50</f>
        <v>0.20000000000000012</v>
      </c>
      <c r="J55" s="529"/>
      <c r="K55" s="368">
        <f>+'Exhibit F'!L50</f>
        <v>9.9999999999999867E-2</v>
      </c>
      <c r="L55" s="529"/>
      <c r="M55" s="368">
        <f>+'Exhibit F'!N50</f>
        <v>0</v>
      </c>
      <c r="N55" s="225"/>
      <c r="O55" s="368">
        <f>+'Exhibit F'!P50</f>
        <v>0.39999999999999997</v>
      </c>
      <c r="P55" s="225"/>
      <c r="Q55" s="368">
        <f>+'Exhibit F'!R50</f>
        <v>0.60000000000000009</v>
      </c>
      <c r="R55" s="225"/>
      <c r="S55" s="368">
        <f>+'Exhibit F'!T50</f>
        <v>0.10000000000000009</v>
      </c>
      <c r="T55" s="225"/>
      <c r="U55" s="368">
        <f>+'Exhibit F'!V50</f>
        <v>-0.10000000000000009</v>
      </c>
      <c r="V55" s="225"/>
      <c r="W55" s="368"/>
      <c r="X55" s="225"/>
      <c r="Y55" s="368"/>
      <c r="Z55" s="225"/>
      <c r="AA55" s="976"/>
      <c r="AB55" s="1685">
        <f t="shared" si="7"/>
        <v>1.9</v>
      </c>
      <c r="AC55" s="3252"/>
      <c r="AD55" s="3480"/>
      <c r="AE55" s="3481">
        <f>+'Exhibit F'!AF50</f>
        <v>2.2999999999999998</v>
      </c>
      <c r="AF55" s="3252"/>
      <c r="AG55" s="3252"/>
      <c r="AH55" s="911">
        <f t="shared" si="8"/>
        <v>-0.4</v>
      </c>
      <c r="AI55" s="115"/>
      <c r="AJ55" s="1775">
        <f>ROUND(IF(AE55=0,0,AH55/ABS(AE55)),3)</f>
        <v>-0.17399999999999999</v>
      </c>
    </row>
    <row r="56" spans="1:36" ht="16.5" customHeight="1">
      <c r="A56" s="1094" t="s">
        <v>1132</v>
      </c>
      <c r="B56" s="685"/>
      <c r="C56" s="368">
        <f>+'Exhibit F'!D51</f>
        <v>0</v>
      </c>
      <c r="D56" s="628"/>
      <c r="E56" s="368">
        <f>+'Exhibit F'!F51</f>
        <v>0</v>
      </c>
      <c r="F56" s="628"/>
      <c r="G56" s="368">
        <f>+'Exhibit F'!H51</f>
        <v>0</v>
      </c>
      <c r="H56" s="529"/>
      <c r="I56" s="368">
        <f>+'Exhibit F'!J51</f>
        <v>0</v>
      </c>
      <c r="J56" s="529"/>
      <c r="K56" s="368">
        <f>+'Exhibit F'!L51</f>
        <v>0</v>
      </c>
      <c r="L56" s="225"/>
      <c r="M56" s="368">
        <f>+'Exhibit F'!N51</f>
        <v>0</v>
      </c>
      <c r="N56" s="225"/>
      <c r="O56" s="368">
        <f>+'Exhibit F'!P51</f>
        <v>0</v>
      </c>
      <c r="P56" s="225"/>
      <c r="Q56" s="368">
        <f>+'Exhibit F'!R51</f>
        <v>0</v>
      </c>
      <c r="R56" s="225"/>
      <c r="S56" s="368">
        <f>+'Exhibit F'!T51</f>
        <v>0</v>
      </c>
      <c r="T56" s="225"/>
      <c r="U56" s="368">
        <f>+'Exhibit F'!V51</f>
        <v>0</v>
      </c>
      <c r="V56" s="225"/>
      <c r="W56" s="368"/>
      <c r="X56" s="225"/>
      <c r="Y56" s="368"/>
      <c r="Z56" s="225"/>
      <c r="AA56" s="976"/>
      <c r="AB56" s="1685">
        <f t="shared" si="7"/>
        <v>0</v>
      </c>
      <c r="AC56" s="3252"/>
      <c r="AD56" s="3480"/>
      <c r="AE56" s="3481">
        <f>+'Exhibit F'!AF51</f>
        <v>0</v>
      </c>
      <c r="AF56" s="3252"/>
      <c r="AG56" s="3252"/>
      <c r="AH56" s="911">
        <f t="shared" si="8"/>
        <v>0</v>
      </c>
      <c r="AI56" s="115"/>
      <c r="AJ56" s="1775">
        <f t="shared" si="9"/>
        <v>0</v>
      </c>
    </row>
    <row r="57" spans="1:36" ht="16.5" customHeight="1">
      <c r="A57" s="2874" t="s">
        <v>1426</v>
      </c>
      <c r="B57" s="685"/>
      <c r="C57" s="368">
        <f>+'Exhibit F'!D52+'Exhibit H'!B23</f>
        <v>0.1</v>
      </c>
      <c r="D57" s="628"/>
      <c r="E57" s="368">
        <f>+'Exhibit F'!F52+'Exhibit H'!D23</f>
        <v>0.1</v>
      </c>
      <c r="F57" s="628"/>
      <c r="G57" s="3481">
        <f>+'Exhibit F'!H52+'Exhibit H'!F23</f>
        <v>0</v>
      </c>
      <c r="H57" s="529"/>
      <c r="I57" s="368">
        <f>+'Exhibit F'!J52+'Exhibit H'!H23</f>
        <v>0.2</v>
      </c>
      <c r="J57" s="529"/>
      <c r="K57" s="368">
        <f>+'Exhibit F'!L52+'Exhibit H'!J23</f>
        <v>0.19999999999999996</v>
      </c>
      <c r="L57" s="1577"/>
      <c r="M57" s="368">
        <f>+'Exhibit F'!N52+'Exhibit H'!L23</f>
        <v>0.10000000000000006</v>
      </c>
      <c r="N57" s="1577"/>
      <c r="O57" s="368">
        <f>+'Exhibit F'!P52+'Exhibit H'!N23</f>
        <v>0.20000000000000007</v>
      </c>
      <c r="P57" s="1577"/>
      <c r="Q57" s="368">
        <f>+'Exhibit F'!R52+'Exhibit H'!P23</f>
        <v>0.1</v>
      </c>
      <c r="R57" s="1577"/>
      <c r="S57" s="368">
        <f>+'Exhibit F'!T52+'Exhibit H'!R23</f>
        <v>0.39999999999999986</v>
      </c>
      <c r="T57" s="1577"/>
      <c r="U57" s="368">
        <f>+'Exhibit F'!V52+'Exhibit H'!T23</f>
        <v>0.50000000000000011</v>
      </c>
      <c r="V57" s="1577"/>
      <c r="W57" s="368"/>
      <c r="X57" s="1577"/>
      <c r="Y57" s="368"/>
      <c r="Z57" s="1577"/>
      <c r="AA57" s="976"/>
      <c r="AB57" s="1685">
        <f t="shared" ref="AB57" si="10">ROUND(SUM(C57:Y57),1)</f>
        <v>1.9</v>
      </c>
      <c r="AC57" s="3252"/>
      <c r="AD57" s="3480"/>
      <c r="AE57" s="3481">
        <f>+'Exhibit F'!AF52</f>
        <v>0</v>
      </c>
      <c r="AF57" s="3252"/>
      <c r="AG57" s="3252"/>
      <c r="AH57" s="911">
        <f>ROUND(SUM(+AB57-AE57),1)</f>
        <v>1.9</v>
      </c>
      <c r="AI57" s="3482"/>
      <c r="AJ57" s="1862">
        <f>ROUND(IF(AE57=0,1,AH57/ABS(AE57)),3)</f>
        <v>1</v>
      </c>
    </row>
    <row r="58" spans="1:36" ht="16.5" customHeight="1">
      <c r="A58" s="312" t="s">
        <v>1125</v>
      </c>
      <c r="B58" s="685"/>
      <c r="C58" s="902">
        <f>ROUND(SUM(C51:C57),1)</f>
        <v>163.80000000000001</v>
      </c>
      <c r="D58" s="26"/>
      <c r="E58" s="902">
        <f>ROUND(SUM(E51:E57),1)</f>
        <v>144.6</v>
      </c>
      <c r="F58" s="26"/>
      <c r="G58" s="902">
        <f>ROUND(SUM(G51:G57),1)</f>
        <v>162.69999999999999</v>
      </c>
      <c r="H58" s="225"/>
      <c r="I58" s="902">
        <f>ROUND(SUM(I51:I57),1)</f>
        <v>257.10000000000002</v>
      </c>
      <c r="J58" s="225"/>
      <c r="K58" s="902">
        <f>ROUND(SUM(K51:K57),1)</f>
        <v>135</v>
      </c>
      <c r="L58" s="225"/>
      <c r="M58" s="902">
        <f>ROUND(SUM(M51:M57),1)</f>
        <v>153.19999999999999</v>
      </c>
      <c r="N58" s="225"/>
      <c r="O58" s="902">
        <f>ROUND(SUM(O51:O57),1)</f>
        <v>250</v>
      </c>
      <c r="P58" s="225"/>
      <c r="Q58" s="3258">
        <f>ROUND(SUM(Q51:Q57),1)</f>
        <v>188.7</v>
      </c>
      <c r="R58" s="225"/>
      <c r="S58" s="902">
        <f>ROUND(SUM(S51:S57),1)</f>
        <v>231.2</v>
      </c>
      <c r="T58" s="225"/>
      <c r="U58" s="902">
        <f>ROUND(SUM(U51:U57),1)</f>
        <v>189.4</v>
      </c>
      <c r="V58" s="225"/>
      <c r="W58" s="902">
        <f>ROUND(SUM(W51:W57),1)</f>
        <v>0</v>
      </c>
      <c r="X58" s="225"/>
      <c r="Y58" s="902">
        <f>ROUND(SUM(Y51:Y57),1)</f>
        <v>0</v>
      </c>
      <c r="Z58" s="225"/>
      <c r="AA58" s="976"/>
      <c r="AB58" s="3258">
        <f>ROUND(SUM(AB51:AB57),1)</f>
        <v>1875.7</v>
      </c>
      <c r="AC58" s="3252"/>
      <c r="AD58" s="3480"/>
      <c r="AE58" s="3258">
        <f>ROUND(SUM(AE51:AE57),1)</f>
        <v>1951.4</v>
      </c>
      <c r="AF58" s="3252"/>
      <c r="AG58" s="3252"/>
      <c r="AH58" s="3258">
        <f>ROUND(SUM(AH51:AH57),1)</f>
        <v>-75.7</v>
      </c>
      <c r="AI58" s="115"/>
      <c r="AJ58" s="3487">
        <f t="shared" si="9"/>
        <v>-3.9E-2</v>
      </c>
    </row>
    <row r="59" spans="1:36" ht="16.5" customHeight="1">
      <c r="A59" s="312"/>
      <c r="B59" s="685"/>
      <c r="C59" s="27"/>
      <c r="D59" s="27"/>
      <c r="E59" s="27"/>
      <c r="F59" s="27"/>
      <c r="G59" s="27"/>
      <c r="H59" s="1092"/>
      <c r="I59" s="27"/>
      <c r="J59" s="1092"/>
      <c r="K59" s="27"/>
      <c r="L59" s="1092"/>
      <c r="M59" s="27"/>
      <c r="N59" s="1092"/>
      <c r="O59" s="27"/>
      <c r="P59" s="1092"/>
      <c r="Q59" s="3569"/>
      <c r="R59" s="1092"/>
      <c r="S59" s="27"/>
      <c r="T59" s="1092"/>
      <c r="U59" s="27"/>
      <c r="V59" s="1092"/>
      <c r="W59" s="27"/>
      <c r="X59" s="1092"/>
      <c r="Y59" s="27"/>
      <c r="Z59" s="225"/>
      <c r="AA59" s="528"/>
      <c r="AB59" s="3259"/>
      <c r="AC59" s="3252"/>
      <c r="AD59" s="3480"/>
      <c r="AE59" s="3259"/>
      <c r="AF59" s="3252"/>
      <c r="AG59" s="3252"/>
      <c r="AH59" s="662"/>
      <c r="AI59" s="3252"/>
      <c r="AJ59" s="662"/>
    </row>
    <row r="60" spans="1:36" ht="16.5" customHeight="1">
      <c r="A60" s="312" t="s">
        <v>1126</v>
      </c>
      <c r="B60" s="30"/>
      <c r="C60" s="28">
        <f>ROUND(SUM(C58+C49+C42+C30),1)</f>
        <v>11561.4</v>
      </c>
      <c r="D60" s="66"/>
      <c r="E60" s="28">
        <f>ROUND(SUM(E58+E49+E42+E30),1)</f>
        <v>3885.5</v>
      </c>
      <c r="F60" s="66"/>
      <c r="G60" s="28">
        <f>ROUND(SUM(G58+G49+G42+G30),1)</f>
        <v>8644.5</v>
      </c>
      <c r="H60" s="66"/>
      <c r="I60" s="28">
        <f>ROUND(SUM(I58+I49+I42+I30),1)</f>
        <v>5310.7</v>
      </c>
      <c r="J60" s="66"/>
      <c r="K60" s="28">
        <f>ROUND(SUM(K58+K49+K42+K30),1)</f>
        <v>4561.3999999999996</v>
      </c>
      <c r="L60" s="66"/>
      <c r="M60" s="28">
        <f>ROUND(SUM(M58+M49+M42+M30),1)</f>
        <v>8438.2000000000007</v>
      </c>
      <c r="N60" s="66"/>
      <c r="O60" s="28">
        <f>ROUND(SUM(O58+O49+O42+O30),1)</f>
        <v>4441.7</v>
      </c>
      <c r="P60" s="66"/>
      <c r="Q60" s="3570">
        <f>ROUND(SUM(Q58+Q49+Q42+Q30),1)</f>
        <v>4255.2</v>
      </c>
      <c r="R60" s="66"/>
      <c r="S60" s="28">
        <f>ROUND(SUM(S58+S49+S42+S30),1)</f>
        <v>8016</v>
      </c>
      <c r="T60" s="66"/>
      <c r="U60" s="28">
        <f>ROUND(SUM(U58+U49+U42+U30),1)</f>
        <v>10886.9</v>
      </c>
      <c r="V60" s="66"/>
      <c r="W60" s="28">
        <f>ROUND(SUM(W58+W49+W42+W30),1)</f>
        <v>0</v>
      </c>
      <c r="X60" s="165"/>
      <c r="Y60" s="28">
        <f>ROUND(SUM(Y58+Y49+Y42+Y30),1)</f>
        <v>0</v>
      </c>
      <c r="Z60" s="165"/>
      <c r="AA60" s="45"/>
      <c r="AB60" s="315">
        <f>ROUND(+AB58+AB49+AB42+AB30,1)</f>
        <v>70001.5</v>
      </c>
      <c r="AC60" s="118"/>
      <c r="AD60" s="692"/>
      <c r="AE60" s="315">
        <f>ROUND(+AE58+AE49+AE42+AE30,1)</f>
        <v>63622.1</v>
      </c>
      <c r="AF60" s="67"/>
      <c r="AG60" s="3488"/>
      <c r="AH60" s="315">
        <f>ROUND(+AH58+AH49+AH42+AH30,1)</f>
        <v>6379.4</v>
      </c>
      <c r="AI60" s="1040"/>
      <c r="AJ60" s="3489">
        <f>ROUND(IF(AE60=0,0,AH60/ABS(AE60)),3)</f>
        <v>0.1</v>
      </c>
    </row>
    <row r="61" spans="1:36" ht="16.5" customHeight="1">
      <c r="A61" s="225"/>
      <c r="B61" s="225"/>
      <c r="C61" s="529"/>
      <c r="D61" s="529"/>
      <c r="E61" s="529"/>
      <c r="F61" s="529"/>
      <c r="G61" s="529"/>
      <c r="H61" s="529"/>
      <c r="I61" s="529"/>
      <c r="J61" s="529"/>
      <c r="K61" s="529"/>
      <c r="L61" s="529"/>
      <c r="M61" s="529"/>
      <c r="N61" s="529"/>
      <c r="O61" s="529"/>
      <c r="P61" s="529"/>
      <c r="Q61" s="1685"/>
      <c r="R61" s="529"/>
      <c r="S61" s="529"/>
      <c r="T61" s="529"/>
      <c r="U61" s="529"/>
      <c r="V61" s="529"/>
      <c r="W61" s="529"/>
      <c r="X61" s="529"/>
      <c r="Y61" s="529"/>
      <c r="Z61" s="529"/>
      <c r="AA61" s="530"/>
      <c r="AB61" s="1685"/>
      <c r="AC61" s="1685"/>
      <c r="AD61" s="3490"/>
      <c r="AE61" s="1685"/>
      <c r="AF61" s="1685"/>
      <c r="AG61" s="1685"/>
      <c r="AH61" s="1685"/>
      <c r="AI61" s="3252"/>
      <c r="AJ61" s="3491"/>
    </row>
    <row r="62" spans="1:36" ht="16.5" customHeight="1">
      <c r="A62" s="261" t="s">
        <v>1033</v>
      </c>
      <c r="B62" s="906"/>
      <c r="C62" s="529"/>
      <c r="D62" s="529"/>
      <c r="E62" s="529"/>
      <c r="F62" s="529"/>
      <c r="G62" s="529"/>
      <c r="H62" s="529"/>
      <c r="I62" s="529"/>
      <c r="J62" s="529"/>
      <c r="K62" s="529"/>
      <c r="L62" s="529"/>
      <c r="M62" s="529"/>
      <c r="N62" s="529"/>
      <c r="O62" s="529"/>
      <c r="P62" s="529"/>
      <c r="Q62" s="1685"/>
      <c r="R62" s="529"/>
      <c r="S62" s="529"/>
      <c r="T62" s="529"/>
      <c r="U62" s="529"/>
      <c r="V62" s="529"/>
      <c r="W62" s="529"/>
      <c r="X62" s="529"/>
      <c r="Y62" s="529"/>
      <c r="Z62" s="529"/>
      <c r="AA62" s="530"/>
      <c r="AB62" s="1685"/>
      <c r="AC62" s="1685"/>
      <c r="AD62" s="3490"/>
      <c r="AE62" s="1685"/>
      <c r="AF62" s="1685"/>
      <c r="AG62" s="1685"/>
      <c r="AH62" s="1685"/>
      <c r="AI62" s="3252"/>
      <c r="AJ62" s="3491"/>
    </row>
    <row r="63" spans="1:36" ht="16.5" customHeight="1">
      <c r="A63" s="908" t="s">
        <v>1154</v>
      </c>
      <c r="B63" s="906"/>
      <c r="C63" s="529"/>
      <c r="D63" s="529"/>
      <c r="E63" s="529"/>
      <c r="F63" s="529"/>
      <c r="G63" s="529"/>
      <c r="H63" s="529"/>
      <c r="I63" s="529"/>
      <c r="J63" s="529"/>
      <c r="K63" s="529"/>
      <c r="L63" s="529"/>
      <c r="M63" s="529"/>
      <c r="N63" s="529"/>
      <c r="O63" s="529"/>
      <c r="P63" s="529"/>
      <c r="Q63" s="1685"/>
      <c r="R63" s="529"/>
      <c r="S63" s="529"/>
      <c r="T63" s="529"/>
      <c r="U63" s="529"/>
      <c r="V63" s="529"/>
      <c r="W63" s="529"/>
      <c r="X63" s="529"/>
      <c r="Y63" s="529"/>
      <c r="Z63" s="529"/>
      <c r="AA63" s="530"/>
      <c r="AB63" s="1685"/>
      <c r="AC63" s="1685"/>
      <c r="AD63" s="3490"/>
      <c r="AE63" s="1685"/>
      <c r="AF63" s="1685"/>
      <c r="AG63" s="1685"/>
      <c r="AH63" s="1685"/>
      <c r="AI63" s="3252"/>
      <c r="AJ63" s="3491"/>
    </row>
    <row r="64" spans="1:36" ht="16.5" customHeight="1">
      <c r="A64" s="908" t="s">
        <v>1031</v>
      </c>
      <c r="B64" s="908"/>
      <c r="C64" s="529">
        <f>+'Exhibit F'!D59+'Exhibit G'!D41</f>
        <v>2</v>
      </c>
      <c r="D64" s="529"/>
      <c r="E64" s="529">
        <f>+'Exhibit F'!F59+'Exhibit G'!F41</f>
        <v>1.2000000000000002</v>
      </c>
      <c r="F64" s="529"/>
      <c r="G64" s="529">
        <f>+'Exhibit F'!H59+'Exhibit G'!H41</f>
        <v>0.89999999999999991</v>
      </c>
      <c r="H64" s="529"/>
      <c r="I64" s="529">
        <f>+'Exhibit F'!J59+'Exhibit G'!J41</f>
        <v>1.2</v>
      </c>
      <c r="J64" s="529"/>
      <c r="K64" s="529">
        <f>+'Exhibit F'!L59+'Exhibit G'!L41</f>
        <v>5.6</v>
      </c>
      <c r="L64" s="529"/>
      <c r="M64" s="529">
        <f>+'Exhibit F'!N59+'Exhibit G'!N41</f>
        <v>31</v>
      </c>
      <c r="N64" s="529"/>
      <c r="O64" s="529">
        <f>+'Exhibit F'!P59+'Exhibit G'!P41</f>
        <v>36.200000000000003</v>
      </c>
      <c r="P64" s="529"/>
      <c r="Q64" s="529">
        <f>+'Exhibit F'!R59+'Exhibit G'!R41</f>
        <v>215.9</v>
      </c>
      <c r="R64" s="529"/>
      <c r="S64" s="529">
        <f>+'Exhibit F'!T59+'Exhibit G'!T41</f>
        <v>1.100000000000001</v>
      </c>
      <c r="T64" s="529"/>
      <c r="U64" s="529">
        <f>+'Exhibit F'!V59+'Exhibit G'!V41</f>
        <v>0.89999999999999902</v>
      </c>
      <c r="V64" s="529"/>
      <c r="W64" s="529"/>
      <c r="X64" s="529"/>
      <c r="Y64" s="529"/>
      <c r="Z64" s="529"/>
      <c r="AA64" s="530"/>
      <c r="AB64" s="1685">
        <f t="shared" ref="AB64:AB104" si="11">ROUND(SUM(C64:Y64),1)</f>
        <v>296</v>
      </c>
      <c r="AC64" s="1685"/>
      <c r="AD64" s="3490"/>
      <c r="AE64" s="1685">
        <f>+'Exhibit F'!AF59+'Exhibit G'!AG41</f>
        <v>316.3</v>
      </c>
      <c r="AF64" s="1685"/>
      <c r="AG64" s="1685"/>
      <c r="AH64" s="1685">
        <f t="shared" ref="AH64:AH104" si="12">ROUND(SUM(AB64-AE64),1)</f>
        <v>-20.3</v>
      </c>
      <c r="AI64" s="3252"/>
      <c r="AJ64" s="1775">
        <f>ROUND(IF(AE64=0,0,AH64/ABS(AE64)),3)</f>
        <v>-6.4000000000000001E-2</v>
      </c>
    </row>
    <row r="65" spans="1:36" ht="16.5" customHeight="1">
      <c r="A65" s="908" t="s">
        <v>1032</v>
      </c>
      <c r="B65" s="908"/>
      <c r="C65" s="529">
        <f>+'Exhibit F'!D60+'Exhibit I'!E37</f>
        <v>0.2</v>
      </c>
      <c r="D65" s="529"/>
      <c r="E65" s="529">
        <f>+'Exhibit F'!F60+'Exhibit I'!G37</f>
        <v>0.3</v>
      </c>
      <c r="F65" s="529"/>
      <c r="G65" s="529">
        <f>+'Exhibit F'!H60+'Exhibit I'!I37</f>
        <v>31.2</v>
      </c>
      <c r="H65" s="529"/>
      <c r="I65" s="529">
        <f>+'Exhibit F'!J60+'Exhibit I'!K37</f>
        <v>0.30000000000000071</v>
      </c>
      <c r="J65" s="529"/>
      <c r="K65" s="529">
        <f>+'Exhibit F'!L60+'Exhibit I'!M37</f>
        <v>9.9999999999999645E-2</v>
      </c>
      <c r="L65" s="529"/>
      <c r="M65" s="529">
        <f>+'Exhibit F'!N60+'Exhibit I'!O37</f>
        <v>39.1</v>
      </c>
      <c r="N65" s="529"/>
      <c r="O65" s="529">
        <f>+'Exhibit F'!P60+'Exhibit I'!Q37</f>
        <v>0.29999999999999716</v>
      </c>
      <c r="P65" s="529"/>
      <c r="Q65" s="529">
        <f>+'Exhibit F'!R60+'Exhibit I'!S37</f>
        <v>0.29999999999999716</v>
      </c>
      <c r="R65" s="529"/>
      <c r="S65" s="529">
        <f>+'Exhibit F'!T60+'Exhibit I'!U37</f>
        <v>23.200000000000003</v>
      </c>
      <c r="T65" s="529"/>
      <c r="U65" s="529">
        <f>+'Exhibit F'!V60+'Exhibit I'!W37</f>
        <v>0.59999999999999432</v>
      </c>
      <c r="V65" s="529"/>
      <c r="W65" s="529"/>
      <c r="X65" s="529"/>
      <c r="Y65" s="529"/>
      <c r="Z65" s="529"/>
      <c r="AA65" s="530"/>
      <c r="AB65" s="1685">
        <f t="shared" si="11"/>
        <v>95.6</v>
      </c>
      <c r="AC65" s="1685"/>
      <c r="AD65" s="3490"/>
      <c r="AE65" s="1685">
        <f>+'Exhibit F'!AF60+'Exhibit I'!AI37</f>
        <v>96.3</v>
      </c>
      <c r="AF65" s="1685"/>
      <c r="AG65" s="1685"/>
      <c r="AH65" s="1685">
        <f t="shared" si="12"/>
        <v>-0.7</v>
      </c>
      <c r="AI65" s="3252"/>
      <c r="AJ65" s="1775">
        <f>ROUND(IF(AE65=0,0,AH65/ABS(AE65)),3)</f>
        <v>-7.0000000000000001E-3</v>
      </c>
    </row>
    <row r="66" spans="1:36" ht="16.5" customHeight="1">
      <c r="A66" s="908" t="s">
        <v>1155</v>
      </c>
      <c r="B66" s="908"/>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30"/>
      <c r="AB66" s="1685"/>
      <c r="AC66" s="1685"/>
      <c r="AD66" s="3490"/>
      <c r="AE66" s="1685"/>
      <c r="AF66" s="1685"/>
      <c r="AG66" s="1685"/>
      <c r="AH66" s="1685"/>
      <c r="AI66" s="3252"/>
      <c r="AJ66" s="1775"/>
    </row>
    <row r="67" spans="1:36" ht="16.5" customHeight="1">
      <c r="A67" s="908" t="s">
        <v>1036</v>
      </c>
      <c r="B67" s="908"/>
      <c r="C67" s="529">
        <f>+'Exhibit F'!D62+'Exhibit G'!D43+'Exhibit I'!E39</f>
        <v>81</v>
      </c>
      <c r="D67" s="529"/>
      <c r="E67" s="529">
        <f>+'Exhibit F'!F62+'Exhibit G'!F43+'Exhibit I'!G39</f>
        <v>81.999999999999986</v>
      </c>
      <c r="F67" s="529"/>
      <c r="G67" s="529">
        <f>+'Exhibit F'!H62+'Exhibit G'!H43+'Exhibit I'!I39</f>
        <v>103.09999999999998</v>
      </c>
      <c r="H67" s="529"/>
      <c r="I67" s="529">
        <f>+'Exhibit F'!J62+'Exhibit G'!J43+'Exhibit I'!K39</f>
        <v>60.200000000000017</v>
      </c>
      <c r="J67" s="529"/>
      <c r="K67" s="529">
        <f>+'Exhibit F'!L62+'Exhibit G'!L43+'Exhibit I'!M39</f>
        <v>63.2</v>
      </c>
      <c r="L67" s="529"/>
      <c r="M67" s="529">
        <f>+'Exhibit F'!N62+'Exhibit G'!N43+'Exhibit I'!O39</f>
        <v>76.800000000000054</v>
      </c>
      <c r="N67" s="529"/>
      <c r="O67" s="529">
        <f>+'Exhibit F'!P62+'Exhibit G'!P43+'Exhibit I'!Q39</f>
        <v>78.699999999999875</v>
      </c>
      <c r="P67" s="529"/>
      <c r="Q67" s="529">
        <f>+'Exhibit F'!R62+'Exhibit G'!R43+'Exhibit I'!S39</f>
        <v>43.300000000000068</v>
      </c>
      <c r="R67" s="529"/>
      <c r="S67" s="529">
        <f>+'Exhibit F'!T62+'Exhibit G'!T43+'Exhibit I'!U39</f>
        <v>80.300000000000068</v>
      </c>
      <c r="T67" s="529"/>
      <c r="U67" s="529">
        <f>+'Exhibit F'!V62+'Exhibit G'!V43+'Exhibit I'!W39</f>
        <v>101.69999999999996</v>
      </c>
      <c r="V67" s="529"/>
      <c r="W67" s="529"/>
      <c r="X67" s="529"/>
      <c r="Y67" s="529"/>
      <c r="Z67" s="529"/>
      <c r="AA67" s="530"/>
      <c r="AB67" s="1685">
        <f>ROUND(SUM(C67:Y67),1)</f>
        <v>770.3</v>
      </c>
      <c r="AC67" s="1685"/>
      <c r="AD67" s="3490"/>
      <c r="AE67" s="1685">
        <f>+'Exhibit F'!AF62+'Exhibit G'!AG43+'Exhibit I'!AI39</f>
        <v>782.2</v>
      </c>
      <c r="AF67" s="1685"/>
      <c r="AG67" s="1685"/>
      <c r="AH67" s="1685">
        <f t="shared" si="12"/>
        <v>-11.9</v>
      </c>
      <c r="AI67" s="3252"/>
      <c r="AJ67" s="1775">
        <f>ROUND(IF(AE67=0,0,AH67/ABS(AE67)),3)</f>
        <v>-1.4999999999999999E-2</v>
      </c>
    </row>
    <row r="68" spans="1:36" ht="16.5" customHeight="1">
      <c r="A68" s="908" t="s">
        <v>1037</v>
      </c>
      <c r="B68" s="908"/>
      <c r="C68" s="529">
        <f>+'Exhibit F'!D63+'Exhibit G'!D44</f>
        <v>625.70000000000005</v>
      </c>
      <c r="D68" s="529"/>
      <c r="E68" s="529">
        <f>+'Exhibit F'!F63+'Exhibit G'!F44</f>
        <v>523.90000000000009</v>
      </c>
      <c r="F68" s="529"/>
      <c r="G68" s="529">
        <f>+'Exhibit F'!H63+'Exhibit G'!H44</f>
        <v>508.99999999999983</v>
      </c>
      <c r="H68" s="529"/>
      <c r="I68" s="529">
        <f>+'Exhibit F'!J63+'Exhibit G'!J44</f>
        <v>571.29999999999995</v>
      </c>
      <c r="J68" s="529"/>
      <c r="K68" s="529">
        <f>+'Exhibit F'!L63+'Exhibit G'!L44</f>
        <v>518.50000000000034</v>
      </c>
      <c r="L68" s="529"/>
      <c r="M68" s="529">
        <f>+'Exhibit F'!N63+'Exhibit G'!N44</f>
        <v>544.1</v>
      </c>
      <c r="N68" s="529"/>
      <c r="O68" s="529">
        <f>+'Exhibit F'!P63+'Exhibit G'!P44</f>
        <v>531.19999999999982</v>
      </c>
      <c r="P68" s="529"/>
      <c r="Q68" s="529">
        <f>+'Exhibit F'!R63+'Exhibit G'!R44</f>
        <v>472.50000000000034</v>
      </c>
      <c r="R68" s="529"/>
      <c r="S68" s="529">
        <f>+'Exhibit F'!T63+'Exhibit G'!T44</f>
        <v>529.39999999999941</v>
      </c>
      <c r="T68" s="529"/>
      <c r="U68" s="529">
        <f>+'Exhibit F'!V63+'Exhibit G'!V44</f>
        <v>578.00000000000023</v>
      </c>
      <c r="V68" s="529"/>
      <c r="W68" s="529"/>
      <c r="X68" s="529"/>
      <c r="Y68" s="529"/>
      <c r="Z68" s="529"/>
      <c r="AA68" s="530"/>
      <c r="AB68" s="1685">
        <f t="shared" si="11"/>
        <v>5403.6</v>
      </c>
      <c r="AC68" s="1685"/>
      <c r="AD68" s="3490"/>
      <c r="AE68" s="1685">
        <f>+'Exhibit F'!AF63+'Exhibit G'!AG44+'Exhibit H'!AD30</f>
        <v>5111.8</v>
      </c>
      <c r="AF68" s="1685"/>
      <c r="AG68" s="1685"/>
      <c r="AH68" s="1685">
        <f t="shared" si="12"/>
        <v>291.8</v>
      </c>
      <c r="AI68" s="3252"/>
      <c r="AJ68" s="1775">
        <f>ROUND(IF(AE68=0,0,AH68/ABS(AE68)),3)</f>
        <v>5.7000000000000002E-2</v>
      </c>
    </row>
    <row r="69" spans="1:36" ht="16.5" customHeight="1">
      <c r="A69" s="908" t="s">
        <v>1038</v>
      </c>
      <c r="B69" s="908"/>
      <c r="C69" s="529">
        <f>+'Exhibit F'!D64+'Exhibit G'!D45</f>
        <v>5.0999999999999996</v>
      </c>
      <c r="D69" s="529"/>
      <c r="E69" s="529">
        <f>+'Exhibit F'!F64+'Exhibit G'!F45</f>
        <v>0</v>
      </c>
      <c r="F69" s="529"/>
      <c r="G69" s="529">
        <f>+'Exhibit F'!H64+'Exhibit G'!H45</f>
        <v>0.70000000000000018</v>
      </c>
      <c r="H69" s="529"/>
      <c r="I69" s="529">
        <f>+'Exhibit F'!J64+'Exhibit G'!J45</f>
        <v>0</v>
      </c>
      <c r="J69" s="529"/>
      <c r="K69" s="529">
        <f>+'Exhibit F'!L64+'Exhibit G'!L45</f>
        <v>0.90000000000000036</v>
      </c>
      <c r="L69" s="529"/>
      <c r="M69" s="529">
        <f>+'Exhibit F'!N64+'Exhibit G'!N45</f>
        <v>44.199999999999996</v>
      </c>
      <c r="N69" s="529"/>
      <c r="O69" s="529">
        <f>+'Exhibit F'!P64+'Exhibit G'!P45</f>
        <v>-6</v>
      </c>
      <c r="P69" s="529"/>
      <c r="Q69" s="529">
        <f>+'Exhibit F'!R64+'Exhibit G'!R45</f>
        <v>-1.6999999999999957</v>
      </c>
      <c r="R69" s="529"/>
      <c r="S69" s="529">
        <f>+'Exhibit F'!T64+'Exhibit G'!T45</f>
        <v>0.79999999999999716</v>
      </c>
      <c r="T69" s="529"/>
      <c r="U69" s="529">
        <f>+'Exhibit F'!V64+'Exhibit G'!V45</f>
        <v>0</v>
      </c>
      <c r="V69" s="529"/>
      <c r="W69" s="529"/>
      <c r="X69" s="529"/>
      <c r="Y69" s="529"/>
      <c r="Z69" s="529"/>
      <c r="AA69" s="530"/>
      <c r="AB69" s="1685">
        <f t="shared" si="11"/>
        <v>44</v>
      </c>
      <c r="AC69" s="1685"/>
      <c r="AD69" s="3490"/>
      <c r="AE69" s="1685">
        <f>+'Exhibit F'!AF64+'Exhibit G'!AG45</f>
        <v>39.4</v>
      </c>
      <c r="AF69" s="1685"/>
      <c r="AG69" s="1685"/>
      <c r="AH69" s="1685">
        <f t="shared" si="12"/>
        <v>4.5999999999999996</v>
      </c>
      <c r="AI69" s="3252"/>
      <c r="AJ69" s="1775">
        <f>ROUND(IF(AE69=0,0,AH69/ABS(AE69)),3)</f>
        <v>0.11700000000000001</v>
      </c>
    </row>
    <row r="70" spans="1:36" ht="16.5" customHeight="1">
      <c r="A70" s="908" t="s">
        <v>1039</v>
      </c>
      <c r="B70" s="908"/>
      <c r="C70" s="529">
        <f>+'Exhibit F'!D65+'Exhibit G'!D46</f>
        <v>0</v>
      </c>
      <c r="D70" s="529"/>
      <c r="E70" s="529">
        <f>+'Exhibit F'!F65+'Exhibit G'!F46</f>
        <v>0.2</v>
      </c>
      <c r="F70" s="529"/>
      <c r="G70" s="529">
        <f>+'Exhibit F'!H65+'Exhibit G'!H46</f>
        <v>0.1</v>
      </c>
      <c r="H70" s="529"/>
      <c r="I70" s="529">
        <f>+'Exhibit F'!J65+'Exhibit G'!J46</f>
        <v>0</v>
      </c>
      <c r="J70" s="529"/>
      <c r="K70" s="529">
        <f>+'Exhibit F'!L65+'Exhibit G'!L46</f>
        <v>0.19999999999999998</v>
      </c>
      <c r="L70" s="529"/>
      <c r="M70" s="529">
        <f>+'Exhibit F'!N65+'Exhibit G'!N46</f>
        <v>0</v>
      </c>
      <c r="N70" s="529"/>
      <c r="O70" s="529">
        <f>+'Exhibit F'!P65+'Exhibit G'!P46</f>
        <v>0</v>
      </c>
      <c r="P70" s="529"/>
      <c r="Q70" s="529">
        <f>+'Exhibit F'!R65+'Exhibit G'!R46</f>
        <v>0.10000000000000003</v>
      </c>
      <c r="R70" s="529"/>
      <c r="S70" s="529">
        <f>+'Exhibit F'!T65+'Exhibit G'!T46</f>
        <v>0.1</v>
      </c>
      <c r="T70" s="529"/>
      <c r="U70" s="529">
        <f>+'Exhibit F'!V65+'Exhibit G'!V46</f>
        <v>0.20000000000000007</v>
      </c>
      <c r="V70" s="529"/>
      <c r="W70" s="529"/>
      <c r="X70" s="529"/>
      <c r="Y70" s="529"/>
      <c r="Z70" s="529"/>
      <c r="AA70" s="530"/>
      <c r="AB70" s="1685">
        <f t="shared" si="11"/>
        <v>0.9</v>
      </c>
      <c r="AC70" s="1685"/>
      <c r="AD70" s="3490"/>
      <c r="AE70" s="1685">
        <f>+'Exhibit F'!AF65+'Exhibit G'!AG46</f>
        <v>1.9</v>
      </c>
      <c r="AF70" s="1685"/>
      <c r="AG70" s="1685"/>
      <c r="AH70" s="1685">
        <f t="shared" si="12"/>
        <v>-1</v>
      </c>
      <c r="AI70" s="3252"/>
      <c r="AJ70" s="1775">
        <f>ROUND(IF(AE70=0,0,AH70/ABS(AE70)),3)</f>
        <v>-0.52600000000000002</v>
      </c>
    </row>
    <row r="71" spans="1:36" ht="16.5" customHeight="1">
      <c r="A71" s="908" t="s">
        <v>1160</v>
      </c>
      <c r="B71" s="908"/>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30"/>
      <c r="AB71" s="1685"/>
      <c r="AC71" s="1685"/>
      <c r="AD71" s="3490"/>
      <c r="AE71" s="1685"/>
      <c r="AF71" s="1685"/>
      <c r="AG71" s="1685"/>
      <c r="AH71" s="1685"/>
      <c r="AI71" s="3252"/>
      <c r="AJ71" s="1775"/>
    </row>
    <row r="72" spans="1:36" ht="16.5" customHeight="1">
      <c r="A72" s="908" t="s">
        <v>1040</v>
      </c>
      <c r="B72" s="908"/>
      <c r="C72" s="529">
        <f>+'Exhibit F'!D67+'Exhibit H'!B32</f>
        <v>5.7</v>
      </c>
      <c r="D72" s="529"/>
      <c r="E72" s="529">
        <f>+'Exhibit F'!F67+'Exhibit H'!D32</f>
        <v>5.9999999999999991</v>
      </c>
      <c r="F72" s="529"/>
      <c r="G72" s="529">
        <f>+'Exhibit F'!H67+'Exhibit H'!F32</f>
        <v>5.400000000000003</v>
      </c>
      <c r="H72" s="529"/>
      <c r="I72" s="529">
        <f>+'Exhibit F'!J67+'Exhibit H'!H32</f>
        <v>5.9999999999999991</v>
      </c>
      <c r="J72" s="529"/>
      <c r="K72" s="529">
        <f>+'Exhibit F'!L67+'Exhibit H'!J32</f>
        <v>6.8999999999999995</v>
      </c>
      <c r="L72" s="529"/>
      <c r="M72" s="529">
        <f>+'Exhibit F'!N67+'Exhibit H'!L32</f>
        <v>6.9999999999999991</v>
      </c>
      <c r="N72" s="529"/>
      <c r="O72" s="529">
        <f>+'Exhibit F'!P67+'Exhibit H'!N32</f>
        <v>7.3999999999999959</v>
      </c>
      <c r="P72" s="529"/>
      <c r="Q72" s="529">
        <f>+'Exhibit F'!R67+'Exhibit H'!P32</f>
        <v>7.1999999999999984</v>
      </c>
      <c r="R72" s="529"/>
      <c r="S72" s="529">
        <f>+'Exhibit F'!T67+'Exhibit H'!R32</f>
        <v>5.5000000000000009</v>
      </c>
      <c r="T72" s="529"/>
      <c r="U72" s="529">
        <f>+'Exhibit F'!V67+'Exhibit H'!T32</f>
        <v>5.6999999999999948</v>
      </c>
      <c r="V72" s="529"/>
      <c r="W72" s="529"/>
      <c r="X72" s="529"/>
      <c r="Y72" s="529"/>
      <c r="Z72" s="529"/>
      <c r="AA72" s="530"/>
      <c r="AB72" s="1685">
        <f t="shared" si="11"/>
        <v>62.8</v>
      </c>
      <c r="AC72" s="1685"/>
      <c r="AD72" s="3490"/>
      <c r="AE72" s="1685">
        <f>+'Exhibit F'!AF67+'Exhibit H'!AD32</f>
        <v>62.6</v>
      </c>
      <c r="AF72" s="1685"/>
      <c r="AG72" s="1685"/>
      <c r="AH72" s="1685">
        <f t="shared" si="12"/>
        <v>0.2</v>
      </c>
      <c r="AI72" s="3252"/>
      <c r="AJ72" s="1775">
        <f t="shared" ref="AJ72:AJ79" si="13">ROUND(IF(AE72=0,0,AH72/ABS(AE72)),3)</f>
        <v>3.0000000000000001E-3</v>
      </c>
    </row>
    <row r="73" spans="1:36" ht="16.5" customHeight="1">
      <c r="A73" s="908" t="s">
        <v>1256</v>
      </c>
      <c r="B73" s="908"/>
      <c r="C73" s="529">
        <f>'Exhibit G'!D48</f>
        <v>0</v>
      </c>
      <c r="D73" s="529"/>
      <c r="E73" s="529">
        <f>'Exhibit G'!F48</f>
        <v>0.8</v>
      </c>
      <c r="F73" s="529"/>
      <c r="G73" s="529">
        <f>'Exhibit G'!H48</f>
        <v>1.4999999999999998</v>
      </c>
      <c r="H73" s="529"/>
      <c r="I73" s="529">
        <f>'Exhibit G'!J48</f>
        <v>0</v>
      </c>
      <c r="J73" s="529"/>
      <c r="K73" s="529">
        <f>'Exhibit G'!L48</f>
        <v>0.10000000000000009</v>
      </c>
      <c r="L73" s="529"/>
      <c r="M73" s="529">
        <f>'Exhibit G'!N48</f>
        <v>0.20000000000000018</v>
      </c>
      <c r="N73" s="529"/>
      <c r="O73" s="529">
        <f>'Exhibit G'!P48</f>
        <v>0</v>
      </c>
      <c r="P73" s="529"/>
      <c r="Q73" s="529">
        <f>'Exhibit G'!R48</f>
        <v>0</v>
      </c>
      <c r="R73" s="529"/>
      <c r="S73" s="529">
        <f>'Exhibit G'!T48</f>
        <v>0</v>
      </c>
      <c r="T73" s="529"/>
      <c r="U73" s="529">
        <f>'Exhibit G'!V48</f>
        <v>0</v>
      </c>
      <c r="V73" s="529"/>
      <c r="W73" s="529"/>
      <c r="X73" s="529"/>
      <c r="Y73" s="529"/>
      <c r="Z73" s="529"/>
      <c r="AA73" s="977"/>
      <c r="AB73" s="1685">
        <f t="shared" si="11"/>
        <v>2.6</v>
      </c>
      <c r="AC73" s="1685"/>
      <c r="AD73" s="3490"/>
      <c r="AE73" s="1685">
        <f>'Exhibit G'!AG48</f>
        <v>2.1</v>
      </c>
      <c r="AF73" s="1685"/>
      <c r="AG73" s="1685"/>
      <c r="AH73" s="1685">
        <f>ROUND(SUM(AB73-AE73),1)</f>
        <v>0.5</v>
      </c>
      <c r="AI73" s="3252"/>
      <c r="AJ73" s="1774">
        <f>ROUND(IF(AE73=0,0,AH73/ABS(AE73)),3)</f>
        <v>0.23799999999999999</v>
      </c>
    </row>
    <row r="74" spans="1:36" ht="16.5" customHeight="1">
      <c r="A74" s="908" t="s">
        <v>1156</v>
      </c>
      <c r="B74" s="908"/>
      <c r="C74" s="529">
        <f>+'Exhibit F'!D69+'Exhibit G'!D49+'Exhibit I'!E41+'Exhibit H'!B33</f>
        <v>60.5</v>
      </c>
      <c r="D74" s="529"/>
      <c r="E74" s="529">
        <f>+'Exhibit F'!F69+'Exhibit G'!F49+'Exhibit I'!G41+'Exhibit H'!D33</f>
        <v>60.6</v>
      </c>
      <c r="F74" s="529"/>
      <c r="G74" s="529">
        <f>+'Exhibit F'!H69+'Exhibit G'!H49+'Exhibit I'!I41+'Exhibit H'!F33</f>
        <v>131.5</v>
      </c>
      <c r="H74" s="529"/>
      <c r="I74" s="529">
        <f>+'Exhibit F'!J69+'Exhibit G'!J49+'Exhibit I'!K41+'Exhibit H'!H33</f>
        <v>65</v>
      </c>
      <c r="J74" s="529"/>
      <c r="K74" s="529">
        <f>+'Exhibit F'!L69+'Exhibit G'!L49+'Exhibit I'!M41+'Exhibit H'!J33</f>
        <v>46.90000000000002</v>
      </c>
      <c r="L74" s="529"/>
      <c r="M74" s="529">
        <f>+'Exhibit F'!N69+'Exhibit G'!N49+'Exhibit I'!O41+'Exhibit H'!L33</f>
        <v>131.99999999999997</v>
      </c>
      <c r="N74" s="529"/>
      <c r="O74" s="529">
        <f>+'Exhibit F'!P69+'Exhibit G'!P49+'Exhibit I'!Q41+'Exhibit H'!N33</f>
        <v>80.900000000000048</v>
      </c>
      <c r="P74" s="529"/>
      <c r="Q74" s="529">
        <f>+'Exhibit F'!R69+'Exhibit G'!R49+'Exhibit I'!S41+'Exhibit H'!P33</f>
        <v>71.799999999999955</v>
      </c>
      <c r="R74" s="529"/>
      <c r="S74" s="529">
        <f>+'Exhibit F'!T69+'Exhibit G'!T49+'Exhibit I'!U41+'Exhibit H'!R33</f>
        <v>108.50000000000003</v>
      </c>
      <c r="T74" s="529"/>
      <c r="U74" s="529">
        <f>+'Exhibit F'!V69+'Exhibit G'!V49+'Exhibit I'!W41+'Exhibit H'!T33</f>
        <v>88.799999999999926</v>
      </c>
      <c r="V74" s="529"/>
      <c r="W74" s="529"/>
      <c r="X74" s="529"/>
      <c r="Y74" s="529"/>
      <c r="Z74" s="529"/>
      <c r="AA74" s="530"/>
      <c r="AB74" s="1685">
        <f t="shared" si="11"/>
        <v>846.5</v>
      </c>
      <c r="AC74" s="1685"/>
      <c r="AD74" s="3490"/>
      <c r="AE74" s="1685">
        <f>+'Exhibit F'!AF69+'Exhibit G'!AG49+'Exhibit I'!AI41+'Exhibit H'!AD33</f>
        <v>778.4</v>
      </c>
      <c r="AF74" s="1685"/>
      <c r="AG74" s="1685"/>
      <c r="AH74" s="1685">
        <f>ROUND(SUM(AB74-AE74),1)</f>
        <v>68.099999999999994</v>
      </c>
      <c r="AI74" s="3252"/>
      <c r="AJ74" s="1775">
        <f>ROUND(IF(AE74=0,0,AH74/ABS(AE74)),3)</f>
        <v>8.6999999999999994E-2</v>
      </c>
    </row>
    <row r="75" spans="1:36" ht="16.5" customHeight="1">
      <c r="A75" s="908" t="s">
        <v>1042</v>
      </c>
      <c r="B75" s="908"/>
      <c r="C75" s="529">
        <f>+'Exhibit F'!D70+'Exhibit G'!D50+'Exhibit H'!B34</f>
        <v>28.6</v>
      </c>
      <c r="D75" s="529"/>
      <c r="E75" s="529">
        <f>+'Exhibit F'!F70+'Exhibit G'!F50+'Exhibit H'!D34</f>
        <v>18</v>
      </c>
      <c r="F75" s="529"/>
      <c r="G75" s="529">
        <f>+'Exhibit F'!H70+'Exhibit G'!H50+'Exhibit H'!F34</f>
        <v>22.900000000000006</v>
      </c>
      <c r="H75" s="529"/>
      <c r="I75" s="529">
        <f>+'Exhibit F'!J70+'Exhibit G'!J50+'Exhibit H'!H34</f>
        <v>22.599999999999991</v>
      </c>
      <c r="J75" s="529"/>
      <c r="K75" s="529">
        <f>+'Exhibit F'!L70+'Exhibit G'!L50+'Exhibit H'!J34</f>
        <v>17.800000000000004</v>
      </c>
      <c r="L75" s="529"/>
      <c r="M75" s="529">
        <f>+'Exhibit F'!N70+'Exhibit G'!N50+'Exhibit H'!L34</f>
        <v>34.499999999999993</v>
      </c>
      <c r="N75" s="529"/>
      <c r="O75" s="529">
        <f>+'Exhibit F'!P70+'Exhibit G'!P50+'Exhibit H'!N34</f>
        <v>20.499999999999979</v>
      </c>
      <c r="P75" s="529"/>
      <c r="Q75" s="529">
        <f>+'Exhibit F'!R70+'Exhibit G'!R50+'Exhibit H'!P34</f>
        <v>22.199999999999996</v>
      </c>
      <c r="R75" s="529"/>
      <c r="S75" s="529">
        <f>+'Exhibit F'!T70+'Exhibit G'!T50+'Exhibit H'!R34</f>
        <v>33.400000000000027</v>
      </c>
      <c r="T75" s="529"/>
      <c r="U75" s="529">
        <f>+'Exhibit F'!V70+'Exhibit G'!V50+'Exhibit H'!T34</f>
        <v>16.000000000000007</v>
      </c>
      <c r="V75" s="529"/>
      <c r="W75" s="529"/>
      <c r="X75" s="529"/>
      <c r="Y75" s="529"/>
      <c r="Z75" s="529"/>
      <c r="AA75" s="530"/>
      <c r="AB75" s="1685">
        <f t="shared" si="11"/>
        <v>236.5</v>
      </c>
      <c r="AC75" s="1685"/>
      <c r="AD75" s="3490"/>
      <c r="AE75" s="1685">
        <f>+'Exhibit F'!AF70+'Exhibit G'!AG50+'Exhibit H'!AD34+'Exhibit I'!AI42</f>
        <v>234.2</v>
      </c>
      <c r="AF75" s="1685"/>
      <c r="AG75" s="1685"/>
      <c r="AH75" s="1685">
        <f t="shared" si="12"/>
        <v>2.2999999999999998</v>
      </c>
      <c r="AI75" s="3252"/>
      <c r="AJ75" s="1775">
        <f t="shared" si="13"/>
        <v>0.01</v>
      </c>
    </row>
    <row r="76" spans="1:36" ht="16.5" customHeight="1">
      <c r="A76" s="908" t="s">
        <v>1043</v>
      </c>
      <c r="B76" s="908"/>
      <c r="C76" s="529">
        <f>+'Exhibit F'!D71+'Exhibit G'!D51+'Exhibit H'!B35</f>
        <v>0.5</v>
      </c>
      <c r="D76" s="529"/>
      <c r="E76" s="529">
        <f>+'Exhibit F'!F71+'Exhibit G'!F51+'Exhibit H'!D35</f>
        <v>0.49999999999999994</v>
      </c>
      <c r="F76" s="529"/>
      <c r="G76" s="529">
        <f>+'Exhibit F'!H71+'Exhibit G'!H51+'Exhibit H'!F35</f>
        <v>1.2000000000000002</v>
      </c>
      <c r="H76" s="529"/>
      <c r="I76" s="529">
        <f>+'Exhibit F'!J71+'Exhibit G'!J51+'Exhibit H'!H35</f>
        <v>0.19999999999999996</v>
      </c>
      <c r="J76" s="529"/>
      <c r="K76" s="529">
        <f>+'Exhibit F'!L71+'Exhibit G'!L51+'Exhibit H'!J35</f>
        <v>0.60000000000000031</v>
      </c>
      <c r="L76" s="529"/>
      <c r="M76" s="529">
        <f>+'Exhibit F'!N71+'Exhibit G'!N51+'Exhibit H'!L35</f>
        <v>1.2999999999999998</v>
      </c>
      <c r="N76" s="529"/>
      <c r="O76" s="529">
        <f>+'Exhibit F'!P71+'Exhibit G'!P51+'Exhibit H'!N35</f>
        <v>0.5</v>
      </c>
      <c r="P76" s="529"/>
      <c r="Q76" s="529">
        <f>+'Exhibit F'!R71+'Exhibit G'!R51+'Exhibit H'!P35</f>
        <v>0.39999999999999991</v>
      </c>
      <c r="R76" s="529"/>
      <c r="S76" s="529">
        <f>+'Exhibit F'!T71+'Exhibit G'!T51+'Exhibit H'!R35</f>
        <v>1.0000000000000002</v>
      </c>
      <c r="T76" s="529"/>
      <c r="U76" s="529">
        <f>+'Exhibit F'!V71+'Exhibit G'!V51+'Exhibit H'!T35</f>
        <v>1.1999999999999986</v>
      </c>
      <c r="V76" s="529"/>
      <c r="W76" s="529"/>
      <c r="X76" s="529"/>
      <c r="Y76" s="529"/>
      <c r="Z76" s="529"/>
      <c r="AA76" s="530"/>
      <c r="AB76" s="1685">
        <f t="shared" si="11"/>
        <v>7.4</v>
      </c>
      <c r="AC76" s="1685"/>
      <c r="AD76" s="3490"/>
      <c r="AE76" s="1685">
        <f>+'Exhibit F'!AF71+'Exhibit G'!AG51+'Exhibit H'!AD35</f>
        <v>8.8000000000000007</v>
      </c>
      <c r="AF76" s="1685"/>
      <c r="AG76" s="1685"/>
      <c r="AH76" s="1685">
        <f t="shared" si="12"/>
        <v>-1.4</v>
      </c>
      <c r="AI76" s="3252"/>
      <c r="AJ76" s="1775">
        <f t="shared" si="13"/>
        <v>-0.159</v>
      </c>
    </row>
    <row r="77" spans="1:36" ht="16.5" customHeight="1">
      <c r="A77" s="908" t="s">
        <v>1044</v>
      </c>
      <c r="B77" s="908"/>
      <c r="C77" s="529">
        <f>+'Exhibit F'!D72+'Exhibit G'!D52+'Exhibit I'!E43+'Exhibit H'!B36</f>
        <v>126.2</v>
      </c>
      <c r="D77" s="529"/>
      <c r="E77" s="529">
        <f>+'Exhibit F'!F72+'Exhibit G'!F52+'Exhibit I'!G43+'Exhibit H'!D36</f>
        <v>130.80000000000001</v>
      </c>
      <c r="F77" s="529"/>
      <c r="G77" s="529">
        <f>+'Exhibit F'!H72+'Exhibit G'!H52+'Exhibit I'!I43+'Exhibit H'!F36</f>
        <v>105.69999999999999</v>
      </c>
      <c r="H77" s="529"/>
      <c r="I77" s="529">
        <f>+'Exhibit F'!J72+'Exhibit G'!J52+'Exhibit I'!K43+'Exhibit H'!H36</f>
        <v>119.80000000000001</v>
      </c>
      <c r="J77" s="529"/>
      <c r="K77" s="529">
        <f>+'Exhibit F'!L72+'Exhibit G'!L52+'Exhibit I'!M43+'Exhibit H'!J36</f>
        <v>116.30000000000001</v>
      </c>
      <c r="L77" s="529"/>
      <c r="M77" s="529">
        <f>+'Exhibit F'!N72+'Exhibit G'!N52+'Exhibit I'!O43+'Exhibit H'!L36</f>
        <v>94.600000000000009</v>
      </c>
      <c r="N77" s="529"/>
      <c r="O77" s="529">
        <f>+'Exhibit F'!P72+'Exhibit G'!P52+'Exhibit I'!Q43+'Exhibit H'!N36</f>
        <v>116.49999999999997</v>
      </c>
      <c r="P77" s="529"/>
      <c r="Q77" s="529">
        <f>+'Exhibit F'!R72+'Exhibit G'!R52+'Exhibit I'!S43+'Exhibit H'!P36</f>
        <v>94.399999999999991</v>
      </c>
      <c r="R77" s="529"/>
      <c r="S77" s="529">
        <f>+'Exhibit F'!T72+'Exhibit G'!T52+'Exhibit I'!U43+'Exhibit H'!R36</f>
        <v>115.99999999999997</v>
      </c>
      <c r="T77" s="529"/>
      <c r="U77" s="529">
        <f>+'Exhibit F'!V72+'Exhibit G'!V52+'Exhibit I'!W43+'Exhibit H'!T36</f>
        <v>123.40000000000009</v>
      </c>
      <c r="V77" s="529"/>
      <c r="W77" s="529"/>
      <c r="X77" s="529"/>
      <c r="Y77" s="529"/>
      <c r="Z77" s="529"/>
      <c r="AA77" s="530"/>
      <c r="AB77" s="1685">
        <f t="shared" si="11"/>
        <v>1143.7</v>
      </c>
      <c r="AC77" s="1685"/>
      <c r="AD77" s="3490"/>
      <c r="AE77" s="1685">
        <f>+'Exhibit F'!AF72+'Exhibit G'!AG52+'Exhibit I'!AI43+'Exhibit H'!AD36</f>
        <v>1269.5</v>
      </c>
      <c r="AF77" s="1685"/>
      <c r="AG77" s="1685"/>
      <c r="AH77" s="1685">
        <f t="shared" si="12"/>
        <v>-125.8</v>
      </c>
      <c r="AI77" s="3252"/>
      <c r="AJ77" s="1775">
        <f t="shared" si="13"/>
        <v>-9.9000000000000005E-2</v>
      </c>
    </row>
    <row r="78" spans="1:36" ht="16.5" customHeight="1">
      <c r="A78" s="908" t="s">
        <v>1045</v>
      </c>
      <c r="B78" s="908"/>
      <c r="C78" s="529">
        <f>+'Exhibit F'!D73+'Exhibit G'!D53+'Exhibit I'!E44+'Exhibit H'!B37</f>
        <v>55.400000000000006</v>
      </c>
      <c r="D78" s="529"/>
      <c r="E78" s="529">
        <f>+'Exhibit F'!F73+'Exhibit G'!F53+'Exhibit I'!G44+'Exhibit H'!D37</f>
        <v>47.199999999999996</v>
      </c>
      <c r="F78" s="529"/>
      <c r="G78" s="529">
        <f>+'Exhibit F'!H73+'Exhibit G'!H53+'Exhibit I'!I44+'Exhibit H'!F37</f>
        <v>67.300000000000011</v>
      </c>
      <c r="H78" s="529"/>
      <c r="I78" s="529">
        <f>+'Exhibit F'!J73+'Exhibit G'!J53+'Exhibit I'!K44+'Exhibit H'!H37</f>
        <v>67.5</v>
      </c>
      <c r="J78" s="529"/>
      <c r="K78" s="529">
        <f>+'Exhibit F'!L73+'Exhibit G'!L53+'Exhibit I'!M44+'Exhibit H'!J37</f>
        <v>95.399999999999977</v>
      </c>
      <c r="L78" s="529"/>
      <c r="M78" s="529">
        <f>+'Exhibit F'!N73+'Exhibit G'!N53+'Exhibit I'!O44+'Exhibit H'!L37</f>
        <v>134.30000000000004</v>
      </c>
      <c r="N78" s="529"/>
      <c r="O78" s="529">
        <f>+'Exhibit F'!P73+'Exhibit G'!P53+'Exhibit I'!Q44+'Exhibit H'!N37</f>
        <v>70.700000000000045</v>
      </c>
      <c r="P78" s="529"/>
      <c r="Q78" s="529">
        <f>+'Exhibit F'!R73+'Exhibit G'!R53+'Exhibit I'!S44+'Exhibit H'!P37</f>
        <v>71.399999999999878</v>
      </c>
      <c r="R78" s="529"/>
      <c r="S78" s="529">
        <f>+'Exhibit F'!T73+'Exhibit G'!T53+'Exhibit I'!U44+'Exhibit H'!R37</f>
        <v>62.500000000000043</v>
      </c>
      <c r="T78" s="529"/>
      <c r="U78" s="529">
        <f>+'Exhibit F'!V73+'Exhibit G'!V53+'Exhibit I'!W44+'Exhibit H'!T37</f>
        <v>65.999999999999943</v>
      </c>
      <c r="V78" s="529"/>
      <c r="W78" s="529"/>
      <c r="X78" s="529"/>
      <c r="Y78" s="529"/>
      <c r="Z78" s="529"/>
      <c r="AA78" s="530"/>
      <c r="AB78" s="1685">
        <f t="shared" si="11"/>
        <v>737.7</v>
      </c>
      <c r="AC78" s="1685"/>
      <c r="AD78" s="3490"/>
      <c r="AE78" s="1685">
        <f>+'Exhibit F'!AF73+'Exhibit G'!AG53+'Exhibit I'!AI44+'Exhibit H'!AD37</f>
        <v>654.5</v>
      </c>
      <c r="AF78" s="1685"/>
      <c r="AG78" s="1685"/>
      <c r="AH78" s="1685">
        <f t="shared" si="12"/>
        <v>83.2</v>
      </c>
      <c r="AI78" s="3252"/>
      <c r="AJ78" s="1775">
        <f t="shared" si="13"/>
        <v>0.127</v>
      </c>
    </row>
    <row r="79" spans="1:36" ht="16.5" customHeight="1">
      <c r="A79" s="908" t="s">
        <v>1034</v>
      </c>
      <c r="B79" s="908"/>
      <c r="C79" s="529">
        <f>+'Exhibit F'!D74+'Exhibit G'!D54+'Exhibit I'!E45</f>
        <v>628.69999999999993</v>
      </c>
      <c r="D79" s="529"/>
      <c r="E79" s="529">
        <f>+'Exhibit F'!F74+'Exhibit G'!F54+'Exhibit I'!G45</f>
        <v>224.60000000000002</v>
      </c>
      <c r="F79" s="529"/>
      <c r="G79" s="529">
        <f>+'Exhibit F'!H74+'Exhibit G'!H54+'Exhibit I'!I45</f>
        <v>136</v>
      </c>
      <c r="H79" s="529"/>
      <c r="I79" s="529">
        <f>+'Exhibit F'!J74+'Exhibit G'!J54+'Exhibit I'!K45</f>
        <v>50.79999999999999</v>
      </c>
      <c r="J79" s="529"/>
      <c r="K79" s="529">
        <f>+'Exhibit F'!L74+'Exhibit G'!L54+'Exhibit I'!M45</f>
        <v>31.900000000000031</v>
      </c>
      <c r="L79" s="529"/>
      <c r="M79" s="529">
        <f>+'Exhibit F'!N74+'Exhibit G'!N54+'Exhibit I'!O45</f>
        <v>39.199999999999953</v>
      </c>
      <c r="N79" s="529"/>
      <c r="O79" s="529">
        <f>+'Exhibit F'!P74+'Exhibit G'!P54+'Exhibit I'!Q45</f>
        <v>88.199999999999989</v>
      </c>
      <c r="P79" s="529"/>
      <c r="Q79" s="529">
        <f>+'Exhibit F'!R74+'Exhibit G'!R54+'Exhibit I'!S45</f>
        <v>37.800000000000068</v>
      </c>
      <c r="R79" s="529"/>
      <c r="S79" s="529">
        <f>+'Exhibit F'!T74+'Exhibit G'!T54+'Exhibit I'!U45</f>
        <v>44.399999999999984</v>
      </c>
      <c r="T79" s="529"/>
      <c r="U79" s="529">
        <f>+'Exhibit F'!V74+'Exhibit G'!V54+'Exhibit I'!W45</f>
        <v>36.700000000000102</v>
      </c>
      <c r="V79" s="529"/>
      <c r="W79" s="529"/>
      <c r="X79" s="529"/>
      <c r="Y79" s="529"/>
      <c r="Z79" s="529"/>
      <c r="AA79" s="530"/>
      <c r="AB79" s="1685">
        <f t="shared" si="11"/>
        <v>1318.3</v>
      </c>
      <c r="AC79" s="1685"/>
      <c r="AD79" s="3490"/>
      <c r="AE79" s="1685">
        <f>+'Exhibit F'!AF74+'Exhibit G'!AG54+'Exhibit I'!AI45</f>
        <v>1348.3999999999999</v>
      </c>
      <c r="AF79" s="1685"/>
      <c r="AG79" s="1685"/>
      <c r="AH79" s="1685">
        <f t="shared" si="12"/>
        <v>-30.1</v>
      </c>
      <c r="AI79" s="3252"/>
      <c r="AJ79" s="1775">
        <f t="shared" si="13"/>
        <v>-2.1999999999999999E-2</v>
      </c>
    </row>
    <row r="80" spans="1:36" ht="16.5" customHeight="1">
      <c r="A80" s="908" t="s">
        <v>1157</v>
      </c>
      <c r="B80" s="908"/>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1685"/>
      <c r="AC80" s="1685"/>
      <c r="AD80" s="3490"/>
      <c r="AE80" s="1685"/>
      <c r="AF80" s="1685"/>
      <c r="AG80" s="1685"/>
      <c r="AH80" s="1685"/>
      <c r="AI80" s="3252"/>
      <c r="AJ80" s="1775"/>
    </row>
    <row r="81" spans="1:36" ht="16.5" customHeight="1">
      <c r="A81" s="908" t="s">
        <v>1046</v>
      </c>
      <c r="B81" s="908"/>
      <c r="C81" s="529">
        <f>+'Exhibit G'!D56</f>
        <v>31.4</v>
      </c>
      <c r="D81" s="529"/>
      <c r="E81" s="529">
        <f>+'Exhibit G'!F56</f>
        <v>18.800000000000004</v>
      </c>
      <c r="F81" s="529"/>
      <c r="G81" s="529">
        <f>+'Exhibit G'!H56</f>
        <v>19.700000000000003</v>
      </c>
      <c r="H81" s="529"/>
      <c r="I81" s="529">
        <f>+'Exhibit G'!J56</f>
        <v>37.699999999999982</v>
      </c>
      <c r="J81" s="529"/>
      <c r="K81" s="529">
        <f>+'Exhibit G'!L56</f>
        <v>15.300000000000004</v>
      </c>
      <c r="L81" s="529"/>
      <c r="M81" s="529">
        <f>+'Exhibit G'!N56</f>
        <v>20</v>
      </c>
      <c r="N81" s="529"/>
      <c r="O81" s="529">
        <f>+'Exhibit G'!P56</f>
        <v>36.79999999999999</v>
      </c>
      <c r="P81" s="529"/>
      <c r="Q81" s="529">
        <f>+'Exhibit G'!R56</f>
        <v>13.300000000000004</v>
      </c>
      <c r="R81" s="529"/>
      <c r="S81" s="529">
        <f>+'Exhibit G'!T56</f>
        <v>17.599999999999994</v>
      </c>
      <c r="T81" s="529"/>
      <c r="U81" s="529">
        <f>+'Exhibit G'!V56</f>
        <v>35.699999999999996</v>
      </c>
      <c r="V81" s="529"/>
      <c r="W81" s="529"/>
      <c r="X81" s="529"/>
      <c r="Y81" s="529"/>
      <c r="Z81" s="529"/>
      <c r="AA81" s="530"/>
      <c r="AB81" s="1685">
        <f t="shared" si="11"/>
        <v>246.3</v>
      </c>
      <c r="AC81" s="1685"/>
      <c r="AD81" s="3490"/>
      <c r="AE81" s="1685">
        <f>+'Exhibit G'!AG56</f>
        <v>223.1</v>
      </c>
      <c r="AF81" s="1685"/>
      <c r="AG81" s="1685"/>
      <c r="AH81" s="1685">
        <f t="shared" si="12"/>
        <v>23.2</v>
      </c>
      <c r="AI81" s="3252"/>
      <c r="AJ81" s="3486">
        <f>ROUND(IF(AE81=0,0,AH81/ABS(AE81)),3)</f>
        <v>0.104</v>
      </c>
    </row>
    <row r="82" spans="1:36" ht="16.5" customHeight="1">
      <c r="A82" s="908" t="s">
        <v>1047</v>
      </c>
      <c r="B82" s="908"/>
      <c r="C82" s="529">
        <f>+'Exhibit G'!D57</f>
        <v>218.4</v>
      </c>
      <c r="D82" s="529"/>
      <c r="E82" s="529">
        <f>+'Exhibit G'!F57</f>
        <v>262</v>
      </c>
      <c r="F82" s="529"/>
      <c r="G82" s="529">
        <f>+'Exhibit G'!H57</f>
        <v>202.30000000000007</v>
      </c>
      <c r="H82" s="529"/>
      <c r="I82" s="529">
        <f>+'Exhibit G'!J57</f>
        <v>225.69999999999993</v>
      </c>
      <c r="J82" s="529"/>
      <c r="K82" s="529">
        <f>+'Exhibit G'!L57</f>
        <v>170.19999999999993</v>
      </c>
      <c r="L82" s="529"/>
      <c r="M82" s="529">
        <f>+'Exhibit G'!N57</f>
        <v>176.30000000000007</v>
      </c>
      <c r="N82" s="529"/>
      <c r="O82" s="529">
        <f>+'Exhibit G'!P57</f>
        <v>220.09999999999991</v>
      </c>
      <c r="P82" s="529"/>
      <c r="Q82" s="529">
        <f>+'Exhibit G'!R57</f>
        <v>177.79999999999995</v>
      </c>
      <c r="R82" s="529"/>
      <c r="S82" s="529">
        <f>+'Exhibit G'!T57</f>
        <v>180.00000000000011</v>
      </c>
      <c r="T82" s="529"/>
      <c r="U82" s="529">
        <f>+'Exhibit G'!V57</f>
        <v>221.50000000000011</v>
      </c>
      <c r="V82" s="529"/>
      <c r="W82" s="529"/>
      <c r="X82" s="529"/>
      <c r="Y82" s="529"/>
      <c r="Z82" s="529"/>
      <c r="AA82" s="530"/>
      <c r="AB82" s="1685">
        <f t="shared" si="11"/>
        <v>2054.3000000000002</v>
      </c>
      <c r="AC82" s="1685"/>
      <c r="AD82" s="3490"/>
      <c r="AE82" s="1685">
        <f>+'Exhibit G'!AG57</f>
        <v>2154.5</v>
      </c>
      <c r="AF82" s="1685"/>
      <c r="AG82" s="1685"/>
      <c r="AH82" s="1685">
        <f t="shared" si="12"/>
        <v>-100.2</v>
      </c>
      <c r="AI82" s="3252"/>
      <c r="AJ82" s="3486">
        <f>ROUND(IF(AE82=0,0,AH82/ABS(AE82)),3)</f>
        <v>-4.7E-2</v>
      </c>
    </row>
    <row r="83" spans="1:36" ht="16.5" customHeight="1">
      <c r="A83" s="908" t="s">
        <v>1048</v>
      </c>
      <c r="B83" s="908"/>
      <c r="C83" s="529">
        <f>+'Exhibit G'!D58</f>
        <v>76.599999999999994</v>
      </c>
      <c r="D83" s="529"/>
      <c r="E83" s="529">
        <f>+'Exhibit G'!F58</f>
        <v>88.5</v>
      </c>
      <c r="F83" s="529"/>
      <c r="G83" s="529">
        <f>+'Exhibit G'!H58</f>
        <v>63.200000000000017</v>
      </c>
      <c r="H83" s="529"/>
      <c r="I83" s="529">
        <f>+'Exhibit G'!J58</f>
        <v>89.5</v>
      </c>
      <c r="J83" s="529"/>
      <c r="K83" s="529">
        <f>+'Exhibit G'!L58</f>
        <v>76.500000000000028</v>
      </c>
      <c r="L83" s="529"/>
      <c r="M83" s="529">
        <f>+'Exhibit G'!N58</f>
        <v>77.5</v>
      </c>
      <c r="N83" s="529"/>
      <c r="O83" s="529">
        <f>+'Exhibit G'!P58</f>
        <v>94.599999999999881</v>
      </c>
      <c r="P83" s="529"/>
      <c r="Q83" s="529">
        <f>+'Exhibit G'!R58</f>
        <v>72.700000000000045</v>
      </c>
      <c r="R83" s="529"/>
      <c r="S83" s="529">
        <f>+'Exhibit G'!T58</f>
        <v>70.600000000000051</v>
      </c>
      <c r="T83" s="529"/>
      <c r="U83" s="529">
        <f>+'Exhibit G'!V58</f>
        <v>99</v>
      </c>
      <c r="V83" s="529"/>
      <c r="W83" s="529"/>
      <c r="X83" s="529"/>
      <c r="Y83" s="529"/>
      <c r="Z83" s="529"/>
      <c r="AA83" s="530"/>
      <c r="AB83" s="1685">
        <f t="shared" si="11"/>
        <v>808.7</v>
      </c>
      <c r="AC83" s="1685"/>
      <c r="AD83" s="3490"/>
      <c r="AE83" s="1685">
        <f>+'Exhibit G'!AG58</f>
        <v>795.7</v>
      </c>
      <c r="AF83" s="1685"/>
      <c r="AG83" s="1685"/>
      <c r="AH83" s="1685">
        <f t="shared" si="12"/>
        <v>13</v>
      </c>
      <c r="AI83" s="3252"/>
      <c r="AJ83" s="3486">
        <f>ROUND(IF(AE83=0,0,AH83/ABS(AE83)),3)</f>
        <v>1.6E-2</v>
      </c>
    </row>
    <row r="84" spans="1:36" ht="16.5" customHeight="1">
      <c r="A84" s="908" t="s">
        <v>1035</v>
      </c>
      <c r="B84" s="908"/>
      <c r="C84" s="529">
        <f>+'Exhibit F'!D75+'Exhibit G'!D59+'Exhibit H'!B38+'Exhibit I'!E46</f>
        <v>44.000000000000007</v>
      </c>
      <c r="D84" s="529"/>
      <c r="E84" s="529">
        <f>+'Exhibit F'!F75+'Exhibit G'!F59+'Exhibit H'!D38+'Exhibit I'!G46</f>
        <v>38.800000000000004</v>
      </c>
      <c r="F84" s="529"/>
      <c r="G84" s="529">
        <f>+'Exhibit F'!H75+'Exhibit G'!H59+'Exhibit H'!F38+'Exhibit I'!I46</f>
        <v>44.899999999999991</v>
      </c>
      <c r="H84" s="529"/>
      <c r="I84" s="529">
        <f>+'Exhibit F'!J75+'Exhibit G'!J59+'Exhibit H'!H38+'Exhibit I'!K46</f>
        <v>36.000000000000014</v>
      </c>
      <c r="J84" s="529"/>
      <c r="K84" s="529">
        <f>+'Exhibit F'!L75+'Exhibit G'!L59+'Exhibit H'!J38+'Exhibit I'!M46</f>
        <v>39.40000000000002</v>
      </c>
      <c r="L84" s="529"/>
      <c r="M84" s="529">
        <f>+'Exhibit F'!N75+'Exhibit G'!N59+'Exhibit H'!L38+'Exhibit I'!O46</f>
        <v>35.799999999999983</v>
      </c>
      <c r="N84" s="529"/>
      <c r="O84" s="529">
        <f>+'Exhibit F'!P75+'Exhibit G'!P59+'Exhibit H'!N38+'Exhibit I'!Q46</f>
        <v>36.899999999999984</v>
      </c>
      <c r="P84" s="529"/>
      <c r="Q84" s="529">
        <f>+'Exhibit F'!R75+'Exhibit G'!R59+'Exhibit H'!P38+'Exhibit I'!S46</f>
        <v>34.20000000000001</v>
      </c>
      <c r="R84" s="529"/>
      <c r="S84" s="529">
        <f>+'Exhibit F'!T75+'Exhibit G'!T59+'Exhibit H'!R38+'Exhibit I'!U46</f>
        <v>27.900000000000016</v>
      </c>
      <c r="T84" s="529"/>
      <c r="U84" s="529">
        <f>+'Exhibit F'!V75+'Exhibit G'!V59+'Exhibit H'!T38+'Exhibit I'!W46</f>
        <v>27.200000000000028</v>
      </c>
      <c r="V84" s="529"/>
      <c r="W84" s="529"/>
      <c r="X84" s="529"/>
      <c r="Y84" s="529"/>
      <c r="Z84" s="529"/>
      <c r="AA84" s="530"/>
      <c r="AB84" s="1685">
        <f t="shared" si="11"/>
        <v>365.1</v>
      </c>
      <c r="AC84" s="1685"/>
      <c r="AD84" s="3490"/>
      <c r="AE84" s="1685">
        <f>+'Exhibit F'!AF75+'Exhibit G'!AG59+'Exhibit H'!AD38+'Exhibit I'!AI46</f>
        <v>265.2</v>
      </c>
      <c r="AF84" s="1685"/>
      <c r="AG84" s="1685"/>
      <c r="AH84" s="1685">
        <f t="shared" si="12"/>
        <v>99.9</v>
      </c>
      <c r="AI84" s="3252"/>
      <c r="AJ84" s="3486">
        <f>ROUND(IF(AE84=0,0,AH84/ABS(AE84)),3)</f>
        <v>0.377</v>
      </c>
    </row>
    <row r="85" spans="1:36" ht="16.5" customHeight="1">
      <c r="A85" s="908" t="s">
        <v>1158</v>
      </c>
      <c r="B85" s="908"/>
      <c r="C85" s="529"/>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30"/>
      <c r="AB85" s="1685"/>
      <c r="AC85" s="1685"/>
      <c r="AD85" s="3490"/>
      <c r="AE85" s="1685"/>
      <c r="AF85" s="1685"/>
      <c r="AG85" s="1685"/>
      <c r="AH85" s="1685"/>
      <c r="AI85" s="3252"/>
      <c r="AJ85" s="1775"/>
    </row>
    <row r="86" spans="1:36" ht="16.5" customHeight="1">
      <c r="A86" s="908" t="s">
        <v>1049</v>
      </c>
      <c r="B86" s="908"/>
      <c r="C86" s="529">
        <f>+'Exhibit G'!D61+'Exhibit I'!E48</f>
        <v>200.8</v>
      </c>
      <c r="D86" s="529"/>
      <c r="E86" s="529">
        <f>+'Exhibit G'!F61+'Exhibit I'!G48</f>
        <v>2.8</v>
      </c>
      <c r="F86" s="529"/>
      <c r="G86" s="529">
        <f>+'Exhibit G'!H61+'Exhibit I'!I48</f>
        <v>146.39999999999998</v>
      </c>
      <c r="H86" s="529"/>
      <c r="I86" s="529">
        <f>+'Exhibit G'!J61+'Exhibit I'!K48</f>
        <v>155.30000000000001</v>
      </c>
      <c r="J86" s="529"/>
      <c r="K86" s="529">
        <f>+'Exhibit G'!L61+'Exhibit I'!M48</f>
        <v>79.199999999999989</v>
      </c>
      <c r="L86" s="529"/>
      <c r="M86" s="529">
        <f>+'Exhibit G'!N61+'Exhibit I'!O48</f>
        <v>499.09999999999997</v>
      </c>
      <c r="N86" s="529"/>
      <c r="O86" s="529">
        <f>+'Exhibit G'!P61+'Exhibit I'!Q48</f>
        <v>1588.1999999999998</v>
      </c>
      <c r="P86" s="529"/>
      <c r="Q86" s="529">
        <f>+'Exhibit G'!R61+'Exhibit I'!S48</f>
        <v>23.599999999999909</v>
      </c>
      <c r="R86" s="529"/>
      <c r="S86" s="529">
        <f>+'Exhibit G'!T61+'Exhibit I'!U48</f>
        <v>328.29999999999973</v>
      </c>
      <c r="T86" s="529"/>
      <c r="U86" s="529">
        <f>+'Exhibit G'!V61+'Exhibit I'!W48</f>
        <v>519.40000000000009</v>
      </c>
      <c r="V86" s="529"/>
      <c r="W86" s="529"/>
      <c r="X86" s="529"/>
      <c r="Y86" s="529"/>
      <c r="Z86" s="529"/>
      <c r="AA86" s="530"/>
      <c r="AB86" s="1685">
        <f t="shared" si="11"/>
        <v>3543.1</v>
      </c>
      <c r="AC86" s="1685"/>
      <c r="AD86" s="3490"/>
      <c r="AE86" s="1685">
        <f>+'Exhibit G'!AG61+'Exhibit I'!AI48</f>
        <v>3878.1</v>
      </c>
      <c r="AF86" s="1685"/>
      <c r="AG86" s="1685"/>
      <c r="AH86" s="1685">
        <f t="shared" si="12"/>
        <v>-335</v>
      </c>
      <c r="AI86" s="3252"/>
      <c r="AJ86" s="1779">
        <f>ROUND(IF(AE86=0,1,AH86/ABS(AE86)),3)</f>
        <v>-8.5999999999999993E-2</v>
      </c>
    </row>
    <row r="87" spans="1:36" ht="16.5" customHeight="1">
      <c r="A87" s="908" t="s">
        <v>1050</v>
      </c>
      <c r="B87" s="908"/>
      <c r="C87" s="529">
        <f>+'Exhibit F'!D77+'Exhibit G'!D62</f>
        <v>0</v>
      </c>
      <c r="D87" s="529"/>
      <c r="E87" s="529">
        <f>+'Exhibit F'!F77+'Exhibit G'!F62</f>
        <v>0</v>
      </c>
      <c r="F87" s="529"/>
      <c r="G87" s="529">
        <f>+'Exhibit F'!H77+'Exhibit G'!H62</f>
        <v>0</v>
      </c>
      <c r="H87" s="529"/>
      <c r="I87" s="529">
        <f>+'Exhibit F'!J77+'Exhibit G'!J62</f>
        <v>0</v>
      </c>
      <c r="J87" s="529"/>
      <c r="K87" s="529">
        <f>+'Exhibit F'!L77+'Exhibit G'!L62</f>
        <v>5.0999999999999996</v>
      </c>
      <c r="L87" s="529"/>
      <c r="M87" s="529">
        <f>+'Exhibit F'!N77+'Exhibit G'!N62</f>
        <v>28.1</v>
      </c>
      <c r="N87" s="529"/>
      <c r="O87" s="529">
        <f>+'Exhibit F'!P77+'Exhibit G'!P62</f>
        <v>13.499999999999998</v>
      </c>
      <c r="P87" s="529"/>
      <c r="Q87" s="529">
        <f>+'Exhibit F'!R77+'Exhibit G'!R62</f>
        <v>0</v>
      </c>
      <c r="R87" s="529"/>
      <c r="S87" s="529">
        <f>+'Exhibit F'!T77+'Exhibit G'!T62</f>
        <v>6.0000000000000036</v>
      </c>
      <c r="T87" s="529"/>
      <c r="U87" s="529">
        <f>+'Exhibit F'!V77+'Exhibit G'!V62</f>
        <v>-12.200000000000003</v>
      </c>
      <c r="V87" s="529"/>
      <c r="W87" s="529"/>
      <c r="X87" s="529"/>
      <c r="Y87" s="529"/>
      <c r="Z87" s="529"/>
      <c r="AA87" s="530"/>
      <c r="AB87" s="1685">
        <f t="shared" si="11"/>
        <v>40.5</v>
      </c>
      <c r="AC87" s="1685"/>
      <c r="AD87" s="3490"/>
      <c r="AE87" s="1685">
        <f>+'Exhibit F'!AF77+'Exhibit G'!AG62</f>
        <v>46.400000000000006</v>
      </c>
      <c r="AF87" s="1685"/>
      <c r="AG87" s="1685"/>
      <c r="AH87" s="1685">
        <f t="shared" si="12"/>
        <v>-5.9</v>
      </c>
      <c r="AI87" s="3252"/>
      <c r="AJ87" s="1774">
        <f>ROUND(IF(AE87=0,0,AH87/ABS(AE87)),3)</f>
        <v>-0.127</v>
      </c>
    </row>
    <row r="88" spans="1:36" ht="16.5" customHeight="1">
      <c r="A88" s="908" t="s">
        <v>1051</v>
      </c>
      <c r="B88" s="908"/>
      <c r="C88" s="529">
        <f>+'Exhibit F'!D78+'Exhibit G'!D63</f>
        <v>2</v>
      </c>
      <c r="D88" s="529"/>
      <c r="E88" s="529">
        <f>+'Exhibit F'!F78+'Exhibit G'!F63</f>
        <v>1</v>
      </c>
      <c r="F88" s="529"/>
      <c r="G88" s="529">
        <f>+'Exhibit F'!H78+'Exhibit G'!H63</f>
        <v>15.100000000000001</v>
      </c>
      <c r="H88" s="529"/>
      <c r="I88" s="529">
        <f>+'Exhibit F'!J78+'Exhibit G'!J63</f>
        <v>6.9999999999999982</v>
      </c>
      <c r="J88" s="529"/>
      <c r="K88" s="529">
        <f>+'Exhibit F'!L78+'Exhibit G'!L63</f>
        <v>0</v>
      </c>
      <c r="L88" s="529"/>
      <c r="M88" s="529">
        <f>+'Exhibit F'!N78+'Exhibit G'!N63</f>
        <v>0.80000000000000071</v>
      </c>
      <c r="N88" s="529"/>
      <c r="O88" s="529">
        <f>+'Exhibit F'!P78+'Exhibit G'!P63</f>
        <v>14.800000000000002</v>
      </c>
      <c r="P88" s="529"/>
      <c r="Q88" s="529">
        <f>+'Exhibit F'!R78+'Exhibit G'!R63</f>
        <v>3.4999999999999982</v>
      </c>
      <c r="R88" s="529"/>
      <c r="S88" s="529">
        <f>+'Exhibit F'!T78+'Exhibit G'!T63</f>
        <v>9.5</v>
      </c>
      <c r="T88" s="529"/>
      <c r="U88" s="529">
        <f>+'Exhibit F'!V78+'Exhibit G'!V63</f>
        <v>29.79999999999999</v>
      </c>
      <c r="V88" s="529"/>
      <c r="W88" s="529"/>
      <c r="X88" s="529"/>
      <c r="Y88" s="529"/>
      <c r="Z88" s="529"/>
      <c r="AA88" s="530"/>
      <c r="AB88" s="1685">
        <f t="shared" si="11"/>
        <v>83.5</v>
      </c>
      <c r="AC88" s="1685"/>
      <c r="AD88" s="3490"/>
      <c r="AE88" s="1685">
        <f>+'Exhibit F'!AF78+'Exhibit G'!AG63</f>
        <v>91.2</v>
      </c>
      <c r="AF88" s="1685"/>
      <c r="AG88" s="1685"/>
      <c r="AH88" s="1685">
        <f t="shared" si="12"/>
        <v>-7.7</v>
      </c>
      <c r="AI88" s="3252"/>
      <c r="AJ88" s="1779">
        <f t="shared" ref="AJ88:AJ91" si="14">ROUND(IF(AE88=0,0,AH88/ABS(AE88)),3)</f>
        <v>-8.4000000000000005E-2</v>
      </c>
    </row>
    <row r="89" spans="1:36" ht="16.5" customHeight="1">
      <c r="A89" s="908" t="s">
        <v>1052</v>
      </c>
      <c r="B89" s="908"/>
      <c r="C89" s="529">
        <f>+'Exhibit F'!D79+'Exhibit G'!D64+'Exhibit I'!E50</f>
        <v>4.2</v>
      </c>
      <c r="D89" s="529"/>
      <c r="E89" s="529">
        <f>+'Exhibit F'!F79+'Exhibit G'!F64+'Exhibit I'!G50</f>
        <v>4.8000000000000007</v>
      </c>
      <c r="F89" s="529"/>
      <c r="G89" s="529">
        <f>+'Exhibit F'!H79+'Exhibit G'!H64+'Exhibit I'!I50</f>
        <v>4.6999999999999993</v>
      </c>
      <c r="H89" s="529"/>
      <c r="I89" s="529">
        <f>+'Exhibit F'!J79+'Exhibit G'!J64+'Exhibit I'!K50</f>
        <v>13.4</v>
      </c>
      <c r="J89" s="529"/>
      <c r="K89" s="529">
        <f>+'Exhibit F'!L79+'Exhibit G'!L64+'Exhibit I'!M50</f>
        <v>0</v>
      </c>
      <c r="L89" s="529"/>
      <c r="M89" s="529">
        <f>+'Exhibit F'!N79+'Exhibit G'!N64+'Exhibit I'!O50</f>
        <v>26.699999999999996</v>
      </c>
      <c r="N89" s="529"/>
      <c r="O89" s="529">
        <f>+'Exhibit F'!P79+'Exhibit G'!P64+'Exhibit I'!Q50</f>
        <v>24.900000000000002</v>
      </c>
      <c r="P89" s="529"/>
      <c r="Q89" s="529">
        <f>+'Exhibit F'!R79+'Exhibit G'!R64+'Exhibit I'!S50</f>
        <v>25.3</v>
      </c>
      <c r="R89" s="529"/>
      <c r="S89" s="529">
        <f>+'Exhibit F'!T79+'Exhibit G'!T64+'Exhibit I'!U50</f>
        <v>3</v>
      </c>
      <c r="T89" s="529"/>
      <c r="U89" s="529">
        <f>+'Exhibit F'!V79+'Exhibit G'!V64+'Exhibit I'!W50</f>
        <v>25.399999999999995</v>
      </c>
      <c r="V89" s="529"/>
      <c r="W89" s="529"/>
      <c r="X89" s="529"/>
      <c r="Y89" s="529"/>
      <c r="Z89" s="529"/>
      <c r="AA89" s="530"/>
      <c r="AB89" s="1685">
        <f t="shared" si="11"/>
        <v>132.4</v>
      </c>
      <c r="AC89" s="1685"/>
      <c r="AD89" s="3490"/>
      <c r="AE89" s="1685">
        <f>+'Exhibit F'!AF79+'Exhibit G'!AG64+'Exhibit I'!AI50</f>
        <v>75.5</v>
      </c>
      <c r="AF89" s="1685"/>
      <c r="AG89" s="1685"/>
      <c r="AH89" s="1685">
        <f t="shared" si="12"/>
        <v>56.9</v>
      </c>
      <c r="AI89" s="3252"/>
      <c r="AJ89" s="1774">
        <f t="shared" si="14"/>
        <v>0.754</v>
      </c>
    </row>
    <row r="90" spans="1:36" ht="16.5" customHeight="1">
      <c r="A90" s="908" t="s">
        <v>1053</v>
      </c>
      <c r="B90" s="908"/>
      <c r="C90" s="529">
        <f>+'Exhibit F'!D80+'Exhibit G'!D65+'Exhibit H'!B39+'Exhibit I'!E51</f>
        <v>26.400000000000002</v>
      </c>
      <c r="D90" s="529"/>
      <c r="E90" s="529">
        <f>+'Exhibit F'!F80+'Exhibit G'!F65+'Exhibit H'!D39+'Exhibit I'!G51</f>
        <v>3.1999999999999993</v>
      </c>
      <c r="F90" s="529"/>
      <c r="G90" s="529">
        <f>+'Exhibit F'!H80+'Exhibit G'!H65+'Exhibit H'!F39+'Exhibit I'!I51</f>
        <v>6.5999999999999988</v>
      </c>
      <c r="H90" s="529"/>
      <c r="I90" s="529">
        <f>+'Exhibit F'!J80+'Exhibit G'!J65+'Exhibit H'!H39+'Exhibit I'!K51</f>
        <v>4.4000000000000012</v>
      </c>
      <c r="J90" s="529"/>
      <c r="K90" s="529">
        <f>+'Exhibit F'!L80+'Exhibit G'!L65+'Exhibit H'!J39+'Exhibit I'!M51</f>
        <v>2.600000000000001</v>
      </c>
      <c r="L90" s="529"/>
      <c r="M90" s="529">
        <f>+'Exhibit F'!N80+'Exhibit G'!N65+'Exhibit H'!L39+'Exhibit I'!O51</f>
        <v>6.099999999999997</v>
      </c>
      <c r="N90" s="529"/>
      <c r="O90" s="529">
        <f>+'Exhibit F'!P80+'Exhibit G'!P65+'Exhibit H'!N39+'Exhibit I'!Q51</f>
        <v>4.6000000000000076</v>
      </c>
      <c r="P90" s="529"/>
      <c r="Q90" s="529">
        <f>+'Exhibit F'!R80+'Exhibit G'!R65+'Exhibit H'!P39+'Exhibit I'!S51</f>
        <v>2.2999999999999954</v>
      </c>
      <c r="R90" s="529"/>
      <c r="S90" s="529">
        <f>+'Exhibit F'!T80+'Exhibit G'!T65+'Exhibit H'!R39+'Exhibit I'!U51</f>
        <v>5.9999999999999982</v>
      </c>
      <c r="T90" s="529"/>
      <c r="U90" s="529">
        <f>+'Exhibit F'!V80+'Exhibit G'!V65+'Exhibit H'!T39+'Exhibit I'!W51</f>
        <v>3.4000000000000021</v>
      </c>
      <c r="V90" s="529"/>
      <c r="W90" s="529"/>
      <c r="X90" s="529"/>
      <c r="Y90" s="529"/>
      <c r="Z90" s="529"/>
      <c r="AA90" s="530"/>
      <c r="AB90" s="1685">
        <f t="shared" si="11"/>
        <v>65.599999999999994</v>
      </c>
      <c r="AC90" s="1685"/>
      <c r="AD90" s="3490"/>
      <c r="AE90" s="1685">
        <f>+'Exhibit F'!AF80+'Exhibit G'!AG65+'Exhibit H'!AD39+'Exhibit I'!AI51</f>
        <v>266.39999999999998</v>
      </c>
      <c r="AF90" s="1685"/>
      <c r="AG90" s="1685"/>
      <c r="AH90" s="1685">
        <f t="shared" si="12"/>
        <v>-200.8</v>
      </c>
      <c r="AI90" s="3252"/>
      <c r="AJ90" s="1774">
        <f t="shared" si="14"/>
        <v>-0.754</v>
      </c>
    </row>
    <row r="91" spans="1:36" ht="16.5" customHeight="1">
      <c r="A91" s="908" t="s">
        <v>1054</v>
      </c>
      <c r="B91" s="908"/>
      <c r="C91" s="529">
        <f>+'Exhibit F'!D81+'Exhibit G'!D66+'Exhibit H'!B40+'Exhibit I'!E52</f>
        <v>40.199999999999996</v>
      </c>
      <c r="D91" s="529"/>
      <c r="E91" s="529">
        <f>+'Exhibit F'!F81+'Exhibit G'!F66+'Exhibit H'!D40+'Exhibit I'!G52</f>
        <v>29.100000000000005</v>
      </c>
      <c r="F91" s="529"/>
      <c r="G91" s="529">
        <f>+'Exhibit F'!H81+'Exhibit G'!H66+'Exhibit H'!F40+'Exhibit I'!I52</f>
        <v>9.0999999999999908</v>
      </c>
      <c r="H91" s="529"/>
      <c r="I91" s="529">
        <f>+'Exhibit F'!J81+'Exhibit G'!J66+'Exhibit H'!H40+'Exhibit I'!K52</f>
        <v>30.200000000000014</v>
      </c>
      <c r="J91" s="529"/>
      <c r="K91" s="529">
        <f>+'Exhibit F'!L81+'Exhibit G'!L66+'Exhibit H'!J40+'Exhibit I'!M52</f>
        <v>2.6000000000000059</v>
      </c>
      <c r="L91" s="529"/>
      <c r="M91" s="529">
        <f>+'Exhibit F'!N81+'Exhibit G'!N66+'Exhibit H'!L40+'Exhibit I'!O52</f>
        <v>1.3999999999999855</v>
      </c>
      <c r="N91" s="529"/>
      <c r="O91" s="529">
        <f>+'Exhibit F'!P81+'Exhibit G'!P66+'Exhibit H'!N40+'Exhibit I'!Q52</f>
        <v>66.40000000000002</v>
      </c>
      <c r="P91" s="529"/>
      <c r="Q91" s="529">
        <f>+'Exhibit F'!R81+'Exhibit G'!R66+'Exhibit H'!P40+'Exhibit I'!S52</f>
        <v>24.900000000000016</v>
      </c>
      <c r="R91" s="529"/>
      <c r="S91" s="529">
        <f>+'Exhibit F'!T81+'Exhibit G'!T66+'Exhibit H'!R40+'Exhibit I'!U52</f>
        <v>23.499999999999993</v>
      </c>
      <c r="T91" s="529"/>
      <c r="U91" s="529">
        <f>+'Exhibit F'!V81+'Exhibit G'!V66+'Exhibit H'!T40+'Exhibit I'!W52</f>
        <v>49.30000000000004</v>
      </c>
      <c r="V91" s="529"/>
      <c r="W91" s="529"/>
      <c r="X91" s="529"/>
      <c r="Y91" s="529"/>
      <c r="Z91" s="529"/>
      <c r="AA91" s="530"/>
      <c r="AB91" s="1685">
        <f t="shared" si="11"/>
        <v>276.7</v>
      </c>
      <c r="AC91" s="1685"/>
      <c r="AD91" s="3490"/>
      <c r="AE91" s="1685">
        <f>+'Exhibit F'!AF81+'Exhibit G'!AG66+'Exhibit H'!AD40+'Exhibit I'!AI52</f>
        <v>305.10000000000002</v>
      </c>
      <c r="AF91" s="1685"/>
      <c r="AG91" s="1685"/>
      <c r="AH91" s="1685">
        <f t="shared" si="12"/>
        <v>-28.4</v>
      </c>
      <c r="AI91" s="3252"/>
      <c r="AJ91" s="1774">
        <f t="shared" si="14"/>
        <v>-9.2999999999999999E-2</v>
      </c>
    </row>
    <row r="92" spans="1:36" ht="16.5" customHeight="1">
      <c r="A92" s="908" t="s">
        <v>1159</v>
      </c>
      <c r="B92" s="908"/>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30"/>
      <c r="AB92" s="1685"/>
      <c r="AC92" s="1685"/>
      <c r="AD92" s="3490"/>
      <c r="AE92" s="1685"/>
      <c r="AF92" s="1685"/>
      <c r="AG92" s="1685"/>
      <c r="AH92" s="1685"/>
      <c r="AI92" s="3252"/>
      <c r="AJ92" s="1774"/>
    </row>
    <row r="93" spans="1:36" ht="16.5" customHeight="1">
      <c r="A93" s="908" t="s">
        <v>1055</v>
      </c>
      <c r="B93" s="908"/>
      <c r="C93" s="529">
        <f>+'Exhibit F'!D83+'Exhibit G'!D68+'Exhibit I'!E54</f>
        <v>1.9</v>
      </c>
      <c r="D93" s="529"/>
      <c r="E93" s="529">
        <f>+'Exhibit F'!F83+'Exhibit G'!F68+'Exhibit I'!G54</f>
        <v>2.8000000000000003</v>
      </c>
      <c r="F93" s="529"/>
      <c r="G93" s="529">
        <f>+'Exhibit F'!H83+'Exhibit G'!H68+'Exhibit I'!I54</f>
        <v>24.700000000000003</v>
      </c>
      <c r="H93" s="529"/>
      <c r="I93" s="529">
        <f>+'Exhibit F'!J83+'Exhibit G'!J68+'Exhibit I'!K54</f>
        <v>17.7</v>
      </c>
      <c r="J93" s="529"/>
      <c r="K93" s="529">
        <f>+'Exhibit F'!L83+'Exhibit G'!L68+'Exhibit I'!M54</f>
        <v>4.5999999999999979</v>
      </c>
      <c r="L93" s="529"/>
      <c r="M93" s="529">
        <f>+'Exhibit F'!N83+'Exhibit G'!N68+'Exhibit I'!O54</f>
        <v>21.900000000000006</v>
      </c>
      <c r="N93" s="529"/>
      <c r="O93" s="529">
        <f>+'Exhibit F'!P83+'Exhibit G'!P68+'Exhibit I'!Q54</f>
        <v>26.700000000000003</v>
      </c>
      <c r="P93" s="529"/>
      <c r="Q93" s="529">
        <f>+'Exhibit F'!R83+'Exhibit G'!R68+'Exhibit I'!S54</f>
        <v>27.6</v>
      </c>
      <c r="R93" s="529"/>
      <c r="S93" s="529">
        <f>+'Exhibit F'!T83+'Exhibit G'!T68+'Exhibit I'!U54</f>
        <v>32.000000000000007</v>
      </c>
      <c r="T93" s="529"/>
      <c r="U93" s="529">
        <f>+'Exhibit F'!V83+'Exhibit G'!V68+'Exhibit I'!W54</f>
        <v>15.899999999999977</v>
      </c>
      <c r="V93" s="529"/>
      <c r="W93" s="529"/>
      <c r="X93" s="529"/>
      <c r="Y93" s="529"/>
      <c r="Z93" s="529"/>
      <c r="AA93" s="530"/>
      <c r="AB93" s="1685">
        <f t="shared" si="11"/>
        <v>175.8</v>
      </c>
      <c r="AC93" s="1685"/>
      <c r="AD93" s="3490"/>
      <c r="AE93" s="1685">
        <f>+'Exhibit F'!AF83+'Exhibit G'!AG68+'Exhibit I'!AI54</f>
        <v>156.1</v>
      </c>
      <c r="AF93" s="1685"/>
      <c r="AG93" s="1685"/>
      <c r="AH93" s="1685">
        <f t="shared" si="12"/>
        <v>19.7</v>
      </c>
      <c r="AI93" s="3252"/>
      <c r="AJ93" s="1774">
        <f>ROUND(IF(AE93=0,0,AH93/ABS(AE93)),3)</f>
        <v>0.126</v>
      </c>
    </row>
    <row r="94" spans="1:36" ht="16.5" customHeight="1">
      <c r="A94" s="908" t="s">
        <v>1056</v>
      </c>
      <c r="B94" s="908"/>
      <c r="C94" s="529">
        <f>+'Exhibit G'!D69+'Exhibit F'!D84</f>
        <v>0.6</v>
      </c>
      <c r="D94" s="529"/>
      <c r="E94" s="529">
        <f>+'Exhibit G'!F69+'Exhibit F'!F84</f>
        <v>0.6</v>
      </c>
      <c r="F94" s="529"/>
      <c r="G94" s="529">
        <f>+'Exhibit G'!H69+'Exhibit F'!H84</f>
        <v>0.6</v>
      </c>
      <c r="H94" s="529"/>
      <c r="I94" s="529">
        <f>+'Exhibit G'!J69+'Exhibit F'!J84</f>
        <v>0.60000000000000586</v>
      </c>
      <c r="J94" s="529"/>
      <c r="K94" s="529">
        <f>+'Exhibit G'!L69+'Exhibit F'!L84</f>
        <v>0.19999999999999143</v>
      </c>
      <c r="L94" s="529"/>
      <c r="M94" s="529">
        <f>+'Exhibit G'!N69+'Exhibit F'!N84</f>
        <v>0.79999999999999716</v>
      </c>
      <c r="N94" s="529"/>
      <c r="O94" s="529">
        <f>+'Exhibit G'!P69+'Exhibit F'!P84</f>
        <v>0.70000000000001705</v>
      </c>
      <c r="P94" s="529"/>
      <c r="Q94" s="529">
        <f>+'Exhibit G'!R69+'Exhibit F'!R84</f>
        <v>0.79999999999999405</v>
      </c>
      <c r="R94" s="529"/>
      <c r="S94" s="529">
        <f>+'Exhibit G'!T69+'Exhibit F'!T84</f>
        <v>82.300000000000011</v>
      </c>
      <c r="T94" s="529"/>
      <c r="U94" s="529">
        <f>+'Exhibit G'!V69+'Exhibit F'!V84</f>
        <v>-66.899999999999977</v>
      </c>
      <c r="V94" s="529"/>
      <c r="W94" s="529"/>
      <c r="X94" s="529"/>
      <c r="Y94" s="529"/>
      <c r="Z94" s="529"/>
      <c r="AA94" s="530"/>
      <c r="AB94" s="1685">
        <f t="shared" si="11"/>
        <v>20.3</v>
      </c>
      <c r="AC94" s="1685"/>
      <c r="AD94" s="3490"/>
      <c r="AE94" s="1685">
        <f>+'Exhibit G'!AG69+'Exhibit F'!AF84</f>
        <v>14.1</v>
      </c>
      <c r="AF94" s="1685"/>
      <c r="AG94" s="1685"/>
      <c r="AH94" s="1685">
        <f t="shared" si="12"/>
        <v>6.2</v>
      </c>
      <c r="AI94" s="3252"/>
      <c r="AJ94" s="1774">
        <f>ROUND(IF(AE94=0,0,AH94/ABS(AE94)),3)</f>
        <v>0.44</v>
      </c>
    </row>
    <row r="95" spans="1:36" ht="16.5" customHeight="1">
      <c r="A95" s="908" t="s">
        <v>1429</v>
      </c>
      <c r="B95" s="908"/>
      <c r="C95" s="529">
        <v>0</v>
      </c>
      <c r="D95" s="529"/>
      <c r="E95" s="529">
        <v>0</v>
      </c>
      <c r="F95" s="529"/>
      <c r="G95" s="529">
        <v>0</v>
      </c>
      <c r="H95" s="529"/>
      <c r="I95" s="529">
        <v>0</v>
      </c>
      <c r="J95" s="529"/>
      <c r="K95" s="529">
        <v>0</v>
      </c>
      <c r="L95" s="529"/>
      <c r="M95" s="529">
        <v>0</v>
      </c>
      <c r="N95" s="529"/>
      <c r="O95" s="529">
        <v>0</v>
      </c>
      <c r="P95" s="529"/>
      <c r="Q95" s="529">
        <v>0</v>
      </c>
      <c r="R95" s="529"/>
      <c r="S95" s="529">
        <v>0</v>
      </c>
      <c r="T95" s="529"/>
      <c r="U95" s="529">
        <f>+'Exhibit G'!V70</f>
        <v>468</v>
      </c>
      <c r="V95" s="529"/>
      <c r="W95" s="1685"/>
      <c r="X95" s="529"/>
      <c r="Y95" s="1685"/>
      <c r="Z95" s="529"/>
      <c r="AA95" s="977"/>
      <c r="AB95" s="1685">
        <f t="shared" si="11"/>
        <v>468</v>
      </c>
      <c r="AC95" s="1685"/>
      <c r="AD95" s="3490"/>
      <c r="AE95" s="1685">
        <f>'Exhibit G'!AG70</f>
        <v>1068</v>
      </c>
      <c r="AF95" s="1685"/>
      <c r="AG95" s="1685"/>
      <c r="AH95" s="1685">
        <f t="shared" ref="AH95" si="15">ROUND(SUM(AB95-AE95),1)</f>
        <v>-600</v>
      </c>
      <c r="AI95" s="3252"/>
      <c r="AJ95" s="1774">
        <f>ROUND(IF(AE95=0,0,AH95/ABS(AE95)),3)</f>
        <v>-0.56200000000000006</v>
      </c>
    </row>
    <row r="96" spans="1:36" ht="16.5" customHeight="1">
      <c r="A96" s="908" t="s">
        <v>1057</v>
      </c>
      <c r="B96" s="908"/>
      <c r="C96" s="529">
        <f>+'Exhibit F'!D85+'Exhibit G'!D71+'Exhibit I'!E55</f>
        <v>10.9</v>
      </c>
      <c r="D96" s="529"/>
      <c r="E96" s="529">
        <f>+'Exhibit F'!F85+'Exhibit G'!F71+'Exhibit I'!G55</f>
        <v>1.5</v>
      </c>
      <c r="F96" s="529"/>
      <c r="G96" s="529">
        <f>+'Exhibit F'!H85+'Exhibit G'!H71+'Exhibit I'!I55</f>
        <v>3.1000000000000005</v>
      </c>
      <c r="H96" s="529"/>
      <c r="I96" s="529">
        <f>+'Exhibit F'!J85+'Exhibit G'!J71+'Exhibit I'!K55</f>
        <v>0.90000000000000036</v>
      </c>
      <c r="J96" s="529"/>
      <c r="K96" s="529">
        <f>+'Exhibit F'!L85+'Exhibit G'!L71+'Exhibit I'!M55</f>
        <v>0.90000000000000036</v>
      </c>
      <c r="L96" s="529"/>
      <c r="M96" s="529">
        <f>+'Exhibit F'!N85+'Exhibit G'!N71+'Exhibit I'!O55</f>
        <v>0.29999999999999893</v>
      </c>
      <c r="N96" s="529"/>
      <c r="O96" s="529">
        <f>+'Exhibit F'!P85+'Exhibit G'!P71+'Exhibit I'!Q55</f>
        <v>3.7</v>
      </c>
      <c r="P96" s="529"/>
      <c r="Q96" s="529">
        <f>+'Exhibit F'!R85+'Exhibit G'!R71+'Exhibit I'!S55</f>
        <v>1.9999999999999991</v>
      </c>
      <c r="R96" s="529"/>
      <c r="S96" s="529">
        <f>+'Exhibit F'!T85+'Exhibit G'!T71+'Exhibit I'!U55</f>
        <v>3.1000000000000014</v>
      </c>
      <c r="T96" s="529"/>
      <c r="U96" s="529">
        <f>+'Exhibit F'!V85+'Exhibit G'!V71+'Exhibit I'!W55</f>
        <v>0.89999999999999858</v>
      </c>
      <c r="V96" s="529"/>
      <c r="W96" s="529"/>
      <c r="X96" s="529"/>
      <c r="Y96" s="529"/>
      <c r="Z96" s="529"/>
      <c r="AA96" s="530"/>
      <c r="AB96" s="1685">
        <f t="shared" si="11"/>
        <v>27.3</v>
      </c>
      <c r="AC96" s="1685"/>
      <c r="AD96" s="3490"/>
      <c r="AE96" s="1685">
        <f>+'Exhibit F'!AF85+'Exhibit G'!AG71+'Exhibit I'!AI55</f>
        <v>108</v>
      </c>
      <c r="AF96" s="1685"/>
      <c r="AG96" s="1685"/>
      <c r="AH96" s="1685">
        <f t="shared" si="12"/>
        <v>-80.7</v>
      </c>
      <c r="AI96" s="3252"/>
      <c r="AJ96" s="1775">
        <f t="shared" ref="AJ96:AJ103" si="16">ROUND(IF(AE96=0,0,AH96/ABS(AE96)),3)</f>
        <v>-0.747</v>
      </c>
    </row>
    <row r="97" spans="1:45" ht="16.5" customHeight="1">
      <c r="A97" s="908" t="s">
        <v>1058</v>
      </c>
      <c r="B97" s="908"/>
      <c r="C97" s="529">
        <f>+'Exhibit F'!D86+'Exhibit G'!D72+'Exhibit I'!E56</f>
        <v>5.6</v>
      </c>
      <c r="D97" s="529"/>
      <c r="E97" s="529">
        <f>+'Exhibit F'!F86+'Exhibit G'!F72+'Exhibit I'!G56</f>
        <v>5.2000000000000011</v>
      </c>
      <c r="F97" s="529"/>
      <c r="G97" s="529">
        <f>+'Exhibit F'!H86+'Exhibit G'!H72+'Exhibit I'!I56</f>
        <v>8.6999999999999993</v>
      </c>
      <c r="H97" s="529"/>
      <c r="I97" s="529">
        <f>+'Exhibit F'!J86+'Exhibit G'!J72+'Exhibit I'!K56</f>
        <v>8.3000000000000007</v>
      </c>
      <c r="J97" s="529"/>
      <c r="K97" s="529">
        <f>+'Exhibit F'!L86+'Exhibit G'!L72+'Exhibit I'!M56</f>
        <v>7.1999999999999957</v>
      </c>
      <c r="L97" s="529"/>
      <c r="M97" s="529">
        <f>+'Exhibit F'!N86+'Exhibit G'!N72+'Exhibit I'!O56</f>
        <v>5.7999999999999972</v>
      </c>
      <c r="N97" s="529"/>
      <c r="O97" s="529">
        <f>+'Exhibit F'!P86+'Exhibit G'!P72+'Exhibit I'!Q56</f>
        <v>7</v>
      </c>
      <c r="P97" s="529"/>
      <c r="Q97" s="529">
        <f>+'Exhibit F'!R86+'Exhibit G'!R72+'Exhibit I'!S56</f>
        <v>6.2000000000000064</v>
      </c>
      <c r="R97" s="529"/>
      <c r="S97" s="529">
        <f>+'Exhibit F'!T86+'Exhibit G'!T72+'Exhibit I'!U56</f>
        <v>6.5999999999999979</v>
      </c>
      <c r="T97" s="529"/>
      <c r="U97" s="529">
        <f>+'Exhibit F'!V86+'Exhibit G'!V72+'Exhibit I'!W56</f>
        <v>9.9000000000000057</v>
      </c>
      <c r="V97" s="529"/>
      <c r="W97" s="529"/>
      <c r="X97" s="529"/>
      <c r="Y97" s="529"/>
      <c r="Z97" s="529"/>
      <c r="AA97" s="530"/>
      <c r="AB97" s="1685">
        <f>ROUND(SUM(C97:Y97),1)</f>
        <v>70.5</v>
      </c>
      <c r="AC97" s="1685"/>
      <c r="AD97" s="3490"/>
      <c r="AE97" s="1685">
        <f>+'Exhibit F'!AF86+'Exhibit G'!AG72+'Exhibit I'!AI56</f>
        <v>80.599999999999994</v>
      </c>
      <c r="AF97" s="1685"/>
      <c r="AG97" s="1685"/>
      <c r="AH97" s="1685">
        <f t="shared" si="12"/>
        <v>-10.1</v>
      </c>
      <c r="AI97" s="3252"/>
      <c r="AJ97" s="1775">
        <f t="shared" si="16"/>
        <v>-0.125</v>
      </c>
    </row>
    <row r="98" spans="1:45" ht="16.5" customHeight="1">
      <c r="A98" s="908" t="s">
        <v>1059</v>
      </c>
      <c r="B98" s="908"/>
      <c r="C98" s="529">
        <f>+'Exhibit F'!D87+'Exhibit G'!D73+'Exhibit H'!B42</f>
        <v>239.4</v>
      </c>
      <c r="D98" s="529"/>
      <c r="E98" s="529">
        <f>+'Exhibit F'!F87+'Exhibit G'!F73+'Exhibit H'!D42</f>
        <v>194.89999999999998</v>
      </c>
      <c r="F98" s="529"/>
      <c r="G98" s="529">
        <f>+'Exhibit F'!H87+'Exhibit G'!H73+'Exhibit H'!F42</f>
        <v>198.09999999999997</v>
      </c>
      <c r="H98" s="529"/>
      <c r="I98" s="529">
        <f>+'Exhibit F'!J87+'Exhibit G'!J73+'Exhibit H'!H42</f>
        <v>240.80000000000013</v>
      </c>
      <c r="J98" s="529"/>
      <c r="K98" s="529">
        <f>+'Exhibit F'!L87+'Exhibit G'!L73+'Exhibit H'!J42</f>
        <v>208.29999999999984</v>
      </c>
      <c r="L98" s="529"/>
      <c r="M98" s="529">
        <f>+'Exhibit F'!N87+'Exhibit G'!N73+'Exhibit H'!L42</f>
        <v>264.5</v>
      </c>
      <c r="N98" s="529"/>
      <c r="O98" s="529">
        <f>+'Exhibit F'!P87+'Exhibit G'!P73+'Exhibit H'!N42</f>
        <v>208.10000000000025</v>
      </c>
      <c r="P98" s="529"/>
      <c r="Q98" s="529">
        <f>+'Exhibit F'!R87+'Exhibit G'!R73+'Exhibit H'!P42</f>
        <v>183.49999999999986</v>
      </c>
      <c r="R98" s="529"/>
      <c r="S98" s="529">
        <f>+'Exhibit F'!T87+'Exhibit G'!T73+'Exhibit H'!R42</f>
        <v>247.09999999999974</v>
      </c>
      <c r="T98" s="529"/>
      <c r="U98" s="529">
        <f>+'Exhibit F'!V87+'Exhibit G'!V73+'Exhibit H'!T42</f>
        <v>135.40000000000032</v>
      </c>
      <c r="V98" s="529"/>
      <c r="W98" s="529"/>
      <c r="X98" s="529"/>
      <c r="Y98" s="529"/>
      <c r="Z98" s="529"/>
      <c r="AA98" s="530"/>
      <c r="AB98" s="1685">
        <f t="shared" si="11"/>
        <v>2120.1</v>
      </c>
      <c r="AC98" s="1685"/>
      <c r="AD98" s="3490"/>
      <c r="AE98" s="1685">
        <f>+'Exhibit F'!AF87+'Exhibit G'!AG73+'Exhibit H'!AD42</f>
        <v>2071.8000000000002</v>
      </c>
      <c r="AF98" s="1685"/>
      <c r="AG98" s="1685"/>
      <c r="AH98" s="1685">
        <f t="shared" si="12"/>
        <v>48.3</v>
      </c>
      <c r="AI98" s="3252"/>
      <c r="AJ98" s="1775">
        <f t="shared" si="16"/>
        <v>2.3E-2</v>
      </c>
    </row>
    <row r="99" spans="1:45" ht="16.5" customHeight="1">
      <c r="A99" s="908" t="s">
        <v>1060</v>
      </c>
      <c r="B99" s="908"/>
      <c r="C99" s="529">
        <f>+'Exhibit G'!D74+'Exhibit F'!D88+'Exhibit I'!E57</f>
        <v>12.3</v>
      </c>
      <c r="D99" s="529"/>
      <c r="E99" s="529">
        <f>+'Exhibit G'!F74+'Exhibit F'!F88+'Exhibit I'!G57</f>
        <v>11.499999999999998</v>
      </c>
      <c r="F99" s="529"/>
      <c r="G99" s="529">
        <f>+'Exhibit G'!H74+'Exhibit F'!H88+'Exhibit I'!I57</f>
        <v>14.7</v>
      </c>
      <c r="H99" s="529"/>
      <c r="I99" s="529">
        <f>+'Exhibit G'!J74+'Exhibit F'!J88+'Exhibit I'!K57</f>
        <v>22.100000000000005</v>
      </c>
      <c r="J99" s="529"/>
      <c r="K99" s="529">
        <f>+'Exhibit G'!L74+'Exhibit F'!L88+'Exhibit I'!M57</f>
        <v>11.7</v>
      </c>
      <c r="L99" s="529"/>
      <c r="M99" s="529">
        <f>+'Exhibit G'!N74+'Exhibit F'!N88+'Exhibit I'!O57</f>
        <v>12.099999999999991</v>
      </c>
      <c r="N99" s="529"/>
      <c r="O99" s="529">
        <f>+'Exhibit G'!P74+'Exhibit F'!P88+'Exhibit I'!Q57</f>
        <v>17.700000000000006</v>
      </c>
      <c r="P99" s="529"/>
      <c r="Q99" s="529">
        <f>+'Exhibit G'!R74+'Exhibit F'!R88+'Exhibit I'!S57</f>
        <v>14.499999999999993</v>
      </c>
      <c r="R99" s="529"/>
      <c r="S99" s="529">
        <f>+'Exhibit G'!T74+'Exhibit F'!T88+'Exhibit I'!U57</f>
        <v>11.499999999999996</v>
      </c>
      <c r="T99" s="529"/>
      <c r="U99" s="529">
        <f>+'Exhibit G'!V74+'Exhibit F'!V88+'Exhibit I'!W57</f>
        <v>13.299999999999995</v>
      </c>
      <c r="V99" s="529"/>
      <c r="W99" s="529"/>
      <c r="X99" s="529"/>
      <c r="Y99" s="529"/>
      <c r="Z99" s="529"/>
      <c r="AA99" s="530"/>
      <c r="AB99" s="1685">
        <f t="shared" si="11"/>
        <v>141.4</v>
      </c>
      <c r="AC99" s="1685"/>
      <c r="AD99" s="3490"/>
      <c r="AE99" s="1685">
        <f>+'Exhibit G'!AG74+'Exhibit F'!AF88+'Exhibit I'!AI57</f>
        <v>138.10000000000002</v>
      </c>
      <c r="AF99" s="1685"/>
      <c r="AG99" s="1685"/>
      <c r="AH99" s="1685">
        <f t="shared" si="12"/>
        <v>3.3</v>
      </c>
      <c r="AI99" s="3252"/>
      <c r="AJ99" s="1775">
        <f t="shared" si="16"/>
        <v>2.4E-2</v>
      </c>
    </row>
    <row r="100" spans="1:45" ht="16.5" customHeight="1">
      <c r="A100" s="908" t="s">
        <v>1061</v>
      </c>
      <c r="B100" s="908"/>
      <c r="C100" s="529">
        <f>+'Exhibit F'!D89+'Exhibit G'!D75+'Exhibit I'!E58</f>
        <v>7.8</v>
      </c>
      <c r="D100" s="529"/>
      <c r="E100" s="529">
        <f>+'Exhibit F'!F89+'Exhibit G'!F75+'Exhibit I'!G58</f>
        <v>1.7000000000000011</v>
      </c>
      <c r="F100" s="529"/>
      <c r="G100" s="529">
        <f>+'Exhibit F'!H89+'Exhibit G'!H75+'Exhibit I'!I58</f>
        <v>1.399999999999999</v>
      </c>
      <c r="H100" s="529"/>
      <c r="I100" s="529">
        <f>+'Exhibit F'!J89+'Exhibit G'!J75+'Exhibit I'!K58</f>
        <v>1.0999999999999999</v>
      </c>
      <c r="J100" s="529"/>
      <c r="K100" s="529">
        <f>+'Exhibit F'!L89+'Exhibit G'!L75+'Exhibit I'!M58</f>
        <v>6.1000000000000005</v>
      </c>
      <c r="L100" s="529"/>
      <c r="M100" s="529">
        <f>+'Exhibit F'!N89+'Exhibit G'!N75+'Exhibit I'!O58</f>
        <v>0.59999999999999842</v>
      </c>
      <c r="N100" s="529"/>
      <c r="O100" s="529">
        <f>+'Exhibit F'!P89+'Exhibit G'!P75+'Exhibit I'!Q58</f>
        <v>3.0000000000000022</v>
      </c>
      <c r="P100" s="529"/>
      <c r="Q100" s="529">
        <f>+'Exhibit F'!R89+'Exhibit G'!R75+'Exhibit I'!S58</f>
        <v>3.9000000000000021</v>
      </c>
      <c r="R100" s="529"/>
      <c r="S100" s="529">
        <f>+'Exhibit F'!T89+'Exhibit G'!T75+'Exhibit I'!U58</f>
        <v>12.200000000000003</v>
      </c>
      <c r="T100" s="529"/>
      <c r="U100" s="529">
        <f>+'Exhibit F'!V89+'Exhibit G'!V75+'Exhibit I'!W58</f>
        <v>25.599999999999998</v>
      </c>
      <c r="V100" s="529"/>
      <c r="W100" s="529"/>
      <c r="X100" s="529"/>
      <c r="Y100" s="529"/>
      <c r="Z100" s="529"/>
      <c r="AA100" s="530"/>
      <c r="AB100" s="1685">
        <f t="shared" si="11"/>
        <v>63.4</v>
      </c>
      <c r="AC100" s="1685"/>
      <c r="AD100" s="3490"/>
      <c r="AE100" s="1685">
        <f>+'Exhibit F'!AF89+'Exhibit G'!AG75+'Exhibit I'!AI58</f>
        <v>185.5</v>
      </c>
      <c r="AF100" s="1685"/>
      <c r="AG100" s="1685"/>
      <c r="AH100" s="1685">
        <f t="shared" si="12"/>
        <v>-122.1</v>
      </c>
      <c r="AI100" s="3252"/>
      <c r="AJ100" s="3486">
        <f t="shared" si="16"/>
        <v>-0.65800000000000003</v>
      </c>
    </row>
    <row r="101" spans="1:45" ht="16.5" customHeight="1">
      <c r="A101" s="908" t="s">
        <v>1062</v>
      </c>
      <c r="B101" s="908"/>
      <c r="C101" s="529">
        <f>+'Exhibit F'!D90+'Exhibit G'!D76</f>
        <v>7.5</v>
      </c>
      <c r="D101" s="529"/>
      <c r="E101" s="529">
        <f>+'Exhibit F'!F90+'Exhibit G'!F76</f>
        <v>3.0999999999999996</v>
      </c>
      <c r="F101" s="529"/>
      <c r="G101" s="529">
        <f>+'Exhibit F'!H90+'Exhibit G'!H76</f>
        <v>8.5000000000000018</v>
      </c>
      <c r="H101" s="529"/>
      <c r="I101" s="529">
        <f>+'Exhibit F'!J90+'Exhibit G'!J76</f>
        <v>7.4999999999999982</v>
      </c>
      <c r="J101" s="529"/>
      <c r="K101" s="529">
        <f>+'Exhibit F'!L90+'Exhibit G'!L76</f>
        <v>1.7000000000000028</v>
      </c>
      <c r="L101" s="529"/>
      <c r="M101" s="529">
        <f>+'Exhibit F'!N90+'Exhibit G'!N76</f>
        <v>10.9</v>
      </c>
      <c r="N101" s="529"/>
      <c r="O101" s="529">
        <f>+'Exhibit F'!P90+'Exhibit G'!P76</f>
        <v>2.2999999999999972</v>
      </c>
      <c r="P101" s="529"/>
      <c r="Q101" s="529">
        <f>+'Exhibit F'!R90+'Exhibit G'!R76</f>
        <v>2.2000000000000011</v>
      </c>
      <c r="R101" s="529"/>
      <c r="S101" s="529">
        <f>+'Exhibit F'!T90+'Exhibit G'!T76</f>
        <v>10.799999999999997</v>
      </c>
      <c r="T101" s="529"/>
      <c r="U101" s="529">
        <f>+'Exhibit F'!V90+'Exhibit G'!V76</f>
        <v>2.5000000000000018</v>
      </c>
      <c r="V101" s="529"/>
      <c r="W101" s="529"/>
      <c r="X101" s="529"/>
      <c r="Y101" s="529"/>
      <c r="Z101" s="529"/>
      <c r="AA101" s="530"/>
      <c r="AB101" s="1685">
        <f t="shared" si="11"/>
        <v>57</v>
      </c>
      <c r="AC101" s="1685"/>
      <c r="AD101" s="3490"/>
      <c r="AE101" s="1685">
        <f>+'Exhibit F'!AF90+'Exhibit G'!AG76</f>
        <v>76.900000000000006</v>
      </c>
      <c r="AF101" s="1685"/>
      <c r="AG101" s="1685"/>
      <c r="AH101" s="1685">
        <f t="shared" si="12"/>
        <v>-19.899999999999999</v>
      </c>
      <c r="AI101" s="3252"/>
      <c r="AJ101" s="1775">
        <f t="shared" si="16"/>
        <v>-0.25900000000000001</v>
      </c>
    </row>
    <row r="102" spans="1:45" ht="16.5" customHeight="1">
      <c r="A102" s="908" t="s">
        <v>1063</v>
      </c>
      <c r="B102" s="908"/>
      <c r="C102" s="529">
        <f>+'Exhibit F'!D91+'Exhibit G'!D77+'Exhibit I'!E59+'Exhibit H'!B43</f>
        <v>52.9</v>
      </c>
      <c r="D102" s="529"/>
      <c r="E102" s="529">
        <f>+'Exhibit F'!F91+'Exhibit G'!F77+'Exhibit I'!G59+'Exhibit H'!D43</f>
        <v>55.999999999999993</v>
      </c>
      <c r="F102" s="529"/>
      <c r="G102" s="529">
        <f>+'Exhibit F'!H91+'Exhibit G'!H77+'Exhibit I'!I59+'Exhibit H'!F43</f>
        <v>47.099999999999994</v>
      </c>
      <c r="H102" s="529"/>
      <c r="I102" s="529">
        <f>+'Exhibit F'!J91+'Exhibit G'!J77+'Exhibit I'!K59+'Exhibit H'!H43</f>
        <v>57.800000000000011</v>
      </c>
      <c r="J102" s="529"/>
      <c r="K102" s="529">
        <f>+'Exhibit F'!L91+'Exhibit G'!L77+'Exhibit I'!M59+'Exhibit H'!J43</f>
        <v>56.7</v>
      </c>
      <c r="L102" s="529"/>
      <c r="M102" s="529">
        <f>+'Exhibit F'!N91+'Exhibit G'!N77+'Exhibit I'!O59+'Exhibit H'!L43</f>
        <v>82.500000000000014</v>
      </c>
      <c r="N102" s="529"/>
      <c r="O102" s="529">
        <f>+'Exhibit F'!P91+'Exhibit G'!P77+'Exhibit I'!Q59+'Exhibit H'!N43</f>
        <v>60.800000000000018</v>
      </c>
      <c r="P102" s="529"/>
      <c r="Q102" s="529">
        <f>+'Exhibit F'!R91+'Exhibit G'!R77+'Exhibit I'!S59+'Exhibit H'!P43</f>
        <v>44.200000000000038</v>
      </c>
      <c r="R102" s="529"/>
      <c r="S102" s="529">
        <f>+'Exhibit F'!T91+'Exhibit G'!T77+'Exhibit I'!U59+'Exhibit H'!R43</f>
        <v>45.699999999999967</v>
      </c>
      <c r="T102" s="529"/>
      <c r="U102" s="529">
        <f>+'Exhibit F'!V91+'Exhibit G'!V77+'Exhibit I'!W59+'Exhibit H'!T43</f>
        <v>60.100000000000058</v>
      </c>
      <c r="V102" s="529"/>
      <c r="W102" s="529"/>
      <c r="X102" s="529"/>
      <c r="Y102" s="529"/>
      <c r="Z102" s="529"/>
      <c r="AA102" s="530"/>
      <c r="AB102" s="1685">
        <f t="shared" si="11"/>
        <v>563.79999999999995</v>
      </c>
      <c r="AC102" s="1685"/>
      <c r="AD102" s="3490"/>
      <c r="AE102" s="1685">
        <f>+'Exhibit F'!AF91+'Exhibit G'!AG77+'Exhibit I'!AI59+'Exhibit H'!AD43</f>
        <v>442.40000000000003</v>
      </c>
      <c r="AF102" s="1685"/>
      <c r="AG102" s="1685"/>
      <c r="AH102" s="1685">
        <f t="shared" si="12"/>
        <v>121.4</v>
      </c>
      <c r="AI102" s="3252"/>
      <c r="AJ102" s="1775">
        <f t="shared" si="16"/>
        <v>0.27400000000000002</v>
      </c>
    </row>
    <row r="103" spans="1:45" ht="16.5" customHeight="1">
      <c r="A103" s="908" t="s">
        <v>1064</v>
      </c>
      <c r="B103" s="908"/>
      <c r="C103" s="529">
        <f>+'Exhibit F'!D92+'Exhibit G'!D78+'Exhibit I'!E60+'Exhibit H'!B44</f>
        <v>5.1999999999999993</v>
      </c>
      <c r="D103" s="529"/>
      <c r="E103" s="529">
        <f>+'Exhibit F'!F92+'Exhibit G'!F78+'Exhibit I'!G60+'Exhibit H'!D44</f>
        <v>0.79999999999999993</v>
      </c>
      <c r="F103" s="529"/>
      <c r="G103" s="529">
        <f>+'Exhibit F'!H92+'Exhibit G'!H78+'Exhibit I'!I60+'Exhibit H'!F44</f>
        <v>1.2000000000000004</v>
      </c>
      <c r="H103" s="529"/>
      <c r="I103" s="529">
        <f>+'Exhibit F'!J92+'Exhibit G'!J78+'Exhibit I'!K60+'Exhibit H'!H44</f>
        <v>2.6999999999999997</v>
      </c>
      <c r="J103" s="529"/>
      <c r="K103" s="529">
        <f>+'Exhibit F'!L92+'Exhibit G'!L78+'Exhibit I'!M60+'Exhibit H'!J44</f>
        <v>1.6999999999999997</v>
      </c>
      <c r="L103" s="529"/>
      <c r="M103" s="529">
        <f>+'Exhibit F'!N92+'Exhibit G'!N78+'Exhibit I'!O60+'Exhibit H'!L44</f>
        <v>2.4999999999999996</v>
      </c>
      <c r="N103" s="529"/>
      <c r="O103" s="529">
        <f>+'Exhibit F'!P92+'Exhibit G'!P78+'Exhibit I'!Q60+'Exhibit H'!N44</f>
        <v>0.89999999999999947</v>
      </c>
      <c r="P103" s="529"/>
      <c r="Q103" s="529">
        <f>+'Exhibit F'!R92+'Exhibit G'!R78+'Exhibit I'!S60+'Exhibit H'!P44</f>
        <v>1.6999999999999997</v>
      </c>
      <c r="R103" s="529"/>
      <c r="S103" s="529">
        <f>+'Exhibit F'!T92+'Exhibit G'!T78+'Exhibit I'!U60+'Exhibit H'!R44</f>
        <v>1.4000000000000012</v>
      </c>
      <c r="T103" s="529"/>
      <c r="U103" s="529">
        <f>+'Exhibit F'!V92+'Exhibit G'!V78+'Exhibit I'!W60+'Exhibit H'!T44</f>
        <v>1.5</v>
      </c>
      <c r="V103" s="529"/>
      <c r="W103" s="529"/>
      <c r="X103" s="529"/>
      <c r="Y103" s="529"/>
      <c r="Z103" s="529"/>
      <c r="AA103" s="530"/>
      <c r="AB103" s="1685">
        <f t="shared" si="11"/>
        <v>19.600000000000001</v>
      </c>
      <c r="AC103" s="1685"/>
      <c r="AD103" s="3490"/>
      <c r="AE103" s="1685">
        <f>+'Exhibit F'!AF92+'Exhibit G'!AG78+'Exhibit I'!AI60+'Exhibit H'!AD44</f>
        <v>23.6</v>
      </c>
      <c r="AF103" s="1685"/>
      <c r="AG103" s="1685"/>
      <c r="AH103" s="1685">
        <f t="shared" si="12"/>
        <v>-4</v>
      </c>
      <c r="AI103" s="3252"/>
      <c r="AJ103" s="1775">
        <f t="shared" si="16"/>
        <v>-0.16900000000000001</v>
      </c>
    </row>
    <row r="104" spans="1:45" ht="16.5" customHeight="1">
      <c r="A104" s="908" t="s">
        <v>1065</v>
      </c>
      <c r="B104" s="908"/>
      <c r="C104" s="529">
        <f>+'Exhibit G'!D79</f>
        <v>52</v>
      </c>
      <c r="D104" s="529"/>
      <c r="E104" s="529">
        <f>+'Exhibit G'!F79</f>
        <v>48.099999999999994</v>
      </c>
      <c r="F104" s="529"/>
      <c r="G104" s="529">
        <f>+'Exhibit G'!H79</f>
        <v>34.900000000000006</v>
      </c>
      <c r="H104" s="529"/>
      <c r="I104" s="529">
        <f>+'Exhibit G'!J79</f>
        <v>45</v>
      </c>
      <c r="J104" s="529"/>
      <c r="K104" s="529">
        <f>+'Exhibit G'!L79</f>
        <v>240</v>
      </c>
      <c r="L104" s="529"/>
      <c r="M104" s="529">
        <f>+'Exhibit G'!N79</f>
        <v>309.89999999999998</v>
      </c>
      <c r="N104" s="529"/>
      <c r="O104" s="529">
        <f>+'Exhibit G'!P79</f>
        <v>137.5</v>
      </c>
      <c r="P104" s="529"/>
      <c r="Q104" s="529">
        <f>+'Exhibit G'!R79</f>
        <v>37.5</v>
      </c>
      <c r="R104" s="529"/>
      <c r="S104" s="529">
        <f>+'Exhibit G'!T79</f>
        <v>14.100000000000023</v>
      </c>
      <c r="T104" s="529"/>
      <c r="U104" s="529">
        <f>+'Exhibit G'!V79</f>
        <v>261.79999999999995</v>
      </c>
      <c r="V104" s="529"/>
      <c r="W104" s="529"/>
      <c r="X104" s="529"/>
      <c r="Y104" s="529"/>
      <c r="Z104" s="529"/>
      <c r="AA104" s="530"/>
      <c r="AB104" s="1685">
        <f t="shared" si="11"/>
        <v>1180.8</v>
      </c>
      <c r="AC104" s="1685"/>
      <c r="AD104" s="3490"/>
      <c r="AE104" s="1685">
        <f>+'Exhibit G'!AG79</f>
        <v>1295.5999999999999</v>
      </c>
      <c r="AF104" s="1685"/>
      <c r="AG104" s="1685"/>
      <c r="AH104" s="1685">
        <f t="shared" si="12"/>
        <v>-114.8</v>
      </c>
      <c r="AI104" s="3252"/>
      <c r="AJ104" s="1775">
        <f>ROUND(IF(AE104=0,0,AH104/ABS(AE104)),3)</f>
        <v>-8.8999999999999996E-2</v>
      </c>
    </row>
    <row r="105" spans="1:45" s="435" customFormat="1" ht="16.5" customHeight="1">
      <c r="A105" s="312" t="s">
        <v>1099</v>
      </c>
      <c r="B105" s="209"/>
      <c r="C105" s="258">
        <f>ROUND(SUM(C64:C104),1)</f>
        <v>2659.7</v>
      </c>
      <c r="D105" s="1086"/>
      <c r="E105" s="258">
        <f>ROUND(SUM(E64:E104),1)</f>
        <v>1871.3</v>
      </c>
      <c r="F105" s="1086"/>
      <c r="G105" s="258">
        <f>ROUND(SUM(G64:G104),1)</f>
        <v>1971.5</v>
      </c>
      <c r="H105" s="938"/>
      <c r="I105" s="258">
        <f>ROUND(SUM(I64:I104),1)</f>
        <v>1968.6</v>
      </c>
      <c r="J105" s="938"/>
      <c r="K105" s="258">
        <f>ROUND(SUM(K64:K104),1)</f>
        <v>1834.4</v>
      </c>
      <c r="L105" s="938"/>
      <c r="M105" s="258">
        <f>ROUND(SUM(M64:M104),1)</f>
        <v>2761.9</v>
      </c>
      <c r="N105" s="938"/>
      <c r="O105" s="2111">
        <f>ROUND(SUM(O64:O104),1)</f>
        <v>3594.3</v>
      </c>
      <c r="P105" s="938"/>
      <c r="Q105" s="2111">
        <f>ROUND(SUM(Q64:Q104),1)</f>
        <v>1737.3</v>
      </c>
      <c r="R105" s="938"/>
      <c r="S105" s="258">
        <f>ROUND(SUM(S64:S104),1)</f>
        <v>2145.4</v>
      </c>
      <c r="T105" s="938"/>
      <c r="U105" s="258">
        <f>ROUND(SUM(U64:U104),1)</f>
        <v>2945.7</v>
      </c>
      <c r="V105" s="938"/>
      <c r="W105" s="258">
        <f>ROUND(SUM(W64:W104),1)</f>
        <v>0</v>
      </c>
      <c r="X105" s="207"/>
      <c r="Y105" s="258">
        <f>ROUND(SUM(Y64:Y104),1)</f>
        <v>0</v>
      </c>
      <c r="Z105" s="207"/>
      <c r="AA105" s="259"/>
      <c r="AB105" s="1583">
        <f>ROUND(SUM(AB64:AB104),1)</f>
        <v>23490.1</v>
      </c>
      <c r="AC105" s="112"/>
      <c r="AD105" s="693"/>
      <c r="AE105" s="1583">
        <f>ROUND(SUM(AE64:AE104),1)</f>
        <v>24468.3</v>
      </c>
      <c r="AF105" s="115"/>
      <c r="AG105" s="3492"/>
      <c r="AH105" s="1583">
        <f>ROUND(SUM(AH64:AH104),1)</f>
        <v>-978.2</v>
      </c>
      <c r="AI105" s="115"/>
      <c r="AJ105" s="3487">
        <f>ROUND(IF(AE105=0,0,AH105/ABS(AE105)),3)</f>
        <v>-0.04</v>
      </c>
      <c r="AK105" s="3479"/>
    </row>
    <row r="106" spans="1:45" s="435" customFormat="1" ht="16.5" customHeight="1">
      <c r="A106" s="521"/>
      <c r="B106" s="521"/>
      <c r="C106" s="534"/>
      <c r="D106" s="534"/>
      <c r="E106" s="534"/>
      <c r="F106" s="534"/>
      <c r="G106" s="534"/>
      <c r="H106" s="534"/>
      <c r="I106" s="534"/>
      <c r="J106" s="534"/>
      <c r="K106" s="534"/>
      <c r="L106" s="534"/>
      <c r="M106" s="534"/>
      <c r="N106" s="534"/>
      <c r="O106" s="534"/>
      <c r="P106" s="534"/>
      <c r="Q106" s="3260"/>
      <c r="R106" s="534"/>
      <c r="S106" s="534"/>
      <c r="T106" s="534"/>
      <c r="U106" s="534"/>
      <c r="V106" s="534"/>
      <c r="W106" s="534"/>
      <c r="X106" s="534"/>
      <c r="Y106" s="534"/>
      <c r="Z106" s="534"/>
      <c r="AA106" s="535"/>
      <c r="AB106" s="3260"/>
      <c r="AC106" s="3261"/>
      <c r="AD106" s="3493"/>
      <c r="AE106" s="3260"/>
      <c r="AF106" s="3261"/>
      <c r="AG106" s="3260"/>
      <c r="AH106" s="3260"/>
      <c r="AI106" s="3253"/>
      <c r="AJ106" s="3478"/>
      <c r="AK106" s="3479"/>
    </row>
    <row r="107" spans="1:45" ht="16.5" customHeight="1">
      <c r="A107" s="225" t="s">
        <v>21</v>
      </c>
      <c r="B107" s="225"/>
      <c r="C107" s="532">
        <f>+'Exhibit F'!D95+'Exhibit G'!D82+'Exhibit H'!B47+'Exhibit I'!E63</f>
        <v>6242</v>
      </c>
      <c r="D107" s="529"/>
      <c r="E107" s="532">
        <f>+'Exhibit F'!F95+'Exhibit G'!F82+'Exhibit H'!D47+'Exhibit I'!G63</f>
        <v>4959.2</v>
      </c>
      <c r="F107" s="529"/>
      <c r="G107" s="532">
        <f>+'Exhibit F'!H95+'Exhibit G'!H82+'Exhibit H'!F47+'Exhibit I'!I63</f>
        <v>5803.7999999999993</v>
      </c>
      <c r="H107" s="529"/>
      <c r="I107" s="532">
        <f>+'Exhibit F'!J95+'Exhibit G'!J82+'Exhibit H'!H47+'Exhibit I'!K63</f>
        <v>3275.4000000000005</v>
      </c>
      <c r="J107" s="529"/>
      <c r="K107" s="532">
        <f>+'Exhibit F'!L95+'Exhibit G'!L82+'Exhibit H'!J47+'Exhibit I'!M63</f>
        <v>6082.2999999999984</v>
      </c>
      <c r="L107" s="529"/>
      <c r="M107" s="532">
        <f>+'Exhibit F'!N95+'Exhibit G'!N82+'Exhibit H'!L47+'Exhibit I'!O63</f>
        <v>5663.8000000000029</v>
      </c>
      <c r="N107" s="529"/>
      <c r="O107" s="532">
        <f>+'Exhibit F'!P95+'Exhibit G'!P82+'Exhibit H'!N47+'Exhibit I'!Q63</f>
        <v>5708.8000000000011</v>
      </c>
      <c r="P107" s="529"/>
      <c r="Q107" s="532">
        <f>+'Exhibit F'!R95+'Exhibit G'!R82+'Exhibit H'!P47+'Exhibit I'!S63</f>
        <v>5394.3000000000011</v>
      </c>
      <c r="R107" s="529"/>
      <c r="S107" s="532">
        <f>+'Exhibit F'!T95+'Exhibit G'!T82+'Exhibit H'!R47+'Exhibit I'!U63</f>
        <v>6605.8000000000011</v>
      </c>
      <c r="T107" s="529"/>
      <c r="U107" s="532">
        <f>+'Exhibit F'!V95+'Exhibit G'!V82+'Exhibit H'!T47+'Exhibit I'!W63</f>
        <v>5728.7999999999993</v>
      </c>
      <c r="V107" s="529"/>
      <c r="W107" s="532"/>
      <c r="X107" s="529"/>
      <c r="Y107" s="532"/>
      <c r="Z107" s="529"/>
      <c r="AA107" s="530"/>
      <c r="AB107" s="3262">
        <f>ROUND(SUM(C107:Y107),1)</f>
        <v>55464.2</v>
      </c>
      <c r="AC107" s="1685"/>
      <c r="AD107" s="3490"/>
      <c r="AE107" s="3494">
        <f>+'Exhibit F'!AF95+'Exhibit G'!AG82+'Exhibit H'!AD47+'Exhibit I'!AI63</f>
        <v>51433.7</v>
      </c>
      <c r="AF107" s="2227"/>
      <c r="AG107" s="1685"/>
      <c r="AH107" s="3262">
        <f>ROUND(SUM(AB107-AE107),1)</f>
        <v>4030.5</v>
      </c>
      <c r="AI107" s="3252"/>
      <c r="AJ107" s="3495">
        <f>ROUND(IF(AE107=0,0,AH107/ABS(AE107)),3)</f>
        <v>7.8E-2</v>
      </c>
    </row>
    <row r="108" spans="1:45" ht="16.5" customHeight="1">
      <c r="A108" s="225"/>
      <c r="B108" s="225"/>
      <c r="C108" s="529"/>
      <c r="D108" s="529"/>
      <c r="E108" s="529"/>
      <c r="F108" s="529"/>
      <c r="G108" s="529"/>
      <c r="H108" s="529"/>
      <c r="I108" s="529"/>
      <c r="J108" s="529"/>
      <c r="K108" s="529"/>
      <c r="L108" s="529"/>
      <c r="M108" s="529"/>
      <c r="N108" s="529"/>
      <c r="O108" s="529"/>
      <c r="P108" s="529"/>
      <c r="Q108" s="1685"/>
      <c r="R108" s="529"/>
      <c r="S108" s="529"/>
      <c r="T108" s="529"/>
      <c r="U108" s="529"/>
      <c r="V108" s="529"/>
      <c r="W108" s="529"/>
      <c r="X108" s="529"/>
      <c r="Y108" s="529"/>
      <c r="Z108" s="529"/>
      <c r="AA108" s="530"/>
      <c r="AB108" s="1685"/>
      <c r="AC108" s="1685"/>
      <c r="AD108" s="3490"/>
      <c r="AE108" s="1685"/>
      <c r="AF108" s="2227"/>
      <c r="AG108" s="1685"/>
      <c r="AH108" s="1685"/>
      <c r="AI108" s="3252"/>
      <c r="AJ108" s="3496"/>
    </row>
    <row r="109" spans="1:45" ht="16.5" customHeight="1">
      <c r="A109" s="29" t="s">
        <v>151</v>
      </c>
      <c r="B109" s="30"/>
      <c r="C109" s="844">
        <f>ROUND(SUM(C107+C105+C60),1)</f>
        <v>20463.099999999999</v>
      </c>
      <c r="D109" s="938"/>
      <c r="E109" s="844">
        <f>ROUND(SUM(E107+E105+E60),1)</f>
        <v>10716</v>
      </c>
      <c r="F109" s="938"/>
      <c r="G109" s="844">
        <f>ROUND(SUM(G107+G105+G60),1)</f>
        <v>16419.8</v>
      </c>
      <c r="H109" s="938"/>
      <c r="I109" s="844">
        <f>ROUND(SUM(I107+I105+I60),1)</f>
        <v>10554.7</v>
      </c>
      <c r="J109" s="938"/>
      <c r="K109" s="844">
        <f>ROUND(SUM(K107+K105+K60),1)</f>
        <v>12478.1</v>
      </c>
      <c r="L109" s="938"/>
      <c r="M109" s="844">
        <f>ROUND(SUM(M107+M105+M60),1)</f>
        <v>16863.900000000001</v>
      </c>
      <c r="N109" s="938"/>
      <c r="O109" s="1126">
        <f>ROUND(SUM(O107+O105+O60),1)</f>
        <v>13744.8</v>
      </c>
      <c r="P109" s="938"/>
      <c r="Q109" s="1126">
        <f>ROUND(SUM(Q107+Q105+Q60),1)</f>
        <v>11386.8</v>
      </c>
      <c r="R109" s="938"/>
      <c r="S109" s="844">
        <f>ROUND(SUM(S107+S105+S60),1)</f>
        <v>16767.2</v>
      </c>
      <c r="T109" s="938"/>
      <c r="U109" s="844">
        <f>ROUND(SUM(U107+U105+U60),1)</f>
        <v>19561.400000000001</v>
      </c>
      <c r="V109" s="938"/>
      <c r="W109" s="844">
        <f>ROUND(SUM(W107+W105+W60),1)</f>
        <v>0</v>
      </c>
      <c r="X109" s="207"/>
      <c r="Y109" s="844">
        <f>ROUND(SUM(Y107+Y105+Y60),1)</f>
        <v>0</v>
      </c>
      <c r="Z109" s="253"/>
      <c r="AA109" s="254"/>
      <c r="AB109" s="1126">
        <f>ROUND(SUM(AB107+AB105+AB60),1)</f>
        <v>148955.79999999999</v>
      </c>
      <c r="AC109" s="112"/>
      <c r="AD109" s="693"/>
      <c r="AE109" s="1126">
        <f>ROUND(SUM(AE107+AE105+AE60),1)</f>
        <v>139524.1</v>
      </c>
      <c r="AF109" s="115"/>
      <c r="AG109" s="3492"/>
      <c r="AH109" s="1126">
        <f>ROUND(SUM(AH107+AH105+AH60),1)</f>
        <v>9431.7000000000007</v>
      </c>
      <c r="AI109" s="115"/>
      <c r="AJ109" s="3489">
        <f>ROUND(IF(AE109=0,0,AH109/ABS(AE109)),3)</f>
        <v>6.8000000000000005E-2</v>
      </c>
      <c r="AK109" s="3479"/>
      <c r="AL109" s="435"/>
      <c r="AM109" s="435"/>
      <c r="AN109" s="435"/>
      <c r="AO109" s="435"/>
      <c r="AP109" s="435"/>
      <c r="AQ109" s="435"/>
      <c r="AR109" s="435"/>
      <c r="AS109" s="435"/>
    </row>
    <row r="110" spans="1:45" ht="16.5" customHeight="1">
      <c r="A110" s="207"/>
      <c r="B110" s="225"/>
      <c r="C110" s="536"/>
      <c r="D110" s="529"/>
      <c r="E110" s="536"/>
      <c r="F110" s="529"/>
      <c r="G110" s="536"/>
      <c r="H110" s="529"/>
      <c r="I110" s="536"/>
      <c r="J110" s="529"/>
      <c r="K110" s="536"/>
      <c r="L110" s="529"/>
      <c r="M110" s="536"/>
      <c r="N110" s="529"/>
      <c r="O110" s="536"/>
      <c r="P110" s="529"/>
      <c r="Q110" s="3263"/>
      <c r="R110" s="529"/>
      <c r="S110" s="536"/>
      <c r="T110" s="529"/>
      <c r="U110" s="536"/>
      <c r="V110" s="529"/>
      <c r="W110" s="536"/>
      <c r="X110" s="529"/>
      <c r="Y110" s="536"/>
      <c r="Z110" s="529"/>
      <c r="AA110" s="530"/>
      <c r="AB110" s="3263"/>
      <c r="AC110" s="1685"/>
      <c r="AD110" s="3490"/>
      <c r="AE110" s="3263"/>
      <c r="AF110" s="1685"/>
      <c r="AG110" s="1685"/>
      <c r="AH110" s="911"/>
      <c r="AI110" s="3252"/>
      <c r="AJ110" s="907"/>
    </row>
    <row r="111" spans="1:45" ht="16.5" customHeight="1">
      <c r="A111" s="207" t="s">
        <v>23</v>
      </c>
      <c r="B111" s="225"/>
      <c r="C111" s="537"/>
      <c r="D111" s="529"/>
      <c r="E111" s="537"/>
      <c r="F111" s="529"/>
      <c r="G111" s="537"/>
      <c r="H111" s="529"/>
      <c r="I111" s="537"/>
      <c r="J111" s="529"/>
      <c r="K111" s="537"/>
      <c r="L111" s="529"/>
      <c r="M111" s="537"/>
      <c r="N111" s="529"/>
      <c r="O111" s="537"/>
      <c r="P111" s="529"/>
      <c r="Q111" s="2227"/>
      <c r="R111" s="529"/>
      <c r="S111" s="537"/>
      <c r="T111" s="529"/>
      <c r="U111" s="537"/>
      <c r="V111" s="529"/>
      <c r="W111" s="537"/>
      <c r="X111" s="529"/>
      <c r="Y111" s="537"/>
      <c r="Z111" s="529"/>
      <c r="AA111" s="530"/>
      <c r="AB111" s="2227"/>
      <c r="AC111" s="1685"/>
      <c r="AD111" s="3490"/>
      <c r="AE111" s="2227"/>
      <c r="AF111" s="1685"/>
      <c r="AG111" s="1685"/>
      <c r="AH111" s="911"/>
      <c r="AI111" s="3252"/>
      <c r="AJ111" s="907"/>
    </row>
    <row r="112" spans="1:45" ht="16.5" customHeight="1">
      <c r="A112" s="225" t="s">
        <v>138</v>
      </c>
      <c r="B112" s="225"/>
      <c r="C112" s="529"/>
      <c r="D112" s="529"/>
      <c r="E112" s="529"/>
      <c r="F112" s="529"/>
      <c r="G112" s="529"/>
      <c r="H112" s="529"/>
      <c r="I112" s="529"/>
      <c r="J112" s="529"/>
      <c r="K112" s="529"/>
      <c r="L112" s="529"/>
      <c r="M112" s="529"/>
      <c r="N112" s="529"/>
      <c r="O112" s="529"/>
      <c r="P112" s="529"/>
      <c r="Q112" s="1685"/>
      <c r="R112" s="529"/>
      <c r="S112" s="529"/>
      <c r="T112" s="529"/>
      <c r="U112" s="529"/>
      <c r="V112" s="529"/>
      <c r="W112" s="529"/>
      <c r="X112" s="529"/>
      <c r="Y112" s="529"/>
      <c r="Z112" s="529"/>
      <c r="AA112" s="530"/>
      <c r="AB112" s="1685"/>
      <c r="AC112" s="1685"/>
      <c r="AD112" s="3490"/>
      <c r="AE112" s="118"/>
      <c r="AF112" s="1685"/>
      <c r="AG112" s="1685"/>
      <c r="AH112" s="1685"/>
      <c r="AI112" s="3252"/>
      <c r="AJ112" s="3491"/>
    </row>
    <row r="113" spans="1:38" ht="16.5" customHeight="1">
      <c r="A113" s="256" t="s">
        <v>25</v>
      </c>
      <c r="B113" s="225"/>
      <c r="C113" s="529">
        <f>+'Exhibit F'!D101+'Exhibit G'!D88+'Exhibit I'!E69</f>
        <v>1263.9000000000001</v>
      </c>
      <c r="D113" s="529"/>
      <c r="E113" s="529">
        <f>+'Exhibit F'!F101+'Exhibit G'!F88+'Exhibit I'!G69</f>
        <v>4574</v>
      </c>
      <c r="F113" s="529"/>
      <c r="G113" s="529">
        <f>+'Exhibit F'!H101+'Exhibit G'!H88+'Exhibit I'!I69</f>
        <v>2811.5000000000005</v>
      </c>
      <c r="H113" s="529"/>
      <c r="I113" s="529">
        <f>+'Exhibit F'!J101+'Exhibit G'!J88+'Exhibit I'!K69</f>
        <v>1910.1999999999996</v>
      </c>
      <c r="J113" s="529"/>
      <c r="K113" s="529">
        <f>+'Exhibit F'!L101+'Exhibit G'!L88+'Exhibit I'!M69</f>
        <v>925.10000000000127</v>
      </c>
      <c r="L113" s="529"/>
      <c r="M113" s="529">
        <f>+'Exhibit F'!N101+'Exhibit G'!N88+'Exhibit I'!O69</f>
        <v>5084.0999999999995</v>
      </c>
      <c r="N113" s="529"/>
      <c r="O113" s="529">
        <f>+'Exhibit F'!P101+'Exhibit G'!P88+'Exhibit I'!Q69</f>
        <v>1451.2999999999997</v>
      </c>
      <c r="P113" s="529"/>
      <c r="Q113" s="529">
        <f>+'Exhibit F'!R101+'Exhibit G'!R88+'Exhibit I'!S69</f>
        <v>2138.1999999999985</v>
      </c>
      <c r="R113" s="529"/>
      <c r="S113" s="529">
        <f>+'Exhibit F'!T101+'Exhibit G'!T88+'Exhibit I'!U69</f>
        <v>2784.8000000000029</v>
      </c>
      <c r="T113" s="529"/>
      <c r="U113" s="529">
        <f>+'Exhibit F'!V101+'Exhibit G'!V88+'Exhibit I'!W69</f>
        <v>3365.799999999997</v>
      </c>
      <c r="V113" s="529"/>
      <c r="W113" s="529"/>
      <c r="X113" s="529"/>
      <c r="Y113" s="529"/>
      <c r="Z113" s="529"/>
      <c r="AA113" s="530"/>
      <c r="AB113" s="118">
        <f>ROUND(SUM(C113:Y113),1)</f>
        <v>26308.9</v>
      </c>
      <c r="AC113" s="1685"/>
      <c r="AD113" s="3490"/>
      <c r="AE113" s="118">
        <f>+'Exhibit F'!AF101+'Exhibit G'!AG88+'Exhibit I'!AI69</f>
        <v>26024.800000000003</v>
      </c>
      <c r="AF113" s="1685"/>
      <c r="AG113" s="1685"/>
      <c r="AH113" s="1685">
        <f>ROUND(SUM(AB113-AE113),1)</f>
        <v>284.10000000000002</v>
      </c>
      <c r="AI113" s="3252"/>
      <c r="AJ113" s="1775">
        <f>ROUND(IF(AE113=0,0,AH113/ABS(AE113)),3)</f>
        <v>1.0999999999999999E-2</v>
      </c>
    </row>
    <row r="114" spans="1:38" ht="16.5" customHeight="1">
      <c r="A114" s="256" t="s">
        <v>26</v>
      </c>
      <c r="B114" s="225"/>
      <c r="C114" s="529">
        <f>+'Exhibit F'!D102+'Exhibit G'!D89+'Exhibit I'!E70</f>
        <v>25.400000000000002</v>
      </c>
      <c r="D114" s="529"/>
      <c r="E114" s="529">
        <f>+'Exhibit F'!F102+'Exhibit G'!F89+'Exhibit I'!G70</f>
        <v>33.700000000000003</v>
      </c>
      <c r="F114" s="529"/>
      <c r="G114" s="529">
        <f>+'Exhibit F'!H102+'Exhibit G'!H89+'Exhibit I'!I70</f>
        <v>2.7000000000000015</v>
      </c>
      <c r="H114" s="529"/>
      <c r="I114" s="529">
        <f>+'Exhibit F'!J102+'Exhibit G'!J89+'Exhibit I'!K70</f>
        <v>14.9</v>
      </c>
      <c r="J114" s="529"/>
      <c r="K114" s="529">
        <f>+'Exhibit F'!L102+'Exhibit G'!L89+'Exhibit I'!M70</f>
        <v>14.399999999999993</v>
      </c>
      <c r="L114" s="529"/>
      <c r="M114" s="529">
        <f>+'Exhibit F'!N102+'Exhibit G'!N89+'Exhibit I'!O70</f>
        <v>18.899999999999995</v>
      </c>
      <c r="N114" s="529"/>
      <c r="O114" s="529">
        <f>+'Exhibit F'!P102+'Exhibit G'!P89+'Exhibit I'!Q70</f>
        <v>15.60000000000001</v>
      </c>
      <c r="P114" s="529"/>
      <c r="Q114" s="529">
        <f>+'Exhibit F'!R102+'Exhibit G'!R89+'Exhibit I'!S70</f>
        <v>12.200000000000014</v>
      </c>
      <c r="R114" s="529"/>
      <c r="S114" s="529">
        <f>+'Exhibit F'!T102+'Exhibit G'!T89+'Exhibit I'!U70</f>
        <v>14.200000000000012</v>
      </c>
      <c r="T114" s="529"/>
      <c r="U114" s="529">
        <f>+'Exhibit F'!V102+'Exhibit G'!V89+'Exhibit I'!W70</f>
        <v>233.29999999999998</v>
      </c>
      <c r="V114" s="529"/>
      <c r="W114" s="529"/>
      <c r="X114" s="529"/>
      <c r="Y114" s="529"/>
      <c r="Z114" s="529"/>
      <c r="AA114" s="530"/>
      <c r="AB114" s="118">
        <f t="shared" ref="AB114:AB121" si="17">ROUND(SUM(C114:Y114),1)</f>
        <v>385.3</v>
      </c>
      <c r="AC114" s="1685"/>
      <c r="AD114" s="3490"/>
      <c r="AE114" s="118">
        <f>+'Exhibit F'!AF102+'Exhibit G'!AG89+'Exhibit I'!AI70</f>
        <v>378.70000000000005</v>
      </c>
      <c r="AF114" s="1685"/>
      <c r="AG114" s="1685"/>
      <c r="AH114" s="1685">
        <f t="shared" ref="AH114:AH121" si="18">ROUND(SUM(AB114-AE114),1)</f>
        <v>6.6</v>
      </c>
      <c r="AI114" s="3252"/>
      <c r="AJ114" s="1775">
        <f>ROUND(IF(AE114=0,0,AH114/ABS(AE114)),3)</f>
        <v>1.7000000000000001E-2</v>
      </c>
    </row>
    <row r="115" spans="1:38" ht="16.5" customHeight="1">
      <c r="A115" s="256" t="s">
        <v>27</v>
      </c>
      <c r="B115" s="225"/>
      <c r="C115" s="529">
        <f>+'Exhibit F'!D103+'Exhibit G'!D90+'Exhibit I'!E71</f>
        <v>60.3</v>
      </c>
      <c r="D115" s="529"/>
      <c r="E115" s="529">
        <f>+'Exhibit F'!F103+'Exhibit G'!F90+'Exhibit I'!G71</f>
        <v>159.69999999999999</v>
      </c>
      <c r="F115" s="529"/>
      <c r="G115" s="529">
        <f>+'Exhibit F'!H103+'Exhibit G'!H90+'Exhibit I'!I71</f>
        <v>734.39999999999986</v>
      </c>
      <c r="H115" s="529"/>
      <c r="I115" s="529">
        <f>+'Exhibit F'!J103+'Exhibit G'!J90+'Exhibit I'!K71</f>
        <v>63.000000000000021</v>
      </c>
      <c r="J115" s="529"/>
      <c r="K115" s="529">
        <f>+'Exhibit F'!L103+'Exhibit G'!L90+'Exhibit I'!M71</f>
        <v>87.500000000000014</v>
      </c>
      <c r="L115" s="529"/>
      <c r="M115" s="529">
        <f>+'Exhibit F'!N103+'Exhibit G'!N90+'Exhibit I'!O71</f>
        <v>132.39999999999998</v>
      </c>
      <c r="N115" s="529"/>
      <c r="O115" s="529">
        <f>+'Exhibit F'!P103+'Exhibit G'!P90+'Exhibit I'!Q71</f>
        <v>163.69999999999999</v>
      </c>
      <c r="P115" s="529"/>
      <c r="Q115" s="529">
        <f>+'Exhibit F'!R103+'Exhibit G'!R90+'Exhibit I'!S71</f>
        <v>72.099999999999909</v>
      </c>
      <c r="R115" s="529"/>
      <c r="S115" s="529">
        <f>+'Exhibit F'!T103+'Exhibit G'!T90+'Exhibit I'!U71</f>
        <v>384.80000000000013</v>
      </c>
      <c r="T115" s="529"/>
      <c r="U115" s="529">
        <f>+'Exhibit F'!V103+'Exhibit G'!V90+'Exhibit I'!W71</f>
        <v>87.9</v>
      </c>
      <c r="V115" s="529"/>
      <c r="W115" s="529"/>
      <c r="X115" s="529"/>
      <c r="Y115" s="529"/>
      <c r="Z115" s="529"/>
      <c r="AA115" s="530"/>
      <c r="AB115" s="118">
        <f t="shared" si="17"/>
        <v>1945.8</v>
      </c>
      <c r="AC115" s="1685"/>
      <c r="AD115" s="3490"/>
      <c r="AE115" s="118">
        <f>+'Exhibit F'!AF103+'Exhibit G'!AG90+'Exhibit I'!AI71</f>
        <v>1926.3000000000002</v>
      </c>
      <c r="AF115" s="1685"/>
      <c r="AG115" s="1685"/>
      <c r="AH115" s="1685">
        <f t="shared" si="18"/>
        <v>19.5</v>
      </c>
      <c r="AI115" s="3252"/>
      <c r="AJ115" s="1775">
        <f>ROUND(IF(AE115=0,0,AH115/ABS(AE115)),3)</f>
        <v>0.01</v>
      </c>
    </row>
    <row r="116" spans="1:38" ht="16.5" customHeight="1">
      <c r="A116" s="256" t="s">
        <v>28</v>
      </c>
      <c r="B116" s="225"/>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118"/>
      <c r="AC116" s="1685"/>
      <c r="AD116" s="3490"/>
      <c r="AE116" s="362"/>
      <c r="AF116" s="1685"/>
      <c r="AG116" s="1685"/>
      <c r="AH116" s="1685" t="s">
        <v>15</v>
      </c>
      <c r="AI116" s="3252"/>
      <c r="AJ116" s="3491"/>
    </row>
    <row r="117" spans="1:38" ht="16.5" customHeight="1">
      <c r="A117" s="257" t="s">
        <v>29</v>
      </c>
      <c r="B117" s="225"/>
      <c r="C117" s="529">
        <f>+'Exhibit F'!D105+'Exhibit G'!D92+'Exhibit I'!E73</f>
        <v>6412</v>
      </c>
      <c r="D117" s="529"/>
      <c r="E117" s="529">
        <f>+'Exhibit F'!F105+'Exhibit G'!F92+'Exhibit I'!G73</f>
        <v>6151.6999999999989</v>
      </c>
      <c r="F117" s="529"/>
      <c r="G117" s="529">
        <f>+'Exhibit F'!H105+'Exhibit G'!H92+'Exhibit I'!I73</f>
        <v>4857.8999999999996</v>
      </c>
      <c r="H117" s="529"/>
      <c r="I117" s="529">
        <f>+'Exhibit F'!J105+'Exhibit G'!J92+'Exhibit I'!K73</f>
        <v>4905.7000000000007</v>
      </c>
      <c r="J117" s="529"/>
      <c r="K117" s="529">
        <f>+'Exhibit F'!L105+'Exhibit G'!L92+'Exhibit I'!M73</f>
        <v>5506.4999999999964</v>
      </c>
      <c r="L117" s="529"/>
      <c r="M117" s="529">
        <f>+'Exhibit F'!N105+'Exhibit G'!N92+'Exhibit I'!O73</f>
        <v>5060.4999999999982</v>
      </c>
      <c r="N117" s="529"/>
      <c r="O117" s="529">
        <f>+'Exhibit F'!P105+'Exhibit G'!P92+'Exhibit I'!Q73</f>
        <v>5679.8000000000029</v>
      </c>
      <c r="P117" s="529"/>
      <c r="Q117" s="529">
        <f>+'Exhibit F'!R105+'Exhibit G'!R92+'Exhibit I'!S73</f>
        <v>5947.0999999999995</v>
      </c>
      <c r="R117" s="529"/>
      <c r="S117" s="529">
        <f>+'Exhibit F'!T105+'Exhibit G'!T92+'Exhibit I'!U73</f>
        <v>4996.3000000000011</v>
      </c>
      <c r="T117" s="529"/>
      <c r="U117" s="529">
        <f>+'Exhibit F'!V105+'Exhibit G'!V92+'Exhibit I'!W73</f>
        <v>6153.3999999999978</v>
      </c>
      <c r="V117" s="529"/>
      <c r="W117" s="529"/>
      <c r="X117" s="529"/>
      <c r="Y117" s="529"/>
      <c r="Z117" s="529"/>
      <c r="AA117" s="530"/>
      <c r="AB117" s="118">
        <f t="shared" si="17"/>
        <v>55670.9</v>
      </c>
      <c r="AC117" s="1685"/>
      <c r="AD117" s="3490"/>
      <c r="AE117" s="118">
        <f>+'Exhibit F'!AF105+'Exhibit G'!AG92+'Exhibit I'!AI73</f>
        <v>51565.3</v>
      </c>
      <c r="AF117" s="1685"/>
      <c r="AG117" s="1685"/>
      <c r="AH117" s="1685">
        <f t="shared" si="18"/>
        <v>4105.6000000000004</v>
      </c>
      <c r="AI117" s="3252"/>
      <c r="AJ117" s="1775">
        <f t="shared" ref="AJ117:AJ123" si="19">ROUND(IF(AE117=0,0,AH117/ABS(AE117)),3)</f>
        <v>0.08</v>
      </c>
      <c r="AK117" s="3497"/>
    </row>
    <row r="118" spans="1:38" ht="16.5" customHeight="1">
      <c r="A118" s="256" t="s">
        <v>30</v>
      </c>
      <c r="B118" s="225"/>
      <c r="C118" s="529">
        <f>+'Exhibit F'!D106+'Exhibit G'!D93+'Exhibit I'!E74</f>
        <v>724.4</v>
      </c>
      <c r="D118" s="529"/>
      <c r="E118" s="529">
        <f>+'Exhibit F'!F106+'Exhibit G'!F93+'Exhibit I'!G74</f>
        <v>682.4</v>
      </c>
      <c r="F118" s="529"/>
      <c r="G118" s="529">
        <f>+'Exhibit F'!H106+'Exhibit G'!H93+'Exhibit I'!I74</f>
        <v>1162.1000000000001</v>
      </c>
      <c r="H118" s="529"/>
      <c r="I118" s="529">
        <f>+'Exhibit F'!J106+'Exhibit G'!J93+'Exhibit I'!K74</f>
        <v>802.30000000000007</v>
      </c>
      <c r="J118" s="529"/>
      <c r="K118" s="529">
        <f>+'Exhibit F'!L106+'Exhibit G'!L93+'Exhibit I'!M74</f>
        <v>782.39999999999986</v>
      </c>
      <c r="L118" s="529"/>
      <c r="M118" s="529">
        <f>+'Exhibit F'!N106+'Exhibit G'!N93+'Exhibit I'!O74</f>
        <v>954.19999999999936</v>
      </c>
      <c r="N118" s="529"/>
      <c r="O118" s="529">
        <f>+'Exhibit F'!P106+'Exhibit G'!P93+'Exhibit I'!Q74</f>
        <v>803.00000000000034</v>
      </c>
      <c r="P118" s="529"/>
      <c r="Q118" s="529">
        <f>+'Exhibit F'!R106+'Exhibit G'!R93+'Exhibit I'!S74</f>
        <v>591.19999999999959</v>
      </c>
      <c r="R118" s="529"/>
      <c r="S118" s="529">
        <f>+'Exhibit F'!T106+'Exhibit G'!T93+'Exhibit I'!U74</f>
        <v>1049</v>
      </c>
      <c r="T118" s="529"/>
      <c r="U118" s="529">
        <f>+'Exhibit F'!V106+'Exhibit G'!V93+'Exhibit I'!W74</f>
        <v>825.60000000000059</v>
      </c>
      <c r="V118" s="529"/>
      <c r="W118" s="529"/>
      <c r="X118" s="529"/>
      <c r="Y118" s="529"/>
      <c r="Z118" s="529"/>
      <c r="AA118" s="530"/>
      <c r="AB118" s="118">
        <f t="shared" si="17"/>
        <v>8376.6</v>
      </c>
      <c r="AC118" s="3264"/>
      <c r="AD118" s="1685"/>
      <c r="AE118" s="118">
        <f>+'Exhibit F'!AF106+'Exhibit G'!AG93+'Exhibit I'!AI74</f>
        <v>8425.2999999999993</v>
      </c>
      <c r="AF118" s="1685"/>
      <c r="AG118" s="1685"/>
      <c r="AH118" s="1685">
        <f t="shared" si="18"/>
        <v>-48.7</v>
      </c>
      <c r="AI118" s="3252"/>
      <c r="AJ118" s="1775">
        <f t="shared" si="19"/>
        <v>-6.0000000000000001E-3</v>
      </c>
    </row>
    <row r="119" spans="1:38" ht="16.5" customHeight="1">
      <c r="A119" s="256" t="s">
        <v>31</v>
      </c>
      <c r="B119" s="225"/>
      <c r="C119" s="529">
        <f>+'Exhibit F'!D107+'Exhibit G'!D94+'Exhibit I'!E75</f>
        <v>156.9</v>
      </c>
      <c r="D119" s="529"/>
      <c r="E119" s="529">
        <f>+'Exhibit F'!F107+'Exhibit G'!F94+'Exhibit I'!G75</f>
        <v>178.20000000000002</v>
      </c>
      <c r="F119" s="529"/>
      <c r="G119" s="529">
        <f>+'Exhibit F'!H107+'Exhibit G'!H94+'Exhibit I'!I75</f>
        <v>70.59999999999998</v>
      </c>
      <c r="H119" s="529"/>
      <c r="I119" s="529">
        <f>+'Exhibit F'!J107+'Exhibit G'!J94+'Exhibit I'!K75</f>
        <v>87.9</v>
      </c>
      <c r="J119" s="529"/>
      <c r="K119" s="529">
        <f>+'Exhibit F'!L107+'Exhibit G'!L94+'Exhibit I'!M75</f>
        <v>99.600000000000009</v>
      </c>
      <c r="L119" s="529"/>
      <c r="M119" s="529">
        <f>+'Exhibit F'!N107+'Exhibit G'!N94+'Exhibit I'!O75</f>
        <v>103.69999999999997</v>
      </c>
      <c r="N119" s="529"/>
      <c r="O119" s="529">
        <f>+'Exhibit F'!P107+'Exhibit G'!P94+'Exhibit I'!Q75</f>
        <v>169.40000000000003</v>
      </c>
      <c r="P119" s="529"/>
      <c r="Q119" s="529">
        <f>+'Exhibit F'!R107+'Exhibit G'!R94+'Exhibit I'!S75</f>
        <v>217.1999999999999</v>
      </c>
      <c r="R119" s="529"/>
      <c r="S119" s="529">
        <f>+'Exhibit F'!T107+'Exhibit G'!T94+'Exhibit I'!U75</f>
        <v>133.10000000000016</v>
      </c>
      <c r="T119" s="529"/>
      <c r="U119" s="529">
        <f>+'Exhibit F'!V107+'Exhibit G'!V94+'Exhibit I'!W75</f>
        <v>239.2</v>
      </c>
      <c r="V119" s="529"/>
      <c r="W119" s="529"/>
      <c r="X119" s="529"/>
      <c r="Y119" s="529"/>
      <c r="Z119" s="529"/>
      <c r="AA119" s="530"/>
      <c r="AB119" s="118">
        <f t="shared" si="17"/>
        <v>1455.8</v>
      </c>
      <c r="AC119" s="3265"/>
      <c r="AD119" s="3490"/>
      <c r="AE119" s="118">
        <f>+'Exhibit F'!AF107+'Exhibit G'!AG94+'Exhibit I'!AI75</f>
        <v>1344.8</v>
      </c>
      <c r="AF119" s="1685"/>
      <c r="AG119" s="1685"/>
      <c r="AH119" s="1685">
        <f t="shared" si="18"/>
        <v>111</v>
      </c>
      <c r="AI119" s="3252"/>
      <c r="AJ119" s="1775">
        <f t="shared" si="19"/>
        <v>8.3000000000000004E-2</v>
      </c>
    </row>
    <row r="120" spans="1:38" ht="16.5" customHeight="1">
      <c r="A120" s="256" t="s">
        <v>32</v>
      </c>
      <c r="B120" s="225"/>
      <c r="C120" s="529">
        <f>+'Exhibit F'!D108+'Exhibit G'!D95+'Exhibit I'!E76</f>
        <v>240.10000000000002</v>
      </c>
      <c r="D120" s="529"/>
      <c r="E120" s="529">
        <f>+'Exhibit F'!F108+'Exhibit G'!F95+'Exhibit I'!G76</f>
        <v>215.79999999999998</v>
      </c>
      <c r="F120" s="529"/>
      <c r="G120" s="529">
        <f>+'Exhibit F'!H108+'Exhibit G'!H95+'Exhibit I'!I76</f>
        <v>537.79999999999995</v>
      </c>
      <c r="H120" s="529"/>
      <c r="I120" s="529">
        <f>+'Exhibit F'!J108+'Exhibit G'!J95+'Exhibit I'!K76</f>
        <v>452.80000000000013</v>
      </c>
      <c r="J120" s="529"/>
      <c r="K120" s="529">
        <f>+'Exhibit F'!L108+'Exhibit G'!L95+'Exhibit I'!M76</f>
        <v>374.09999999999991</v>
      </c>
      <c r="L120" s="529"/>
      <c r="M120" s="529">
        <f>+'Exhibit F'!N108+'Exhibit G'!N95+'Exhibit I'!O76</f>
        <v>706.5</v>
      </c>
      <c r="N120" s="529"/>
      <c r="O120" s="529">
        <f>+'Exhibit F'!P108+'Exhibit G'!P95+'Exhibit I'!Q76</f>
        <v>1491.0000000000002</v>
      </c>
      <c r="P120" s="529"/>
      <c r="Q120" s="529">
        <f>+'Exhibit F'!R108+'Exhibit G'!R95+'Exhibit I'!S76</f>
        <v>1057.6000000000001</v>
      </c>
      <c r="R120" s="529"/>
      <c r="S120" s="529">
        <f>+'Exhibit F'!T108+'Exhibit G'!T95+'Exhibit I'!U76</f>
        <v>247.19999999999973</v>
      </c>
      <c r="T120" s="529"/>
      <c r="U120" s="529">
        <f>+'Exhibit F'!V108+'Exhibit G'!V95+'Exhibit I'!W76</f>
        <v>672.80000000000018</v>
      </c>
      <c r="V120" s="529"/>
      <c r="W120" s="529"/>
      <c r="X120" s="529"/>
      <c r="Y120" s="529"/>
      <c r="Z120" s="529"/>
      <c r="AA120" s="530"/>
      <c r="AB120" s="118">
        <f t="shared" si="17"/>
        <v>5995.7</v>
      </c>
      <c r="AC120" s="3265"/>
      <c r="AD120" s="3490"/>
      <c r="AE120" s="118">
        <f>+'Exhibit F'!AF108+'Exhibit G'!AG95+'Exhibit I'!AI76</f>
        <v>6258</v>
      </c>
      <c r="AF120" s="1685"/>
      <c r="AG120" s="1685"/>
      <c r="AH120" s="1685">
        <f t="shared" si="18"/>
        <v>-262.3</v>
      </c>
      <c r="AI120" s="3252"/>
      <c r="AJ120" s="1775">
        <f t="shared" si="19"/>
        <v>-4.2000000000000003E-2</v>
      </c>
    </row>
    <row r="121" spans="1:38" ht="16.5" customHeight="1">
      <c r="A121" s="256" t="s">
        <v>33</v>
      </c>
      <c r="B121" s="225"/>
      <c r="C121" s="529">
        <f>+'Exhibit F'!D109+'Exhibit G'!D96+'Exhibit I'!E77</f>
        <v>34.1</v>
      </c>
      <c r="D121" s="529"/>
      <c r="E121" s="529">
        <f>+'Exhibit F'!F109+'Exhibit G'!F96+'Exhibit I'!G77</f>
        <v>164.8</v>
      </c>
      <c r="F121" s="529"/>
      <c r="G121" s="529">
        <f>+'Exhibit F'!H109+'Exhibit G'!H96+'Exhibit I'!I77</f>
        <v>204.6</v>
      </c>
      <c r="H121" s="529"/>
      <c r="I121" s="529">
        <f>+'Exhibit F'!J109+'Exhibit G'!J96+'Exhibit I'!K77</f>
        <v>67.799999999999983</v>
      </c>
      <c r="J121" s="529"/>
      <c r="K121" s="529">
        <f>+'Exhibit F'!L109+'Exhibit G'!L96+'Exhibit I'!M77</f>
        <v>67.699999999999989</v>
      </c>
      <c r="L121" s="529"/>
      <c r="M121" s="529">
        <f>+'Exhibit F'!N109+'Exhibit G'!N96+'Exhibit I'!O77</f>
        <v>74.399999999999977</v>
      </c>
      <c r="N121" s="529"/>
      <c r="O121" s="529">
        <f>+'Exhibit F'!P109+'Exhibit G'!P96+'Exhibit I'!Q77</f>
        <v>60.799999999999891</v>
      </c>
      <c r="P121" s="529"/>
      <c r="Q121" s="529">
        <f>+'Exhibit F'!R109+'Exhibit G'!R96+'Exhibit I'!S77</f>
        <v>66.700000000000074</v>
      </c>
      <c r="R121" s="529"/>
      <c r="S121" s="529">
        <f>+'Exhibit F'!T109+'Exhibit G'!T96+'Exhibit I'!U77</f>
        <v>121.60000000000007</v>
      </c>
      <c r="T121" s="529"/>
      <c r="U121" s="529">
        <f>+'Exhibit F'!V109+'Exhibit G'!V96+'Exhibit I'!W77</f>
        <v>36.399999999999913</v>
      </c>
      <c r="V121" s="529"/>
      <c r="W121" s="529"/>
      <c r="X121" s="529"/>
      <c r="Y121" s="529"/>
      <c r="Z121" s="529"/>
      <c r="AA121" s="530"/>
      <c r="AB121" s="118">
        <f t="shared" si="17"/>
        <v>898.9</v>
      </c>
      <c r="AC121" s="3265"/>
      <c r="AD121" s="3490"/>
      <c r="AE121" s="118">
        <f>+'Exhibit F'!AF109+'Exhibit G'!AG96+'Exhibit I'!AI77</f>
        <v>1031.5</v>
      </c>
      <c r="AF121" s="1685"/>
      <c r="AG121" s="1685"/>
      <c r="AH121" s="1685">
        <f t="shared" si="18"/>
        <v>-132.6</v>
      </c>
      <c r="AI121" s="3252"/>
      <c r="AJ121" s="1775">
        <f t="shared" si="19"/>
        <v>-0.129</v>
      </c>
    </row>
    <row r="122" spans="1:38" ht="16.5" customHeight="1">
      <c r="A122" s="256" t="s">
        <v>34</v>
      </c>
      <c r="B122" s="225"/>
      <c r="C122" s="529">
        <f>+'Exhibit F'!D110+'Exhibit G'!D97+'Exhibit I'!E78</f>
        <v>305</v>
      </c>
      <c r="D122" s="529"/>
      <c r="E122" s="529">
        <f>+'Exhibit F'!F110+'Exhibit G'!F97+'Exhibit I'!G78</f>
        <v>477.09999999999997</v>
      </c>
      <c r="F122" s="529"/>
      <c r="G122" s="529">
        <f>+'Exhibit F'!H110+'Exhibit G'!H97+'Exhibit I'!I78</f>
        <v>354.6</v>
      </c>
      <c r="H122" s="529"/>
      <c r="I122" s="529">
        <f>+'Exhibit F'!J110+'Exhibit G'!J97+'Exhibit I'!K78</f>
        <v>335.40000000000009</v>
      </c>
      <c r="J122" s="529"/>
      <c r="K122" s="529">
        <f>+'Exhibit F'!L110+'Exhibit G'!L97+'Exhibit I'!M78</f>
        <v>438</v>
      </c>
      <c r="L122" s="529"/>
      <c r="M122" s="529">
        <f>+'Exhibit F'!N110+'Exhibit G'!N97+'Exhibit I'!O78</f>
        <v>839.0999999999998</v>
      </c>
      <c r="N122" s="529"/>
      <c r="O122" s="529">
        <f>+'Exhibit F'!P110+'Exhibit G'!P97+'Exhibit I'!Q78</f>
        <v>364.1</v>
      </c>
      <c r="P122" s="529"/>
      <c r="Q122" s="529">
        <f>+'Exhibit F'!R110+'Exhibit G'!R97+'Exhibit I'!S78</f>
        <v>540.39999999999941</v>
      </c>
      <c r="R122" s="529"/>
      <c r="S122" s="529">
        <f>+'Exhibit F'!T110+'Exhibit G'!T97+'Exhibit I'!U78</f>
        <v>1027.2</v>
      </c>
      <c r="T122" s="529"/>
      <c r="U122" s="529">
        <f>+'Exhibit F'!V110+'Exhibit G'!V97+'Exhibit I'!W78</f>
        <v>120.70000000000059</v>
      </c>
      <c r="V122" s="529"/>
      <c r="W122" s="529"/>
      <c r="X122" s="529"/>
      <c r="Y122" s="529"/>
      <c r="Z122" s="529"/>
      <c r="AA122" s="530"/>
      <c r="AB122" s="1685">
        <f>ROUND(SUM(C122:Y122),1)</f>
        <v>4801.6000000000004</v>
      </c>
      <c r="AC122" s="3265"/>
      <c r="AD122" s="3490"/>
      <c r="AE122" s="118">
        <f>+'Exhibit F'!AF110+'Exhibit G'!AG97+'Exhibit I'!AI78</f>
        <v>5018.6000000000004</v>
      </c>
      <c r="AF122" s="1685"/>
      <c r="AG122" s="1685"/>
      <c r="AH122" s="1685">
        <f>ROUND(SUM(AB122-AE122),1)</f>
        <v>-217</v>
      </c>
      <c r="AI122" s="3252"/>
      <c r="AJ122" s="1775">
        <f t="shared" si="19"/>
        <v>-4.2999999999999997E-2</v>
      </c>
    </row>
    <row r="123" spans="1:38" ht="16.5" customHeight="1">
      <c r="A123" s="225" t="s">
        <v>35</v>
      </c>
      <c r="B123" s="225"/>
      <c r="C123" s="541">
        <f>ROUND(SUM(C113:C122),1)</f>
        <v>9222.1</v>
      </c>
      <c r="D123" s="534"/>
      <c r="E123" s="541">
        <f>ROUND(SUM(E113:E122),1)</f>
        <v>12637.4</v>
      </c>
      <c r="F123" s="534"/>
      <c r="G123" s="541">
        <f>ROUND(SUM(G113:G122),1)</f>
        <v>10736.2</v>
      </c>
      <c r="H123" s="534"/>
      <c r="I123" s="541">
        <f>ROUND(SUM(I113:I122),1)</f>
        <v>8640</v>
      </c>
      <c r="J123" s="534"/>
      <c r="K123" s="541">
        <f>ROUND(SUM(K113:K122),1)</f>
        <v>8295.2999999999993</v>
      </c>
      <c r="L123" s="534"/>
      <c r="M123" s="541">
        <f>ROUND(SUM(M113:M122),1)</f>
        <v>12973.8</v>
      </c>
      <c r="N123" s="534"/>
      <c r="O123" s="541">
        <f>ROUND(SUM(O113:O122),1)</f>
        <v>10198.700000000001</v>
      </c>
      <c r="P123" s="534"/>
      <c r="Q123" s="3257">
        <f>ROUND(SUM(Q113:Q122),1)</f>
        <v>10642.7</v>
      </c>
      <c r="R123" s="534"/>
      <c r="S123" s="541">
        <f>ROUND(SUM(S113:S122),1)</f>
        <v>10758.2</v>
      </c>
      <c r="T123" s="534"/>
      <c r="U123" s="541">
        <f>ROUND(SUM(U113:U122),1)</f>
        <v>11735.1</v>
      </c>
      <c r="V123" s="534"/>
      <c r="W123" s="541">
        <f>ROUND(SUM(W113:W122),1)</f>
        <v>0</v>
      </c>
      <c r="X123" s="534"/>
      <c r="Y123" s="541">
        <f>ROUND(SUM(Y113:Y122),1)</f>
        <v>0</v>
      </c>
      <c r="Z123" s="534"/>
      <c r="AA123" s="535"/>
      <c r="AB123" s="3257">
        <f>ROUND(SUM(AB113:AB122),1)</f>
        <v>105839.5</v>
      </c>
      <c r="AC123" s="3266"/>
      <c r="AD123" s="3498"/>
      <c r="AE123" s="3257">
        <f>ROUND(SUM(AE113:AE122),1)</f>
        <v>101973.3</v>
      </c>
      <c r="AF123" s="3260"/>
      <c r="AG123" s="3260"/>
      <c r="AH123" s="3257">
        <f>ROUND(SUM(AH113:AH122),1)</f>
        <v>3866.2</v>
      </c>
      <c r="AI123" s="3253"/>
      <c r="AJ123" s="3487">
        <f t="shared" si="19"/>
        <v>3.7999999999999999E-2</v>
      </c>
      <c r="AK123" s="3479"/>
      <c r="AL123" s="435"/>
    </row>
    <row r="124" spans="1:38" ht="16.5" customHeight="1">
      <c r="A124" s="225" t="s">
        <v>36</v>
      </c>
      <c r="B124" s="225"/>
      <c r="C124" s="537"/>
      <c r="D124" s="529"/>
      <c r="E124" s="537"/>
      <c r="F124" s="529"/>
      <c r="G124" s="537"/>
      <c r="H124" s="529"/>
      <c r="I124" s="537"/>
      <c r="J124" s="529"/>
      <c r="K124" s="537"/>
      <c r="L124" s="529"/>
      <c r="M124" s="537"/>
      <c r="N124" s="529"/>
      <c r="O124" s="537"/>
      <c r="P124" s="529"/>
      <c r="Q124" s="2227"/>
      <c r="R124" s="529"/>
      <c r="S124" s="537"/>
      <c r="T124" s="529"/>
      <c r="U124" s="537"/>
      <c r="V124" s="529"/>
      <c r="W124" s="537"/>
      <c r="X124" s="529"/>
      <c r="Y124" s="537"/>
      <c r="Z124" s="529"/>
      <c r="AA124" s="530"/>
      <c r="AB124" s="2227"/>
      <c r="AC124" s="1685"/>
      <c r="AD124" s="3490"/>
      <c r="AE124" s="67"/>
      <c r="AF124" s="1685"/>
      <c r="AG124" s="1685"/>
      <c r="AH124" s="911"/>
      <c r="AI124" s="3252"/>
      <c r="AJ124" s="907"/>
    </row>
    <row r="125" spans="1:38" ht="16.5" customHeight="1">
      <c r="A125" s="225" t="s">
        <v>139</v>
      </c>
      <c r="B125" s="225"/>
      <c r="C125" s="529">
        <f>+'Exhibit F'!D113+'Exhibit G'!D100+'Exhibit I'!E81</f>
        <v>1139.8</v>
      </c>
      <c r="D125" s="529"/>
      <c r="E125" s="529">
        <f>+'Exhibit F'!F113+'Exhibit G'!F100+'Exhibit I'!G81</f>
        <v>1717.6</v>
      </c>
      <c r="F125" s="529"/>
      <c r="G125" s="529">
        <f>+'Exhibit F'!H113+'Exhibit G'!H100+'Exhibit I'!I81</f>
        <v>1127.6999999999998</v>
      </c>
      <c r="H125" s="529"/>
      <c r="I125" s="529">
        <f>+'Exhibit F'!J113+'Exhibit G'!J100+'Exhibit I'!K81</f>
        <v>1191.0000000000005</v>
      </c>
      <c r="J125" s="529"/>
      <c r="K125" s="529">
        <f>+'Exhibit F'!L113+'Exhibit G'!L100+'Exhibit I'!M81</f>
        <v>1253.2999999999995</v>
      </c>
      <c r="L125" s="529"/>
      <c r="M125" s="529">
        <f>+'Exhibit F'!N113+'Exhibit G'!N100+'Exhibit I'!O81</f>
        <v>1115.1000000000004</v>
      </c>
      <c r="N125" s="529"/>
      <c r="O125" s="529">
        <f>+'Exhibit F'!P113+'Exhibit G'!P100+'Exhibit I'!Q81</f>
        <v>1440.1999999999998</v>
      </c>
      <c r="P125" s="529"/>
      <c r="Q125" s="529">
        <f>+'Exhibit F'!R113+'Exhibit G'!R100+'Exhibit I'!S81</f>
        <v>1129.7999999999993</v>
      </c>
      <c r="R125" s="529"/>
      <c r="S125" s="529">
        <f>+'Exhibit F'!T113+'Exhibit G'!T100+'Exhibit I'!U81</f>
        <v>1145.1000000000008</v>
      </c>
      <c r="T125" s="529"/>
      <c r="U125" s="529">
        <f>+'Exhibit F'!V113+'Exhibit G'!V100+'Exhibit I'!W81</f>
        <v>1241.7000000000007</v>
      </c>
      <c r="V125" s="529"/>
      <c r="W125" s="529"/>
      <c r="X125" s="529"/>
      <c r="Y125" s="529"/>
      <c r="Z125" s="529"/>
      <c r="AA125" s="530"/>
      <c r="AB125" s="1685">
        <f>ROUND(SUM(C125:Y125),1)</f>
        <v>12501.3</v>
      </c>
      <c r="AC125" s="1685"/>
      <c r="AD125" s="3490"/>
      <c r="AE125" s="67">
        <f>+'Exhibit F'!AF113+'Exhibit G'!AG100+'Exhibit I'!AI81</f>
        <v>12134.9</v>
      </c>
      <c r="AF125" s="1685"/>
      <c r="AG125" s="1685"/>
      <c r="AH125" s="1685">
        <f>ROUND(SUM(AB125-AE125),1)</f>
        <v>366.4</v>
      </c>
      <c r="AI125" s="3252"/>
      <c r="AJ125" s="1775">
        <f>ROUND(IF(AE125=0,0,AH125/ABS(AE125)),3)</f>
        <v>0.03</v>
      </c>
    </row>
    <row r="126" spans="1:38" ht="16.5" customHeight="1">
      <c r="A126" s="225" t="s">
        <v>140</v>
      </c>
      <c r="B126" s="225"/>
      <c r="C126" s="529">
        <f>+'Exhibit F'!D114+'Exhibit G'!D101+'Exhibit H'!B53+'Exhibit I'!E82</f>
        <v>474.09999999999997</v>
      </c>
      <c r="D126" s="529"/>
      <c r="E126" s="529">
        <f>+'Exhibit F'!F114+'Exhibit G'!F101+'Exhibit H'!D53+'Exhibit I'!G82</f>
        <v>576.29999999999995</v>
      </c>
      <c r="F126" s="529"/>
      <c r="G126" s="529">
        <f>+'Exhibit F'!H114+'Exhibit G'!H101+'Exhibit H'!F53+'Exhibit I'!I82</f>
        <v>515.9</v>
      </c>
      <c r="H126" s="529"/>
      <c r="I126" s="529">
        <f>+'Exhibit F'!J114+'Exhibit G'!J101+'Exhibit H'!H53+'Exhibit I'!K82</f>
        <v>519.50000000000011</v>
      </c>
      <c r="J126" s="529"/>
      <c r="K126" s="529">
        <f>+'Exhibit F'!L114+'Exhibit G'!L101+'Exhibit H'!J53+'Exhibit I'!M82</f>
        <v>578.19999999999982</v>
      </c>
      <c r="L126" s="529"/>
      <c r="M126" s="529">
        <f>+'Exhibit F'!N114+'Exhibit G'!N101+'Exhibit H'!L53+'Exhibit I'!O82</f>
        <v>593</v>
      </c>
      <c r="N126" s="529"/>
      <c r="O126" s="529">
        <f>+'Exhibit F'!P114+'Exhibit G'!P101+'Exhibit H'!N53+'Exhibit I'!Q82</f>
        <v>647.4000000000002</v>
      </c>
      <c r="P126" s="529"/>
      <c r="Q126" s="529">
        <f>+'Exhibit F'!R114+'Exhibit G'!R101+'Exhibit H'!P53+'Exhibit I'!S82</f>
        <v>514.39999999999986</v>
      </c>
      <c r="R126" s="529"/>
      <c r="S126" s="529">
        <f>+'Exhibit F'!T114+'Exhibit G'!T101+'Exhibit H'!R53+'Exhibit I'!U82</f>
        <v>524.69999999999982</v>
      </c>
      <c r="T126" s="529"/>
      <c r="U126" s="529">
        <f>+'Exhibit F'!V114+'Exhibit G'!V101+'Exhibit H'!T53+'Exhibit I'!W82</f>
        <v>683.29999999999973</v>
      </c>
      <c r="V126" s="529"/>
      <c r="W126" s="529"/>
      <c r="X126" s="529"/>
      <c r="Y126" s="529"/>
      <c r="Z126" s="529"/>
      <c r="AA126" s="530"/>
      <c r="AB126" s="1685">
        <f>ROUND(SUM(C126:Y126),1)</f>
        <v>5626.8</v>
      </c>
      <c r="AC126" s="1685"/>
      <c r="AD126" s="3490"/>
      <c r="AE126" s="67">
        <f>+'Exhibit F'!AF114+'Exhibit G'!AG101+'Exhibit H'!AD53+'Exhibit I'!AI82</f>
        <v>5424.9</v>
      </c>
      <c r="AF126" s="1685"/>
      <c r="AG126" s="1685"/>
      <c r="AH126" s="1685">
        <f>ROUND(SUM(AB126-AE126),1)</f>
        <v>201.9</v>
      </c>
      <c r="AI126" s="3252"/>
      <c r="AJ126" s="1775">
        <f>ROUND(IF(AE126=0,0,AH126/ABS(AE126)),3)</f>
        <v>3.6999999999999998E-2</v>
      </c>
    </row>
    <row r="127" spans="1:38" ht="16.5" customHeight="1">
      <c r="A127" s="225" t="s">
        <v>39</v>
      </c>
      <c r="B127" s="225"/>
      <c r="C127" s="529">
        <f>+'Exhibit F'!D115+'Exhibit G'!D102+'Exhibit I'!E83</f>
        <v>813.6</v>
      </c>
      <c r="D127" s="529"/>
      <c r="E127" s="529">
        <f>+'Exhibit F'!F115+'Exhibit G'!F102+'Exhibit I'!G83</f>
        <v>2460.6000000000004</v>
      </c>
      <c r="F127" s="529"/>
      <c r="G127" s="529">
        <f>+'Exhibit F'!H115+'Exhibit G'!H102+'Exhibit I'!I83</f>
        <v>454.59999999999968</v>
      </c>
      <c r="H127" s="529"/>
      <c r="I127" s="529">
        <f>+'Exhibit F'!J115+'Exhibit G'!J102+'Exhibit I'!K83</f>
        <v>499.00000000000017</v>
      </c>
      <c r="J127" s="529"/>
      <c r="K127" s="529">
        <f>+'Exhibit F'!L115+'Exhibit G'!L102+'Exhibit I'!M83</f>
        <v>543.00000000000034</v>
      </c>
      <c r="L127" s="529"/>
      <c r="M127" s="529">
        <f>+'Exhibit F'!N115+'Exhibit G'!N102+'Exhibit I'!O83</f>
        <v>572.70000000000005</v>
      </c>
      <c r="N127" s="529"/>
      <c r="O127" s="529">
        <f>+'Exhibit F'!P115+'Exhibit G'!P102+'Exhibit I'!Q83</f>
        <v>665.89999999999964</v>
      </c>
      <c r="P127" s="529"/>
      <c r="Q127" s="529">
        <f>+'Exhibit F'!R115+'Exhibit G'!R102+'Exhibit I'!S83</f>
        <v>565.70000000000005</v>
      </c>
      <c r="R127" s="529"/>
      <c r="S127" s="529">
        <f>+'Exhibit F'!T115+'Exhibit G'!T102+'Exhibit I'!U83</f>
        <v>539.29999999999984</v>
      </c>
      <c r="T127" s="529"/>
      <c r="U127" s="529">
        <f>+'Exhibit F'!V115+'Exhibit G'!V102+'Exhibit I'!W83</f>
        <v>566.50000000000045</v>
      </c>
      <c r="V127" s="529"/>
      <c r="W127" s="529"/>
      <c r="X127" s="529"/>
      <c r="Y127" s="529"/>
      <c r="Z127" s="529"/>
      <c r="AA127" s="530"/>
      <c r="AB127" s="1685">
        <f>ROUND(SUM(C127:Y127),1)</f>
        <v>7680.9</v>
      </c>
      <c r="AC127" s="1685"/>
      <c r="AD127" s="3490"/>
      <c r="AE127" s="67">
        <f>+'Exhibit F'!AF115+'Exhibit G'!AG102+'Exhibit H'!AD54+'Exhibit I'!AI83</f>
        <v>7571.1</v>
      </c>
      <c r="AF127" s="1685"/>
      <c r="AG127" s="1685"/>
      <c r="AH127" s="1685">
        <f>ROUND(SUM(AB127-AE127),1)</f>
        <v>109.8</v>
      </c>
      <c r="AI127" s="3252"/>
      <c r="AJ127" s="1775">
        <f>ROUND(IF(AE127=0,0,AH127/ABS(AE127)),3)</f>
        <v>1.4999999999999999E-2</v>
      </c>
    </row>
    <row r="128" spans="1:38" ht="16.5" customHeight="1">
      <c r="A128" s="225" t="s">
        <v>1276</v>
      </c>
      <c r="B128" s="225"/>
      <c r="C128" s="537"/>
      <c r="D128" s="529"/>
      <c r="E128" s="537"/>
      <c r="F128" s="529"/>
      <c r="G128" s="537"/>
      <c r="H128" s="529"/>
      <c r="I128" s="537"/>
      <c r="J128" s="529"/>
      <c r="K128" s="537"/>
      <c r="L128" s="529"/>
      <c r="M128" s="537"/>
      <c r="N128" s="529"/>
      <c r="O128" s="537"/>
      <c r="P128" s="529"/>
      <c r="Q128" s="537"/>
      <c r="R128" s="529"/>
      <c r="S128" s="537"/>
      <c r="T128" s="529"/>
      <c r="U128" s="537"/>
      <c r="V128" s="529"/>
      <c r="W128" s="537"/>
      <c r="X128" s="529"/>
      <c r="Y128" s="537"/>
      <c r="Z128" s="529"/>
      <c r="AA128" s="530"/>
      <c r="AB128" s="1685"/>
      <c r="AC128" s="1685"/>
      <c r="AD128" s="3490"/>
      <c r="AE128" s="2227"/>
      <c r="AF128" s="1685"/>
      <c r="AG128" s="1685"/>
      <c r="AH128" s="1685"/>
      <c r="AI128" s="3252"/>
      <c r="AJ128" s="3491"/>
    </row>
    <row r="129" spans="1:44" ht="16.5" customHeight="1">
      <c r="A129" s="225" t="s">
        <v>41</v>
      </c>
      <c r="B129" s="225"/>
      <c r="C129" s="529">
        <f>+'Exhibit H'!B55</f>
        <v>72.400000000000006</v>
      </c>
      <c r="D129" s="529"/>
      <c r="E129" s="529">
        <f>+'Exhibit H'!D55</f>
        <v>121.1</v>
      </c>
      <c r="F129" s="529"/>
      <c r="G129" s="529">
        <f>+'Exhibit H'!F55</f>
        <v>230.29999999999998</v>
      </c>
      <c r="H129" s="529"/>
      <c r="I129" s="529">
        <f>+'Exhibit H'!H55</f>
        <v>45.099999999999994</v>
      </c>
      <c r="J129" s="529"/>
      <c r="K129" s="529">
        <f>+'Exhibit H'!J55</f>
        <v>74.5</v>
      </c>
      <c r="L129" s="529"/>
      <c r="M129" s="529">
        <f>+'Exhibit H'!L55</f>
        <v>433.20000000000005</v>
      </c>
      <c r="N129" s="529"/>
      <c r="O129" s="529">
        <f>+'Exhibit H'!N55</f>
        <v>48.499999999999886</v>
      </c>
      <c r="P129" s="529"/>
      <c r="Q129" s="529">
        <f>+'Exhibit H'!P55</f>
        <v>74.899999999999977</v>
      </c>
      <c r="R129" s="529"/>
      <c r="S129" s="529">
        <f>+'Exhibit H'!R55</f>
        <v>412.20000000000027</v>
      </c>
      <c r="T129" s="529"/>
      <c r="U129" s="529">
        <f>+'Exhibit H'!T55</f>
        <v>44.599999999999909</v>
      </c>
      <c r="V129" s="529"/>
      <c r="W129" s="529"/>
      <c r="X129" s="529"/>
      <c r="Y129" s="529"/>
      <c r="Z129" s="529"/>
      <c r="AA129" s="530"/>
      <c r="AB129" s="1685">
        <f>ROUND(SUM(C129:Y129),1)</f>
        <v>1556.8</v>
      </c>
      <c r="AC129" s="1685"/>
      <c r="AD129" s="3490"/>
      <c r="AE129" s="67">
        <f>+'Exhibit H'!AD55</f>
        <v>1768.9</v>
      </c>
      <c r="AF129" s="1685"/>
      <c r="AG129" s="1685"/>
      <c r="AH129" s="1685">
        <f>ROUND(SUM(AB129-AE129),1)</f>
        <v>-212.1</v>
      </c>
      <c r="AI129" s="3252"/>
      <c r="AJ129" s="1775">
        <f>ROUND(IF(AE129=0,0,AH129/ABS(AE129)),3)</f>
        <v>-0.12</v>
      </c>
    </row>
    <row r="130" spans="1:44" ht="16.5" customHeight="1">
      <c r="A130" s="540" t="s">
        <v>141</v>
      </c>
      <c r="B130" s="225"/>
      <c r="C130" s="532">
        <f>+'Exhibit G'!D103+'Exhibit I'!E84</f>
        <v>434.1</v>
      </c>
      <c r="D130" s="529"/>
      <c r="E130" s="532">
        <f>+'Exhibit G'!F103+'Exhibit I'!G84</f>
        <v>528.1</v>
      </c>
      <c r="F130" s="529"/>
      <c r="G130" s="532">
        <f>+'Exhibit G'!H103+'Exhibit I'!I84</f>
        <v>536.5</v>
      </c>
      <c r="H130" s="529"/>
      <c r="I130" s="532">
        <f>+'Exhibit G'!J103+'Exhibit I'!K84</f>
        <v>600.69999999999982</v>
      </c>
      <c r="J130" s="529"/>
      <c r="K130" s="532">
        <f>+'Exhibit G'!L103+'Exhibit I'!M84</f>
        <v>750.3</v>
      </c>
      <c r="L130" s="529"/>
      <c r="M130" s="532">
        <f>+'Exhibit G'!N103+'Exhibit I'!O84</f>
        <v>582.60000000000014</v>
      </c>
      <c r="N130" s="529"/>
      <c r="O130" s="532">
        <f>+'Exhibit G'!P103+'Exhibit I'!Q84</f>
        <v>710.69999999999993</v>
      </c>
      <c r="P130" s="529"/>
      <c r="Q130" s="532">
        <f>+'Exhibit G'!R103+'Exhibit I'!S84</f>
        <v>705.00000000000045</v>
      </c>
      <c r="R130" s="529"/>
      <c r="S130" s="532">
        <f>+'Exhibit G'!T103+'Exhibit I'!U84</f>
        <v>577.00000000000023</v>
      </c>
      <c r="T130" s="529"/>
      <c r="U130" s="532">
        <f>+'Exhibit G'!V103+'Exhibit I'!W84</f>
        <v>551.7999999999995</v>
      </c>
      <c r="V130" s="529"/>
      <c r="W130" s="532"/>
      <c r="X130" s="529"/>
      <c r="Y130" s="532"/>
      <c r="Z130" s="529"/>
      <c r="AA130" s="530"/>
      <c r="AB130" s="3262">
        <f>ROUND(SUM(C130:Y130),1)</f>
        <v>5976.8</v>
      </c>
      <c r="AC130" s="1685"/>
      <c r="AD130" s="3490"/>
      <c r="AE130" s="3584">
        <f>+'Exhibit G'!AG103+'Exhibit I'!AI84</f>
        <v>5968.3</v>
      </c>
      <c r="AF130" s="1685"/>
      <c r="AG130" s="1685"/>
      <c r="AH130" s="3262">
        <f>ROUND(SUM(AB130-AE130),1)</f>
        <v>8.5</v>
      </c>
      <c r="AI130" s="3252"/>
      <c r="AJ130" s="3495">
        <f>ROUND(IF(AE130=0,0,AH130/ABS(AE130)),3)</f>
        <v>1E-3</v>
      </c>
    </row>
    <row r="131" spans="1:44" ht="16.5" customHeight="1">
      <c r="A131" s="225"/>
      <c r="B131" s="225"/>
      <c r="C131" s="537"/>
      <c r="D131" s="529"/>
      <c r="E131" s="537"/>
      <c r="F131" s="529"/>
      <c r="G131" s="537"/>
      <c r="H131" s="529"/>
      <c r="I131" s="537"/>
      <c r="J131" s="529"/>
      <c r="K131" s="537"/>
      <c r="L131" s="529"/>
      <c r="M131" s="537"/>
      <c r="N131" s="529"/>
      <c r="O131" s="537"/>
      <c r="P131" s="529"/>
      <c r="Q131" s="2227"/>
      <c r="R131" s="529"/>
      <c r="S131" s="537"/>
      <c r="T131" s="529"/>
      <c r="U131" s="537"/>
      <c r="V131" s="529"/>
      <c r="W131" s="537"/>
      <c r="X131" s="529"/>
      <c r="Y131" s="537"/>
      <c r="Z131" s="529"/>
      <c r="AA131" s="530"/>
      <c r="AB131" s="2227"/>
      <c r="AC131" s="1685"/>
      <c r="AD131" s="3490"/>
      <c r="AE131" s="2227"/>
      <c r="AF131" s="1685"/>
      <c r="AG131" s="1685"/>
      <c r="AH131" s="2227"/>
      <c r="AI131" s="3252"/>
      <c r="AJ131" s="3499"/>
    </row>
    <row r="132" spans="1:44" ht="16.5" customHeight="1">
      <c r="A132" s="207" t="s">
        <v>58</v>
      </c>
      <c r="B132" s="225"/>
      <c r="C132" s="533">
        <f>ROUND(SUM(C123:C130),1)</f>
        <v>12156.1</v>
      </c>
      <c r="D132" s="534"/>
      <c r="E132" s="533">
        <f>ROUND(SUM(E123:E130),1)</f>
        <v>18041.099999999999</v>
      </c>
      <c r="F132" s="534"/>
      <c r="G132" s="533">
        <f>ROUND(SUM(G123:G130),1)</f>
        <v>13601.2</v>
      </c>
      <c r="H132" s="534"/>
      <c r="I132" s="533">
        <f>ROUND(SUM(I123:I130),1)</f>
        <v>11495.3</v>
      </c>
      <c r="J132" s="534"/>
      <c r="K132" s="533">
        <f>ROUND(SUM(K123:K130),1)</f>
        <v>11494.6</v>
      </c>
      <c r="L132" s="534"/>
      <c r="M132" s="533">
        <f>ROUND(SUM(M123:M130),1)</f>
        <v>16270.4</v>
      </c>
      <c r="N132" s="534"/>
      <c r="O132" s="533">
        <f>ROUND(SUM(O123:O130),1)</f>
        <v>13711.4</v>
      </c>
      <c r="P132" s="534"/>
      <c r="Q132" s="2228">
        <f>ROUND(SUM(Q123:Q130),1)</f>
        <v>13632.5</v>
      </c>
      <c r="R132" s="534"/>
      <c r="S132" s="533">
        <f>ROUND(SUM(S123:S130),1)</f>
        <v>13956.5</v>
      </c>
      <c r="T132" s="534"/>
      <c r="U132" s="533">
        <f>ROUND(SUM(U123:U130),1)</f>
        <v>14823</v>
      </c>
      <c r="V132" s="534"/>
      <c r="W132" s="533">
        <f>ROUND(SUM(W123:W130),1)</f>
        <v>0</v>
      </c>
      <c r="X132" s="534"/>
      <c r="Y132" s="533">
        <f>ROUND(SUM(Y123:Y130),1)</f>
        <v>0</v>
      </c>
      <c r="Z132" s="534"/>
      <c r="AA132" s="535"/>
      <c r="AB132" s="2228">
        <f>ROUND(SUM(AB123:AB130),1)</f>
        <v>139182.1</v>
      </c>
      <c r="AC132" s="3260"/>
      <c r="AD132" s="3498"/>
      <c r="AE132" s="2228">
        <f>ROUND(SUM(AE123:AE130),1)</f>
        <v>134841.4</v>
      </c>
      <c r="AF132" s="3260"/>
      <c r="AG132" s="3260"/>
      <c r="AH132" s="2228">
        <f>ROUND(SUM(AB132-AE132),1)</f>
        <v>4340.7</v>
      </c>
      <c r="AI132" s="3253"/>
      <c r="AJ132" s="3489">
        <f>ROUND(IF(AE132=0,0,AH132/ABS(AE132)),3)</f>
        <v>3.2000000000000001E-2</v>
      </c>
      <c r="AK132" s="3479"/>
      <c r="AL132" s="435"/>
      <c r="AM132" s="435"/>
      <c r="AN132" s="435"/>
      <c r="AO132" s="435"/>
      <c r="AP132" s="435"/>
      <c r="AQ132" s="435"/>
      <c r="AR132" s="435"/>
    </row>
    <row r="133" spans="1:44" ht="16.5" customHeight="1">
      <c r="A133" s="207"/>
      <c r="B133" s="225"/>
      <c r="C133" s="529"/>
      <c r="D133" s="529"/>
      <c r="E133" s="529"/>
      <c r="F133" s="529"/>
      <c r="G133" s="529"/>
      <c r="H133" s="529"/>
      <c r="I133" s="529"/>
      <c r="J133" s="529"/>
      <c r="K133" s="529"/>
      <c r="L133" s="529"/>
      <c r="M133" s="529"/>
      <c r="N133" s="529"/>
      <c r="O133" s="529"/>
      <c r="P133" s="529"/>
      <c r="Q133" s="1685"/>
      <c r="R133" s="529"/>
      <c r="S133" s="529"/>
      <c r="T133" s="529"/>
      <c r="U133" s="529"/>
      <c r="V133" s="529"/>
      <c r="W133" s="529"/>
      <c r="X133" s="529"/>
      <c r="Y133" s="529"/>
      <c r="Z133" s="529"/>
      <c r="AA133" s="530"/>
      <c r="AB133" s="1685"/>
      <c r="AC133" s="1685"/>
      <c r="AD133" s="3490"/>
      <c r="AE133" s="1685"/>
      <c r="AF133" s="1685"/>
      <c r="AG133" s="1685"/>
      <c r="AH133" s="911"/>
      <c r="AI133" s="3252"/>
      <c r="AJ133" s="907"/>
    </row>
    <row r="134" spans="1:44" ht="16.5" customHeight="1">
      <c r="A134" s="207" t="s">
        <v>44</v>
      </c>
      <c r="B134" s="225"/>
      <c r="C134" s="529"/>
      <c r="D134" s="529"/>
      <c r="E134" s="529"/>
      <c r="F134" s="529"/>
      <c r="G134" s="529"/>
      <c r="H134" s="529"/>
      <c r="I134" s="529"/>
      <c r="J134" s="529"/>
      <c r="K134" s="529"/>
      <c r="L134" s="529"/>
      <c r="M134" s="529"/>
      <c r="N134" s="529"/>
      <c r="O134" s="529"/>
      <c r="P134" s="529"/>
      <c r="Q134" s="1685"/>
      <c r="R134" s="529"/>
      <c r="S134" s="529"/>
      <c r="T134" s="529"/>
      <c r="U134" s="529"/>
      <c r="V134" s="529"/>
      <c r="W134" s="529"/>
      <c r="X134" s="529"/>
      <c r="Y134" s="529"/>
      <c r="Z134" s="529"/>
      <c r="AA134" s="530"/>
      <c r="AB134" s="1685"/>
      <c r="AC134" s="1685"/>
      <c r="AD134" s="3490"/>
      <c r="AE134" s="1685"/>
      <c r="AF134" s="1685"/>
      <c r="AG134" s="1685"/>
      <c r="AH134" s="911"/>
      <c r="AI134" s="3252"/>
      <c r="AJ134" s="907"/>
    </row>
    <row r="135" spans="1:44" ht="16.5" customHeight="1">
      <c r="A135" s="207" t="s">
        <v>45</v>
      </c>
      <c r="B135" s="225"/>
      <c r="C135" s="533">
        <f>ROUND(SUM(C109-C132),1)</f>
        <v>8307</v>
      </c>
      <c r="D135" s="534"/>
      <c r="E135" s="533">
        <f>ROUND(SUM(E109-E132),1)</f>
        <v>-7325.1</v>
      </c>
      <c r="F135" s="534"/>
      <c r="G135" s="533">
        <f>ROUND(SUM(G109-G132),1)</f>
        <v>2818.6</v>
      </c>
      <c r="H135" s="534"/>
      <c r="I135" s="533">
        <f>ROUND(SUM(I109-I132),1)</f>
        <v>-940.6</v>
      </c>
      <c r="J135" s="534"/>
      <c r="K135" s="533">
        <f>ROUND(SUM(K109-K132),1)</f>
        <v>983.5</v>
      </c>
      <c r="L135" s="534"/>
      <c r="M135" s="533">
        <f>ROUND(SUM(M109-M132),1)</f>
        <v>593.5</v>
      </c>
      <c r="N135" s="534"/>
      <c r="O135" s="533">
        <f>ROUND(SUM(O109-O132),1)</f>
        <v>33.4</v>
      </c>
      <c r="P135" s="534"/>
      <c r="Q135" s="2228">
        <f>ROUND(SUM(Q109-Q132),1)</f>
        <v>-2245.6999999999998</v>
      </c>
      <c r="R135" s="534"/>
      <c r="S135" s="533">
        <f>ROUND(SUM(S109-S132),1)</f>
        <v>2810.7</v>
      </c>
      <c r="T135" s="534"/>
      <c r="U135" s="533">
        <f>ROUND(SUM(U109-U132),1)</f>
        <v>4738.3999999999996</v>
      </c>
      <c r="V135" s="534"/>
      <c r="W135" s="533">
        <f>ROUND(SUM(W109-W132),1)</f>
        <v>0</v>
      </c>
      <c r="X135" s="534"/>
      <c r="Y135" s="533">
        <f>ROUND(SUM(Y109-Y132),1)</f>
        <v>0</v>
      </c>
      <c r="Z135" s="534"/>
      <c r="AA135" s="535"/>
      <c r="AB135" s="2228">
        <f>ROUND(SUM(AB109-AB132),1)</f>
        <v>9773.7000000000007</v>
      </c>
      <c r="AC135" s="3260"/>
      <c r="AD135" s="3498"/>
      <c r="AE135" s="2228">
        <f>ROUND(SUM(AE109-AE132),1)</f>
        <v>4682.7</v>
      </c>
      <c r="AF135" s="3260"/>
      <c r="AG135" s="3260"/>
      <c r="AH135" s="3500">
        <f>ROUND(SUM(AB135-AE135),1)</f>
        <v>5091</v>
      </c>
      <c r="AI135" s="3253"/>
      <c r="AJ135" s="3501">
        <f>ROUND(IF(AE135=0,0,AH135/ABS(AE135)),3)</f>
        <v>1.087</v>
      </c>
      <c r="AK135" s="3479"/>
      <c r="AL135" s="435"/>
    </row>
    <row r="136" spans="1:44" ht="16.5" customHeight="1">
      <c r="A136" s="165"/>
      <c r="B136" s="225"/>
      <c r="C136" s="536"/>
      <c r="D136" s="529"/>
      <c r="E136" s="536"/>
      <c r="F136" s="529"/>
      <c r="G136" s="536"/>
      <c r="H136" s="529"/>
      <c r="I136" s="536"/>
      <c r="J136" s="529"/>
      <c r="K136" s="536"/>
      <c r="L136" s="529"/>
      <c r="M136" s="536"/>
      <c r="N136" s="529"/>
      <c r="O136" s="536"/>
      <c r="P136" s="529"/>
      <c r="Q136" s="3263"/>
      <c r="R136" s="529"/>
      <c r="S136" s="536"/>
      <c r="T136" s="529"/>
      <c r="U136" s="536"/>
      <c r="V136" s="529"/>
      <c r="W136" s="536"/>
      <c r="X136" s="529"/>
      <c r="Y136" s="536"/>
      <c r="Z136" s="538"/>
      <c r="AA136" s="530"/>
      <c r="AB136" s="3263"/>
      <c r="AC136" s="1685"/>
      <c r="AD136" s="3490"/>
      <c r="AE136" s="3263"/>
      <c r="AF136" s="1685"/>
      <c r="AG136" s="1685"/>
      <c r="AH136" s="911"/>
      <c r="AI136" s="3252"/>
      <c r="AJ136" s="907"/>
    </row>
    <row r="137" spans="1:44" ht="16.5" customHeight="1">
      <c r="A137" s="207" t="s">
        <v>46</v>
      </c>
      <c r="B137" s="225"/>
      <c r="C137" s="2227"/>
      <c r="D137" s="529"/>
      <c r="E137" s="2227"/>
      <c r="F137" s="543"/>
      <c r="G137" s="2227"/>
      <c r="H137" s="543"/>
      <c r="I137" s="542"/>
      <c r="J137" s="543"/>
      <c r="K137" s="542"/>
      <c r="L137" s="543"/>
      <c r="M137" s="542"/>
      <c r="N137" s="543"/>
      <c r="O137" s="542"/>
      <c r="P137" s="2217"/>
      <c r="Q137" s="3571"/>
      <c r="R137" s="543"/>
      <c r="S137" s="3571"/>
      <c r="T137" s="543"/>
      <c r="U137" s="542"/>
      <c r="V137" s="529"/>
      <c r="W137" s="3571"/>
      <c r="X137" s="529"/>
      <c r="Y137" s="542"/>
      <c r="Z137" s="531"/>
      <c r="AA137" s="530"/>
      <c r="AB137" s="2227"/>
      <c r="AC137" s="3264"/>
      <c r="AD137" s="1685"/>
      <c r="AE137" s="2227"/>
      <c r="AF137" s="1685"/>
      <c r="AG137" s="1685"/>
      <c r="AH137" s="911"/>
      <c r="AI137" s="3252"/>
      <c r="AJ137" s="907"/>
    </row>
    <row r="138" spans="1:44" ht="16.5" customHeight="1">
      <c r="A138" s="225" t="s">
        <v>47</v>
      </c>
      <c r="B138" s="225"/>
      <c r="C138" s="2216">
        <v>0</v>
      </c>
      <c r="D138" s="1685"/>
      <c r="E138" s="2216">
        <v>0</v>
      </c>
      <c r="F138" s="2217"/>
      <c r="G138" s="2216">
        <v>0</v>
      </c>
      <c r="H138" s="2217"/>
      <c r="I138" s="2216">
        <f>'Exhibit A'!Z48</f>
        <v>0</v>
      </c>
      <c r="J138" s="2217"/>
      <c r="K138" s="2216">
        <v>0</v>
      </c>
      <c r="L138" s="2217"/>
      <c r="M138" s="2216">
        <f>'Exhibit A'!AD48</f>
        <v>0</v>
      </c>
      <c r="N138" s="2217"/>
      <c r="O138" s="2216">
        <f>'Exhibit A'!AF48</f>
        <v>0</v>
      </c>
      <c r="P138" s="2217"/>
      <c r="Q138" s="2216">
        <f>'Exhibit A'!AH48</f>
        <v>0</v>
      </c>
      <c r="R138" s="2217"/>
      <c r="S138" s="2216">
        <f>'Exhibit A'!AJ48</f>
        <v>0</v>
      </c>
      <c r="T138" s="2217"/>
      <c r="U138" s="2216">
        <f>'Exhibit A'!AL48</f>
        <v>0</v>
      </c>
      <c r="V138" s="1685"/>
      <c r="W138" s="2216"/>
      <c r="X138" s="1685"/>
      <c r="Y138" s="2216"/>
      <c r="Z138" s="1685"/>
      <c r="AA138" s="3612"/>
      <c r="AB138" s="1685">
        <f>ROUND(SUM(C138:Y138),1)</f>
        <v>0</v>
      </c>
      <c r="AC138" s="1685"/>
      <c r="AD138" s="3490"/>
      <c r="AE138" s="1685">
        <f>+'Exhibit A'!AD48</f>
        <v>0</v>
      </c>
      <c r="AF138" s="1685"/>
      <c r="AG138" s="1685"/>
      <c r="AH138" s="1685">
        <f>ROUND(SUM(AB138-AE138),1)</f>
        <v>0</v>
      </c>
      <c r="AI138" s="3502"/>
      <c r="AJ138" s="1774">
        <f>ROUND(IF(AE138=0,0,AH138/ABS(AE138)),3)</f>
        <v>0</v>
      </c>
    </row>
    <row r="139" spans="1:44" ht="16.5" customHeight="1">
      <c r="A139" s="225" t="s">
        <v>48</v>
      </c>
      <c r="B139" s="225"/>
      <c r="C139" s="2216">
        <v>6203.6000000000013</v>
      </c>
      <c r="D139" s="1685"/>
      <c r="E139" s="2216">
        <v>2681.3</v>
      </c>
      <c r="F139" s="1685"/>
      <c r="G139" s="2216">
        <v>4839.5</v>
      </c>
      <c r="H139" s="1685"/>
      <c r="I139" s="2216">
        <v>3268.8</v>
      </c>
      <c r="J139" s="1685"/>
      <c r="K139" s="2216">
        <v>2912.1</v>
      </c>
      <c r="L139" s="1685"/>
      <c r="M139" s="2216">
        <v>4741.3</v>
      </c>
      <c r="N139" s="1685"/>
      <c r="O139" s="2216">
        <v>1641.5</v>
      </c>
      <c r="P139" s="1685"/>
      <c r="Q139" s="2216">
        <v>2363.8000000000002</v>
      </c>
      <c r="R139" s="1685"/>
      <c r="S139" s="2216">
        <v>4008.5</v>
      </c>
      <c r="T139" s="1685"/>
      <c r="U139" s="2216">
        <f>'Exhibit A'!$V49</f>
        <v>4969.2</v>
      </c>
      <c r="V139" s="1685"/>
      <c r="W139" s="2216"/>
      <c r="X139" s="1685"/>
      <c r="Y139" s="2216"/>
      <c r="Z139" s="1685"/>
      <c r="AA139" s="3612"/>
      <c r="AB139" s="1685">
        <f>ROUND(SUM(C139:Y139),1)</f>
        <v>37629.599999999999</v>
      </c>
      <c r="AC139" s="1685"/>
      <c r="AD139" s="3612"/>
      <c r="AE139" s="1685">
        <f>+'Exhibit A'!AD49</f>
        <v>32494</v>
      </c>
      <c r="AF139" s="1685"/>
      <c r="AG139" s="1685"/>
      <c r="AH139" s="1685">
        <f>ROUND(SUM(AB139-AE139),1)</f>
        <v>5135.6000000000004</v>
      </c>
      <c r="AI139" s="3252"/>
      <c r="AJ139" s="1774">
        <f>ROUND(IF(AE139=0,0,AH139/ABS(AE139)),3)</f>
        <v>0.158</v>
      </c>
    </row>
    <row r="140" spans="1:44" ht="16.5" customHeight="1">
      <c r="A140" s="225" t="s">
        <v>49</v>
      </c>
      <c r="C140" s="3705">
        <v>-6217.9000000000005</v>
      </c>
      <c r="D140" s="55"/>
      <c r="E140" s="3705">
        <v>-2698.8</v>
      </c>
      <c r="F140" s="279"/>
      <c r="G140" s="3705">
        <v>-4854.6000000000004</v>
      </c>
      <c r="H140" s="279"/>
      <c r="I140" s="3705">
        <v>-3281.7</v>
      </c>
      <c r="J140" s="279"/>
      <c r="K140" s="3705">
        <v>-2930.1</v>
      </c>
      <c r="L140" s="279"/>
      <c r="M140" s="3705">
        <v>-4765.2</v>
      </c>
      <c r="N140" s="279"/>
      <c r="O140" s="3705">
        <v>-1645.1</v>
      </c>
      <c r="P140" s="279"/>
      <c r="Q140" s="3705">
        <v>-2367.1999999999998</v>
      </c>
      <c r="R140" s="279"/>
      <c r="S140" s="3705">
        <v>-4009.8</v>
      </c>
      <c r="T140" s="279"/>
      <c r="U140" s="3705">
        <f>'Exhibit A'!$V50</f>
        <v>-4979.8999999999996</v>
      </c>
      <c r="V140" s="279"/>
      <c r="W140" s="2218"/>
      <c r="X140" s="279"/>
      <c r="Y140" s="2218"/>
      <c r="Z140" s="279"/>
      <c r="AA140" s="3503"/>
      <c r="AB140" s="3262">
        <f>ROUND(SUM(C140:Y140),1)</f>
        <v>-37750.300000000003</v>
      </c>
      <c r="AC140" s="279"/>
      <c r="AD140" s="3503"/>
      <c r="AE140" s="3262">
        <f>+'Exhibit A'!AD50</f>
        <v>-32538.5</v>
      </c>
      <c r="AF140" s="279"/>
      <c r="AG140" s="279"/>
      <c r="AH140" s="3262">
        <f>ROUND(SUM(-AB140+AE140),1)</f>
        <v>5211.8</v>
      </c>
      <c r="AI140" s="907"/>
      <c r="AJ140" s="1862">
        <f>ROUND(IF(AE140=0,0,AH140/ABS(AE140)),3)</f>
        <v>0.16</v>
      </c>
      <c r="AK140" s="3504"/>
    </row>
    <row r="141" spans="1:44" ht="16.5" customHeight="1">
      <c r="A141" s="225"/>
      <c r="C141" s="2227"/>
      <c r="D141" s="55"/>
      <c r="E141" s="537"/>
      <c r="F141" s="55"/>
      <c r="G141" s="537"/>
      <c r="H141" s="55"/>
      <c r="I141" s="537"/>
      <c r="J141" s="55"/>
      <c r="K141" s="537"/>
      <c r="L141" s="55"/>
      <c r="M141" s="537"/>
      <c r="N141" s="55"/>
      <c r="O141" s="2227"/>
      <c r="P141" s="279"/>
      <c r="Q141" s="2227"/>
      <c r="R141" s="55"/>
      <c r="S141" s="2227"/>
      <c r="T141" s="279"/>
      <c r="U141" s="537"/>
      <c r="V141" s="55"/>
      <c r="W141" s="537"/>
      <c r="X141" s="55"/>
      <c r="Y141" s="537"/>
      <c r="Z141" s="55"/>
      <c r="AA141" s="544"/>
      <c r="AB141" s="2227"/>
      <c r="AC141" s="279"/>
      <c r="AD141" s="3503"/>
      <c r="AE141" s="2227"/>
      <c r="AF141" s="279"/>
      <c r="AG141" s="279"/>
      <c r="AH141" s="2227"/>
      <c r="AI141" s="907"/>
      <c r="AJ141" s="3499"/>
    </row>
    <row r="142" spans="1:44" ht="16.5" customHeight="1">
      <c r="A142" s="207" t="s">
        <v>50</v>
      </c>
      <c r="C142" s="2228">
        <f>ROUND(SUM(C138:C140),1)</f>
        <v>-14.3</v>
      </c>
      <c r="D142" s="545"/>
      <c r="E142" s="533">
        <f>ROUND(SUM(E138:E140),1)</f>
        <v>-17.5</v>
      </c>
      <c r="F142" s="545"/>
      <c r="G142" s="533">
        <f>ROUND(SUM(G138:G140),1)</f>
        <v>-15.1</v>
      </c>
      <c r="H142" s="545"/>
      <c r="I142" s="533">
        <f>ROUND(SUM(I138:I140),1)</f>
        <v>-12.9</v>
      </c>
      <c r="J142" s="545"/>
      <c r="K142" s="533">
        <f>ROUND(SUM(K138:K140),1)</f>
        <v>-18</v>
      </c>
      <c r="L142" s="545"/>
      <c r="M142" s="533">
        <f>ROUND(SUM(M138:M140),1)</f>
        <v>-23.9</v>
      </c>
      <c r="N142" s="545"/>
      <c r="O142" s="533">
        <f>ROUND(SUM(O138:O140),1)</f>
        <v>-3.6</v>
      </c>
      <c r="P142" s="545"/>
      <c r="Q142" s="2228">
        <f>ROUND(SUM(Q138:Q140),1)</f>
        <v>-3.4</v>
      </c>
      <c r="R142" s="545"/>
      <c r="S142" s="533">
        <f>ROUND(SUM(S138:S140),1)</f>
        <v>-1.3</v>
      </c>
      <c r="T142" s="545"/>
      <c r="U142" s="533">
        <f>ROUND(SUM(U138:U140),1)</f>
        <v>-10.7</v>
      </c>
      <c r="V142" s="545"/>
      <c r="W142" s="533">
        <f>ROUND(SUM(W138:W140),1)</f>
        <v>0</v>
      </c>
      <c r="X142" s="545"/>
      <c r="Y142" s="533">
        <f>ROUND(SUM(Y138:Y140),1)</f>
        <v>0</v>
      </c>
      <c r="Z142" s="545"/>
      <c r="AA142" s="546"/>
      <c r="AB142" s="2228">
        <f>ROUND(SUM(AB138:AB141),1)</f>
        <v>-120.7</v>
      </c>
      <c r="AC142" s="3267"/>
      <c r="AD142" s="3505"/>
      <c r="AE142" s="2228">
        <f>SUM(AE138:AE141)</f>
        <v>-44.5</v>
      </c>
      <c r="AF142" s="3267"/>
      <c r="AG142" s="3267"/>
      <c r="AH142" s="2228">
        <f>ROUND(SUM(+AH139-AH140+AH138),1)</f>
        <v>-76.2</v>
      </c>
      <c r="AI142" s="255"/>
      <c r="AJ142" s="3489">
        <f>ROUND(IF(AE142=0,0,AH142/ABS(AE142)),3)</f>
        <v>-1.712</v>
      </c>
      <c r="AK142" s="3479"/>
      <c r="AL142" s="435" t="s">
        <v>15</v>
      </c>
    </row>
    <row r="143" spans="1:44" ht="16.5" customHeight="1">
      <c r="A143" s="165"/>
      <c r="C143" s="55"/>
      <c r="D143" s="55"/>
      <c r="E143" s="55"/>
      <c r="F143" s="55"/>
      <c r="G143" s="55"/>
      <c r="H143" s="55"/>
      <c r="I143" s="55"/>
      <c r="J143" s="55"/>
      <c r="K143" s="55"/>
      <c r="L143" s="55"/>
      <c r="M143" s="55"/>
      <c r="N143" s="55"/>
      <c r="O143" s="55"/>
      <c r="P143" s="55"/>
      <c r="Q143" s="279"/>
      <c r="R143" s="55"/>
      <c r="S143" s="55"/>
      <c r="T143" s="55"/>
      <c r="U143" s="55"/>
      <c r="V143" s="55"/>
      <c r="W143" s="55"/>
      <c r="X143" s="55"/>
      <c r="Y143" s="55"/>
      <c r="Z143" s="55"/>
      <c r="AA143" s="544"/>
      <c r="AB143" s="279"/>
      <c r="AC143" s="279"/>
      <c r="AD143" s="3503"/>
      <c r="AE143" s="279"/>
      <c r="AF143" s="279"/>
      <c r="AG143" s="279"/>
      <c r="AH143" s="911"/>
      <c r="AI143" s="907"/>
      <c r="AJ143" s="907"/>
    </row>
    <row r="144" spans="1:44" ht="16.5" customHeight="1">
      <c r="A144" s="255" t="s">
        <v>44</v>
      </c>
      <c r="C144" s="537"/>
      <c r="D144" s="55"/>
      <c r="E144" s="537"/>
      <c r="F144" s="55"/>
      <c r="G144" s="537"/>
      <c r="H144" s="55"/>
      <c r="I144" s="537"/>
      <c r="J144" s="55"/>
      <c r="K144" s="537"/>
      <c r="L144" s="55"/>
      <c r="M144" s="537"/>
      <c r="N144" s="55"/>
      <c r="O144" s="537"/>
      <c r="P144" s="55"/>
      <c r="Q144" s="2227"/>
      <c r="R144" s="55"/>
      <c r="S144" s="537"/>
      <c r="T144" s="55"/>
      <c r="U144" s="537"/>
      <c r="V144" s="55"/>
      <c r="W144" s="537"/>
      <c r="X144" s="55"/>
      <c r="Y144" s="537"/>
      <c r="Z144" s="55"/>
      <c r="AA144" s="544"/>
      <c r="AB144" s="2227"/>
      <c r="AC144" s="279"/>
      <c r="AD144" s="3503"/>
      <c r="AE144" s="2227"/>
      <c r="AF144" s="279"/>
      <c r="AG144" s="279"/>
      <c r="AH144" s="911"/>
      <c r="AI144" s="907"/>
      <c r="AJ144" s="907"/>
    </row>
    <row r="145" spans="1:59" ht="16.5" customHeight="1">
      <c r="A145" s="255" t="s">
        <v>51</v>
      </c>
      <c r="C145" s="534"/>
      <c r="D145" s="545"/>
      <c r="E145" s="534"/>
      <c r="F145" s="545"/>
      <c r="G145" s="534"/>
      <c r="H145" s="545"/>
      <c r="I145" s="534"/>
      <c r="J145" s="545"/>
      <c r="K145" s="534"/>
      <c r="L145" s="545"/>
      <c r="M145" s="534"/>
      <c r="N145" s="545"/>
      <c r="O145" s="534"/>
      <c r="P145" s="545"/>
      <c r="Q145" s="3260"/>
      <c r="R145" s="545"/>
      <c r="S145" s="534"/>
      <c r="T145" s="545"/>
      <c r="U145" s="534"/>
      <c r="V145" s="545"/>
      <c r="W145" s="534"/>
      <c r="X145" s="545"/>
      <c r="Y145" s="534"/>
      <c r="Z145" s="545"/>
      <c r="AA145" s="546"/>
      <c r="AB145" s="3260"/>
      <c r="AC145" s="3267"/>
      <c r="AD145" s="3505"/>
      <c r="AE145" s="3260"/>
      <c r="AF145" s="3267"/>
      <c r="AG145" s="3267"/>
      <c r="AH145" s="112"/>
      <c r="AI145" s="255"/>
      <c r="AJ145" s="255"/>
      <c r="AK145" s="3479"/>
      <c r="AL145" s="435"/>
      <c r="AM145" s="435"/>
      <c r="AN145" s="435"/>
      <c r="AO145" s="435"/>
      <c r="AP145" s="435"/>
      <c r="AQ145" s="435"/>
      <c r="AR145" s="435"/>
      <c r="AS145" s="435"/>
      <c r="AT145" s="435"/>
      <c r="AU145" s="435"/>
      <c r="AV145" s="435"/>
      <c r="AW145" s="435"/>
      <c r="AX145" s="435"/>
      <c r="AY145" s="435"/>
      <c r="AZ145" s="435"/>
      <c r="BA145" s="435"/>
      <c r="BB145" s="435"/>
      <c r="BC145" s="435"/>
      <c r="BD145" s="435"/>
      <c r="BE145" s="435"/>
      <c r="BF145" s="435"/>
      <c r="BG145" s="435"/>
    </row>
    <row r="146" spans="1:59" ht="16.5" customHeight="1">
      <c r="A146" s="255" t="s">
        <v>52</v>
      </c>
      <c r="C146" s="547">
        <f>ROUND(SUM(C135+C142),1)</f>
        <v>8292.7000000000007</v>
      </c>
      <c r="D146" s="545"/>
      <c r="E146" s="547">
        <f>ROUND(SUM(E135+E142),1)</f>
        <v>-7342.6</v>
      </c>
      <c r="F146" s="545"/>
      <c r="G146" s="547">
        <f>ROUND(SUM(G135+G142),1)</f>
        <v>2803.5</v>
      </c>
      <c r="H146" s="545"/>
      <c r="I146" s="547">
        <f>ROUND(SUM(I135+I142),1)</f>
        <v>-953.5</v>
      </c>
      <c r="J146" s="545"/>
      <c r="K146" s="547">
        <f>ROUND(SUM(K135+K142),1)</f>
        <v>965.5</v>
      </c>
      <c r="L146" s="545"/>
      <c r="M146" s="547">
        <f>ROUND(SUM(M135+M142),1)</f>
        <v>569.6</v>
      </c>
      <c r="N146" s="545"/>
      <c r="O146" s="547">
        <f>ROUND(SUM(O135+O142),1)</f>
        <v>29.8</v>
      </c>
      <c r="P146" s="545"/>
      <c r="Q146" s="3268">
        <f>ROUND(SUM(Q135+Q142),1)</f>
        <v>-2249.1</v>
      </c>
      <c r="R146" s="545"/>
      <c r="S146" s="547">
        <f>ROUND(SUM(S135+S142),1)</f>
        <v>2809.4</v>
      </c>
      <c r="T146" s="545"/>
      <c r="U146" s="547">
        <f>ROUND(SUM(U135+U142),1)</f>
        <v>4727.7</v>
      </c>
      <c r="V146" s="545"/>
      <c r="W146" s="547">
        <f>ROUND(SUM(W135+W142),1)</f>
        <v>0</v>
      </c>
      <c r="X146" s="545"/>
      <c r="Y146" s="547">
        <f>ROUND(SUM(Y135+Y142),1)</f>
        <v>0</v>
      </c>
      <c r="Z146" s="545"/>
      <c r="AA146" s="546"/>
      <c r="AB146" s="3268">
        <f>ROUND(SUM(AB135+AB142),1)</f>
        <v>9653</v>
      </c>
      <c r="AC146" s="3267"/>
      <c r="AD146" s="3505"/>
      <c r="AE146" s="3268">
        <f>AE135+AE142</f>
        <v>4638.2</v>
      </c>
      <c r="AF146" s="3267"/>
      <c r="AG146" s="3267"/>
      <c r="AH146" s="3500">
        <f>ROUND(SUM(AB146-AE146),1)</f>
        <v>5014.8</v>
      </c>
      <c r="AI146" s="255"/>
      <c r="AJ146" s="3501">
        <f>ROUND(IF(AE146=0,0,AH146/ABS(AE146)),3)</f>
        <v>1.081</v>
      </c>
      <c r="AK146" s="3479"/>
      <c r="AL146" s="435"/>
      <c r="AM146" s="435"/>
      <c r="AN146" s="435"/>
      <c r="AO146" s="435"/>
      <c r="AP146" s="435"/>
      <c r="AQ146" s="435"/>
      <c r="AR146" s="435"/>
      <c r="AS146" s="435"/>
      <c r="AT146" s="435"/>
      <c r="AU146" s="435"/>
      <c r="AV146" s="435"/>
      <c r="AW146" s="435"/>
      <c r="AX146" s="435"/>
      <c r="AY146" s="435"/>
      <c r="AZ146" s="435"/>
      <c r="BA146" s="435"/>
      <c r="BB146" s="435"/>
      <c r="BC146" s="435"/>
      <c r="BD146" s="435"/>
      <c r="BE146" s="435"/>
      <c r="BF146" s="435"/>
      <c r="BG146" s="435"/>
    </row>
    <row r="147" spans="1:59" ht="16.5" customHeight="1">
      <c r="A147" s="207"/>
      <c r="C147" s="524"/>
      <c r="E147" s="524"/>
      <c r="G147" s="524"/>
      <c r="I147" s="524"/>
      <c r="K147" s="524"/>
      <c r="M147" s="524"/>
      <c r="O147" s="524"/>
      <c r="Q147" s="3256"/>
      <c r="S147" s="524"/>
      <c r="U147" s="524"/>
      <c r="W147" s="524"/>
      <c r="Y147" s="524"/>
      <c r="AA147" s="548"/>
      <c r="AB147" s="3256"/>
      <c r="AD147" s="3506"/>
      <c r="AE147" s="3256"/>
      <c r="AH147" s="907"/>
      <c r="AI147" s="907"/>
      <c r="AJ147" s="907"/>
    </row>
    <row r="148" spans="1:59" ht="16.5" customHeight="1" thickBot="1">
      <c r="A148" s="549" t="s">
        <v>142</v>
      </c>
      <c r="C148" s="550">
        <f>ROUND(SUM(C16+C146),1)</f>
        <v>18267.7</v>
      </c>
      <c r="D148" s="251"/>
      <c r="E148" s="550">
        <f>ROUND(SUM(E16+E146),1)</f>
        <v>10925.1</v>
      </c>
      <c r="F148" s="251"/>
      <c r="G148" s="550">
        <f>ROUND(SUM(G16+G146),1)</f>
        <v>13728.6</v>
      </c>
      <c r="H148" s="251"/>
      <c r="I148" s="550">
        <f>ROUND(SUM(I16+I146),1)</f>
        <v>12775.1</v>
      </c>
      <c r="J148" s="551"/>
      <c r="K148" s="550">
        <f>ROUND(SUM(K16+K146),1)</f>
        <v>13740.6</v>
      </c>
      <c r="L148" s="551"/>
      <c r="M148" s="550">
        <f>ROUND(SUM(M16+M146),1)</f>
        <v>14310.2</v>
      </c>
      <c r="N148" s="551"/>
      <c r="O148" s="550">
        <f>ROUND(SUM(O16+O146),1)</f>
        <v>14340</v>
      </c>
      <c r="P148" s="551"/>
      <c r="Q148" s="3269">
        <f>ROUND(SUM(Q16+Q146),1)</f>
        <v>12090.9</v>
      </c>
      <c r="R148" s="551"/>
      <c r="S148" s="550">
        <f>ROUND(SUM(S16+S146),1)</f>
        <v>14900.3</v>
      </c>
      <c r="T148" s="551"/>
      <c r="U148" s="550">
        <f>ROUND(SUM(U16+U146),1)</f>
        <v>19628</v>
      </c>
      <c r="V148" s="551"/>
      <c r="W148" s="550">
        <f>ROUND(SUM(W16+W146),1)</f>
        <v>0</v>
      </c>
      <c r="X148" s="551"/>
      <c r="Y148" s="550">
        <f>ROUND(SUM(Y16+Y146),1)</f>
        <v>0</v>
      </c>
      <c r="Z148" s="251"/>
      <c r="AA148" s="552"/>
      <c r="AB148" s="3269">
        <f>ROUND(SUM(AB16+AB146),1)</f>
        <v>19628</v>
      </c>
      <c r="AC148" s="3270"/>
      <c r="AD148" s="3507"/>
      <c r="AE148" s="3269">
        <f>AE16+AE146</f>
        <v>17387.2</v>
      </c>
      <c r="AF148" s="3270"/>
      <c r="AG148" s="3270"/>
      <c r="AH148" s="3269">
        <f>ROUND(SUM(AB148-AE148),1)</f>
        <v>2240.8000000000002</v>
      </c>
      <c r="AI148" s="255"/>
      <c r="AJ148" s="3508">
        <f>ROUND(IF(AE148=0,0,AH148/ABS(AE148)),3)</f>
        <v>0.129</v>
      </c>
      <c r="AK148" s="3479"/>
    </row>
    <row r="149" spans="1:59" ht="16.5" customHeight="1" thickTop="1">
      <c r="A149" s="553"/>
      <c r="C149" s="213"/>
      <c r="AH149" s="907"/>
      <c r="AI149" s="907"/>
      <c r="AJ149" s="907"/>
    </row>
    <row r="150" spans="1:59" ht="16.5" customHeight="1">
      <c r="A150" s="360" t="s">
        <v>143</v>
      </c>
      <c r="AH150" s="907"/>
      <c r="AI150" s="907"/>
      <c r="AJ150" s="907"/>
    </row>
    <row r="151" spans="1:59" ht="16.5" customHeight="1">
      <c r="A151" s="30"/>
      <c r="AH151" s="907"/>
      <c r="AI151" s="907"/>
      <c r="AJ151" s="907"/>
    </row>
    <row r="152" spans="1:59" ht="16.5" customHeight="1">
      <c r="A152" s="30"/>
      <c r="AH152" s="907"/>
      <c r="AI152" s="907"/>
      <c r="AJ152" s="907"/>
    </row>
    <row r="153" spans="1:59" ht="16.5" customHeight="1">
      <c r="A153" s="30"/>
      <c r="AH153" s="907"/>
      <c r="AI153" s="907"/>
      <c r="AJ153" s="907"/>
    </row>
    <row r="154" spans="1:59" ht="16.5" customHeight="1">
      <c r="AH154" s="907"/>
      <c r="AI154" s="907"/>
      <c r="AJ154" s="907"/>
    </row>
    <row r="155" spans="1:59" ht="16.5" customHeight="1">
      <c r="AH155" s="907"/>
      <c r="AI155" s="907"/>
      <c r="AJ155" s="907"/>
    </row>
    <row r="156" spans="1:59" ht="16.5" customHeight="1">
      <c r="AH156" s="907"/>
      <c r="AI156" s="907"/>
      <c r="AJ156" s="907"/>
    </row>
    <row r="157" spans="1:59" ht="16.5" customHeight="1">
      <c r="AH157" s="907"/>
      <c r="AI157" s="907"/>
      <c r="AJ157" s="907"/>
    </row>
    <row r="158" spans="1:59" ht="16.5" customHeight="1">
      <c r="AH158" s="907"/>
      <c r="AI158" s="907"/>
      <c r="AJ158" s="907"/>
    </row>
    <row r="159" spans="1:59" ht="16.5" customHeight="1">
      <c r="AH159" s="907"/>
      <c r="AI159" s="907"/>
      <c r="AJ159" s="907"/>
    </row>
    <row r="160" spans="1:59" ht="16.5" customHeight="1">
      <c r="AH160" s="907"/>
      <c r="AI160" s="907"/>
      <c r="AJ160" s="907"/>
    </row>
    <row r="161" spans="34:36" ht="16.5" customHeight="1">
      <c r="AH161" s="907"/>
      <c r="AI161" s="907"/>
      <c r="AJ161" s="907"/>
    </row>
    <row r="162" spans="34:36" ht="16.5" customHeight="1">
      <c r="AH162" s="907"/>
      <c r="AI162" s="907"/>
      <c r="AJ162" s="907"/>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9:AJ72 AJ74:AJ85 AJ139:AJ148 AJ88:AJ93 AJ96:AJ137 AJ29:AJ34 AJ21:AJ27 AJ36:AJ38 AJ41:AJ56 AJ58 AJ39" unlockedFormula="1"/>
    <ignoredError sqref="AH26 AH35:AI35 AH24:AH25 AH95:AI95" formula="1"/>
    <ignoredError sqref="AJ35 AJ40 AJ57" formula="1" unlockedFormula="1"/>
    <ignoredError sqref="C13 U13 AC14:AD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workbookViewId="0"/>
  </sheetViews>
  <sheetFormatPr defaultColWidth="8.88671875" defaultRowHeight="16.5" customHeight="1"/>
  <cols>
    <col min="1" max="1" width="43" style="2859" customWidth="1"/>
    <col min="2" max="2" width="1.88671875" style="2859" customWidth="1"/>
    <col min="3" max="3" width="13.109375" style="2859" customWidth="1"/>
    <col min="4" max="4" width="1.88671875" style="2859" customWidth="1"/>
    <col min="5" max="5" width="13.109375" style="2859" customWidth="1"/>
    <col min="6" max="6" width="1.88671875" style="2859" customWidth="1"/>
    <col min="7" max="7" width="13.5546875" style="2859" customWidth="1"/>
    <col min="8" max="8" width="1.88671875" style="2859" customWidth="1"/>
    <col min="9" max="9" width="13.88671875" style="2859" customWidth="1"/>
    <col min="10" max="10" width="1.88671875" style="2859" customWidth="1"/>
    <col min="11" max="11" width="14.5546875" style="2859" customWidth="1"/>
    <col min="12" max="12" width="1.88671875" style="2859" customWidth="1"/>
    <col min="13" max="13" width="13.109375" style="2859" customWidth="1"/>
    <col min="14" max="14" width="1.88671875" style="2859" customWidth="1"/>
    <col min="15" max="15" width="14.109375" style="2859" customWidth="1"/>
    <col min="16" max="16" width="1.88671875" style="2859" customWidth="1"/>
    <col min="17" max="17" width="13.109375" style="2859" customWidth="1"/>
    <col min="18" max="18" width="1.88671875" style="2859" customWidth="1"/>
    <col min="19" max="19" width="13.88671875" style="2859" customWidth="1"/>
    <col min="20" max="20" width="1.88671875" style="2859" customWidth="1"/>
    <col min="21" max="21" width="13" style="2859" customWidth="1"/>
    <col min="22" max="22" width="1.88671875" style="2859" customWidth="1"/>
    <col min="23" max="23" width="13.109375" style="2859" customWidth="1"/>
    <col min="24" max="24" width="1.88671875" style="2859" customWidth="1"/>
    <col min="25" max="25" width="13.109375" style="2859" customWidth="1"/>
    <col min="26" max="27" width="1.88671875" style="2859" customWidth="1"/>
    <col min="28" max="28" width="15" style="2044" customWidth="1"/>
    <col min="29" max="30" width="1.88671875" style="2044" customWidth="1"/>
    <col min="31" max="31" width="12.109375" style="2044" customWidth="1"/>
    <col min="32" max="32" width="1.109375" style="2044" customWidth="1"/>
    <col min="33" max="33" width="1.88671875" style="2044" customWidth="1"/>
    <col min="34" max="34" width="12.88671875" style="2044" bestFit="1" customWidth="1"/>
    <col min="35" max="35" width="1" style="2044" customWidth="1"/>
    <col min="36" max="36" width="12.109375" style="2044" bestFit="1" customWidth="1"/>
    <col min="37" max="16384" width="8.88671875" style="2859"/>
  </cols>
  <sheetData>
    <row r="1" spans="1:37" ht="15">
      <c r="A1" s="2858" t="s">
        <v>979</v>
      </c>
    </row>
    <row r="2" spans="1:37" ht="15">
      <c r="A2" s="1470"/>
    </row>
    <row r="3" spans="1:37" ht="23.25">
      <c r="A3" s="2860" t="s">
        <v>0</v>
      </c>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3230"/>
      <c r="AC3" s="3230"/>
      <c r="AD3" s="3230"/>
      <c r="AE3" s="3230"/>
      <c r="AF3" s="3230"/>
      <c r="AG3" s="3230"/>
      <c r="AI3" s="3230"/>
    </row>
    <row r="4" spans="1:37" ht="23.25">
      <c r="A4" s="2860" t="s">
        <v>1181</v>
      </c>
      <c r="B4" s="1477"/>
      <c r="C4" s="1477"/>
      <c r="D4" s="1477"/>
      <c r="E4" s="1477"/>
      <c r="F4" s="1477"/>
      <c r="G4" s="1477"/>
      <c r="H4" s="1477"/>
      <c r="I4" s="1477" t="s">
        <v>15</v>
      </c>
      <c r="J4" s="1477"/>
      <c r="K4" s="1477"/>
      <c r="L4" s="1477"/>
      <c r="M4" s="1477"/>
      <c r="N4" s="1477"/>
      <c r="O4" s="1477"/>
      <c r="P4" s="1477"/>
      <c r="Q4" s="1477"/>
      <c r="R4" s="1477"/>
      <c r="S4" s="1477"/>
      <c r="T4" s="1477"/>
      <c r="U4" s="1477"/>
      <c r="V4" s="1477"/>
      <c r="W4" s="1477"/>
      <c r="X4" s="1477"/>
      <c r="Y4" s="1477" t="s">
        <v>15</v>
      </c>
      <c r="Z4" s="1477"/>
      <c r="AA4" s="1477"/>
      <c r="AB4" s="3230"/>
      <c r="AC4" s="3230"/>
      <c r="AD4" s="3230"/>
      <c r="AE4" s="3230"/>
      <c r="AF4" s="3230"/>
      <c r="AG4" s="3230"/>
      <c r="AI4" s="3230"/>
    </row>
    <row r="5" spans="1:37" ht="23.25" customHeight="1">
      <c r="A5" s="2861" t="s">
        <v>1182</v>
      </c>
      <c r="B5" s="1477"/>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C5" s="3909"/>
      <c r="AD5" s="3910"/>
      <c r="AE5" s="3910"/>
      <c r="AF5" s="3910"/>
      <c r="AG5" s="3910"/>
      <c r="AH5" s="3910"/>
      <c r="AI5" s="3910"/>
      <c r="AJ5" s="3910"/>
    </row>
    <row r="6" spans="1:37" ht="23.25">
      <c r="A6" s="2861" t="str">
        <f>'Cashflow Governmental'!A6</f>
        <v xml:space="preserve">FISCAL YEAR 2019-2020   </v>
      </c>
      <c r="B6" s="1477"/>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3230"/>
      <c r="AC6" s="3230"/>
      <c r="AD6" s="3230"/>
      <c r="AE6" s="3230"/>
      <c r="AF6" s="3230"/>
      <c r="AG6" s="3230"/>
      <c r="AI6" s="3230"/>
    </row>
    <row r="7" spans="1:37" ht="23.25" customHeight="1">
      <c r="A7" s="2860" t="s">
        <v>1416</v>
      </c>
      <c r="B7" s="1477"/>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3230"/>
      <c r="AC7" s="3230"/>
      <c r="AD7" s="3230"/>
      <c r="AE7" s="3230"/>
      <c r="AF7" s="3230"/>
      <c r="AG7" s="3230"/>
      <c r="AI7" s="3230"/>
    </row>
    <row r="8" spans="1:37" ht="15">
      <c r="A8" s="1477"/>
      <c r="B8" s="1477"/>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3230"/>
      <c r="AC8" s="3230"/>
      <c r="AD8" s="3230"/>
      <c r="AE8" s="3230"/>
      <c r="AF8" s="3230"/>
      <c r="AG8" s="3230"/>
      <c r="AI8" s="3230"/>
    </row>
    <row r="9" spans="1:37" ht="15">
      <c r="A9" s="1477"/>
      <c r="B9" s="1477"/>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3230"/>
      <c r="AC9" s="3230"/>
      <c r="AD9" s="3230"/>
      <c r="AE9" s="3230"/>
      <c r="AF9" s="3230"/>
      <c r="AG9" s="3230"/>
      <c r="AI9" s="3230"/>
    </row>
    <row r="10" spans="1:37" ht="15">
      <c r="A10" s="1477"/>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X10" s="1477"/>
      <c r="Y10" s="1477"/>
      <c r="Z10" s="1477"/>
      <c r="AA10" s="1477"/>
      <c r="AB10" s="3230"/>
      <c r="AC10" s="3230"/>
      <c r="AD10" s="3230"/>
      <c r="AE10" s="3230"/>
      <c r="AF10" s="3230"/>
      <c r="AG10" s="3230"/>
      <c r="AI10" s="3230"/>
    </row>
    <row r="11" spans="1:37" ht="15">
      <c r="A11" s="1477"/>
      <c r="B11" s="1477"/>
      <c r="C11" s="1477"/>
      <c r="D11" s="1477"/>
      <c r="E11" s="1477"/>
      <c r="F11" s="1477"/>
      <c r="G11" s="1477"/>
      <c r="H11" s="1477"/>
      <c r="I11" s="1477"/>
      <c r="J11" s="1477"/>
      <c r="K11" s="1477"/>
      <c r="L11" s="1477"/>
      <c r="M11" s="1477"/>
      <c r="N11" s="1477"/>
      <c r="O11" s="1477"/>
      <c r="P11" s="1477"/>
      <c r="Q11" s="1477"/>
      <c r="R11" s="1477"/>
      <c r="S11" s="1477"/>
      <c r="T11" s="1477"/>
      <c r="U11" s="1477"/>
      <c r="V11" s="1477"/>
      <c r="W11" s="1477"/>
      <c r="X11" s="1477"/>
      <c r="Y11" s="1477"/>
      <c r="Z11" s="1477"/>
      <c r="AA11" s="1477"/>
      <c r="AC11" s="3230"/>
      <c r="AD11" s="3230"/>
      <c r="AE11" s="3230"/>
      <c r="AF11" s="3230"/>
      <c r="AG11" s="3230"/>
      <c r="AI11" s="3230"/>
    </row>
    <row r="12" spans="1:37" ht="15.75">
      <c r="A12" s="1477"/>
      <c r="B12" s="1477"/>
      <c r="C12" s="1477"/>
      <c r="D12" s="1477"/>
      <c r="E12" s="1477"/>
      <c r="F12" s="1477"/>
      <c r="G12" s="1477"/>
      <c r="H12" s="1477"/>
      <c r="I12" s="1477"/>
      <c r="J12" s="1477"/>
      <c r="K12" s="1477"/>
      <c r="L12" s="1477"/>
      <c r="M12" s="1477"/>
      <c r="N12" s="1477"/>
      <c r="O12" s="1477"/>
      <c r="P12" s="1477"/>
      <c r="Q12" s="1477"/>
      <c r="R12" s="1477"/>
      <c r="S12" s="1477"/>
      <c r="T12" s="1477"/>
      <c r="U12" s="1477"/>
      <c r="V12" s="1477"/>
      <c r="W12" s="1477"/>
      <c r="X12" s="1477"/>
      <c r="Z12" s="1477"/>
      <c r="AA12" s="2862"/>
      <c r="AB12" s="3911" t="str">
        <f>'Cashflow Governmental'!AB12:AJ12</f>
        <v>10 Months Ended January 31</v>
      </c>
      <c r="AC12" s="3911"/>
      <c r="AD12" s="3911"/>
      <c r="AE12" s="3911"/>
      <c r="AF12" s="3911"/>
      <c r="AG12" s="3911"/>
      <c r="AH12" s="3911"/>
      <c r="AI12" s="3911"/>
      <c r="AJ12" s="3911"/>
    </row>
    <row r="13" spans="1:37" ht="15.75">
      <c r="A13" s="1477"/>
      <c r="B13" s="1477"/>
      <c r="C13" s="2494" t="str">
        <f>'Cashflow Governmental'!C13</f>
        <v>2019</v>
      </c>
      <c r="D13" s="2495"/>
      <c r="E13" s="2495"/>
      <c r="F13" s="2495"/>
      <c r="G13" s="2495"/>
      <c r="H13" s="2495"/>
      <c r="I13" s="2495"/>
      <c r="J13" s="2495"/>
      <c r="K13" s="2495"/>
      <c r="L13" s="2495"/>
      <c r="M13" s="2495"/>
      <c r="N13" s="2495"/>
      <c r="O13" s="2495"/>
      <c r="P13" s="2495"/>
      <c r="Q13" s="2495"/>
      <c r="R13" s="2495"/>
      <c r="S13" s="2495"/>
      <c r="T13" s="2495"/>
      <c r="U13" s="2494" t="str">
        <f>'Cashflow Governmental'!U13</f>
        <v>2020</v>
      </c>
      <c r="V13" s="2495"/>
      <c r="W13" s="2495"/>
      <c r="X13" s="2495"/>
      <c r="Y13" s="2495"/>
      <c r="Z13" s="2495"/>
      <c r="AA13" s="2495"/>
      <c r="AB13" s="3214"/>
      <c r="AC13" s="3271"/>
      <c r="AD13" s="3271"/>
      <c r="AE13" s="3271"/>
      <c r="AF13" s="3214"/>
      <c r="AG13" s="3214"/>
      <c r="AH13" s="3509" t="s">
        <v>8</v>
      </c>
      <c r="AI13" s="3510"/>
      <c r="AJ13" s="3509" t="s">
        <v>9</v>
      </c>
    </row>
    <row r="14" spans="1:37" ht="15.75">
      <c r="A14" s="1477"/>
      <c r="B14" s="1477"/>
      <c r="C14" s="2863" t="s">
        <v>125</v>
      </c>
      <c r="D14" s="2495"/>
      <c r="E14" s="2863" t="s">
        <v>126</v>
      </c>
      <c r="F14" s="2495"/>
      <c r="G14" s="2863" t="s">
        <v>127</v>
      </c>
      <c r="H14" s="2495"/>
      <c r="I14" s="2863" t="s">
        <v>128</v>
      </c>
      <c r="J14" s="2495"/>
      <c r="K14" s="2863" t="s">
        <v>129</v>
      </c>
      <c r="L14" s="2495"/>
      <c r="M14" s="2863" t="s">
        <v>130</v>
      </c>
      <c r="N14" s="2495"/>
      <c r="O14" s="2863" t="s">
        <v>131</v>
      </c>
      <c r="P14" s="2495"/>
      <c r="Q14" s="2864" t="s">
        <v>132</v>
      </c>
      <c r="R14" s="2495"/>
      <c r="S14" s="2863" t="s">
        <v>133</v>
      </c>
      <c r="T14" s="2495"/>
      <c r="U14" s="2863" t="s">
        <v>134</v>
      </c>
      <c r="V14" s="2495"/>
      <c r="W14" s="2863" t="s">
        <v>135</v>
      </c>
      <c r="X14" s="2495"/>
      <c r="Y14" s="2863" t="s">
        <v>136</v>
      </c>
      <c r="Z14" s="2495"/>
      <c r="AA14" s="2495"/>
      <c r="AB14" s="3549">
        <f>'Cashflow Governmental'!AB14</f>
        <v>2020</v>
      </c>
      <c r="AC14" s="3214"/>
      <c r="AD14" s="3214"/>
      <c r="AE14" s="3549">
        <f>'Cashflow Governmental'!AE14</f>
        <v>2019</v>
      </c>
      <c r="AF14" s="3271"/>
      <c r="AG14" s="3271"/>
      <c r="AH14" s="3511" t="s">
        <v>12</v>
      </c>
      <c r="AI14" s="3510"/>
      <c r="AJ14" s="3511" t="s">
        <v>13</v>
      </c>
    </row>
    <row r="15" spans="1:37" ht="5.25" customHeight="1">
      <c r="A15" s="1477"/>
      <c r="B15" s="1477"/>
      <c r="C15" s="2865"/>
      <c r="D15" s="1477"/>
      <c r="E15" s="2865"/>
      <c r="F15" s="1477"/>
      <c r="G15" s="2865"/>
      <c r="H15" s="1477"/>
      <c r="I15" s="2865"/>
      <c r="J15" s="1477"/>
      <c r="K15" s="2865"/>
      <c r="L15" s="1477"/>
      <c r="M15" s="2865"/>
      <c r="N15" s="1477"/>
      <c r="O15" s="2865" t="s">
        <v>15</v>
      </c>
      <c r="P15" s="1477"/>
      <c r="Q15" s="2866"/>
      <c r="R15" s="1477"/>
      <c r="S15" s="2865"/>
      <c r="T15" s="1477"/>
      <c r="U15" s="2865" t="s">
        <v>15</v>
      </c>
      <c r="V15" s="1477"/>
      <c r="W15" s="2865"/>
      <c r="X15" s="1477"/>
      <c r="Y15" s="2865"/>
      <c r="Z15" s="1477"/>
      <c r="AA15" s="1477"/>
      <c r="AB15" s="3550"/>
      <c r="AC15" s="3230"/>
      <c r="AD15" s="3230"/>
      <c r="AE15" s="3550"/>
      <c r="AF15" s="3512"/>
      <c r="AG15" s="3512"/>
      <c r="AI15" s="3230"/>
    </row>
    <row r="16" spans="1:37" ht="15.75">
      <c r="A16" s="2867" t="s">
        <v>137</v>
      </c>
      <c r="B16" s="1477"/>
      <c r="C16" s="2868">
        <f>'Exhibit F'!D12+'Exh D Special Revenue State Fed'!G40+'Exhibit H'!B12</f>
        <v>12361.3</v>
      </c>
      <c r="D16" s="2869"/>
      <c r="E16" s="2869">
        <f>C147</f>
        <v>18718.2</v>
      </c>
      <c r="F16" s="2869"/>
      <c r="G16" s="2869">
        <f>E147</f>
        <v>12243.5</v>
      </c>
      <c r="H16" s="2869"/>
      <c r="I16" s="2869">
        <f>G147</f>
        <v>14049.7</v>
      </c>
      <c r="J16" s="2869"/>
      <c r="K16" s="2869">
        <f>I147</f>
        <v>14506.1</v>
      </c>
      <c r="L16" s="2869"/>
      <c r="M16" s="2869">
        <f>K147</f>
        <v>14735.4</v>
      </c>
      <c r="N16" s="2869"/>
      <c r="O16" s="2869">
        <f>M147</f>
        <v>14633.6</v>
      </c>
      <c r="P16" s="2869"/>
      <c r="Q16" s="2869">
        <f>O147</f>
        <v>14770.1</v>
      </c>
      <c r="R16" s="2869"/>
      <c r="S16" s="2869">
        <f>Q147</f>
        <v>12595</v>
      </c>
      <c r="T16" s="2869"/>
      <c r="U16" s="2869">
        <f>S147</f>
        <v>14023.2</v>
      </c>
      <c r="V16" s="2869"/>
      <c r="W16" s="2869"/>
      <c r="X16" s="2869"/>
      <c r="Y16" s="2869"/>
      <c r="Z16" s="2869"/>
      <c r="AA16" s="2870"/>
      <c r="AB16" s="2868">
        <f>C16</f>
        <v>12361.3</v>
      </c>
      <c r="AC16" s="2868"/>
      <c r="AD16" s="3551"/>
      <c r="AE16" s="2868">
        <f>'Exhibit F'!AF12+'Exhibit G State'!AG13+'Exhibit H'!AD12</f>
        <v>13606.6</v>
      </c>
      <c r="AF16" s="3513"/>
      <c r="AG16" s="3513"/>
      <c r="AH16" s="2868">
        <f>ROUND(SUM(AB16-AE16),1)</f>
        <v>-1245.3</v>
      </c>
      <c r="AI16" s="3214"/>
      <c r="AJ16" s="1907">
        <f>ROUND(SUM(AH16/AE16),3)</f>
        <v>-9.1999999999999998E-2</v>
      </c>
      <c r="AK16" s="2871"/>
    </row>
    <row r="17" spans="1:36" ht="15.75">
      <c r="A17" s="1477"/>
      <c r="B17" s="1477"/>
      <c r="C17" s="1477" t="s">
        <v>15</v>
      </c>
      <c r="D17" s="1477"/>
      <c r="E17" s="2792"/>
      <c r="F17" s="1477"/>
      <c r="G17" s="2792"/>
      <c r="H17" s="1477"/>
      <c r="I17" s="2792"/>
      <c r="J17" s="1477"/>
      <c r="K17" s="2792"/>
      <c r="L17" s="1477"/>
      <c r="M17" s="2792"/>
      <c r="N17" s="1477"/>
      <c r="O17" s="2792"/>
      <c r="P17" s="1477"/>
      <c r="Q17" s="2792"/>
      <c r="R17" s="1477"/>
      <c r="S17" s="2792"/>
      <c r="T17" s="1477"/>
      <c r="U17" s="2792"/>
      <c r="V17" s="1477"/>
      <c r="W17" s="2869"/>
      <c r="X17" s="1477"/>
      <c r="Y17" s="2792"/>
      <c r="Z17" s="1477"/>
      <c r="AA17" s="2872"/>
      <c r="AB17" s="3230" t="s">
        <v>15</v>
      </c>
      <c r="AC17" s="3230"/>
      <c r="AD17" s="3552"/>
      <c r="AE17" s="3230" t="s">
        <v>15</v>
      </c>
      <c r="AF17" s="3512"/>
      <c r="AG17" s="3512"/>
      <c r="AH17" s="3514"/>
      <c r="AI17" s="3230"/>
      <c r="AJ17" s="3514"/>
    </row>
    <row r="18" spans="1:36" ht="15.75">
      <c r="A18" s="2064" t="s">
        <v>14</v>
      </c>
      <c r="B18" s="1477"/>
      <c r="C18" s="1477"/>
      <c r="D18" s="1477"/>
      <c r="E18" s="2792"/>
      <c r="F18" s="1477"/>
      <c r="G18" s="2792"/>
      <c r="H18" s="1477"/>
      <c r="I18" s="2792"/>
      <c r="J18" s="1477"/>
      <c r="K18" s="2792"/>
      <c r="L18" s="1477"/>
      <c r="M18" s="2792"/>
      <c r="N18" s="1477"/>
      <c r="O18" s="2792"/>
      <c r="P18" s="1477"/>
      <c r="Q18" s="2792"/>
      <c r="R18" s="1477"/>
      <c r="S18" s="2792"/>
      <c r="T18" s="1477"/>
      <c r="U18" s="2792"/>
      <c r="V18" s="1477"/>
      <c r="W18" s="2792"/>
      <c r="X18" s="1477"/>
      <c r="Y18" s="2792"/>
      <c r="Z18" s="1477"/>
      <c r="AA18" s="2872"/>
      <c r="AB18" s="3230"/>
      <c r="AC18" s="3230"/>
      <c r="AD18" s="3552"/>
      <c r="AE18" s="3230"/>
      <c r="AF18" s="3512"/>
      <c r="AG18" s="3512"/>
      <c r="AH18" s="3514"/>
      <c r="AI18" s="3230"/>
      <c r="AJ18" s="3514"/>
    </row>
    <row r="19" spans="1:36" ht="15.75">
      <c r="A19" s="2523" t="s">
        <v>1097</v>
      </c>
      <c r="B19" s="1477"/>
      <c r="C19" s="1477"/>
      <c r="D19" s="1477"/>
      <c r="E19" s="2792"/>
      <c r="F19" s="1477"/>
      <c r="G19" s="2792"/>
      <c r="H19" s="1477"/>
      <c r="I19" s="2792"/>
      <c r="J19" s="1477"/>
      <c r="K19" s="2792"/>
      <c r="L19" s="1477"/>
      <c r="M19" s="2792"/>
      <c r="N19" s="1477"/>
      <c r="O19" s="2792"/>
      <c r="P19" s="1477"/>
      <c r="Q19" s="2792"/>
      <c r="R19" s="1477"/>
      <c r="S19" s="2792"/>
      <c r="T19" s="1477"/>
      <c r="U19" s="2792"/>
      <c r="V19" s="1477"/>
      <c r="W19" s="2792"/>
      <c r="X19" s="1477"/>
      <c r="Y19" s="2792"/>
      <c r="Z19" s="1477"/>
      <c r="AA19" s="2873"/>
      <c r="AB19" s="3230"/>
      <c r="AC19" s="3230"/>
      <c r="AD19" s="3552"/>
      <c r="AE19" s="3230"/>
      <c r="AF19" s="3512"/>
      <c r="AG19" s="3512"/>
      <c r="AH19" s="3514"/>
      <c r="AI19" s="3230"/>
      <c r="AJ19" s="3514"/>
    </row>
    <row r="20" spans="1:36" ht="15">
      <c r="A20" s="2524" t="s">
        <v>1164</v>
      </c>
      <c r="B20" s="1477"/>
      <c r="C20" s="1477"/>
      <c r="D20" s="1477"/>
      <c r="E20" s="1476"/>
      <c r="F20" s="1477"/>
      <c r="G20" s="2792"/>
      <c r="H20" s="1477"/>
      <c r="I20" s="2792"/>
      <c r="J20" s="1477"/>
      <c r="K20" s="2792"/>
      <c r="L20" s="1477"/>
      <c r="M20" s="2792"/>
      <c r="N20" s="1477"/>
      <c r="O20" s="2792"/>
      <c r="P20" s="1477"/>
      <c r="Q20" s="2792"/>
      <c r="R20" s="1477"/>
      <c r="S20" s="2792"/>
      <c r="T20" s="1477"/>
      <c r="U20" s="2792"/>
      <c r="V20" s="1477"/>
      <c r="W20" s="2792"/>
      <c r="X20" s="1477"/>
      <c r="Y20" s="2792"/>
      <c r="Z20" s="1477"/>
      <c r="AA20" s="2872"/>
      <c r="AB20" s="3230"/>
      <c r="AC20" s="3230"/>
      <c r="AD20" s="3552"/>
      <c r="AE20" s="3230"/>
      <c r="AF20" s="3512"/>
      <c r="AG20" s="3512"/>
      <c r="AH20" s="3514"/>
      <c r="AI20" s="3230"/>
      <c r="AJ20" s="3514"/>
    </row>
    <row r="21" spans="1:36" ht="15">
      <c r="A21" s="2294" t="s">
        <v>1103</v>
      </c>
      <c r="B21" s="1477"/>
      <c r="C21" s="1476">
        <f>+'Exhibit F'!D17</f>
        <v>3237.1</v>
      </c>
      <c r="D21" s="1476"/>
      <c r="E21" s="1476">
        <f>+'Exhibit F'!F17</f>
        <v>3220.1</v>
      </c>
      <c r="F21" s="1476"/>
      <c r="G21" s="1476">
        <f>+'Exhibit F'!H17</f>
        <v>2922.2999999999997</v>
      </c>
      <c r="H21" s="1476"/>
      <c r="I21" s="1476">
        <f>+'Exhibit F'!J17</f>
        <v>3365.7999999999988</v>
      </c>
      <c r="J21" s="1476"/>
      <c r="K21" s="1476">
        <f>+'Exhibit F'!L17</f>
        <v>2933.7000000000012</v>
      </c>
      <c r="L21" s="1476"/>
      <c r="M21" s="1476">
        <f>+'Exhibit F'!N17</f>
        <v>2851.0999999999981</v>
      </c>
      <c r="N21" s="1476"/>
      <c r="O21" s="1476">
        <f>+'Exhibit F'!P17</f>
        <v>3270.6000000000045</v>
      </c>
      <c r="P21" s="1477"/>
      <c r="Q21" s="1476">
        <f>+'Exhibit F'!R17</f>
        <v>2981.8000000000006</v>
      </c>
      <c r="R21" s="1477"/>
      <c r="S21" s="1476">
        <f>+'Exhibit F'!T17</f>
        <v>4054.2999999999997</v>
      </c>
      <c r="T21" s="1477"/>
      <c r="U21" s="1476">
        <f>+'Exhibit F'!V17</f>
        <v>5045.6000000000022</v>
      </c>
      <c r="V21" s="1477"/>
      <c r="W21" s="1476"/>
      <c r="X21" s="1477"/>
      <c r="Y21" s="1476"/>
      <c r="Z21" s="1477"/>
      <c r="AA21" s="2872"/>
      <c r="AB21" s="3272">
        <f>ROUND(SUM(C21:Y21),1)</f>
        <v>33882.400000000001</v>
      </c>
      <c r="AC21" s="3230"/>
      <c r="AD21" s="3552"/>
      <c r="AE21" s="3272">
        <f>+'Exhibit F'!AF17</f>
        <v>32407.200000000001</v>
      </c>
      <c r="AF21" s="3512"/>
      <c r="AG21" s="3512"/>
      <c r="AH21" s="2054">
        <f>ROUND(SUM(+AB21-AE21),1)</f>
        <v>1475.2</v>
      </c>
      <c r="AI21" s="2529"/>
      <c r="AJ21" s="1868">
        <f t="shared" ref="AJ21:AJ26" si="0">ROUND(SUM(+AH21/ABS(AE21)),3)</f>
        <v>4.5999999999999999E-2</v>
      </c>
    </row>
    <row r="22" spans="1:36" ht="15">
      <c r="A22" s="2294" t="s">
        <v>1391</v>
      </c>
      <c r="B22" s="1477"/>
      <c r="C22" s="1476">
        <f>+'Exhibit F'!D18</f>
        <v>6843.2</v>
      </c>
      <c r="D22" s="1476"/>
      <c r="E22" s="1476">
        <f>+'Exhibit F'!F18</f>
        <v>112.60000000000036</v>
      </c>
      <c r="F22" s="1476"/>
      <c r="G22" s="1476">
        <f>+'Exhibit F'!H18</f>
        <v>2396.4000000000005</v>
      </c>
      <c r="H22" s="1476"/>
      <c r="I22" s="1476">
        <f>+'Exhibit F'!J18</f>
        <v>118.69999999999891</v>
      </c>
      <c r="J22" s="1476"/>
      <c r="K22" s="1476">
        <f>+'Exhibit F'!L18</f>
        <v>98.700000000000728</v>
      </c>
      <c r="L22" s="1476"/>
      <c r="M22" s="1476">
        <f>+'Exhibit F'!N18</f>
        <v>2742</v>
      </c>
      <c r="N22" s="1476"/>
      <c r="O22" s="1476">
        <f>+'Exhibit F'!P18</f>
        <v>170.89999999999964</v>
      </c>
      <c r="P22" s="1477"/>
      <c r="Q22" s="1476">
        <f>+'Exhibit F'!R18</f>
        <v>93.5</v>
      </c>
      <c r="R22" s="1477"/>
      <c r="S22" s="1476">
        <f>+'Exhibit F'!T18</f>
        <v>379.79999999999927</v>
      </c>
      <c r="T22" s="1477"/>
      <c r="U22" s="1476">
        <f>+'Exhibit F'!V18</f>
        <v>3842.2</v>
      </c>
      <c r="V22" s="1477"/>
      <c r="W22" s="1476"/>
      <c r="X22" s="1477"/>
      <c r="Y22" s="1476"/>
      <c r="Z22" s="1477"/>
      <c r="AA22" s="2872"/>
      <c r="AB22" s="3272">
        <f>ROUND(SUM(C22:Y22),1)</f>
        <v>16798</v>
      </c>
      <c r="AC22" s="3230"/>
      <c r="AD22" s="3552"/>
      <c r="AE22" s="3272">
        <f>+'Exhibit F'!AF18</f>
        <v>13784.6</v>
      </c>
      <c r="AF22" s="3512"/>
      <c r="AG22" s="3512"/>
      <c r="AH22" s="2054">
        <f t="shared" ref="AH22:AH28" si="1">ROUND(SUM(+AB22-AE22),1)</f>
        <v>3013.4</v>
      </c>
      <c r="AI22" s="2529"/>
      <c r="AJ22" s="1868">
        <f t="shared" si="0"/>
        <v>0.219</v>
      </c>
    </row>
    <row r="23" spans="1:36" ht="15">
      <c r="A23" s="2294" t="s">
        <v>1104</v>
      </c>
      <c r="B23" s="1477"/>
      <c r="C23" s="1476">
        <f>+'Exhibit F'!D19</f>
        <v>2286.9</v>
      </c>
      <c r="D23" s="1476"/>
      <c r="E23" s="1476">
        <f>+'Exhibit F'!F19</f>
        <v>75.099999999999994</v>
      </c>
      <c r="F23" s="1476"/>
      <c r="G23" s="1476">
        <f>+'Exhibit F'!H19</f>
        <v>54.1</v>
      </c>
      <c r="H23" s="1476"/>
      <c r="I23" s="1476">
        <f>+'Exhibit F'!J19</f>
        <v>40.800000000000004</v>
      </c>
      <c r="J23" s="1476"/>
      <c r="K23" s="1476">
        <f>+'Exhibit F'!L19</f>
        <v>45.099999999999916</v>
      </c>
      <c r="L23" s="1476"/>
      <c r="M23" s="1476">
        <f>+'Exhibit F'!N19</f>
        <v>65.5</v>
      </c>
      <c r="N23" s="1476"/>
      <c r="O23" s="1476">
        <f>+'Exhibit F'!P19</f>
        <v>564.19999999999982</v>
      </c>
      <c r="P23" s="1477"/>
      <c r="Q23" s="1476">
        <f>+'Exhibit F'!R19</f>
        <v>42.500000000000455</v>
      </c>
      <c r="R23" s="1477"/>
      <c r="S23" s="1476">
        <f>+'Exhibit F'!T19</f>
        <v>24.599999999999909</v>
      </c>
      <c r="T23" s="1477"/>
      <c r="U23" s="1476">
        <f>+'Exhibit F'!V19</f>
        <v>25.699999999999818</v>
      </c>
      <c r="V23" s="1477"/>
      <c r="W23" s="1476"/>
      <c r="X23" s="1477"/>
      <c r="Y23" s="1476"/>
      <c r="Z23" s="1477"/>
      <c r="AA23" s="2872"/>
      <c r="AB23" s="3272">
        <f t="shared" ref="AB23:AB29" si="2">ROUND(SUM(C23:Y23),1)</f>
        <v>3224.5</v>
      </c>
      <c r="AC23" s="3230"/>
      <c r="AD23" s="3552"/>
      <c r="AE23" s="3272">
        <f>+'Exhibit F'!AF19</f>
        <v>2438.9</v>
      </c>
      <c r="AF23" s="3512"/>
      <c r="AG23" s="3512"/>
      <c r="AH23" s="2054">
        <f t="shared" si="1"/>
        <v>785.6</v>
      </c>
      <c r="AI23" s="2529"/>
      <c r="AJ23" s="1868">
        <f t="shared" si="0"/>
        <v>0.32200000000000001</v>
      </c>
    </row>
    <row r="24" spans="1:36" ht="15">
      <c r="A24" s="2874" t="s">
        <v>1105</v>
      </c>
      <c r="B24" s="1477"/>
      <c r="C24" s="1476">
        <f>+'Exhibit F'!D20</f>
        <v>-296.89999999999998</v>
      </c>
      <c r="D24" s="1476"/>
      <c r="E24" s="1476">
        <f>+'Exhibit F'!F20</f>
        <v>-31.100000000000023</v>
      </c>
      <c r="F24" s="1476"/>
      <c r="G24" s="1476">
        <f>+'Exhibit F'!H20</f>
        <v>-25.899999999999977</v>
      </c>
      <c r="H24" s="1476"/>
      <c r="I24" s="1476">
        <f>+'Exhibit F'!J20</f>
        <v>-21</v>
      </c>
      <c r="J24" s="1476"/>
      <c r="K24" s="1476">
        <f>+'Exhibit F'!L20</f>
        <v>-20.900000000000034</v>
      </c>
      <c r="L24" s="1476"/>
      <c r="M24" s="1476">
        <f>+'Exhibit F'!N20</f>
        <v>-47.199999999999989</v>
      </c>
      <c r="N24" s="1476"/>
      <c r="O24" s="1476">
        <f>+'Exhibit F'!P20</f>
        <v>-475.39999999999992</v>
      </c>
      <c r="P24" s="1477"/>
      <c r="Q24" s="1476">
        <f>+'Exhibit F'!R20</f>
        <v>-59.499999999999943</v>
      </c>
      <c r="R24" s="1477"/>
      <c r="S24" s="1476">
        <f>+'Exhibit F'!T20</f>
        <v>-17.700000000000045</v>
      </c>
      <c r="T24" s="1477"/>
      <c r="U24" s="1476">
        <f>+'Exhibit F'!V20</f>
        <v>-9.6000000000001364</v>
      </c>
      <c r="V24" s="1477"/>
      <c r="W24" s="1476"/>
      <c r="X24" s="1477"/>
      <c r="Y24" s="1476"/>
      <c r="Z24" s="1477"/>
      <c r="AA24" s="2872"/>
      <c r="AB24" s="3272">
        <f>ROUND(SUM(C24:Y24),1)</f>
        <v>-1005.2</v>
      </c>
      <c r="AC24" s="3230"/>
      <c r="AD24" s="3552"/>
      <c r="AE24" s="3272">
        <f>+'Exhibit F'!AF20</f>
        <v>-1025.0999999999999</v>
      </c>
      <c r="AF24" s="3512"/>
      <c r="AG24" s="3512"/>
      <c r="AH24" s="2054">
        <f>-ROUND(SUM(+AB24-AE24),1)</f>
        <v>-19.899999999999999</v>
      </c>
      <c r="AI24" s="2529"/>
      <c r="AJ24" s="1868">
        <f t="shared" si="0"/>
        <v>-1.9E-2</v>
      </c>
    </row>
    <row r="25" spans="1:36" ht="15">
      <c r="A25" s="2874" t="s">
        <v>1390</v>
      </c>
      <c r="B25" s="1477"/>
      <c r="C25" s="1476">
        <f>+'Exhibit F'!D21</f>
        <v>170.3</v>
      </c>
      <c r="D25" s="1476"/>
      <c r="E25" s="1476">
        <f>+'Exhibit F'!F21</f>
        <v>105.19999999999999</v>
      </c>
      <c r="F25" s="1476"/>
      <c r="G25" s="1476">
        <f>+'Exhibit F'!H21</f>
        <v>96.199999999999989</v>
      </c>
      <c r="H25" s="1476"/>
      <c r="I25" s="1476">
        <f>+'Exhibit F'!J21</f>
        <v>89.300000000000011</v>
      </c>
      <c r="J25" s="1476"/>
      <c r="K25" s="1476">
        <f>+'Exhibit F'!L21</f>
        <v>95.700000000000045</v>
      </c>
      <c r="L25" s="1476"/>
      <c r="M25" s="1476">
        <f>+'Exhibit F'!N21</f>
        <v>91.699999999999932</v>
      </c>
      <c r="N25" s="1476"/>
      <c r="O25" s="1476">
        <f>+'Exhibit F'!P21</f>
        <v>104.30000000000013</v>
      </c>
      <c r="P25" s="1477"/>
      <c r="Q25" s="1476">
        <f>+'Exhibit F'!R21</f>
        <v>121.59999999999985</v>
      </c>
      <c r="R25" s="1477"/>
      <c r="S25" s="1476">
        <f>+'Exhibit F'!T21</f>
        <v>134.59999999999991</v>
      </c>
      <c r="T25" s="1477"/>
      <c r="U25" s="1476">
        <f>+'Exhibit F'!V21</f>
        <v>87.200000000000273</v>
      </c>
      <c r="V25" s="1477"/>
      <c r="W25" s="1476"/>
      <c r="X25" s="1477"/>
      <c r="Y25" s="1476"/>
      <c r="Z25" s="1477"/>
      <c r="AA25" s="2872"/>
      <c r="AB25" s="3272">
        <f t="shared" si="2"/>
        <v>1096.0999999999999</v>
      </c>
      <c r="AC25" s="3230"/>
      <c r="AD25" s="3552"/>
      <c r="AE25" s="3272">
        <f>+'Exhibit F'!AF21</f>
        <v>1055.0999999999999</v>
      </c>
      <c r="AF25" s="3512"/>
      <c r="AG25" s="3512"/>
      <c r="AH25" s="2054">
        <f t="shared" si="1"/>
        <v>41</v>
      </c>
      <c r="AI25" s="2529"/>
      <c r="AJ25" s="1868">
        <f t="shared" si="0"/>
        <v>3.9E-2</v>
      </c>
    </row>
    <row r="26" spans="1:36" ht="15.75">
      <c r="A26" s="2376" t="s">
        <v>1106</v>
      </c>
      <c r="B26" s="1477"/>
      <c r="C26" s="2096">
        <f>ROUND(SUM(C21:C25),1)</f>
        <v>12240.6</v>
      </c>
      <c r="D26" s="1477"/>
      <c r="E26" s="2096">
        <f>ROUND(SUM(E21:E25),1)</f>
        <v>3481.9</v>
      </c>
      <c r="F26" s="1477"/>
      <c r="G26" s="2096">
        <f>ROUND(SUM(G21:G25),1)</f>
        <v>5443.1</v>
      </c>
      <c r="H26" s="1477"/>
      <c r="I26" s="2096">
        <f>ROUND(SUM(I21:I25),1)</f>
        <v>3593.6</v>
      </c>
      <c r="J26" s="1477"/>
      <c r="K26" s="2096">
        <f>ROUND(SUM(K21:K25),1)</f>
        <v>3152.3</v>
      </c>
      <c r="L26" s="1477"/>
      <c r="M26" s="2096">
        <f>ROUND(SUM(M21:M25),1)</f>
        <v>5703.1</v>
      </c>
      <c r="N26" s="1477"/>
      <c r="O26" s="2096">
        <f>ROUND(SUM(O21:O25),1)</f>
        <v>3634.6</v>
      </c>
      <c r="P26" s="1477"/>
      <c r="Q26" s="2096">
        <f>ROUND(SUM(Q21:Q25),1)</f>
        <v>3179.9</v>
      </c>
      <c r="R26" s="1477"/>
      <c r="S26" s="2096">
        <f>ROUND(SUM(S21:S25),1)</f>
        <v>4575.6000000000004</v>
      </c>
      <c r="T26" s="1477"/>
      <c r="U26" s="2096">
        <f>ROUND(SUM(U21:U25),1)</f>
        <v>8991.1</v>
      </c>
      <c r="V26" s="1477"/>
      <c r="W26" s="2096">
        <f>ROUND(SUM(W21:W25),1)</f>
        <v>0</v>
      </c>
      <c r="X26" s="1477"/>
      <c r="Y26" s="2096">
        <f>ROUND(SUM(Y21:Y25),1)</f>
        <v>0</v>
      </c>
      <c r="Z26" s="1477"/>
      <c r="AA26" s="2872"/>
      <c r="AB26" s="1497">
        <f>ROUND(SUM(AB21:AB25),1)</f>
        <v>53995.8</v>
      </c>
      <c r="AC26" s="3230"/>
      <c r="AD26" s="3552"/>
      <c r="AE26" s="1497">
        <f>ROUND(SUM(AE21:AE25),1)</f>
        <v>48660.7</v>
      </c>
      <c r="AF26" s="3512"/>
      <c r="AG26" s="3512"/>
      <c r="AH26" s="2071">
        <f t="shared" si="1"/>
        <v>5335.1</v>
      </c>
      <c r="AI26" s="2529"/>
      <c r="AJ26" s="2613">
        <f t="shared" si="0"/>
        <v>0.11</v>
      </c>
    </row>
    <row r="27" spans="1:36" ht="15">
      <c r="A27" s="2874" t="s">
        <v>1108</v>
      </c>
      <c r="B27" s="1477"/>
      <c r="C27" s="1476">
        <f>+'Exhibit F'!D23+'Exhibit G State'!D17</f>
        <v>0</v>
      </c>
      <c r="D27" s="1477"/>
      <c r="E27" s="1476">
        <f>+'Exhibit F'!F23+'Exhibit G State'!F17</f>
        <v>0</v>
      </c>
      <c r="F27" s="1477"/>
      <c r="G27" s="1476">
        <f>+'Exhibit F'!H23+'Exhibit G State'!H17</f>
        <v>0</v>
      </c>
      <c r="H27" s="1477"/>
      <c r="I27" s="1476">
        <f>+'Exhibit F'!J23+'Exhibit G State'!J17</f>
        <v>0</v>
      </c>
      <c r="J27" s="1477"/>
      <c r="K27" s="1476">
        <f>+'Exhibit F'!L23+'Exhibit G State'!L17</f>
        <v>0</v>
      </c>
      <c r="L27" s="1477"/>
      <c r="M27" s="1476">
        <f>+'Exhibit F'!N23+'Exhibit G State'!N17</f>
        <v>0</v>
      </c>
      <c r="N27" s="1477"/>
      <c r="O27" s="1476">
        <f>+'Exhibit F'!P23+'Exhibit G State'!P17</f>
        <v>0</v>
      </c>
      <c r="P27" s="1477"/>
      <c r="Q27" s="1476">
        <f>+'Exhibit F'!R23+'Exhibit G State'!R17</f>
        <v>0</v>
      </c>
      <c r="R27" s="1477"/>
      <c r="S27" s="1476">
        <f>+'Exhibit F'!T23+'Exhibit G State'!T17</f>
        <v>0</v>
      </c>
      <c r="T27" s="1477"/>
      <c r="U27" s="1476">
        <f>+'Exhibit F'!V23+'Exhibit G State'!V17</f>
        <v>0</v>
      </c>
      <c r="V27" s="1477"/>
      <c r="W27" s="1476"/>
      <c r="X27" s="1477"/>
      <c r="Y27" s="1476"/>
      <c r="Z27" s="1477"/>
      <c r="AA27" s="2872"/>
      <c r="AB27" s="3272">
        <f>ROUND(SUM(C27:Y27),1)</f>
        <v>0</v>
      </c>
      <c r="AC27" s="3230"/>
      <c r="AD27" s="3552"/>
      <c r="AE27" s="3272">
        <f>+'Exhibit F'!AF23+'Exhibit G State'!AG17</f>
        <v>0</v>
      </c>
      <c r="AF27" s="3512"/>
      <c r="AG27" s="3512"/>
      <c r="AH27" s="2054">
        <f t="shared" si="1"/>
        <v>0</v>
      </c>
      <c r="AI27" s="2529"/>
      <c r="AJ27" s="1774">
        <f>ROUND(IF(AE27=0,0,AH27/ABS(AE27)),3)</f>
        <v>0</v>
      </c>
    </row>
    <row r="28" spans="1:36" ht="15">
      <c r="A28" s="2874" t="s">
        <v>1109</v>
      </c>
      <c r="B28" s="1477"/>
      <c r="C28" s="1476">
        <f>+'Exhibit F'!D24+'Exhibit H'!B16</f>
        <v>0</v>
      </c>
      <c r="D28" s="1477"/>
      <c r="E28" s="1476">
        <f>ROUND(+'Exhibit F'!F24+'Exhibit H'!D16,1)</f>
        <v>0</v>
      </c>
      <c r="F28" s="1477"/>
      <c r="G28" s="1476">
        <f>ROUND(+'Exhibit F'!H24+'Exhibit H'!F16,1)</f>
        <v>0</v>
      </c>
      <c r="H28" s="1477"/>
      <c r="I28" s="1476">
        <f>ROUND(+'Exhibit F'!J24+'Exhibit H'!H16,1)</f>
        <v>0</v>
      </c>
      <c r="J28" s="1477"/>
      <c r="K28" s="1476">
        <f>ROUND(+'Exhibit F'!L24+'Exhibit H'!J16,1)</f>
        <v>0</v>
      </c>
      <c r="L28" s="1477"/>
      <c r="M28" s="1476">
        <f>ROUND(+'Exhibit F'!N24+'Exhibit H'!L16,1)</f>
        <v>0</v>
      </c>
      <c r="N28" s="1477"/>
      <c r="O28" s="1476">
        <f>ROUND(+'Exhibit F'!P24+'Exhibit H'!N16,1)</f>
        <v>0</v>
      </c>
      <c r="P28" s="1477"/>
      <c r="Q28" s="1476">
        <f>ROUND(+'Exhibit F'!R24+'Exhibit H'!P16,1)</f>
        <v>0</v>
      </c>
      <c r="R28" s="1477"/>
      <c r="S28" s="1476">
        <f>ROUND(+'Exhibit F'!T24+'Exhibit H'!R16,1)</f>
        <v>0</v>
      </c>
      <c r="T28" s="1477"/>
      <c r="U28" s="1476">
        <f>ROUND(+'Exhibit F'!V24+'Exhibit H'!T16,1)</f>
        <v>0</v>
      </c>
      <c r="V28" s="1477"/>
      <c r="W28" s="1476"/>
      <c r="X28" s="1477"/>
      <c r="Y28" s="1476"/>
      <c r="Z28" s="1477"/>
      <c r="AA28" s="2872"/>
      <c r="AB28" s="3272">
        <f t="shared" si="2"/>
        <v>0</v>
      </c>
      <c r="AC28" s="3230"/>
      <c r="AD28" s="3552"/>
      <c r="AE28" s="3272">
        <f>+'Exhibit F'!AF24+'Exhibit H'!AD16</f>
        <v>0</v>
      </c>
      <c r="AF28" s="3512"/>
      <c r="AG28" s="3512"/>
      <c r="AH28" s="2054">
        <f t="shared" si="1"/>
        <v>0</v>
      </c>
      <c r="AI28" s="2529"/>
      <c r="AJ28" s="1774">
        <f>ROUND(IF(AE28=0,0,AH28/ABS(AE28)),3)</f>
        <v>0</v>
      </c>
    </row>
    <row r="29" spans="1:36" ht="15">
      <c r="A29" s="2294" t="s">
        <v>1392</v>
      </c>
      <c r="B29" s="1476"/>
      <c r="C29" s="1476">
        <f>+'Exhibit F'!D25</f>
        <v>-3025.2</v>
      </c>
      <c r="D29" s="1476"/>
      <c r="E29" s="1476">
        <f>+'Exhibit F'!F25</f>
        <v>-997.30000000000018</v>
      </c>
      <c r="F29" s="1476"/>
      <c r="G29" s="1476">
        <f>+'Exhibit F'!H25</f>
        <v>-233.19999999999982</v>
      </c>
      <c r="H29" s="1476"/>
      <c r="I29" s="1476">
        <f>+'Exhibit F'!J25</f>
        <v>-262</v>
      </c>
      <c r="J29" s="1476"/>
      <c r="K29" s="1476">
        <f>+'Exhibit F'!L25</f>
        <v>-243.80000000000018</v>
      </c>
      <c r="L29" s="1477"/>
      <c r="M29" s="1476">
        <f>+'Exhibit F'!N25</f>
        <v>-871.69999999999982</v>
      </c>
      <c r="N29" s="1477"/>
      <c r="O29" s="1476">
        <f>+'Exhibit F'!P25</f>
        <v>-1056.1999999999998</v>
      </c>
      <c r="P29" s="1477"/>
      <c r="Q29" s="1476">
        <f>+'Exhibit F'!R25</f>
        <v>-710.5</v>
      </c>
      <c r="R29" s="1477"/>
      <c r="S29" s="1476">
        <f>+'Exhibit F'!T25</f>
        <v>-287.60000000000036</v>
      </c>
      <c r="T29" s="1477"/>
      <c r="U29" s="1476">
        <f>+'Exhibit F'!V25</f>
        <v>-91.899999999999636</v>
      </c>
      <c r="V29" s="1477"/>
      <c r="W29" s="1476"/>
      <c r="X29" s="1477"/>
      <c r="Y29" s="1476"/>
      <c r="Z29" s="1477"/>
      <c r="AA29" s="2872"/>
      <c r="AB29" s="3272">
        <f t="shared" si="2"/>
        <v>-7779.4</v>
      </c>
      <c r="AC29" s="3230"/>
      <c r="AD29" s="3552"/>
      <c r="AE29" s="3272">
        <f>+'Exhibit F'!AF25</f>
        <v>-7518.2</v>
      </c>
      <c r="AF29" s="3512"/>
      <c r="AG29" s="3512"/>
      <c r="AH29" s="2054">
        <f>-ROUND(SUM(+AB29-AE29),1)</f>
        <v>261.2</v>
      </c>
      <c r="AI29" s="2529"/>
      <c r="AJ29" s="1868">
        <f>ROUND(SUM(+AH29/ABS(AE29)),3)</f>
        <v>3.5000000000000003E-2</v>
      </c>
    </row>
    <row r="30" spans="1:36" ht="15.75">
      <c r="A30" s="2534" t="s">
        <v>1107</v>
      </c>
      <c r="B30" s="1477"/>
      <c r="C30" s="2096">
        <f>ROUND(SUM(C26+C27+C28+C29),1)</f>
        <v>9215.4</v>
      </c>
      <c r="D30" s="1477"/>
      <c r="E30" s="2096">
        <f>ROUND(SUM(E26+E27+E28+E29),1)</f>
        <v>2484.6</v>
      </c>
      <c r="F30" s="1477"/>
      <c r="G30" s="2096">
        <f>ROUND(SUM(G26+G27+G28+G29),1)</f>
        <v>5209.8999999999996</v>
      </c>
      <c r="H30" s="1477"/>
      <c r="I30" s="2096">
        <f>ROUND(SUM(I26+I27+I28+I29),1)</f>
        <v>3331.6</v>
      </c>
      <c r="J30" s="1477"/>
      <c r="K30" s="2096">
        <f>ROUND(SUM(K26+K27+K28+K29),1)</f>
        <v>2908.5</v>
      </c>
      <c r="L30" s="1477"/>
      <c r="M30" s="2096">
        <f>ROUND(SUM(M26+M27+M28+M29),1)</f>
        <v>4831.3999999999996</v>
      </c>
      <c r="N30" s="1477"/>
      <c r="O30" s="2096">
        <f>ROUND(SUM(O26+O27+O28+O29),1)</f>
        <v>2578.4</v>
      </c>
      <c r="P30" s="1477"/>
      <c r="Q30" s="2096">
        <f>ROUND(SUM(Q26+Q27+Q28+Q29),1)</f>
        <v>2469.4</v>
      </c>
      <c r="R30" s="1477"/>
      <c r="S30" s="2096">
        <f>ROUND(SUM(S26+S27+S28+S29),1)</f>
        <v>4288</v>
      </c>
      <c r="T30" s="1477"/>
      <c r="U30" s="2096">
        <f>ROUND(SUM(U26+U27+U28+U29),1)</f>
        <v>8899.2000000000007</v>
      </c>
      <c r="V30" s="1477"/>
      <c r="W30" s="2096">
        <f>ROUND(SUM(W26+W27+W28+W29),1)</f>
        <v>0</v>
      </c>
      <c r="X30" s="1477"/>
      <c r="Y30" s="2096">
        <f>ROUND(SUM(Y26+Y27+Y28+Y29),1)</f>
        <v>0</v>
      </c>
      <c r="Z30" s="1477"/>
      <c r="AA30" s="2872"/>
      <c r="AB30" s="1497">
        <f>ROUND(SUM(AB26+AB27+AB28+AB29),1)</f>
        <v>46216.4</v>
      </c>
      <c r="AC30" s="3230"/>
      <c r="AD30" s="3552"/>
      <c r="AE30" s="1497">
        <f>ROUND(SUM(AE26+AE27+AE28+AE29),1)</f>
        <v>41142.5</v>
      </c>
      <c r="AF30" s="3512"/>
      <c r="AG30" s="3512"/>
      <c r="AH30" s="1497">
        <f>ROUND(SUM(AH26+AH27+AH28-AH29),1)</f>
        <v>5073.8999999999996</v>
      </c>
      <c r="AI30" s="3515"/>
      <c r="AJ30" s="2613">
        <f>ROUND(SUM(+AH30/ABS(AE30)),3)</f>
        <v>0.123</v>
      </c>
    </row>
    <row r="31" spans="1:36" ht="15">
      <c r="A31" s="2524" t="s">
        <v>1161</v>
      </c>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2872"/>
      <c r="AB31" s="3230"/>
      <c r="AC31" s="3230"/>
      <c r="AD31" s="3552"/>
      <c r="AE31" s="3272"/>
      <c r="AF31" s="3512"/>
      <c r="AG31" s="3512"/>
      <c r="AH31" s="3514"/>
      <c r="AI31" s="3230"/>
      <c r="AJ31" s="3514"/>
    </row>
    <row r="32" spans="1:36" ht="15">
      <c r="A32" s="2294" t="s">
        <v>1112</v>
      </c>
      <c r="B32" s="1477"/>
      <c r="C32" s="1476">
        <f>+'Exhibit F'!D28+'Exhibit H'!B19+'Exhibit G State'!D20</f>
        <v>1201.5999999999999</v>
      </c>
      <c r="D32" s="1476"/>
      <c r="E32" s="1476">
        <f>+'Exhibit F'!F28+'Exhibit H'!D19+'Exhibit G State'!F20</f>
        <v>1178.8000000000002</v>
      </c>
      <c r="F32" s="1476"/>
      <c r="G32" s="1476">
        <f>+'Exhibit F'!H28+'Exhibit H'!F19+'Exhibit G State'!H20</f>
        <v>1589.4999999999998</v>
      </c>
      <c r="H32" s="1476"/>
      <c r="I32" s="1476">
        <f>+'Exhibit F'!J28+'Exhibit H'!H19+'Exhibit G State'!J20</f>
        <v>1238.1999999999998</v>
      </c>
      <c r="J32" s="1476"/>
      <c r="K32" s="1476">
        <f>+'Exhibit F'!L28+'Exhibit H'!J19+'Exhibit G State'!L20</f>
        <v>1243.6000000000004</v>
      </c>
      <c r="L32" s="1477"/>
      <c r="M32" s="1476">
        <f>+'Exhibit F'!N28+'Exhibit H'!L19+'Exhibit G State'!N20</f>
        <v>1628.1999999999996</v>
      </c>
      <c r="N32" s="1477"/>
      <c r="O32" s="1476">
        <f>+'Exhibit F'!P28+'Exhibit H'!N19+'Exhibit G State'!P20</f>
        <v>1238.3000000000002</v>
      </c>
      <c r="P32" s="1477"/>
      <c r="Q32" s="1476">
        <f>+'Exhibit F'!R28+'Exhibit H'!P19+'Exhibit G State'!R20</f>
        <v>1250.6000000000001</v>
      </c>
      <c r="R32" s="1477"/>
      <c r="S32" s="1476">
        <f>+'Exhibit F'!T28+'Exhibit H'!R19+'Exhibit G State'!T20</f>
        <v>1586.8000000000006</v>
      </c>
      <c r="T32" s="1477"/>
      <c r="U32" s="1476">
        <f>+'Exhibit F'!V28+'Exhibit H'!T19+'Exhibit G State'!V20</f>
        <v>1360.8999999999999</v>
      </c>
      <c r="V32" s="1477"/>
      <c r="W32" s="1476"/>
      <c r="X32" s="1477"/>
      <c r="Y32" s="1476"/>
      <c r="Z32" s="1477"/>
      <c r="AA32" s="2872"/>
      <c r="AB32" s="3272">
        <f t="shared" ref="AB32:AB41" si="3">ROUND(SUM(C32:Y32),1)</f>
        <v>13516.5</v>
      </c>
      <c r="AC32" s="3230"/>
      <c r="AD32" s="3552"/>
      <c r="AE32" s="3272">
        <f>+'Exhibit F'!AF28+'Exhibit H'!AD19+'Exhibit G State'!AG20</f>
        <v>12752.3</v>
      </c>
      <c r="AF32" s="3512"/>
      <c r="AG32" s="3512"/>
      <c r="AH32" s="2054">
        <f t="shared" ref="AH32:AH41" si="4">ROUND(SUM(+AB32-AE32),1)</f>
        <v>764.2</v>
      </c>
      <c r="AI32" s="2529"/>
      <c r="AJ32" s="1868">
        <f>ROUND(SUM(+AH32/ABS(AE32)),3)</f>
        <v>0.06</v>
      </c>
    </row>
    <row r="33" spans="1:36" ht="15">
      <c r="A33" s="2294" t="s">
        <v>1113</v>
      </c>
      <c r="B33" s="1477"/>
      <c r="C33" s="1476">
        <f>+'Exhibit F'!D29+'Exhibit G State'!D21</f>
        <v>0</v>
      </c>
      <c r="D33" s="1476"/>
      <c r="E33" s="1476">
        <f>+'Exhibit F'!F29+'Exhibit G State'!F21</f>
        <v>0</v>
      </c>
      <c r="F33" s="1476"/>
      <c r="G33" s="1476">
        <f>+'Exhibit F'!H29+'Exhibit G State'!H21</f>
        <v>0</v>
      </c>
      <c r="H33" s="1476"/>
      <c r="I33" s="1476">
        <f>+'Exhibit F'!J29+'Exhibit G State'!J21</f>
        <v>0</v>
      </c>
      <c r="J33" s="1476"/>
      <c r="K33" s="1476">
        <f>+'Exhibit F'!L29+'Exhibit G State'!L21</f>
        <v>0</v>
      </c>
      <c r="L33" s="1477"/>
      <c r="M33" s="1476">
        <f>+'Exhibit F'!N29+'Exhibit G State'!N21</f>
        <v>7.3</v>
      </c>
      <c r="N33" s="1477"/>
      <c r="O33" s="1476">
        <f>+'Exhibit F'!P29+'Exhibit G State'!P21</f>
        <v>0</v>
      </c>
      <c r="P33" s="1477"/>
      <c r="Q33" s="1476">
        <f>+'Exhibit F'!R29+'Exhibit G State'!R21</f>
        <v>0</v>
      </c>
      <c r="R33" s="1477"/>
      <c r="S33" s="1476">
        <f>+'Exhibit F'!T29+'Exhibit G State'!T21</f>
        <v>5.6000000000000005</v>
      </c>
      <c r="T33" s="1477"/>
      <c r="U33" s="1476">
        <f>+'Exhibit F'!V29+'Exhibit G State'!V21</f>
        <v>0</v>
      </c>
      <c r="V33" s="1477"/>
      <c r="W33" s="1476"/>
      <c r="X33" s="1477"/>
      <c r="Y33" s="1476"/>
      <c r="Z33" s="1477"/>
      <c r="AA33" s="2872"/>
      <c r="AB33" s="3272">
        <f t="shared" si="3"/>
        <v>12.9</v>
      </c>
      <c r="AC33" s="3230"/>
      <c r="AD33" s="3552"/>
      <c r="AE33" s="3272">
        <f>+'Exhibit F'!AF29+'Exhibit G State'!AG21</f>
        <v>40.799999999999997</v>
      </c>
      <c r="AF33" s="3512"/>
      <c r="AG33" s="3512"/>
      <c r="AH33" s="2054">
        <f t="shared" si="4"/>
        <v>-27.9</v>
      </c>
      <c r="AI33" s="2529"/>
      <c r="AJ33" s="1868">
        <f>ROUND(SUM(+AH33/ABS(AE33)),3)</f>
        <v>-0.68400000000000005</v>
      </c>
    </row>
    <row r="34" spans="1:36" ht="15">
      <c r="A34" s="2294" t="s">
        <v>1114</v>
      </c>
      <c r="B34" s="1477"/>
      <c r="C34" s="1476">
        <f>+'Exhibit F'!D30+'Exhibit G State'!D22</f>
        <v>89.2</v>
      </c>
      <c r="D34" s="1476"/>
      <c r="E34" s="1476">
        <f>+'Exhibit F'!F30+'Exhibit G State'!F22</f>
        <v>85.199999999999989</v>
      </c>
      <c r="F34" s="1476"/>
      <c r="G34" s="1476">
        <f>+'Exhibit F'!H30+'Exhibit G State'!H22</f>
        <v>83.800000000000011</v>
      </c>
      <c r="H34" s="1476"/>
      <c r="I34" s="1476">
        <f>+'Exhibit F'!J30+'Exhibit G State'!J22</f>
        <v>106.80000000000004</v>
      </c>
      <c r="J34" s="1476"/>
      <c r="K34" s="1476">
        <f>+'Exhibit F'!L30+'Exhibit G State'!L22</f>
        <v>92.199999999999974</v>
      </c>
      <c r="L34" s="1477"/>
      <c r="M34" s="1476">
        <f>+'Exhibit F'!N30+'Exhibit G State'!N22</f>
        <v>87.700000000000045</v>
      </c>
      <c r="N34" s="1477"/>
      <c r="O34" s="1476">
        <f>+'Exhibit F'!P30+'Exhibit G State'!P22</f>
        <v>93.8</v>
      </c>
      <c r="P34" s="1477"/>
      <c r="Q34" s="1476">
        <f>+'Exhibit F'!R30+'Exhibit G State'!R22</f>
        <v>84.099999999999966</v>
      </c>
      <c r="R34" s="1477"/>
      <c r="S34" s="1476">
        <f>+'Exhibit F'!T30+'Exhibit G State'!T22</f>
        <v>96.199999999999932</v>
      </c>
      <c r="T34" s="1477"/>
      <c r="U34" s="1476">
        <f>+'Exhibit F'!V30+'Exhibit G State'!V22</f>
        <v>79.300000000000026</v>
      </c>
      <c r="V34" s="1477"/>
      <c r="W34" s="1476"/>
      <c r="X34" s="1477"/>
      <c r="Y34" s="1476"/>
      <c r="Z34" s="1477"/>
      <c r="AA34" s="2872"/>
      <c r="AB34" s="3272">
        <f t="shared" si="3"/>
        <v>898.3</v>
      </c>
      <c r="AC34" s="3230"/>
      <c r="AD34" s="3552"/>
      <c r="AE34" s="3272">
        <f>+'Exhibit F'!AF30+'Exhibit G State'!AG22</f>
        <v>966.5</v>
      </c>
      <c r="AF34" s="3512"/>
      <c r="AG34" s="3512"/>
      <c r="AH34" s="2054">
        <f t="shared" si="4"/>
        <v>-68.2</v>
      </c>
      <c r="AI34" s="2529"/>
      <c r="AJ34" s="1868">
        <f>ROUND(SUM(+AH34/ABS(AE34)),3)</f>
        <v>-7.0999999999999994E-2</v>
      </c>
    </row>
    <row r="35" spans="1:36" ht="15">
      <c r="A35" s="2294" t="s">
        <v>1262</v>
      </c>
      <c r="B35" s="1477"/>
      <c r="C35" s="1476">
        <f>'Exhibit G State'!D23</f>
        <v>0.5</v>
      </c>
      <c r="D35" s="1476"/>
      <c r="E35" s="1476">
        <f>'Exhibit G State'!F23</f>
        <v>0.4</v>
      </c>
      <c r="F35" s="1476"/>
      <c r="G35" s="1476">
        <f>'Exhibit G State'!H23</f>
        <v>0.49999999999999989</v>
      </c>
      <c r="H35" s="1476"/>
      <c r="I35" s="1476">
        <f>'Exhibit G State'!J23</f>
        <v>0.5</v>
      </c>
      <c r="J35" s="1476"/>
      <c r="K35" s="1476">
        <f>'Exhibit G State'!L23</f>
        <v>0.4</v>
      </c>
      <c r="L35" s="1477"/>
      <c r="M35" s="1476">
        <f>'Exhibit G State'!N23</f>
        <v>0.49999999999999989</v>
      </c>
      <c r="N35" s="1477"/>
      <c r="O35" s="1476">
        <f>'Exhibit G State'!P23</f>
        <v>0.40000000000000036</v>
      </c>
      <c r="P35" s="1477"/>
      <c r="Q35" s="1476">
        <f>'Exhibit G State'!R23</f>
        <v>0.50000000000000011</v>
      </c>
      <c r="R35" s="1477"/>
      <c r="S35" s="1476">
        <f>'Exhibit G State'!T23</f>
        <v>0.59999999999999953</v>
      </c>
      <c r="T35" s="1477"/>
      <c r="U35" s="1476">
        <f>'Exhibit G State'!V23</f>
        <v>0.50000000000000011</v>
      </c>
      <c r="V35" s="1477"/>
      <c r="W35" s="1476"/>
      <c r="X35" s="1477"/>
      <c r="Y35" s="1476"/>
      <c r="Z35" s="1477"/>
      <c r="AA35" s="2872"/>
      <c r="AB35" s="3272">
        <f t="shared" si="3"/>
        <v>4.8</v>
      </c>
      <c r="AC35" s="3230"/>
      <c r="AD35" s="3552"/>
      <c r="AE35" s="3272">
        <f>'Exhibit G State'!AG23</f>
        <v>3.1</v>
      </c>
      <c r="AF35" s="3512"/>
      <c r="AG35" s="3512"/>
      <c r="AH35" s="2054">
        <f>ROUND(SUM(+AB35-AE35),1)</f>
        <v>1.7</v>
      </c>
      <c r="AI35" s="2529"/>
      <c r="AJ35" s="1774">
        <f>ROUND(IF(AE35=0,1,AH35/ABS(AE35)),3)</f>
        <v>0.54800000000000004</v>
      </c>
    </row>
    <row r="36" spans="1:36" ht="15">
      <c r="A36" s="2294" t="s">
        <v>1115</v>
      </c>
      <c r="B36" s="1477"/>
      <c r="C36" s="1476">
        <f>+'Exhibit F'!D31+'Exhibit G State'!D24</f>
        <v>9.6</v>
      </c>
      <c r="D36" s="1476"/>
      <c r="E36" s="1476">
        <f>+'Exhibit F'!F31+'Exhibit G State'!F24</f>
        <v>9.4</v>
      </c>
      <c r="F36" s="1476"/>
      <c r="G36" s="1476">
        <f>+'Exhibit F'!H31+'Exhibit G State'!H24</f>
        <v>9.4999999999999982</v>
      </c>
      <c r="H36" s="1476"/>
      <c r="I36" s="1476">
        <f>+'Exhibit F'!J31+'Exhibit G State'!J24</f>
        <v>8.7999999999999989</v>
      </c>
      <c r="J36" s="1476"/>
      <c r="K36" s="1476">
        <f>+'Exhibit F'!L31+'Exhibit G State'!L24</f>
        <v>10.1</v>
      </c>
      <c r="L36" s="1477"/>
      <c r="M36" s="1476">
        <f>+'Exhibit F'!N31+'Exhibit G State'!N24</f>
        <v>9.1000000000000032</v>
      </c>
      <c r="N36" s="1477"/>
      <c r="O36" s="1476">
        <f>+'Exhibit F'!P31+'Exhibit G State'!P24</f>
        <v>9.9999999999999982</v>
      </c>
      <c r="P36" s="1477"/>
      <c r="Q36" s="1476">
        <f>+'Exhibit F'!R31+'Exhibit G State'!R24</f>
        <v>8.6000000000000032</v>
      </c>
      <c r="R36" s="1477"/>
      <c r="S36" s="1476">
        <f>+'Exhibit F'!T31+'Exhibit G State'!T24</f>
        <v>8.4999999999999911</v>
      </c>
      <c r="T36" s="1477"/>
      <c r="U36" s="1476">
        <f>+'Exhibit F'!V31+'Exhibit G State'!V24</f>
        <v>8.9000000000000075</v>
      </c>
      <c r="V36" s="1477"/>
      <c r="W36" s="1476"/>
      <c r="X36" s="1477"/>
      <c r="Y36" s="1476"/>
      <c r="Z36" s="1477"/>
      <c r="AA36" s="2872"/>
      <c r="AB36" s="3272">
        <f t="shared" si="3"/>
        <v>92.5</v>
      </c>
      <c r="AC36" s="3230"/>
      <c r="AD36" s="3552"/>
      <c r="AE36" s="3272">
        <f>+'Exhibit F'!AF31+'Exhibit G State'!AG24</f>
        <v>93.5</v>
      </c>
      <c r="AF36" s="3512"/>
      <c r="AG36" s="3512"/>
      <c r="AH36" s="2054">
        <f t="shared" si="4"/>
        <v>-1</v>
      </c>
      <c r="AI36" s="2529"/>
      <c r="AJ36" s="1868">
        <f>ROUND(SUM(+AH36/ABS(AE36)),3)</f>
        <v>-1.0999999999999999E-2</v>
      </c>
    </row>
    <row r="37" spans="1:36" ht="15">
      <c r="A37" s="2294" t="s">
        <v>1116</v>
      </c>
      <c r="B37" s="1477"/>
      <c r="C37" s="1476">
        <f>+'Exhibit F'!D32+'Exhibit G State'!D25</f>
        <v>20</v>
      </c>
      <c r="D37" s="1476"/>
      <c r="E37" s="1476">
        <f>+'Exhibit F'!F32+'Exhibit G State'!F25</f>
        <v>20.9</v>
      </c>
      <c r="F37" s="1476"/>
      <c r="G37" s="1476">
        <f>+'Exhibit F'!H32+'Exhibit G State'!H25</f>
        <v>26.000000000000007</v>
      </c>
      <c r="H37" s="1476"/>
      <c r="I37" s="1476">
        <f>+'Exhibit F'!J32+'Exhibit G State'!J25</f>
        <v>25.599999999999994</v>
      </c>
      <c r="J37" s="1476"/>
      <c r="K37" s="1476">
        <f>+'Exhibit F'!L32+'Exhibit G State'!L25</f>
        <v>19.499999999999993</v>
      </c>
      <c r="L37" s="1477"/>
      <c r="M37" s="1476">
        <f>+'Exhibit F'!N32+'Exhibit G State'!N25</f>
        <v>23.500000000000007</v>
      </c>
      <c r="N37" s="1477"/>
      <c r="O37" s="1476">
        <f>+'Exhibit F'!P32+'Exhibit G State'!P25</f>
        <v>19.099999999999994</v>
      </c>
      <c r="P37" s="1477"/>
      <c r="Q37" s="1476">
        <f>+'Exhibit F'!R32+'Exhibit G State'!R25</f>
        <v>24.499999999999993</v>
      </c>
      <c r="R37" s="1477"/>
      <c r="S37" s="1476">
        <f>+'Exhibit F'!T32+'Exhibit G State'!T25</f>
        <v>20.400000000000006</v>
      </c>
      <c r="T37" s="1477"/>
      <c r="U37" s="1476">
        <f>+'Exhibit F'!V32+'Exhibit G State'!V25</f>
        <v>34.6</v>
      </c>
      <c r="V37" s="1477"/>
      <c r="W37" s="1476"/>
      <c r="X37" s="1477"/>
      <c r="Y37" s="1476"/>
      <c r="Z37" s="1477"/>
      <c r="AA37" s="2872"/>
      <c r="AB37" s="3272">
        <f t="shared" si="3"/>
        <v>234.1</v>
      </c>
      <c r="AC37" s="3230"/>
      <c r="AD37" s="3552"/>
      <c r="AE37" s="3272">
        <f>+'Exhibit F'!AF32+'Exhibit G State'!AG25</f>
        <v>230.2</v>
      </c>
      <c r="AF37" s="3512"/>
      <c r="AG37" s="3512"/>
      <c r="AH37" s="2054">
        <f t="shared" si="4"/>
        <v>3.9</v>
      </c>
      <c r="AI37" s="2529"/>
      <c r="AJ37" s="1868">
        <f>ROUND(SUM(+AH37/ABS(AE37)),3)</f>
        <v>1.7000000000000001E-2</v>
      </c>
    </row>
    <row r="38" spans="1:36" ht="15">
      <c r="A38" s="2294" t="s">
        <v>1117</v>
      </c>
      <c r="B38" s="1477"/>
      <c r="C38" s="1476">
        <f>+'Exhibit F'!D33+'Exhibit G State'!D26</f>
        <v>0</v>
      </c>
      <c r="D38" s="1476"/>
      <c r="E38" s="1476">
        <f>+'Exhibit F'!F33+'Exhibit G State'!F26</f>
        <v>0.1</v>
      </c>
      <c r="F38" s="1476"/>
      <c r="G38" s="1476">
        <f>+'Exhibit F'!H33+'Exhibit G State'!H26</f>
        <v>0.1</v>
      </c>
      <c r="H38" s="1476"/>
      <c r="I38" s="1476">
        <f>+'Exhibit F'!J33+'Exhibit G State'!J26</f>
        <v>0</v>
      </c>
      <c r="J38" s="1476"/>
      <c r="K38" s="1476">
        <f>+'Exhibit F'!L33+'Exhibit G State'!L26</f>
        <v>0</v>
      </c>
      <c r="L38" s="1477"/>
      <c r="M38" s="1476">
        <f>+'Exhibit F'!N33+'Exhibit G State'!N26</f>
        <v>9.9999999999999978E-2</v>
      </c>
      <c r="N38" s="1477"/>
      <c r="O38" s="1476">
        <f>+'Exhibit F'!P33+'Exhibit G State'!P26</f>
        <v>0</v>
      </c>
      <c r="P38" s="1477"/>
      <c r="Q38" s="1476">
        <f>+'Exhibit F'!R33+'Exhibit G State'!R26</f>
        <v>0.10000000000000006</v>
      </c>
      <c r="R38" s="1477"/>
      <c r="S38" s="1476">
        <f>+'Exhibit F'!T33+'Exhibit G State'!T26</f>
        <v>0</v>
      </c>
      <c r="T38" s="1477"/>
      <c r="U38" s="1476">
        <f>+'Exhibit F'!V33+'Exhibit G State'!V26</f>
        <v>0</v>
      </c>
      <c r="V38" s="1477"/>
      <c r="W38" s="1476"/>
      <c r="X38" s="1477"/>
      <c r="Y38" s="1476"/>
      <c r="Z38" s="1477"/>
      <c r="AA38" s="2872"/>
      <c r="AB38" s="3272">
        <f t="shared" si="3"/>
        <v>0.4</v>
      </c>
      <c r="AC38" s="3230"/>
      <c r="AD38" s="3552"/>
      <c r="AE38" s="3272">
        <f>+'Exhibit F'!AF33+'Exhibit G State'!AG26</f>
        <v>-1.7</v>
      </c>
      <c r="AF38" s="3512"/>
      <c r="AG38" s="3512"/>
      <c r="AH38" s="2054">
        <f t="shared" si="4"/>
        <v>2.1</v>
      </c>
      <c r="AI38" s="2529"/>
      <c r="AJ38" s="1779">
        <f>ROUND(IF(AE38=0,1,AH38/ABS(AE38)),3)</f>
        <v>1.2350000000000001</v>
      </c>
    </row>
    <row r="39" spans="1:36" ht="15">
      <c r="A39" s="2294" t="s">
        <v>1592</v>
      </c>
      <c r="B39" s="1477"/>
      <c r="C39" s="1476">
        <v>0</v>
      </c>
      <c r="D39" s="1476"/>
      <c r="E39" s="1476">
        <v>0</v>
      </c>
      <c r="F39" s="1476"/>
      <c r="G39" s="1476">
        <v>0</v>
      </c>
      <c r="H39" s="1476"/>
      <c r="I39" s="1476">
        <v>0</v>
      </c>
      <c r="J39" s="1476"/>
      <c r="K39" s="1476">
        <v>0</v>
      </c>
      <c r="L39" s="1477"/>
      <c r="M39" s="1476">
        <v>0</v>
      </c>
      <c r="N39" s="1477"/>
      <c r="O39" s="1476">
        <v>0</v>
      </c>
      <c r="P39" s="1477"/>
      <c r="Q39" s="1476">
        <v>0</v>
      </c>
      <c r="R39" s="1477"/>
      <c r="S39" s="1476">
        <f>+'Exhibit F'!T34</f>
        <v>0</v>
      </c>
      <c r="T39" s="1477"/>
      <c r="U39" s="1476">
        <f>+'Exhibit F'!V34</f>
        <v>0</v>
      </c>
      <c r="V39" s="1477"/>
      <c r="W39" s="1476"/>
      <c r="X39" s="1477"/>
      <c r="Y39" s="1476"/>
      <c r="Z39" s="1477"/>
      <c r="AA39" s="2872"/>
      <c r="AB39" s="3272">
        <f>ROUND(SUM(C39:Y39),1)</f>
        <v>0</v>
      </c>
      <c r="AC39" s="3230"/>
      <c r="AD39" s="3552"/>
      <c r="AE39" s="3272">
        <f>+'Exhibit F'!AF34</f>
        <v>0</v>
      </c>
      <c r="AF39" s="3512"/>
      <c r="AG39" s="3512"/>
      <c r="AH39" s="2054">
        <f>ROUND(SUM(+AB39-AE39),1)</f>
        <v>0</v>
      </c>
      <c r="AI39" s="2529"/>
      <c r="AJ39" s="1779">
        <f>ROUND(IF(AE39=0,0,AH39/ABS(AE39)),3)</f>
        <v>0</v>
      </c>
    </row>
    <row r="40" spans="1:36" ht="15">
      <c r="A40" s="2294" t="s">
        <v>1593</v>
      </c>
      <c r="B40" s="1477"/>
      <c r="C40" s="1476">
        <v>0</v>
      </c>
      <c r="D40" s="1476"/>
      <c r="E40" s="1476">
        <v>0</v>
      </c>
      <c r="F40" s="1476"/>
      <c r="G40" s="1476">
        <v>0</v>
      </c>
      <c r="H40" s="1476"/>
      <c r="I40" s="1476">
        <v>0</v>
      </c>
      <c r="J40" s="1476"/>
      <c r="K40" s="1476">
        <v>0</v>
      </c>
      <c r="L40" s="1477"/>
      <c r="M40" s="1476">
        <v>0</v>
      </c>
      <c r="N40" s="1477"/>
      <c r="O40" s="1476">
        <v>0</v>
      </c>
      <c r="P40" s="1477"/>
      <c r="Q40" s="1476">
        <v>0</v>
      </c>
      <c r="R40" s="1477"/>
      <c r="S40" s="1476">
        <f>+'Exhibit F'!T35</f>
        <v>0</v>
      </c>
      <c r="T40" s="1477"/>
      <c r="U40" s="1476">
        <f>+'Exhibit F'!V35</f>
        <v>16.899999999999999</v>
      </c>
      <c r="V40" s="1477"/>
      <c r="W40" s="1476"/>
      <c r="X40" s="1477"/>
      <c r="Y40" s="1476"/>
      <c r="Z40" s="1477"/>
      <c r="AA40" s="2872"/>
      <c r="AB40" s="3272">
        <f t="shared" ref="AB40" si="5">ROUND(SUM(C40:Y40),1)</f>
        <v>16.899999999999999</v>
      </c>
      <c r="AC40" s="3230"/>
      <c r="AD40" s="3552"/>
      <c r="AE40" s="3272">
        <f>+'Exhibit F'!AF35</f>
        <v>0</v>
      </c>
      <c r="AF40" s="3512"/>
      <c r="AG40" s="3512"/>
      <c r="AH40" s="2054">
        <f t="shared" ref="AH40" si="6">ROUND(SUM(+AB40-AE40),1)</f>
        <v>16.899999999999999</v>
      </c>
      <c r="AI40" s="2529"/>
      <c r="AJ40" s="1779">
        <f>ROUND(IF(AE40=0,1,AH40/ABS(AE40)),3)</f>
        <v>1</v>
      </c>
    </row>
    <row r="41" spans="1:36" ht="15">
      <c r="A41" s="2540" t="s">
        <v>1118</v>
      </c>
      <c r="B41" s="1477"/>
      <c r="C41" s="1476">
        <f>+'Exhibit F'!D36+'Exhibit G State'!D27</f>
        <v>0</v>
      </c>
      <c r="D41" s="1476"/>
      <c r="E41" s="1476">
        <f>+'Exhibit F'!F36+'Exhibit G State'!F27</f>
        <v>0</v>
      </c>
      <c r="F41" s="1476"/>
      <c r="G41" s="1476">
        <f>+'Exhibit F'!H36+'Exhibit G State'!H27</f>
        <v>0</v>
      </c>
      <c r="H41" s="1476"/>
      <c r="I41" s="1476">
        <f>+'Exhibit F'!J36+'Exhibit G State'!J27</f>
        <v>0</v>
      </c>
      <c r="J41" s="1476"/>
      <c r="K41" s="1476">
        <f>+'Exhibit F'!L36+'Exhibit G State'!L27</f>
        <v>0</v>
      </c>
      <c r="L41" s="1477"/>
      <c r="M41" s="1476">
        <f>+'Exhibit F'!N36+'Exhibit G State'!N27</f>
        <v>0</v>
      </c>
      <c r="N41" s="1477"/>
      <c r="O41" s="1476">
        <f>+'Exhibit F'!P36+'Exhibit G State'!P27</f>
        <v>0</v>
      </c>
      <c r="P41" s="1477"/>
      <c r="Q41" s="1476">
        <f>+'Exhibit F'!R36+'Exhibit G State'!R27</f>
        <v>0</v>
      </c>
      <c r="R41" s="1477"/>
      <c r="S41" s="1476">
        <f>+'Exhibit F'!T36+'Exhibit G State'!T27</f>
        <v>0</v>
      </c>
      <c r="T41" s="1477"/>
      <c r="U41" s="1476">
        <f>+'Exhibit F'!V36+'Exhibit G State'!V27</f>
        <v>0</v>
      </c>
      <c r="V41" s="1477"/>
      <c r="W41" s="1476"/>
      <c r="X41" s="1477"/>
      <c r="Y41" s="1476"/>
      <c r="Z41" s="1477"/>
      <c r="AA41" s="2872"/>
      <c r="AB41" s="3272">
        <f t="shared" si="3"/>
        <v>0</v>
      </c>
      <c r="AC41" s="3230"/>
      <c r="AD41" s="3552"/>
      <c r="AE41" s="3272">
        <f>+'Exhibit F'!AF36+'Exhibit G State'!AG27</f>
        <v>49.7</v>
      </c>
      <c r="AF41" s="3512"/>
      <c r="AG41" s="3512"/>
      <c r="AH41" s="2054">
        <f t="shared" si="4"/>
        <v>-49.7</v>
      </c>
      <c r="AI41" s="2529"/>
      <c r="AJ41" s="1868">
        <f>ROUND(SUM(+AH41/ABS(AE41)),3)</f>
        <v>-1</v>
      </c>
    </row>
    <row r="42" spans="1:36" ht="15.75">
      <c r="A42" s="2534" t="s">
        <v>1111</v>
      </c>
      <c r="B42" s="1477"/>
      <c r="C42" s="2096">
        <f>ROUND(SUM(C32:C41),1)</f>
        <v>1320.9</v>
      </c>
      <c r="D42" s="1477"/>
      <c r="E42" s="2096">
        <f>ROUND(SUM(E32:E41),1)</f>
        <v>1294.8</v>
      </c>
      <c r="F42" s="1477"/>
      <c r="G42" s="2096">
        <f>ROUND(SUM(G32:G41),1)</f>
        <v>1709.4</v>
      </c>
      <c r="H42" s="1477"/>
      <c r="I42" s="2096">
        <f>ROUND(SUM(I32:I41),1)</f>
        <v>1379.9</v>
      </c>
      <c r="J42" s="1477"/>
      <c r="K42" s="2096">
        <f>ROUND(SUM(K32:K41),1)</f>
        <v>1365.8</v>
      </c>
      <c r="L42" s="1477"/>
      <c r="M42" s="2096">
        <f>ROUND(SUM(M32:M41),1)</f>
        <v>1756.4</v>
      </c>
      <c r="N42" s="1477"/>
      <c r="O42" s="2096">
        <f>ROUND(SUM(O32:O41),1)</f>
        <v>1361.6</v>
      </c>
      <c r="P42" s="1477"/>
      <c r="Q42" s="2096">
        <f>ROUND(SUM(Q32:Q41),1)</f>
        <v>1368.4</v>
      </c>
      <c r="R42" s="1477"/>
      <c r="S42" s="2096">
        <f>ROUND(SUM(S32:S41),1)</f>
        <v>1718.1</v>
      </c>
      <c r="T42" s="1477"/>
      <c r="U42" s="2096">
        <f>ROUND(SUM(U32:U41),1)</f>
        <v>1501.1</v>
      </c>
      <c r="V42" s="1477"/>
      <c r="W42" s="2096">
        <f>ROUND(SUM(W32:W41),1)</f>
        <v>0</v>
      </c>
      <c r="X42" s="1477"/>
      <c r="Y42" s="2096">
        <f>ROUND(SUM(Y32:Y41),1)</f>
        <v>0</v>
      </c>
      <c r="Z42" s="1477"/>
      <c r="AA42" s="2872"/>
      <c r="AB42" s="1497">
        <f>ROUND(SUM(AB32:AB41),1)</f>
        <v>14776.4</v>
      </c>
      <c r="AC42" s="3230"/>
      <c r="AD42" s="3552"/>
      <c r="AE42" s="1497">
        <f>ROUND(SUM(AE32:AE41),1)</f>
        <v>14134.4</v>
      </c>
      <c r="AF42" s="3512"/>
      <c r="AG42" s="3512"/>
      <c r="AH42" s="1497">
        <f>ROUND(SUM(AH32:AH41),1)</f>
        <v>642</v>
      </c>
      <c r="AI42" s="3515"/>
      <c r="AJ42" s="2613">
        <f>ROUND(SUM(+AH42/ABS(AE42)),3)</f>
        <v>4.4999999999999998E-2</v>
      </c>
    </row>
    <row r="43" spans="1:36" ht="15">
      <c r="A43" s="2524" t="s">
        <v>1162</v>
      </c>
      <c r="B43" s="1477"/>
      <c r="C43" s="1477"/>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7"/>
      <c r="AA43" s="2872"/>
      <c r="AB43" s="3230"/>
      <c r="AC43" s="3230"/>
      <c r="AD43" s="3552"/>
      <c r="AE43" s="3272"/>
      <c r="AF43" s="3512"/>
      <c r="AG43" s="3512"/>
      <c r="AH43" s="3514"/>
      <c r="AI43" s="3230"/>
      <c r="AJ43" s="3514"/>
    </row>
    <row r="44" spans="1:36" ht="15">
      <c r="A44" s="2294" t="s">
        <v>1120</v>
      </c>
      <c r="B44" s="1477"/>
      <c r="C44" s="1476">
        <f>+'Exhibit F'!D39+'Exhibit G State'!D30</f>
        <v>376.70000000000005</v>
      </c>
      <c r="D44" s="1476"/>
      <c r="E44" s="1476">
        <f>+'Exhibit F'!F39+'Exhibit G State'!F30</f>
        <v>-69.000000000000028</v>
      </c>
      <c r="F44" s="1476"/>
      <c r="G44" s="1476">
        <f>+'Exhibit F'!H39+'Exhibit G State'!H30</f>
        <v>901.19999999999993</v>
      </c>
      <c r="H44" s="1476"/>
      <c r="I44" s="1476">
        <f>+'Exhibit F'!J39+'Exhibit G State'!J30</f>
        <v>146.29999999999995</v>
      </c>
      <c r="J44" s="1476"/>
      <c r="K44" s="1476">
        <f>+'Exhibit F'!L39+'Exhibit G State'!L30</f>
        <v>0</v>
      </c>
      <c r="L44" s="1476"/>
      <c r="M44" s="1476">
        <f>+'Exhibit F'!N39+'Exhibit G State'!N30</f>
        <v>941.3</v>
      </c>
      <c r="N44" s="1477"/>
      <c r="O44" s="1476">
        <f>+'Exhibit F'!P39+'Exhibit G State'!P30</f>
        <v>98.800000000000011</v>
      </c>
      <c r="P44" s="1477"/>
      <c r="Q44" s="1476">
        <f>+'Exhibit F'!R39+'Exhibit G State'!R30</f>
        <v>108.9000000000002</v>
      </c>
      <c r="R44" s="1477"/>
      <c r="S44" s="1476">
        <f>+'Exhibit F'!T39+'Exhibit G State'!T30</f>
        <v>1030.6000000000001</v>
      </c>
      <c r="T44" s="1477"/>
      <c r="U44" s="1476">
        <f>+'Exhibit F'!V39+'Exhibit G State'!V30</f>
        <v>153.79999999999976</v>
      </c>
      <c r="V44" s="1477"/>
      <c r="W44" s="1476"/>
      <c r="X44" s="1477"/>
      <c r="Y44" s="1476"/>
      <c r="Z44" s="1477"/>
      <c r="AA44" s="2872"/>
      <c r="AB44" s="3272">
        <f>ROUND(SUM(C44:Y44),1)</f>
        <v>3688.6</v>
      </c>
      <c r="AC44" s="3230"/>
      <c r="AD44" s="3552"/>
      <c r="AE44" s="3272">
        <f>+'Exhibit F'!AF39+'Exhibit G State'!AG30</f>
        <v>3246.1</v>
      </c>
      <c r="AF44" s="3512"/>
      <c r="AG44" s="3512"/>
      <c r="AH44" s="2054">
        <f t="shared" ref="AH44:AH56" si="7">ROUND(SUM(+AB44-AE44),1)</f>
        <v>442.5</v>
      </c>
      <c r="AI44" s="2529"/>
      <c r="AJ44" s="1868">
        <f t="shared" ref="AJ44:AJ49" si="8">ROUND(SUM(+AH44/ABS(AE44)),3)</f>
        <v>0.13600000000000001</v>
      </c>
    </row>
    <row r="45" spans="1:36" ht="15">
      <c r="A45" s="2294" t="s">
        <v>1121</v>
      </c>
      <c r="B45" s="1477"/>
      <c r="C45" s="1476">
        <f>+'Exhibit G State'!D31+'Exhibit F'!D40</f>
        <v>39.700000000000003</v>
      </c>
      <c r="D45" s="1476"/>
      <c r="E45" s="1476">
        <f>+'Exhibit G State'!F31+'Exhibit F'!F40</f>
        <v>1.3000000000000007</v>
      </c>
      <c r="F45" s="1476"/>
      <c r="G45" s="1476">
        <f>+'Exhibit G State'!H31+'Exhibit F'!H40</f>
        <v>107.60000000000001</v>
      </c>
      <c r="H45" s="1476"/>
      <c r="I45" s="1476">
        <f>+'Exhibit G State'!J31+'Exhibit F'!J40</f>
        <v>0.40000000000000568</v>
      </c>
      <c r="J45" s="1476"/>
      <c r="K45" s="1476">
        <f>+'Exhibit G State'!L31+'Exhibit F'!L40</f>
        <v>-1.7000000000000099</v>
      </c>
      <c r="L45" s="1476"/>
      <c r="M45" s="1476">
        <f>+'Exhibit G State'!N31+'Exhibit F'!N40</f>
        <v>137.89999999999998</v>
      </c>
      <c r="N45" s="1477"/>
      <c r="O45" s="1476">
        <f>+'Exhibit G State'!P31+'Exhibit F'!P40</f>
        <v>2.8000000000000114</v>
      </c>
      <c r="P45" s="1477"/>
      <c r="Q45" s="1476">
        <f>+'Exhibit G State'!R31+'Exhibit F'!R40</f>
        <v>-0.70000000000001705</v>
      </c>
      <c r="R45" s="1477"/>
      <c r="S45" s="1476">
        <f>+'Exhibit G State'!T31+'Exhibit F'!T40</f>
        <v>116.69999999999997</v>
      </c>
      <c r="T45" s="1477"/>
      <c r="U45" s="1476">
        <f>+'Exhibit G State'!V31+'Exhibit F'!V40</f>
        <v>-1.2999999999999474</v>
      </c>
      <c r="V45" s="1477"/>
      <c r="W45" s="1476"/>
      <c r="X45" s="1477"/>
      <c r="Y45" s="1476"/>
      <c r="Z45" s="1477"/>
      <c r="AA45" s="2872"/>
      <c r="AB45" s="3272">
        <f>ROUND(SUM(C45:Y45),1)</f>
        <v>402.7</v>
      </c>
      <c r="AC45" s="3230"/>
      <c r="AD45" s="3552"/>
      <c r="AE45" s="3272">
        <f>+'Exhibit G State'!AG31+'Exhibit F'!AF40</f>
        <v>407.59999999999997</v>
      </c>
      <c r="AF45" s="3512"/>
      <c r="AG45" s="3512"/>
      <c r="AH45" s="2054">
        <f t="shared" si="7"/>
        <v>-4.9000000000000004</v>
      </c>
      <c r="AI45" s="2529"/>
      <c r="AJ45" s="1868">
        <f t="shared" si="8"/>
        <v>-1.2E-2</v>
      </c>
    </row>
    <row r="46" spans="1:36" ht="15">
      <c r="A46" s="2294" t="s">
        <v>1122</v>
      </c>
      <c r="B46" s="1477"/>
      <c r="C46" s="1476">
        <f>+'Exhibit F'!D41+'Exhibit G State'!D32</f>
        <v>141.80000000000001</v>
      </c>
      <c r="D46" s="1476"/>
      <c r="E46" s="1476">
        <f>+'Exhibit F'!F41+'Exhibit G State'!F32</f>
        <v>4.9999999999999911</v>
      </c>
      <c r="F46" s="1476"/>
      <c r="G46" s="1476">
        <f>+'Exhibit F'!H41+'Exhibit G State'!H32</f>
        <v>403.20000000000005</v>
      </c>
      <c r="H46" s="1476"/>
      <c r="I46" s="1476">
        <f>+'Exhibit F'!J41+'Exhibit G State'!J32</f>
        <v>56.799999999999983</v>
      </c>
      <c r="J46" s="1476"/>
      <c r="K46" s="1476">
        <f>+'Exhibit F'!L41+'Exhibit G State'!L32</f>
        <v>-1.4999999999999432</v>
      </c>
      <c r="L46" s="1476"/>
      <c r="M46" s="1476">
        <f>+'Exhibit F'!N41+'Exhibit G State'!N32</f>
        <v>436.79999999999995</v>
      </c>
      <c r="N46" s="1477"/>
      <c r="O46" s="1476">
        <f>+'Exhibit F'!P41+'Exhibit G State'!P32</f>
        <v>1.4000000000000483</v>
      </c>
      <c r="P46" s="1477"/>
      <c r="Q46" s="1476">
        <f>+'Exhibit F'!R41+'Exhibit G State'!R32</f>
        <v>25.299999999999912</v>
      </c>
      <c r="R46" s="1477"/>
      <c r="S46" s="1476">
        <f>+'Exhibit F'!T41+'Exhibit G State'!T32</f>
        <v>457.7999999999999</v>
      </c>
      <c r="T46" s="1477"/>
      <c r="U46" s="1476">
        <f>+'Exhibit F'!V41+'Exhibit G State'!V32</f>
        <v>1.3999999999999773</v>
      </c>
      <c r="V46" s="1477"/>
      <c r="W46" s="1476"/>
      <c r="X46" s="1477"/>
      <c r="Y46" s="1476"/>
      <c r="Z46" s="1477"/>
      <c r="AA46" s="2872"/>
      <c r="AB46" s="3272">
        <f>ROUND(SUM(C46:Y46),1)</f>
        <v>1528</v>
      </c>
      <c r="AC46" s="3230"/>
      <c r="AD46" s="3552"/>
      <c r="AE46" s="3272">
        <f>+'Exhibit F'!AF41+'Exhibit G State'!AG32</f>
        <v>1128.8999999999999</v>
      </c>
      <c r="AF46" s="3512"/>
      <c r="AG46" s="3512"/>
      <c r="AH46" s="2054">
        <f t="shared" si="7"/>
        <v>399.1</v>
      </c>
      <c r="AI46" s="2529"/>
      <c r="AJ46" s="1868">
        <f t="shared" si="8"/>
        <v>0.35399999999999998</v>
      </c>
    </row>
    <row r="47" spans="1:36" ht="15">
      <c r="A47" s="2294" t="s">
        <v>1123</v>
      </c>
      <c r="B47" s="1477"/>
      <c r="C47" s="1476">
        <f>+'Exhibit F'!D42+'Exhibit G State'!D33</f>
        <v>145.30000000000001</v>
      </c>
      <c r="D47" s="1476"/>
      <c r="E47" s="1476">
        <f>+'Exhibit F'!F42+'Exhibit G State'!F33</f>
        <v>-121.1</v>
      </c>
      <c r="F47" s="1476"/>
      <c r="G47" s="1476">
        <f>+'Exhibit F'!H42+'Exhibit G State'!H33</f>
        <v>-21.1</v>
      </c>
      <c r="H47" s="1476"/>
      <c r="I47" s="1476">
        <f>+'Exhibit F'!J42+'Exhibit G State'!J33</f>
        <v>-0.19999999999999751</v>
      </c>
      <c r="J47" s="1476"/>
      <c r="K47" s="1476">
        <f>+'Exhibit F'!L42+'Exhibit G State'!L33</f>
        <v>-0.30000000000000249</v>
      </c>
      <c r="L47" s="1476"/>
      <c r="M47" s="1476">
        <f>+'Exhibit F'!N42+'Exhibit G State'!N33</f>
        <v>-1.4000000000000004</v>
      </c>
      <c r="N47" s="1477"/>
      <c r="O47" s="1476">
        <f>+'Exhibit F'!P42+'Exhibit G State'!P33</f>
        <v>-3.0999999999999908</v>
      </c>
      <c r="P47" s="1477"/>
      <c r="Q47" s="1476">
        <f>+'Exhibit F'!R42+'Exhibit G State'!R33</f>
        <v>-41.8</v>
      </c>
      <c r="R47" s="1477"/>
      <c r="S47" s="1476">
        <f>+'Exhibit F'!T42+'Exhibit G State'!T33</f>
        <v>13.799999999999976</v>
      </c>
      <c r="T47" s="1477"/>
      <c r="U47" s="1476">
        <f>+'Exhibit F'!V42+'Exhibit G State'!V33</f>
        <v>-0.39999999999999858</v>
      </c>
      <c r="V47" s="1477"/>
      <c r="W47" s="1476"/>
      <c r="X47" s="1477"/>
      <c r="Y47" s="1476"/>
      <c r="Z47" s="1477"/>
      <c r="AA47" s="2872"/>
      <c r="AB47" s="3272">
        <f>ROUND(SUM(C47:Y47),1)</f>
        <v>-30.3</v>
      </c>
      <c r="AC47" s="3230"/>
      <c r="AD47" s="3552"/>
      <c r="AE47" s="3272">
        <f>+'Exhibit F'!AF42+'Exhibit G State'!AG33</f>
        <v>79.3</v>
      </c>
      <c r="AF47" s="3512"/>
      <c r="AG47" s="3512"/>
      <c r="AH47" s="2054">
        <f t="shared" si="7"/>
        <v>-109.6</v>
      </c>
      <c r="AI47" s="2529"/>
      <c r="AJ47" s="1879">
        <f t="shared" si="8"/>
        <v>-1.3819999999999999</v>
      </c>
    </row>
    <row r="48" spans="1:36" ht="15">
      <c r="A48" s="2294" t="s">
        <v>1124</v>
      </c>
      <c r="B48" s="1477"/>
      <c r="C48" s="1476">
        <f>+'Exhibit F'!D43+'Exhibit G State'!D34</f>
        <v>44.1</v>
      </c>
      <c r="D48" s="1476"/>
      <c r="E48" s="1476">
        <f>+'Exhibit F'!F43+'Exhibit G State'!F34</f>
        <v>43.9</v>
      </c>
      <c r="F48" s="1476"/>
      <c r="G48" s="1476">
        <f>+'Exhibit F'!H43+'Exhibit G State'!H34</f>
        <v>45.400000000000013</v>
      </c>
      <c r="H48" s="1476"/>
      <c r="I48" s="1476">
        <f>+'Exhibit F'!J43+'Exhibit G State'!J34</f>
        <v>41.299999999999976</v>
      </c>
      <c r="J48" s="1476"/>
      <c r="K48" s="1476">
        <f>+'Exhibit F'!L43+'Exhibit G State'!L34</f>
        <v>47.000000000000007</v>
      </c>
      <c r="L48" s="1476"/>
      <c r="M48" s="1476">
        <f>+'Exhibit F'!N43+'Exhibit G State'!N34</f>
        <v>43.900000000000027</v>
      </c>
      <c r="N48" s="1477"/>
      <c r="O48" s="1476">
        <f>+'Exhibit F'!P43+'Exhibit G State'!P34</f>
        <v>47.199999999999967</v>
      </c>
      <c r="P48" s="1477"/>
      <c r="Q48" s="1476">
        <f>+'Exhibit F'!R43+'Exhibit G State'!R34</f>
        <v>40.800000000000033</v>
      </c>
      <c r="R48" s="1477"/>
      <c r="S48" s="1476">
        <f>+'Exhibit F'!T43+'Exhibit G State'!T34</f>
        <v>39.799999999999933</v>
      </c>
      <c r="T48" s="1477"/>
      <c r="U48" s="1476">
        <f>+'Exhibit F'!V43+'Exhibit G State'!V34</f>
        <v>43.100000000000044</v>
      </c>
      <c r="V48" s="1477"/>
      <c r="W48" s="1476"/>
      <c r="X48" s="1477"/>
      <c r="Y48" s="1476"/>
      <c r="Z48" s="1477"/>
      <c r="AA48" s="2872"/>
      <c r="AB48" s="3272">
        <f>ROUND(SUM(C48:Y48),1)</f>
        <v>436.5</v>
      </c>
      <c r="AC48" s="3230"/>
      <c r="AD48" s="3552"/>
      <c r="AE48" s="3272">
        <f>+'Exhibit F'!AF43+'Exhibit G State'!AG34</f>
        <v>426</v>
      </c>
      <c r="AF48" s="3512"/>
      <c r="AG48" s="3512"/>
      <c r="AH48" s="2054">
        <f t="shared" si="7"/>
        <v>10.5</v>
      </c>
      <c r="AI48" s="2529"/>
      <c r="AJ48" s="1868">
        <f t="shared" si="8"/>
        <v>2.5000000000000001E-2</v>
      </c>
    </row>
    <row r="49" spans="1:36" ht="15.75">
      <c r="A49" s="2534" t="s">
        <v>1119</v>
      </c>
      <c r="B49" s="1477"/>
      <c r="C49" s="2096">
        <f>ROUND(SUM(C44:C48),1)</f>
        <v>747.6</v>
      </c>
      <c r="D49" s="1477"/>
      <c r="E49" s="2096">
        <f>ROUND(SUM(E44:E48),1)</f>
        <v>-139.9</v>
      </c>
      <c r="F49" s="1477"/>
      <c r="G49" s="2096">
        <f>ROUND(SUM(G44:G48),1)</f>
        <v>1436.3</v>
      </c>
      <c r="H49" s="1477"/>
      <c r="I49" s="2096">
        <f>ROUND(SUM(I44:I48),1)</f>
        <v>244.6</v>
      </c>
      <c r="J49" s="1477"/>
      <c r="K49" s="2096">
        <f>ROUND(SUM(K44:K48),1)</f>
        <v>43.5</v>
      </c>
      <c r="L49" s="1477"/>
      <c r="M49" s="2096">
        <f>ROUND(SUM(M44:M48),1)</f>
        <v>1558.5</v>
      </c>
      <c r="N49" s="1477"/>
      <c r="O49" s="2096">
        <f>ROUND(SUM(O44:O48),1)</f>
        <v>147.1</v>
      </c>
      <c r="P49" s="1477"/>
      <c r="Q49" s="2096">
        <f>ROUND(SUM(Q44:Q48),1)</f>
        <v>132.5</v>
      </c>
      <c r="R49" s="1477"/>
      <c r="S49" s="2096">
        <f>ROUND(SUM(S44:S48),1)</f>
        <v>1658.7</v>
      </c>
      <c r="T49" s="1477"/>
      <c r="U49" s="2096">
        <f>ROUND(SUM(U44:U48),1)</f>
        <v>196.6</v>
      </c>
      <c r="V49" s="1477"/>
      <c r="W49" s="2096">
        <f>ROUND(SUM(W44:W48),1)</f>
        <v>0</v>
      </c>
      <c r="X49" s="1477"/>
      <c r="Y49" s="2096">
        <f>ROUND(SUM(Y44:Y48),1)</f>
        <v>0</v>
      </c>
      <c r="Z49" s="1477"/>
      <c r="AA49" s="2872"/>
      <c r="AB49" s="1497">
        <f>ROUND(SUM(AB44:AB48),1)</f>
        <v>6025.5</v>
      </c>
      <c r="AC49" s="3230"/>
      <c r="AD49" s="3552"/>
      <c r="AE49" s="1497">
        <f>ROUND(SUM(AE44:AE48),1)</f>
        <v>5287.9</v>
      </c>
      <c r="AF49" s="3512"/>
      <c r="AG49" s="3512"/>
      <c r="AH49" s="1497">
        <f>ROUND(SUM(AH44:AH48),1)</f>
        <v>737.6</v>
      </c>
      <c r="AI49" s="3515"/>
      <c r="AJ49" s="2613">
        <f t="shared" si="8"/>
        <v>0.13900000000000001</v>
      </c>
    </row>
    <row r="50" spans="1:36" ht="15">
      <c r="A50" s="2524" t="s">
        <v>1163</v>
      </c>
      <c r="B50" s="1477"/>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2872"/>
      <c r="AB50" s="3230"/>
      <c r="AC50" s="3230"/>
      <c r="AD50" s="3552"/>
      <c r="AE50" s="3272"/>
      <c r="AF50" s="3512"/>
      <c r="AG50" s="3512"/>
      <c r="AH50" s="3514"/>
      <c r="AI50" s="3230"/>
      <c r="AJ50" s="3514"/>
    </row>
    <row r="51" spans="1:36" ht="15">
      <c r="A51" s="2294" t="s">
        <v>1127</v>
      </c>
      <c r="B51" s="1477"/>
      <c r="C51" s="1476">
        <f>+'Exhibit F'!D46</f>
        <v>0</v>
      </c>
      <c r="D51" s="1476"/>
      <c r="E51" s="1476">
        <f>+'Exhibit F'!F46</f>
        <v>0</v>
      </c>
      <c r="F51" s="1476"/>
      <c r="G51" s="1476">
        <f>+'Exhibit F'!H46</f>
        <v>0</v>
      </c>
      <c r="H51" s="1476"/>
      <c r="I51" s="1476">
        <f>+'Exhibit F'!J46</f>
        <v>0</v>
      </c>
      <c r="J51" s="1476"/>
      <c r="K51" s="1476">
        <f>+'Exhibit F'!L46</f>
        <v>0</v>
      </c>
      <c r="L51" s="1477"/>
      <c r="M51" s="1476">
        <f>+'Exhibit F'!N46</f>
        <v>0</v>
      </c>
      <c r="N51" s="1477"/>
      <c r="O51" s="1476">
        <f>+'Exhibit F'!P46</f>
        <v>0</v>
      </c>
      <c r="P51" s="1477"/>
      <c r="Q51" s="1476">
        <f>+'Exhibit F'!R46</f>
        <v>0</v>
      </c>
      <c r="R51" s="1477"/>
      <c r="S51" s="1476">
        <f>+'Exhibit F'!T46</f>
        <v>0</v>
      </c>
      <c r="T51" s="1477"/>
      <c r="U51" s="1476">
        <f>+'Exhibit F'!V46</f>
        <v>0</v>
      </c>
      <c r="V51" s="1477"/>
      <c r="W51" s="1476"/>
      <c r="X51" s="1477"/>
      <c r="Y51" s="1476"/>
      <c r="Z51" s="1477"/>
      <c r="AA51" s="2872"/>
      <c r="AB51" s="3272">
        <f t="shared" ref="AB51:AB56" si="9">ROUND(SUM(C51:Y51),1)</f>
        <v>0</v>
      </c>
      <c r="AC51" s="3230"/>
      <c r="AD51" s="3552"/>
      <c r="AE51" s="3272">
        <f>+'Exhibit F'!AF46</f>
        <v>0</v>
      </c>
      <c r="AF51" s="3512"/>
      <c r="AG51" s="3512"/>
      <c r="AH51" s="2054">
        <f t="shared" si="7"/>
        <v>0</v>
      </c>
      <c r="AI51" s="3230"/>
      <c r="AJ51" s="1774">
        <f>ROUND(IF(AE51=0,0,AH51/ABS(AE51)),3)</f>
        <v>0</v>
      </c>
    </row>
    <row r="52" spans="1:36" ht="15">
      <c r="A52" s="2294" t="s">
        <v>1128</v>
      </c>
      <c r="B52" s="1477"/>
      <c r="C52" s="1476">
        <f>+'Exhibit F'!D47</f>
        <v>79.7</v>
      </c>
      <c r="D52" s="1476"/>
      <c r="E52" s="1476">
        <f>+'Exhibit F'!F47</f>
        <v>57.3</v>
      </c>
      <c r="F52" s="1476"/>
      <c r="G52" s="1476">
        <f>+'Exhibit F'!H47</f>
        <v>62.199999999999989</v>
      </c>
      <c r="H52" s="1476"/>
      <c r="I52" s="1476">
        <f>+'Exhibit F'!J47</f>
        <v>124.69999999999999</v>
      </c>
      <c r="J52" s="1476"/>
      <c r="K52" s="1476">
        <f>+'Exhibit F'!L47</f>
        <v>41.800000000000011</v>
      </c>
      <c r="L52" s="1477"/>
      <c r="M52" s="1476">
        <f>+'Exhibit F'!N47</f>
        <v>53.800000000000011</v>
      </c>
      <c r="N52" s="1477"/>
      <c r="O52" s="1476">
        <f>+'Exhibit F'!P47</f>
        <v>163.20000000000005</v>
      </c>
      <c r="P52" s="1477"/>
      <c r="Q52" s="1476">
        <f>+'Exhibit F'!R47</f>
        <v>87.199999999999932</v>
      </c>
      <c r="R52" s="1477"/>
      <c r="S52" s="1476">
        <f>+'Exhibit F'!T47</f>
        <v>143.59999999999997</v>
      </c>
      <c r="T52" s="1477"/>
      <c r="U52" s="1476">
        <f>+'Exhibit F'!V47</f>
        <v>93.5</v>
      </c>
      <c r="V52" s="1477"/>
      <c r="W52" s="1476"/>
      <c r="X52" s="1477"/>
      <c r="Y52" s="1476"/>
      <c r="Z52" s="1477"/>
      <c r="AA52" s="2872"/>
      <c r="AB52" s="3272">
        <f t="shared" si="9"/>
        <v>907</v>
      </c>
      <c r="AC52" s="3230"/>
      <c r="AD52" s="3552"/>
      <c r="AE52" s="3272">
        <f>+'Exhibit F'!AF47</f>
        <v>958.3</v>
      </c>
      <c r="AF52" s="3512"/>
      <c r="AG52" s="3512"/>
      <c r="AH52" s="2054">
        <f t="shared" si="7"/>
        <v>-51.3</v>
      </c>
      <c r="AI52" s="3230"/>
      <c r="AJ52" s="1868">
        <f t="shared" ref="AJ52:AJ58" si="10">ROUND(SUM(+AH52/ABS(AE52)),3)</f>
        <v>-5.3999999999999999E-2</v>
      </c>
    </row>
    <row r="53" spans="1:36" ht="15">
      <c r="A53" s="2294" t="s">
        <v>1129</v>
      </c>
      <c r="B53" s="1477"/>
      <c r="C53" s="1476">
        <f>+'Exhibit F'!D48</f>
        <v>0.9</v>
      </c>
      <c r="D53" s="1476"/>
      <c r="E53" s="1476">
        <f>+'Exhibit F'!F48</f>
        <v>1.1000000000000001</v>
      </c>
      <c r="F53" s="1476"/>
      <c r="G53" s="1476">
        <f>+'Exhibit F'!H48</f>
        <v>1.6</v>
      </c>
      <c r="H53" s="1476"/>
      <c r="I53" s="1476">
        <f>+'Exhibit F'!J48</f>
        <v>1.1999999999999997</v>
      </c>
      <c r="J53" s="1476"/>
      <c r="K53" s="1476">
        <f>+'Exhibit F'!L48</f>
        <v>2.2000000000000002</v>
      </c>
      <c r="L53" s="1477"/>
      <c r="M53" s="1476">
        <f>+'Exhibit F'!N48</f>
        <v>2.1000000000000005</v>
      </c>
      <c r="N53" s="1477"/>
      <c r="O53" s="1476">
        <f>+'Exhibit F'!P48</f>
        <v>1</v>
      </c>
      <c r="P53" s="1477"/>
      <c r="Q53" s="1476">
        <f>+'Exhibit F'!R48</f>
        <v>1.0999999999999996</v>
      </c>
      <c r="R53" s="1477"/>
      <c r="S53" s="1476">
        <f>+'Exhibit F'!T48</f>
        <v>1</v>
      </c>
      <c r="T53" s="1477"/>
      <c r="U53" s="1476">
        <f>+'Exhibit F'!V48</f>
        <v>0.70000000000000107</v>
      </c>
      <c r="V53" s="1477"/>
      <c r="W53" s="1476"/>
      <c r="X53" s="1477"/>
      <c r="Y53" s="1476"/>
      <c r="Z53" s="1477"/>
      <c r="AA53" s="2872"/>
      <c r="AB53" s="3272">
        <f t="shared" si="9"/>
        <v>12.9</v>
      </c>
      <c r="AC53" s="3230"/>
      <c r="AD53" s="3552"/>
      <c r="AE53" s="3272">
        <f>+'Exhibit F'!AF48</f>
        <v>13.6</v>
      </c>
      <c r="AF53" s="3512"/>
      <c r="AG53" s="3512"/>
      <c r="AH53" s="2054">
        <f t="shared" si="7"/>
        <v>-0.7</v>
      </c>
      <c r="AI53" s="3230"/>
      <c r="AJ53" s="1868">
        <f t="shared" si="10"/>
        <v>-5.0999999999999997E-2</v>
      </c>
    </row>
    <row r="54" spans="1:36" ht="15">
      <c r="A54" s="2294" t="s">
        <v>1130</v>
      </c>
      <c r="B54" s="1477"/>
      <c r="C54" s="1476">
        <f>+'Exhibit F'!D49+'Exhibit H'!B22</f>
        <v>82.9</v>
      </c>
      <c r="D54" s="1476"/>
      <c r="E54" s="1476">
        <f>+'Exhibit F'!F49+'Exhibit H'!D22</f>
        <v>86</v>
      </c>
      <c r="F54" s="1476"/>
      <c r="G54" s="1476">
        <f>+'Exhibit F'!H49+'Exhibit H'!F22</f>
        <v>86.699999999999989</v>
      </c>
      <c r="H54" s="1476"/>
      <c r="I54" s="1476">
        <f>+'Exhibit F'!J49+'Exhibit H'!H22</f>
        <v>118.90000000000003</v>
      </c>
      <c r="J54" s="1476"/>
      <c r="K54" s="1476">
        <f>+'Exhibit F'!L49+'Exhibit H'!J22</f>
        <v>78.799999999999955</v>
      </c>
      <c r="L54" s="1477"/>
      <c r="M54" s="1476">
        <f>+'Exhibit F'!N49+'Exhibit H'!L22</f>
        <v>85.300000000000068</v>
      </c>
      <c r="N54" s="1477"/>
      <c r="O54" s="1476">
        <f>+'Exhibit F'!P49+'Exhibit H'!N22</f>
        <v>73.199999999999932</v>
      </c>
      <c r="P54" s="1477"/>
      <c r="Q54" s="1476">
        <f>+'Exhibit F'!R49+'Exhibit H'!P22</f>
        <v>87.800000000000068</v>
      </c>
      <c r="R54" s="1477"/>
      <c r="S54" s="1476">
        <f>+'Exhibit F'!T49+'Exhibit H'!R22</f>
        <v>74.199999999999989</v>
      </c>
      <c r="T54" s="1477"/>
      <c r="U54" s="1476">
        <f>+'Exhibit F'!V49+'Exhibit H'!T22</f>
        <v>82.900000000000091</v>
      </c>
      <c r="V54" s="1477"/>
      <c r="W54" s="1476"/>
      <c r="X54" s="1477"/>
      <c r="Y54" s="1476"/>
      <c r="Z54" s="1477"/>
      <c r="AA54" s="2872"/>
      <c r="AB54" s="3272">
        <f t="shared" si="9"/>
        <v>856.7</v>
      </c>
      <c r="AC54" s="3230"/>
      <c r="AD54" s="3552"/>
      <c r="AE54" s="3272">
        <f>+'Exhibit F'!AF49+'Exhibit I State'!AG28+'Exhibit H'!AD22</f>
        <v>881.9</v>
      </c>
      <c r="AF54" s="3512"/>
      <c r="AG54" s="3512"/>
      <c r="AH54" s="2054">
        <f t="shared" si="7"/>
        <v>-25.2</v>
      </c>
      <c r="AI54" s="3230"/>
      <c r="AJ54" s="1868">
        <f t="shared" si="10"/>
        <v>-2.9000000000000001E-2</v>
      </c>
    </row>
    <row r="55" spans="1:36" ht="15">
      <c r="A55" s="2294" t="s">
        <v>1131</v>
      </c>
      <c r="B55" s="1477"/>
      <c r="C55" s="1476">
        <f>+'Exhibit F'!D50</f>
        <v>0.2</v>
      </c>
      <c r="D55" s="1476"/>
      <c r="E55" s="1476">
        <f>+'Exhibit F'!F50</f>
        <v>9.9999999999999978E-2</v>
      </c>
      <c r="F55" s="1476"/>
      <c r="G55" s="1476">
        <f>+'Exhibit F'!H50</f>
        <v>0.3</v>
      </c>
      <c r="H55" s="1476"/>
      <c r="I55" s="1476">
        <f>+'Exhibit F'!J50</f>
        <v>0.20000000000000012</v>
      </c>
      <c r="J55" s="1476"/>
      <c r="K55" s="1476">
        <f>+'Exhibit F'!L50</f>
        <v>9.9999999999999867E-2</v>
      </c>
      <c r="L55" s="1477"/>
      <c r="M55" s="1476">
        <f>+'Exhibit F'!N50</f>
        <v>0</v>
      </c>
      <c r="N55" s="1477"/>
      <c r="O55" s="1476">
        <f>+'Exhibit F'!P50</f>
        <v>0.39999999999999997</v>
      </c>
      <c r="P55" s="1477"/>
      <c r="Q55" s="1476">
        <f>+'Exhibit F'!R50</f>
        <v>0.60000000000000009</v>
      </c>
      <c r="R55" s="1477"/>
      <c r="S55" s="1476">
        <f>+'Exhibit F'!T50</f>
        <v>0.10000000000000009</v>
      </c>
      <c r="T55" s="1477"/>
      <c r="U55" s="1476">
        <f>+'Exhibit F'!V50</f>
        <v>-0.10000000000000009</v>
      </c>
      <c r="V55" s="1477"/>
      <c r="W55" s="1476"/>
      <c r="X55" s="1477"/>
      <c r="Y55" s="1476"/>
      <c r="Z55" s="1477"/>
      <c r="AA55" s="2872"/>
      <c r="AB55" s="3272">
        <f t="shared" si="9"/>
        <v>1.9</v>
      </c>
      <c r="AC55" s="3230"/>
      <c r="AD55" s="3552"/>
      <c r="AE55" s="3272">
        <f>+'Exhibit F'!AF50</f>
        <v>2.2999999999999998</v>
      </c>
      <c r="AF55" s="3512"/>
      <c r="AG55" s="3512"/>
      <c r="AH55" s="2054">
        <f t="shared" si="7"/>
        <v>-0.4</v>
      </c>
      <c r="AI55" s="3230"/>
      <c r="AJ55" s="1868">
        <f>ROUND(IF(AE55=0,0,AH55/ABS(AE55)),3)</f>
        <v>-0.17399999999999999</v>
      </c>
    </row>
    <row r="56" spans="1:36" ht="15">
      <c r="A56" s="2540" t="s">
        <v>1132</v>
      </c>
      <c r="B56" s="1477"/>
      <c r="C56" s="1476">
        <f>+'Exhibit F'!D51</f>
        <v>0</v>
      </c>
      <c r="D56" s="1476"/>
      <c r="E56" s="1476">
        <f>+'Exhibit F'!F51</f>
        <v>0</v>
      </c>
      <c r="F56" s="1476"/>
      <c r="G56" s="1476">
        <f>+'Exhibit F'!H51</f>
        <v>0</v>
      </c>
      <c r="H56" s="1476"/>
      <c r="I56" s="1476">
        <f>+'Exhibit F'!J51</f>
        <v>0</v>
      </c>
      <c r="J56" s="1476"/>
      <c r="K56" s="1476">
        <f>+'Exhibit F'!L51</f>
        <v>0</v>
      </c>
      <c r="L56" s="1477"/>
      <c r="M56" s="1476">
        <f>+'Exhibit F'!N51</f>
        <v>0</v>
      </c>
      <c r="N56" s="1477"/>
      <c r="O56" s="1476">
        <f>+'Exhibit F'!P51</f>
        <v>0</v>
      </c>
      <c r="P56" s="1477"/>
      <c r="Q56" s="1476">
        <f>+'Exhibit F'!R51</f>
        <v>0</v>
      </c>
      <c r="R56" s="1477"/>
      <c r="S56" s="1476">
        <f>+'Exhibit F'!T51</f>
        <v>0</v>
      </c>
      <c r="T56" s="1477"/>
      <c r="U56" s="1476">
        <f>+'Exhibit F'!V51</f>
        <v>0</v>
      </c>
      <c r="V56" s="1477"/>
      <c r="W56" s="1476"/>
      <c r="X56" s="1477"/>
      <c r="Y56" s="1476"/>
      <c r="Z56" s="1477"/>
      <c r="AA56" s="2872"/>
      <c r="AB56" s="3272">
        <f t="shared" si="9"/>
        <v>0</v>
      </c>
      <c r="AC56" s="3230"/>
      <c r="AD56" s="3552"/>
      <c r="AE56" s="3274">
        <f>+'Exhibit F'!AF51</f>
        <v>0</v>
      </c>
      <c r="AF56" s="3512"/>
      <c r="AG56" s="3512"/>
      <c r="AH56" s="2054">
        <f t="shared" si="7"/>
        <v>0</v>
      </c>
      <c r="AI56" s="3230"/>
      <c r="AJ56" s="1868">
        <f>ROUND(IF(AE56=0,0,AH56/ABS(AE56)),3)</f>
        <v>0</v>
      </c>
    </row>
    <row r="57" spans="1:36" ht="15">
      <c r="A57" s="2874" t="s">
        <v>1426</v>
      </c>
      <c r="B57" s="1477"/>
      <c r="C57" s="1476">
        <f>+'Exhibit F'!D52</f>
        <v>0.1</v>
      </c>
      <c r="D57" s="1476"/>
      <c r="E57" s="1476">
        <f>+'Exhibit F'!F52+'Exhibit H'!D23</f>
        <v>0.1</v>
      </c>
      <c r="F57" s="1476"/>
      <c r="G57" s="1476">
        <f>+'Exhibit F'!H52</f>
        <v>0</v>
      </c>
      <c r="H57" s="1476"/>
      <c r="I57" s="1476">
        <f>+'Exhibit F'!J52+'Exhibit H'!H23</f>
        <v>0.2</v>
      </c>
      <c r="J57" s="1476"/>
      <c r="K57" s="1476">
        <f>+'Exhibit F'!L52+'Exhibit H'!J23</f>
        <v>0.19999999999999996</v>
      </c>
      <c r="L57" s="1476"/>
      <c r="M57" s="1476">
        <f>+'Exhibit F'!N52+'Exhibit H'!L23</f>
        <v>0.10000000000000006</v>
      </c>
      <c r="N57" s="1476"/>
      <c r="O57" s="1476">
        <f>+'Exhibit F'!P52+'Exhibit H'!N23</f>
        <v>0.20000000000000007</v>
      </c>
      <c r="P57" s="1477"/>
      <c r="Q57" s="1476">
        <f>+'Exhibit F'!R52+'Exhibit H'!P23</f>
        <v>0.1</v>
      </c>
      <c r="R57" s="1477"/>
      <c r="S57" s="1476">
        <f>+'Exhibit F'!T52+'Exhibit H'!R23</f>
        <v>0.39999999999999986</v>
      </c>
      <c r="T57" s="1477"/>
      <c r="U57" s="1476">
        <f>+'Exhibit F'!V52+'Exhibit H'!T23</f>
        <v>0.50000000000000011</v>
      </c>
      <c r="V57" s="1477"/>
      <c r="W57" s="1476"/>
      <c r="X57" s="1477"/>
      <c r="Y57" s="1476"/>
      <c r="Z57" s="1477"/>
      <c r="AA57" s="2872"/>
      <c r="AB57" s="3272">
        <f t="shared" ref="AB57" si="11">ROUND(SUM(C57:Y57),1)</f>
        <v>1.9</v>
      </c>
      <c r="AC57" s="3230"/>
      <c r="AD57" s="3552"/>
      <c r="AE57" s="3274">
        <f>+'Exhibit F'!AF52</f>
        <v>0</v>
      </c>
      <c r="AF57" s="3512"/>
      <c r="AG57" s="3512"/>
      <c r="AH57" s="2054">
        <f t="shared" ref="AH57" si="12">ROUND(SUM(+AB57-AE57),1)</f>
        <v>1.9</v>
      </c>
      <c r="AI57" s="2529"/>
      <c r="AJ57" s="1774">
        <f>ROUND(IF(AE57=0,1,AH57/ABS(AE57)),3)</f>
        <v>1</v>
      </c>
    </row>
    <row r="58" spans="1:36" ht="15.75">
      <c r="A58" s="2534" t="s">
        <v>1125</v>
      </c>
      <c r="B58" s="1477"/>
      <c r="C58" s="1497">
        <f>ROUND(SUM(C51:C57),1)</f>
        <v>163.80000000000001</v>
      </c>
      <c r="D58" s="1477"/>
      <c r="E58" s="1497">
        <f>ROUND(SUM(E51:E57),1)</f>
        <v>144.6</v>
      </c>
      <c r="F58" s="1477"/>
      <c r="G58" s="1497">
        <f>ROUND(SUM(G51:G57),1)</f>
        <v>150.80000000000001</v>
      </c>
      <c r="H58" s="1477"/>
      <c r="I58" s="1497">
        <f>ROUND(SUM(I51:I57),1)</f>
        <v>245.2</v>
      </c>
      <c r="J58" s="1477"/>
      <c r="K58" s="1497">
        <f>ROUND(SUM(K51:K57),1)</f>
        <v>123.1</v>
      </c>
      <c r="L58" s="1477"/>
      <c r="M58" s="1497">
        <f>ROUND(SUM(M51:M57),1)</f>
        <v>141.30000000000001</v>
      </c>
      <c r="N58" s="1477"/>
      <c r="O58" s="1497">
        <f>ROUND(SUM(O51:O57),1)</f>
        <v>238</v>
      </c>
      <c r="P58" s="1477"/>
      <c r="Q58" s="1497">
        <f>ROUND(SUM(Q51:Q57),1)</f>
        <v>176.8</v>
      </c>
      <c r="R58" s="1477"/>
      <c r="S58" s="1497">
        <f>ROUND(SUM(S51:S57),1)</f>
        <v>219.3</v>
      </c>
      <c r="T58" s="1477"/>
      <c r="U58" s="1497">
        <f>ROUND(SUM(U51:U57),1)</f>
        <v>177.5</v>
      </c>
      <c r="V58" s="1477"/>
      <c r="W58" s="1497">
        <f>ROUND(SUM(W51:W57),1)</f>
        <v>0</v>
      </c>
      <c r="X58" s="1477"/>
      <c r="Y58" s="1497">
        <f>ROUND(SUM(Y51:Y57),1)</f>
        <v>0</v>
      </c>
      <c r="Z58" s="1477"/>
      <c r="AA58" s="2872"/>
      <c r="AB58" s="1497">
        <f>ROUND(SUM(AB51:AB57),1)</f>
        <v>1780.4</v>
      </c>
      <c r="AC58" s="3230"/>
      <c r="AD58" s="3552"/>
      <c r="AE58" s="1497">
        <f>ROUND(SUM(AE51:AE57),1)</f>
        <v>1856.1</v>
      </c>
      <c r="AF58" s="3512"/>
      <c r="AG58" s="3512"/>
      <c r="AH58" s="1497">
        <f>ROUND(SUM(AH51:AH57),1)</f>
        <v>-75.7</v>
      </c>
      <c r="AI58" s="3515"/>
      <c r="AJ58" s="1870">
        <f t="shared" si="10"/>
        <v>-4.1000000000000002E-2</v>
      </c>
    </row>
    <row r="59" spans="1:36" ht="15.75">
      <c r="A59" s="1477"/>
      <c r="B59" s="1477"/>
      <c r="C59" s="2875"/>
      <c r="D59" s="1476"/>
      <c r="E59" s="2875"/>
      <c r="F59" s="2875"/>
      <c r="G59" s="2875"/>
      <c r="H59" s="2875"/>
      <c r="I59" s="2875"/>
      <c r="J59" s="2875"/>
      <c r="K59" s="2875"/>
      <c r="L59" s="2875"/>
      <c r="M59" s="2875"/>
      <c r="N59" s="2875"/>
      <c r="O59" s="2875"/>
      <c r="P59" s="2875"/>
      <c r="Q59" s="2875"/>
      <c r="R59" s="2875"/>
      <c r="S59" s="2875"/>
      <c r="T59" s="2875"/>
      <c r="U59" s="2875"/>
      <c r="V59" s="2875"/>
      <c r="W59" s="2875"/>
      <c r="X59" s="2875"/>
      <c r="Y59" s="2875"/>
      <c r="Z59" s="1476"/>
      <c r="AA59" s="2876"/>
      <c r="AB59" s="3273"/>
      <c r="AC59" s="3272"/>
      <c r="AD59" s="3553"/>
      <c r="AE59" s="3274"/>
      <c r="AF59" s="3274"/>
      <c r="AG59" s="3274"/>
      <c r="AH59" s="3274"/>
      <c r="AI59" s="3230"/>
      <c r="AJ59" s="1871"/>
    </row>
    <row r="60" spans="1:36" ht="15.75">
      <c r="A60" s="2534" t="s">
        <v>1098</v>
      </c>
      <c r="B60" s="2076"/>
      <c r="C60" s="19">
        <f>ROUND(SUM(C58+C49+C42+C30),1)</f>
        <v>11447.7</v>
      </c>
      <c r="D60" s="2060"/>
      <c r="E60" s="19">
        <f>ROUND(SUM(E58+E49+E42+E30),1)</f>
        <v>3784.1</v>
      </c>
      <c r="F60" s="2060"/>
      <c r="G60" s="19">
        <f>ROUND(SUM(G58+G49+G42+G30),1)</f>
        <v>8506.4</v>
      </c>
      <c r="H60" s="2060"/>
      <c r="I60" s="19">
        <f>ROUND(SUM(I58+I49+I42+I30),1)</f>
        <v>5201.3</v>
      </c>
      <c r="J60" s="2060"/>
      <c r="K60" s="19">
        <f>ROUND(SUM(K58+K49+K42+K30),1)</f>
        <v>4440.8999999999996</v>
      </c>
      <c r="L60" s="2060"/>
      <c r="M60" s="19">
        <f>ROUND(SUM(M58+M49+M42+M30),1)</f>
        <v>8287.6</v>
      </c>
      <c r="N60" s="2060"/>
      <c r="O60" s="19">
        <f>ROUND(SUM(O58+O49+O42+O30),1)</f>
        <v>4325.1000000000004</v>
      </c>
      <c r="P60" s="2060"/>
      <c r="Q60" s="19">
        <f>ROUND(SUM(Q58+Q49+Q42+Q30),1)</f>
        <v>4147.1000000000004</v>
      </c>
      <c r="R60" s="2060"/>
      <c r="S60" s="19">
        <f>ROUND(SUM(S58+S49+S42+S30),1)</f>
        <v>7884.1</v>
      </c>
      <c r="T60" s="2060"/>
      <c r="U60" s="19">
        <f>ROUND(SUM(U58+U49+U42+U30),1)</f>
        <v>10774.4</v>
      </c>
      <c r="V60" s="2060"/>
      <c r="W60" s="19">
        <f>ROUND(SUM(W58+W49+W42+W30),1)</f>
        <v>0</v>
      </c>
      <c r="X60" s="1500"/>
      <c r="Y60" s="19">
        <f>ROUND(SUM(Y58+Y49+Y42+Y30),1)</f>
        <v>0</v>
      </c>
      <c r="Z60" s="1500"/>
      <c r="AA60" s="2097"/>
      <c r="AB60" s="3554">
        <f>ROUND(SUM(C60:Y60),1)</f>
        <v>68798.7</v>
      </c>
      <c r="AC60" s="2049"/>
      <c r="AD60" s="2093"/>
      <c r="AE60" s="2037">
        <f>ROUND(SUM(+AE30+AE42+AE49+AE58),1)</f>
        <v>62420.9</v>
      </c>
      <c r="AF60" s="2030"/>
      <c r="AG60" s="3286"/>
      <c r="AH60" s="2037">
        <f>ROUND(+AB60-AE60,1)</f>
        <v>6377.8</v>
      </c>
      <c r="AI60" s="2095"/>
      <c r="AJ60" s="3516">
        <f>ROUND(SUM(+AH60/ABS(AE60)),3)</f>
        <v>0.10199999999999999</v>
      </c>
    </row>
    <row r="61" spans="1:36" ht="15">
      <c r="A61" s="1477"/>
      <c r="B61" s="1477"/>
      <c r="C61" s="1476"/>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2876"/>
      <c r="AB61" s="3272"/>
      <c r="AC61" s="3272"/>
      <c r="AD61" s="3553"/>
      <c r="AE61" s="3272"/>
      <c r="AF61" s="3274"/>
      <c r="AG61" s="3274"/>
      <c r="AH61" s="3272"/>
      <c r="AI61" s="3230"/>
      <c r="AJ61" s="1868"/>
    </row>
    <row r="62" spans="1:36" ht="15.75">
      <c r="A62" s="2523" t="s">
        <v>1033</v>
      </c>
      <c r="B62" s="1477"/>
      <c r="C62" s="1476"/>
      <c r="D62" s="1476"/>
      <c r="E62" s="1476"/>
      <c r="F62" s="1476"/>
      <c r="G62" s="1476"/>
      <c r="H62" s="1476"/>
      <c r="I62" s="1476"/>
      <c r="J62" s="1476"/>
      <c r="K62" s="1476"/>
      <c r="L62" s="1476"/>
      <c r="M62" s="1476"/>
      <c r="N62" s="1476"/>
      <c r="O62" s="1476"/>
      <c r="P62" s="1476"/>
      <c r="Q62" s="1476"/>
      <c r="R62" s="1476"/>
      <c r="S62" s="1476"/>
      <c r="T62" s="1476"/>
      <c r="U62" s="1476"/>
      <c r="V62" s="1476"/>
      <c r="W62" s="1476"/>
      <c r="X62" s="1476"/>
      <c r="Y62" s="1476"/>
      <c r="Z62" s="1476"/>
      <c r="AA62" s="2877"/>
      <c r="AB62" s="3272"/>
      <c r="AC62" s="3272"/>
      <c r="AD62" s="3553"/>
      <c r="AE62" s="3272"/>
      <c r="AF62" s="3274"/>
      <c r="AG62" s="3274"/>
      <c r="AH62" s="3272"/>
      <c r="AI62" s="3230"/>
      <c r="AJ62" s="1774"/>
    </row>
    <row r="63" spans="1:36" ht="15">
      <c r="A63" s="2547" t="s">
        <v>1154</v>
      </c>
      <c r="B63" s="1477"/>
      <c r="C63" s="1476"/>
      <c r="D63" s="1476"/>
      <c r="E63" s="1476"/>
      <c r="F63" s="1476"/>
      <c r="G63" s="1476"/>
      <c r="H63" s="1476"/>
      <c r="I63" s="1476"/>
      <c r="J63" s="1476"/>
      <c r="K63" s="1476"/>
      <c r="L63" s="1476"/>
      <c r="M63" s="1476"/>
      <c r="N63" s="1476"/>
      <c r="O63" s="1476"/>
      <c r="P63" s="1476"/>
      <c r="Q63" s="1476"/>
      <c r="R63" s="1476"/>
      <c r="S63" s="1476"/>
      <c r="T63" s="1476"/>
      <c r="U63" s="1476"/>
      <c r="V63" s="1476"/>
      <c r="W63" s="1476"/>
      <c r="X63" s="1476"/>
      <c r="Y63" s="1476"/>
      <c r="Z63" s="1476"/>
      <c r="AA63" s="2877"/>
      <c r="AB63" s="3272"/>
      <c r="AC63" s="3272"/>
      <c r="AD63" s="3553"/>
      <c r="AE63" s="3272"/>
      <c r="AF63" s="3274"/>
      <c r="AG63" s="3274"/>
      <c r="AH63" s="3272"/>
      <c r="AI63" s="3230"/>
      <c r="AJ63" s="1774"/>
    </row>
    <row r="64" spans="1:36" ht="15">
      <c r="A64" s="2547" t="s">
        <v>1031</v>
      </c>
      <c r="B64" s="1477"/>
      <c r="C64" s="1476">
        <f>+'Exhibit F'!D59+'Exhibit G State'!D41</f>
        <v>2</v>
      </c>
      <c r="D64" s="1476"/>
      <c r="E64" s="1476">
        <f>+'Exhibit F'!F59+'Exhibit G State'!F41</f>
        <v>1.2000000000000002</v>
      </c>
      <c r="F64" s="1476"/>
      <c r="G64" s="1476">
        <f>+'Exhibit F'!H59+'Exhibit G State'!H41</f>
        <v>0.89999999999999991</v>
      </c>
      <c r="H64" s="1476"/>
      <c r="I64" s="1476">
        <f>+'Exhibit F'!J59+'Exhibit G State'!J41</f>
        <v>1.2</v>
      </c>
      <c r="J64" s="1476"/>
      <c r="K64" s="1476">
        <f>+'Exhibit F'!L59+'Exhibit G State'!L41</f>
        <v>5.6</v>
      </c>
      <c r="L64" s="1476"/>
      <c r="M64" s="1476">
        <f>+'Exhibit F'!N59+'Exhibit G State'!N41</f>
        <v>31</v>
      </c>
      <c r="N64" s="1476"/>
      <c r="O64" s="1476">
        <f>+'Exhibit F'!P59+'Exhibit G State'!P41</f>
        <v>36.200000000000003</v>
      </c>
      <c r="P64" s="1476"/>
      <c r="Q64" s="1476">
        <f>+'Exhibit F'!R59+'Exhibit G State'!R41</f>
        <v>215.9</v>
      </c>
      <c r="R64" s="1476"/>
      <c r="S64" s="1476">
        <f>+'Exhibit F'!T59+'Exhibit G State'!T41</f>
        <v>1.100000000000001</v>
      </c>
      <c r="T64" s="1476"/>
      <c r="U64" s="1476">
        <f>+'Exhibit F'!V59+'Exhibit G State'!V41</f>
        <v>0.89999999999999902</v>
      </c>
      <c r="V64" s="1476"/>
      <c r="W64" s="1476"/>
      <c r="X64" s="1476"/>
      <c r="Y64" s="1476"/>
      <c r="Z64" s="1476"/>
      <c r="AA64" s="2877"/>
      <c r="AB64" s="3272">
        <f>ROUND(SUM(C64:Y64),1)</f>
        <v>296</v>
      </c>
      <c r="AC64" s="3272"/>
      <c r="AD64" s="3553"/>
      <c r="AE64" s="3272">
        <f>+'Exhibit F'!AF59+'Exhibit G State'!AG41</f>
        <v>316.3</v>
      </c>
      <c r="AF64" s="3274"/>
      <c r="AG64" s="3274"/>
      <c r="AH64" s="3272">
        <f t="shared" ref="AH64:AH104" si="13">ROUND(SUM(AB64-AE64),1)</f>
        <v>-20.3</v>
      </c>
      <c r="AI64" s="3230"/>
      <c r="AJ64" s="1868">
        <f>ROUND(SUM(AH64/ABS(AE64)),3)</f>
        <v>-6.4000000000000001E-2</v>
      </c>
    </row>
    <row r="65" spans="1:36" ht="15">
      <c r="A65" s="2547" t="s">
        <v>1032</v>
      </c>
      <c r="B65" s="1477"/>
      <c r="C65" s="1476">
        <f>+'Exhibit F'!D60</f>
        <v>0.2</v>
      </c>
      <c r="D65" s="1476"/>
      <c r="E65" s="1476">
        <f>+'Exhibit F'!F60</f>
        <v>0.3</v>
      </c>
      <c r="F65" s="1476"/>
      <c r="G65" s="1476">
        <f>+'Exhibit F'!H60</f>
        <v>8.1999999999999993</v>
      </c>
      <c r="H65" s="1476"/>
      <c r="I65" s="1476">
        <f>+'Exhibit F'!J60</f>
        <v>0.30000000000000071</v>
      </c>
      <c r="J65" s="1476"/>
      <c r="K65" s="1476">
        <f>+'Exhibit F'!L60</f>
        <v>9.9999999999999645E-2</v>
      </c>
      <c r="L65" s="1476"/>
      <c r="M65" s="1476">
        <f>+'Exhibit F'!N60</f>
        <v>39.1</v>
      </c>
      <c r="N65" s="1476"/>
      <c r="O65" s="1476">
        <f>+'Exhibit F'!P60</f>
        <v>0.29999999999999716</v>
      </c>
      <c r="P65" s="1476"/>
      <c r="Q65" s="1476">
        <f>+'Exhibit F'!R60</f>
        <v>0.29999999999999716</v>
      </c>
      <c r="R65" s="1476"/>
      <c r="S65" s="1476">
        <f>+'Exhibit F'!T60</f>
        <v>23.200000000000003</v>
      </c>
      <c r="T65" s="1476"/>
      <c r="U65" s="1476">
        <f>+'Exhibit F'!V60</f>
        <v>0.59999999999999432</v>
      </c>
      <c r="V65" s="1476"/>
      <c r="W65" s="1476"/>
      <c r="X65" s="1476"/>
      <c r="Y65" s="1476"/>
      <c r="Z65" s="1476"/>
      <c r="AA65" s="2877"/>
      <c r="AB65" s="3272">
        <f>ROUND(SUM(C65:Y65),1)</f>
        <v>72.599999999999994</v>
      </c>
      <c r="AC65" s="3272"/>
      <c r="AD65" s="3553"/>
      <c r="AE65" s="3272">
        <f>+'Exhibit F'!AF60</f>
        <v>73.3</v>
      </c>
      <c r="AF65" s="3274"/>
      <c r="AG65" s="3274"/>
      <c r="AH65" s="3272">
        <f t="shared" si="13"/>
        <v>-0.7</v>
      </c>
      <c r="AI65" s="3230"/>
      <c r="AJ65" s="1868">
        <f>ROUND(SUM(AH65/ABS(AE65)),3)</f>
        <v>-0.01</v>
      </c>
    </row>
    <row r="66" spans="1:36" ht="15">
      <c r="A66" s="2547" t="s">
        <v>1155</v>
      </c>
      <c r="B66" s="1477"/>
      <c r="C66" s="1476"/>
      <c r="D66" s="1476"/>
      <c r="E66" s="1476"/>
      <c r="F66" s="1476"/>
      <c r="G66" s="1476"/>
      <c r="H66" s="1476"/>
      <c r="I66" s="1476"/>
      <c r="J66" s="1476"/>
      <c r="K66" s="1476"/>
      <c r="L66" s="1476"/>
      <c r="M66" s="1476"/>
      <c r="N66" s="1476"/>
      <c r="O66" s="1476"/>
      <c r="P66" s="1476"/>
      <c r="Q66" s="1476"/>
      <c r="R66" s="1476"/>
      <c r="S66" s="1476"/>
      <c r="T66" s="1476"/>
      <c r="U66" s="1476"/>
      <c r="V66" s="1476"/>
      <c r="W66" s="1476"/>
      <c r="X66" s="1476"/>
      <c r="Y66" s="1476"/>
      <c r="Z66" s="1476"/>
      <c r="AA66" s="2877"/>
      <c r="AB66" s="3272"/>
      <c r="AC66" s="3272"/>
      <c r="AD66" s="3553"/>
      <c r="AE66" s="3272"/>
      <c r="AF66" s="3274"/>
      <c r="AG66" s="3274"/>
      <c r="AH66" s="3272" t="s">
        <v>15</v>
      </c>
      <c r="AI66" s="3230" t="s">
        <v>15</v>
      </c>
      <c r="AJ66" s="1774" t="s">
        <v>15</v>
      </c>
    </row>
    <row r="67" spans="1:36" ht="15">
      <c r="A67" s="2547" t="s">
        <v>1036</v>
      </c>
      <c r="B67" s="1477"/>
      <c r="C67" s="1476">
        <f>+'Exhibit F'!D62+'Exhibit G State'!D43</f>
        <v>66.400000000000006</v>
      </c>
      <c r="D67" s="1476"/>
      <c r="E67" s="1476">
        <f>+'Exhibit F'!F62+'Exhibit G State'!F43</f>
        <v>33.599999999999994</v>
      </c>
      <c r="F67" s="1476"/>
      <c r="G67" s="1476">
        <f>+'Exhibit F'!H62+'Exhibit G State'!H43</f>
        <v>94.199999999999989</v>
      </c>
      <c r="H67" s="1476"/>
      <c r="I67" s="1476">
        <f>+'Exhibit F'!J62+'Exhibit G State'!J43</f>
        <v>49.200000000000017</v>
      </c>
      <c r="J67" s="1476"/>
      <c r="K67" s="1476">
        <f>+'Exhibit F'!L62+'Exhibit G State'!L43</f>
        <v>43.900000000000006</v>
      </c>
      <c r="L67" s="1476"/>
      <c r="M67" s="1476">
        <f>+'Exhibit F'!N62+'Exhibit G State'!N43</f>
        <v>68.30000000000004</v>
      </c>
      <c r="N67" s="1476"/>
      <c r="O67" s="1476">
        <f>+'Exhibit F'!P62+'Exhibit G State'!P43</f>
        <v>68.099999999999881</v>
      </c>
      <c r="P67" s="1476"/>
      <c r="Q67" s="1476">
        <f>+'Exhibit F'!R62+'Exhibit G State'!R43</f>
        <v>28.800000000000068</v>
      </c>
      <c r="R67" s="1476"/>
      <c r="S67" s="1476">
        <f>+'Exhibit F'!T62+'Exhibit G State'!T43</f>
        <v>72.600000000000051</v>
      </c>
      <c r="T67" s="1476"/>
      <c r="U67" s="1476">
        <f>+'Exhibit F'!V62+'Exhibit G State'!V43</f>
        <v>91.799999999999955</v>
      </c>
      <c r="V67" s="1476"/>
      <c r="W67" s="1476"/>
      <c r="X67" s="1476"/>
      <c r="Y67" s="1476"/>
      <c r="Z67" s="1476"/>
      <c r="AA67" s="2877"/>
      <c r="AB67" s="3272">
        <f>ROUND(SUM(C67:Y67),1)</f>
        <v>616.9</v>
      </c>
      <c r="AC67" s="3272"/>
      <c r="AD67" s="3553"/>
      <c r="AE67" s="3272">
        <f>+'Exhibit F'!AF62+'Exhibit G State'!AG43</f>
        <v>633.1</v>
      </c>
      <c r="AF67" s="3274"/>
      <c r="AG67" s="3274"/>
      <c r="AH67" s="3272">
        <f t="shared" si="13"/>
        <v>-16.2</v>
      </c>
      <c r="AI67" s="3230"/>
      <c r="AJ67" s="1868">
        <f>ROUND(SUM(AH67/ABS(AE67)),3)</f>
        <v>-2.5999999999999999E-2</v>
      </c>
    </row>
    <row r="68" spans="1:36" ht="15">
      <c r="A68" s="2547" t="s">
        <v>1037</v>
      </c>
      <c r="B68" s="1477"/>
      <c r="C68" s="1476">
        <f>+'Exhibit F'!D63+'Exhibit G State'!D44</f>
        <v>625.70000000000005</v>
      </c>
      <c r="D68" s="1476"/>
      <c r="E68" s="1476">
        <f>+'Exhibit F'!F63+'Exhibit G State'!F44</f>
        <v>523.90000000000009</v>
      </c>
      <c r="F68" s="1476"/>
      <c r="G68" s="1476">
        <f>+'Exhibit F'!H63+'Exhibit G State'!H44</f>
        <v>508.99999999999983</v>
      </c>
      <c r="H68" s="1476"/>
      <c r="I68" s="1476">
        <f>+'Exhibit F'!J63+'Exhibit G State'!J44</f>
        <v>571.29999999999995</v>
      </c>
      <c r="J68" s="1476"/>
      <c r="K68" s="1476">
        <f>+'Exhibit F'!L63+'Exhibit G State'!L44</f>
        <v>518.50000000000034</v>
      </c>
      <c r="L68" s="1476"/>
      <c r="M68" s="1476">
        <f>+'Exhibit F'!N63+'Exhibit G State'!N44</f>
        <v>544.1</v>
      </c>
      <c r="N68" s="1476"/>
      <c r="O68" s="1476">
        <f>+'Exhibit F'!P63+'Exhibit G State'!P44</f>
        <v>531.19999999999982</v>
      </c>
      <c r="P68" s="1476"/>
      <c r="Q68" s="1476">
        <f>+'Exhibit F'!R63+'Exhibit G State'!R44</f>
        <v>472.50000000000034</v>
      </c>
      <c r="R68" s="1476"/>
      <c r="S68" s="1476">
        <f>+'Exhibit F'!T63+'Exhibit G State'!T44</f>
        <v>529.39999999999941</v>
      </c>
      <c r="T68" s="1476"/>
      <c r="U68" s="1476">
        <f>+'Exhibit F'!V63+'Exhibit G State'!V44</f>
        <v>578.00000000000023</v>
      </c>
      <c r="V68" s="1476"/>
      <c r="W68" s="1476"/>
      <c r="X68" s="1476"/>
      <c r="Y68" s="1476"/>
      <c r="Z68" s="1476"/>
      <c r="AA68" s="2877"/>
      <c r="AB68" s="3272">
        <f>ROUND(SUM(C68:Y68),1)</f>
        <v>5403.6</v>
      </c>
      <c r="AC68" s="3272"/>
      <c r="AD68" s="3553"/>
      <c r="AE68" s="3272">
        <f>+'Exhibit F'!AF63+'Exhibit G State'!AG44+'Exhibit H'!AD30</f>
        <v>5111.8</v>
      </c>
      <c r="AF68" s="3274"/>
      <c r="AG68" s="3274"/>
      <c r="AH68" s="3272">
        <f t="shared" si="13"/>
        <v>291.8</v>
      </c>
      <c r="AI68" s="3230"/>
      <c r="AJ68" s="1868">
        <f>ROUND(SUM(AH68/ABS(AE68)),3)</f>
        <v>5.7000000000000002E-2</v>
      </c>
    </row>
    <row r="69" spans="1:36" ht="15">
      <c r="A69" s="2547" t="s">
        <v>1038</v>
      </c>
      <c r="B69" s="1477"/>
      <c r="C69" s="1476">
        <f>+'Exhibit F'!D64+'Exhibit G State'!D45</f>
        <v>5.0999999999999996</v>
      </c>
      <c r="D69" s="1476"/>
      <c r="E69" s="1476">
        <f>+'Exhibit F'!F64+'Exhibit G State'!F45</f>
        <v>0</v>
      </c>
      <c r="F69" s="1476"/>
      <c r="G69" s="1476">
        <f>+'Exhibit F'!H64+'Exhibit G State'!H45</f>
        <v>0.70000000000000018</v>
      </c>
      <c r="H69" s="1476"/>
      <c r="I69" s="1476">
        <f>+'Exhibit F'!J64+'Exhibit G State'!J45</f>
        <v>0</v>
      </c>
      <c r="J69" s="1476"/>
      <c r="K69" s="1476">
        <f>+'Exhibit F'!L64+'Exhibit G State'!L45</f>
        <v>0.90000000000000036</v>
      </c>
      <c r="L69" s="1476"/>
      <c r="M69" s="1476">
        <f>+'Exhibit F'!N64+'Exhibit G State'!N45</f>
        <v>44.199999999999996</v>
      </c>
      <c r="N69" s="1476"/>
      <c r="O69" s="1476">
        <f>+'Exhibit F'!P64+'Exhibit G State'!P45</f>
        <v>-6</v>
      </c>
      <c r="P69" s="1476"/>
      <c r="Q69" s="1476">
        <f>+'Exhibit F'!R64+'Exhibit G State'!R45</f>
        <v>-1.6999999999999957</v>
      </c>
      <c r="R69" s="1476"/>
      <c r="S69" s="1476">
        <f>+'Exhibit F'!T64+'Exhibit G State'!T45</f>
        <v>0.79999999999999716</v>
      </c>
      <c r="T69" s="1476"/>
      <c r="U69" s="1476">
        <f>+'Exhibit F'!V64+'Exhibit G State'!V45</f>
        <v>0</v>
      </c>
      <c r="V69" s="1476"/>
      <c r="W69" s="1476"/>
      <c r="X69" s="1476"/>
      <c r="Y69" s="1476"/>
      <c r="Z69" s="1476"/>
      <c r="AA69" s="2877"/>
      <c r="AB69" s="3272">
        <f>ROUND(SUM(C69:Y69),1)</f>
        <v>44</v>
      </c>
      <c r="AC69" s="3272"/>
      <c r="AD69" s="3553"/>
      <c r="AE69" s="3272">
        <f>+'Exhibit F'!AF64+'Exhibit G State'!AG45</f>
        <v>39.4</v>
      </c>
      <c r="AF69" s="3274"/>
      <c r="AG69" s="3274"/>
      <c r="AH69" s="3272">
        <f t="shared" si="13"/>
        <v>4.5999999999999996</v>
      </c>
      <c r="AI69" s="3230"/>
      <c r="AJ69" s="1774">
        <f>ROUND(IF(AE69=0,0,AH69/ABS(AE69)),3)</f>
        <v>0.11700000000000001</v>
      </c>
    </row>
    <row r="70" spans="1:36" ht="15">
      <c r="A70" s="2547" t="s">
        <v>1039</v>
      </c>
      <c r="B70" s="1477"/>
      <c r="C70" s="1476">
        <f>+'Exhibit F'!D65+'Exhibit G State'!D46</f>
        <v>0</v>
      </c>
      <c r="D70" s="1476"/>
      <c r="E70" s="1476">
        <f>+'Exhibit F'!F65+'Exhibit G State'!F46</f>
        <v>0.2</v>
      </c>
      <c r="F70" s="1476"/>
      <c r="G70" s="1476">
        <f>+'Exhibit F'!H65+'Exhibit G State'!H46</f>
        <v>0.1</v>
      </c>
      <c r="H70" s="1476"/>
      <c r="I70" s="1476">
        <f>+'Exhibit F'!J65+'Exhibit G State'!J46</f>
        <v>0</v>
      </c>
      <c r="J70" s="1476"/>
      <c r="K70" s="1476">
        <f>+'Exhibit F'!L65+'Exhibit G State'!L46</f>
        <v>0.19999999999999998</v>
      </c>
      <c r="L70" s="1476"/>
      <c r="M70" s="1476">
        <f>+'Exhibit F'!N65+'Exhibit G State'!N46</f>
        <v>0</v>
      </c>
      <c r="N70" s="1476"/>
      <c r="O70" s="1476">
        <f>+'Exhibit F'!P65+'Exhibit G State'!P46</f>
        <v>0</v>
      </c>
      <c r="P70" s="1476"/>
      <c r="Q70" s="1476">
        <f>+'Exhibit F'!R65+'Exhibit G State'!R46</f>
        <v>0.10000000000000003</v>
      </c>
      <c r="R70" s="1476"/>
      <c r="S70" s="1476">
        <f>+'Exhibit F'!T65+'Exhibit G State'!T46</f>
        <v>0.1</v>
      </c>
      <c r="T70" s="1476"/>
      <c r="U70" s="1476">
        <f>+'Exhibit F'!V65+'Exhibit G State'!V46</f>
        <v>0.20000000000000007</v>
      </c>
      <c r="V70" s="1476"/>
      <c r="W70" s="1476"/>
      <c r="X70" s="1476"/>
      <c r="Y70" s="1476"/>
      <c r="Z70" s="1476"/>
      <c r="AA70" s="2877"/>
      <c r="AB70" s="3272">
        <f>ROUND(SUM(C70:Y70),1)</f>
        <v>0.9</v>
      </c>
      <c r="AC70" s="3272"/>
      <c r="AD70" s="3553"/>
      <c r="AE70" s="3272">
        <f>+'Exhibit F'!AF65+'Exhibit G State'!AG46</f>
        <v>1.9</v>
      </c>
      <c r="AF70" s="3274"/>
      <c r="AG70" s="3274"/>
      <c r="AH70" s="3272">
        <f t="shared" si="13"/>
        <v>-1</v>
      </c>
      <c r="AI70" s="3230"/>
      <c r="AJ70" s="1774">
        <f>ROUND(IF(AE70=0,0,AH70/ABS(AE70)),3)</f>
        <v>-0.52600000000000002</v>
      </c>
    </row>
    <row r="71" spans="1:36" ht="15">
      <c r="A71" s="2547" t="s">
        <v>1160</v>
      </c>
      <c r="B71" s="1477"/>
      <c r="C71" s="1476"/>
      <c r="D71" s="1476"/>
      <c r="E71" s="1476"/>
      <c r="F71" s="1476"/>
      <c r="G71" s="1476"/>
      <c r="H71" s="1476"/>
      <c r="I71" s="1476"/>
      <c r="J71" s="1476"/>
      <c r="K71" s="1476"/>
      <c r="L71" s="1476"/>
      <c r="M71" s="1476"/>
      <c r="N71" s="1476"/>
      <c r="O71" s="1476"/>
      <c r="P71" s="1476"/>
      <c r="Q71" s="1476"/>
      <c r="R71" s="1476"/>
      <c r="S71" s="1476"/>
      <c r="T71" s="1476"/>
      <c r="U71" s="1476"/>
      <c r="V71" s="1476"/>
      <c r="W71" s="1476"/>
      <c r="X71" s="1476"/>
      <c r="Y71" s="1476"/>
      <c r="Z71" s="1476"/>
      <c r="AA71" s="2877"/>
      <c r="AB71" s="3272"/>
      <c r="AC71" s="3272"/>
      <c r="AD71" s="3553"/>
      <c r="AE71" s="3272"/>
      <c r="AF71" s="3274"/>
      <c r="AG71" s="3274"/>
      <c r="AH71" s="3272"/>
      <c r="AI71" s="3230"/>
      <c r="AJ71" s="1774"/>
    </row>
    <row r="72" spans="1:36" ht="15">
      <c r="A72" s="2547" t="s">
        <v>1040</v>
      </c>
      <c r="B72" s="1477"/>
      <c r="C72" s="1476">
        <f>+'Exhibit F'!D67+'Exhibit H'!B32</f>
        <v>5.7</v>
      </c>
      <c r="D72" s="1476"/>
      <c r="E72" s="1476">
        <f>+'Exhibit F'!F67+'Exhibit H'!D32</f>
        <v>5.9999999999999991</v>
      </c>
      <c r="F72" s="1476"/>
      <c r="G72" s="1476">
        <f>+'Exhibit F'!H67+'Exhibit H'!F32</f>
        <v>5.400000000000003</v>
      </c>
      <c r="H72" s="1476"/>
      <c r="I72" s="1476">
        <f>+'Exhibit F'!J67+'Exhibit H'!H32</f>
        <v>5.9999999999999991</v>
      </c>
      <c r="J72" s="1476"/>
      <c r="K72" s="1476">
        <f>+'Exhibit F'!L67+'Exhibit H'!J32</f>
        <v>6.8999999999999995</v>
      </c>
      <c r="L72" s="1476"/>
      <c r="M72" s="1476">
        <f>+'Exhibit F'!N67+'Exhibit H'!L32</f>
        <v>6.9999999999999991</v>
      </c>
      <c r="N72" s="1476"/>
      <c r="O72" s="1476">
        <f>+'Exhibit F'!P67+'Exhibit H'!N32</f>
        <v>7.3999999999999959</v>
      </c>
      <c r="P72" s="1476"/>
      <c r="Q72" s="1476">
        <f>+'Exhibit F'!R67+'Exhibit H'!P32</f>
        <v>7.1999999999999984</v>
      </c>
      <c r="R72" s="1476"/>
      <c r="S72" s="1476">
        <f>+'Exhibit F'!T67+'Exhibit H'!R32</f>
        <v>5.5000000000000009</v>
      </c>
      <c r="T72" s="1476"/>
      <c r="U72" s="1476">
        <f>+'Exhibit F'!V67+'Exhibit H'!T32</f>
        <v>5.6999999999999948</v>
      </c>
      <c r="V72" s="1476"/>
      <c r="W72" s="1476"/>
      <c r="X72" s="1476"/>
      <c r="Y72" s="1476"/>
      <c r="Z72" s="1476"/>
      <c r="AA72" s="2877"/>
      <c r="AB72" s="3272">
        <f t="shared" ref="AB72:AB79" si="14">ROUND(SUM(C72:Y72),1)</f>
        <v>62.8</v>
      </c>
      <c r="AC72" s="3272"/>
      <c r="AD72" s="3553"/>
      <c r="AE72" s="3272">
        <f>+'Exhibit F'!AF67+'Exhibit H'!AD32</f>
        <v>62.6</v>
      </c>
      <c r="AF72" s="3274"/>
      <c r="AG72" s="3274"/>
      <c r="AH72" s="3272">
        <f t="shared" si="13"/>
        <v>0.2</v>
      </c>
      <c r="AI72" s="3230"/>
      <c r="AJ72" s="1868">
        <f>ROUND(SUM(AH72/ABS(AE72)),3)</f>
        <v>3.0000000000000001E-3</v>
      </c>
    </row>
    <row r="73" spans="1:36" ht="15">
      <c r="A73" s="2547" t="s">
        <v>1256</v>
      </c>
      <c r="B73" s="1477"/>
      <c r="C73" s="1476">
        <f>'Exhibit G State'!D48</f>
        <v>0</v>
      </c>
      <c r="D73" s="1476" t="s">
        <v>15</v>
      </c>
      <c r="E73" s="1476">
        <f>'Exhibit G State'!F48</f>
        <v>0.8</v>
      </c>
      <c r="F73" s="1476"/>
      <c r="G73" s="1476">
        <f>'Exhibit G State'!H48</f>
        <v>1.4999999999999998</v>
      </c>
      <c r="H73" s="1476"/>
      <c r="I73" s="1476">
        <f>'Exhibit G State'!J48</f>
        <v>0</v>
      </c>
      <c r="J73" s="1476"/>
      <c r="K73" s="1476">
        <f>'Exhibit G State'!L48</f>
        <v>0.10000000000000009</v>
      </c>
      <c r="L73" s="1476"/>
      <c r="M73" s="1476">
        <f>'Exhibit G State'!N48</f>
        <v>0.20000000000000018</v>
      </c>
      <c r="N73" s="1476"/>
      <c r="O73" s="1476">
        <f>'Exhibit G State'!P48</f>
        <v>0</v>
      </c>
      <c r="P73" s="1476"/>
      <c r="Q73" s="1476">
        <f>'Exhibit G State'!R48</f>
        <v>0</v>
      </c>
      <c r="R73" s="1476"/>
      <c r="S73" s="1476">
        <f>'Exhibit G State'!T48</f>
        <v>0</v>
      </c>
      <c r="T73" s="1476"/>
      <c r="U73" s="1476">
        <f>'Exhibit G State'!V48</f>
        <v>0</v>
      </c>
      <c r="V73" s="1476"/>
      <c r="W73" s="1476"/>
      <c r="X73" s="1476"/>
      <c r="Y73" s="1476"/>
      <c r="Z73" s="1476"/>
      <c r="AA73" s="2876"/>
      <c r="AB73" s="3272">
        <f t="shared" si="14"/>
        <v>2.6</v>
      </c>
      <c r="AC73" s="3272"/>
      <c r="AD73" s="3553"/>
      <c r="AE73" s="3272">
        <f>'Exhibit G State'!AG48</f>
        <v>2.1</v>
      </c>
      <c r="AF73" s="3274"/>
      <c r="AG73" s="3274"/>
      <c r="AH73" s="3272">
        <f t="shared" si="13"/>
        <v>0.5</v>
      </c>
      <c r="AI73" s="3230"/>
      <c r="AJ73" s="1774">
        <f>ROUND(IF(AE73=0,0,AH73/ABS(AE73)),3)</f>
        <v>0.23799999999999999</v>
      </c>
    </row>
    <row r="74" spans="1:36" ht="15">
      <c r="A74" s="2547" t="s">
        <v>1041</v>
      </c>
      <c r="B74" s="1477"/>
      <c r="C74" s="1476">
        <f>+'Exhibit F'!D69+'Exhibit G State'!D49+'Exhibit H'!B33</f>
        <v>59.7</v>
      </c>
      <c r="D74" s="1476"/>
      <c r="E74" s="1476">
        <f>+'Exhibit F'!F69+'Exhibit G State'!F49+'Exhibit H'!D33</f>
        <v>55</v>
      </c>
      <c r="F74" s="1476"/>
      <c r="G74" s="1476">
        <f>+'Exhibit F'!H69+'Exhibit G State'!H49+'Exhibit H'!F33</f>
        <v>127.8</v>
      </c>
      <c r="H74" s="1476"/>
      <c r="I74" s="1476">
        <f>+'Exhibit F'!J69+'Exhibit G State'!J49+'Exhibit H'!H33</f>
        <v>62.5</v>
      </c>
      <c r="J74" s="1476"/>
      <c r="K74" s="1476">
        <f>+'Exhibit F'!L69+'Exhibit G State'!L49+'Exhibit H'!J33</f>
        <v>36.200000000000024</v>
      </c>
      <c r="L74" s="1476"/>
      <c r="M74" s="1476">
        <f>+'Exhibit F'!N69+'Exhibit G State'!N49+'Exhibit H'!L33</f>
        <v>130.69999999999996</v>
      </c>
      <c r="N74" s="1476"/>
      <c r="O74" s="1476">
        <f>+'Exhibit F'!P69+'Exhibit G State'!P49+'Exhibit H'!N33</f>
        <v>79.700000000000045</v>
      </c>
      <c r="P74" s="1476"/>
      <c r="Q74" s="1476">
        <f>+'Exhibit F'!R69+'Exhibit G State'!R49+'Exhibit H'!P33</f>
        <v>69.799999999999955</v>
      </c>
      <c r="R74" s="1476"/>
      <c r="S74" s="1476">
        <f>+'Exhibit F'!T69+'Exhibit G State'!T49+'Exhibit H'!R33</f>
        <v>107.90000000000003</v>
      </c>
      <c r="T74" s="1476"/>
      <c r="U74" s="1476">
        <f>+'Exhibit F'!V69+'Exhibit G State'!V49+'Exhibit H'!T33</f>
        <v>88.199999999999932</v>
      </c>
      <c r="V74" s="1476"/>
      <c r="W74" s="1476"/>
      <c r="X74" s="1476"/>
      <c r="Y74" s="1476"/>
      <c r="Z74" s="1476"/>
      <c r="AA74" s="2877"/>
      <c r="AB74" s="3272">
        <f t="shared" si="14"/>
        <v>817.5</v>
      </c>
      <c r="AC74" s="3272"/>
      <c r="AD74" s="3553"/>
      <c r="AE74" s="3272">
        <f>+'Exhibit F'!AF69+'Exhibit G State'!AG49+'Exhibit H'!AD33</f>
        <v>748.6</v>
      </c>
      <c r="AF74" s="3274"/>
      <c r="AG74" s="3274"/>
      <c r="AH74" s="3272">
        <f t="shared" si="13"/>
        <v>68.900000000000006</v>
      </c>
      <c r="AI74" s="3230"/>
      <c r="AJ74" s="1868">
        <f>ROUND(SUM(AH74/AE74),3)</f>
        <v>9.1999999999999998E-2</v>
      </c>
    </row>
    <row r="75" spans="1:36" ht="15">
      <c r="A75" s="2547" t="s">
        <v>1042</v>
      </c>
      <c r="B75" s="1477"/>
      <c r="C75" s="1476">
        <f>+'Exhibit F'!D70+'Exhibit G State'!D50+'Exhibit H'!B34</f>
        <v>28.6</v>
      </c>
      <c r="D75" s="1476"/>
      <c r="E75" s="1476">
        <f>+'Exhibit F'!F70+'Exhibit G State'!F50+'Exhibit H'!D34</f>
        <v>18</v>
      </c>
      <c r="F75" s="1476"/>
      <c r="G75" s="1476">
        <f>+'Exhibit F'!H70+'Exhibit G State'!H50+'Exhibit H'!F34</f>
        <v>22.900000000000006</v>
      </c>
      <c r="H75" s="1476"/>
      <c r="I75" s="1476">
        <f>+'Exhibit F'!J70+'Exhibit G State'!J50+'Exhibit H'!H34</f>
        <v>22.599999999999991</v>
      </c>
      <c r="J75" s="1476"/>
      <c r="K75" s="1476">
        <f>+'Exhibit F'!L70+'Exhibit G State'!L50+'Exhibit H'!J34</f>
        <v>17.800000000000004</v>
      </c>
      <c r="L75" s="1476"/>
      <c r="M75" s="1476">
        <f>+'Exhibit F'!N70+'Exhibit G State'!N50+'Exhibit H'!L34</f>
        <v>34.499999999999993</v>
      </c>
      <c r="N75" s="1476"/>
      <c r="O75" s="1476">
        <f>+'Exhibit F'!P70+'Exhibit G State'!P50+'Exhibit H'!N34</f>
        <v>20.499999999999979</v>
      </c>
      <c r="P75" s="1476"/>
      <c r="Q75" s="1476">
        <f>+'Exhibit F'!R70+'Exhibit G State'!R50+'Exhibit H'!P34</f>
        <v>22.199999999999996</v>
      </c>
      <c r="R75" s="1476"/>
      <c r="S75" s="1476">
        <f>+'Exhibit F'!T70+'Exhibit G State'!T50+'Exhibit H'!R34</f>
        <v>33.400000000000027</v>
      </c>
      <c r="T75" s="1476"/>
      <c r="U75" s="1476">
        <f>+'Exhibit F'!V70+'Exhibit G State'!V50+'Exhibit H'!T34</f>
        <v>16.000000000000007</v>
      </c>
      <c r="V75" s="1476"/>
      <c r="W75" s="1476"/>
      <c r="X75" s="1476"/>
      <c r="Y75" s="1476"/>
      <c r="Z75" s="1476"/>
      <c r="AA75" s="2877"/>
      <c r="AB75" s="3272">
        <f t="shared" si="14"/>
        <v>236.5</v>
      </c>
      <c r="AC75" s="3272"/>
      <c r="AD75" s="3553"/>
      <c r="AE75" s="3272">
        <f>+'Exhibit F'!AF70+'Exhibit G State'!AG50+'Exhibit H'!AD34</f>
        <v>234.2</v>
      </c>
      <c r="AF75" s="3274"/>
      <c r="AG75" s="3274"/>
      <c r="AH75" s="3272">
        <f t="shared" si="13"/>
        <v>2.2999999999999998</v>
      </c>
      <c r="AI75" s="3230"/>
      <c r="AJ75" s="1868">
        <f>ROUND(SUM(AH75/ABS(AE75)),3)</f>
        <v>0.01</v>
      </c>
    </row>
    <row r="76" spans="1:36" ht="15">
      <c r="A76" s="2547" t="s">
        <v>1043</v>
      </c>
      <c r="B76" s="1477"/>
      <c r="C76" s="1476">
        <f>+'Exhibit F'!D71+'Exhibit G State'!D51+'Exhibit H'!B35</f>
        <v>0.5</v>
      </c>
      <c r="D76" s="1476"/>
      <c r="E76" s="1476">
        <f>+'Exhibit F'!F71+'Exhibit G State'!F51+'Exhibit H'!D35</f>
        <v>0.49999999999999994</v>
      </c>
      <c r="F76" s="1476"/>
      <c r="G76" s="1476">
        <f>+'Exhibit F'!H71+'Exhibit G State'!H51+'Exhibit H'!F35</f>
        <v>1.2000000000000002</v>
      </c>
      <c r="H76" s="1476"/>
      <c r="I76" s="1476">
        <f>+'Exhibit F'!J71+'Exhibit G State'!J51+'Exhibit H'!H35</f>
        <v>0.19999999999999996</v>
      </c>
      <c r="J76" s="1476"/>
      <c r="K76" s="1476">
        <f>+'Exhibit F'!L71+'Exhibit G State'!L51+'Exhibit H'!J35</f>
        <v>0.60000000000000031</v>
      </c>
      <c r="L76" s="1476"/>
      <c r="M76" s="1476">
        <f>+'Exhibit F'!N71+'Exhibit G State'!N51+'Exhibit H'!L35</f>
        <v>1.2999999999999998</v>
      </c>
      <c r="N76" s="1476"/>
      <c r="O76" s="1476">
        <f>+'Exhibit F'!P71+'Exhibit G State'!P51+'Exhibit H'!N35</f>
        <v>0.5</v>
      </c>
      <c r="P76" s="1476"/>
      <c r="Q76" s="1476">
        <f>+'Exhibit F'!R71+'Exhibit G State'!R51+'Exhibit H'!P35</f>
        <v>0.39999999999999991</v>
      </c>
      <c r="R76" s="1476"/>
      <c r="S76" s="1476">
        <f>+'Exhibit F'!T71+'Exhibit G State'!T51+'Exhibit H'!R35</f>
        <v>1.0000000000000002</v>
      </c>
      <c r="T76" s="1476"/>
      <c r="U76" s="1476">
        <f>+'Exhibit F'!V71+'Exhibit G State'!V51+'Exhibit H'!T35</f>
        <v>1.1999999999999986</v>
      </c>
      <c r="V76" s="1476"/>
      <c r="W76" s="1476"/>
      <c r="X76" s="1476"/>
      <c r="Y76" s="1476"/>
      <c r="Z76" s="1476"/>
      <c r="AA76" s="2877"/>
      <c r="AB76" s="3272">
        <f t="shared" si="14"/>
        <v>7.4</v>
      </c>
      <c r="AC76" s="3272"/>
      <c r="AD76" s="3553"/>
      <c r="AE76" s="3272">
        <f>+'Exhibit F'!AF71+'Exhibit G State'!AG51+'Exhibit H'!AD35</f>
        <v>8.8000000000000007</v>
      </c>
      <c r="AF76" s="3274"/>
      <c r="AG76" s="3274"/>
      <c r="AH76" s="3272">
        <f t="shared" si="13"/>
        <v>-1.4</v>
      </c>
      <c r="AI76" s="3230"/>
      <c r="AJ76" s="1868">
        <f>ROUND(SUM(AH76/ABS(AE76)),3)</f>
        <v>-0.159</v>
      </c>
    </row>
    <row r="77" spans="1:36" ht="15">
      <c r="A77" s="2547" t="s">
        <v>1044</v>
      </c>
      <c r="B77" s="1477"/>
      <c r="C77" s="1476">
        <f>+'Exhibit F'!D72+'Exhibit G State'!D52+'Exhibit H'!B36</f>
        <v>59.2</v>
      </c>
      <c r="D77" s="1476"/>
      <c r="E77" s="1476">
        <f>+'Exhibit F'!F72+'Exhibit G State'!F52+'Exhibit H'!D36</f>
        <v>61.499999999999993</v>
      </c>
      <c r="F77" s="1476"/>
      <c r="G77" s="1476">
        <f>+'Exhibit F'!H72+'Exhibit G State'!H52+'Exhibit H'!F36</f>
        <v>40.300000000000004</v>
      </c>
      <c r="H77" s="1476"/>
      <c r="I77" s="1476">
        <f>+'Exhibit F'!J72+'Exhibit G State'!J52+'Exhibit H'!H36</f>
        <v>59</v>
      </c>
      <c r="J77" s="1476"/>
      <c r="K77" s="1476">
        <f>+'Exhibit F'!L72+'Exhibit G State'!L52+'Exhibit H'!J36</f>
        <v>52.699999999999996</v>
      </c>
      <c r="L77" s="1476"/>
      <c r="M77" s="1476">
        <f>+'Exhibit F'!N72+'Exhibit G State'!N52+'Exhibit H'!L36</f>
        <v>34.200000000000031</v>
      </c>
      <c r="N77" s="1476"/>
      <c r="O77" s="1476">
        <f>+'Exhibit F'!P72+'Exhibit G State'!P52+'Exhibit H'!N36</f>
        <v>59.099999999999987</v>
      </c>
      <c r="P77" s="1476"/>
      <c r="Q77" s="1476">
        <f>+'Exhibit F'!R72+'Exhibit G State'!R52+'Exhibit H'!P36</f>
        <v>35.899999999999991</v>
      </c>
      <c r="R77" s="1476"/>
      <c r="S77" s="1476">
        <f>+'Exhibit F'!T72+'Exhibit G State'!T52+'Exhibit H'!R36</f>
        <v>63.70000000000001</v>
      </c>
      <c r="T77" s="1476"/>
      <c r="U77" s="1476">
        <f>+'Exhibit F'!V72+'Exhibit G State'!V52+'Exhibit H'!T36</f>
        <v>63.499999999999993</v>
      </c>
      <c r="V77" s="1476"/>
      <c r="W77" s="1476"/>
      <c r="X77" s="1476"/>
      <c r="Y77" s="1476"/>
      <c r="Z77" s="1476"/>
      <c r="AA77" s="2877"/>
      <c r="AB77" s="3272">
        <f t="shared" si="14"/>
        <v>529.1</v>
      </c>
      <c r="AC77" s="3272"/>
      <c r="AD77" s="3553"/>
      <c r="AE77" s="3272">
        <f>+'Exhibit F'!AF72+'Exhibit G State'!AG52+'Exhibit H'!AD36</f>
        <v>662.1</v>
      </c>
      <c r="AF77" s="3274"/>
      <c r="AG77" s="3274"/>
      <c r="AH77" s="3272">
        <f t="shared" si="13"/>
        <v>-133</v>
      </c>
      <c r="AI77" s="3230"/>
      <c r="AJ77" s="1774">
        <f>ROUND(IF(AE77=0,0,AH77/ABS(AE77)),3)</f>
        <v>-0.20100000000000001</v>
      </c>
    </row>
    <row r="78" spans="1:36" ht="15">
      <c r="A78" s="2547" t="s">
        <v>1045</v>
      </c>
      <c r="B78" s="1477"/>
      <c r="C78" s="1476">
        <f>+'Exhibit F'!D73+'Exhibit G State'!D53+'Exhibit H'!B37</f>
        <v>55.2</v>
      </c>
      <c r="D78" s="1476"/>
      <c r="E78" s="1476">
        <f>+'Exhibit F'!F73+'Exhibit G State'!F53+'Exhibit H'!D37</f>
        <v>47.099999999999994</v>
      </c>
      <c r="F78" s="1476"/>
      <c r="G78" s="1476">
        <f>+'Exhibit F'!H73+'Exhibit G State'!H53+'Exhibit H'!F37</f>
        <v>67.300000000000011</v>
      </c>
      <c r="H78" s="1476"/>
      <c r="I78" s="1476">
        <f>+'Exhibit F'!J73+'Exhibit G State'!J53+'Exhibit H'!H37</f>
        <v>67.5</v>
      </c>
      <c r="J78" s="1476"/>
      <c r="K78" s="1476">
        <f>+'Exhibit F'!L73+'Exhibit G State'!L53+'Exhibit H'!J37</f>
        <v>95.399999999999977</v>
      </c>
      <c r="L78" s="1476"/>
      <c r="M78" s="1476">
        <f>+'Exhibit F'!N73+'Exhibit G State'!N53+'Exhibit H'!L37</f>
        <v>131.30000000000004</v>
      </c>
      <c r="N78" s="1476"/>
      <c r="O78" s="1476">
        <f>+'Exhibit F'!P73+'Exhibit G State'!P53+'Exhibit H'!N37</f>
        <v>57.900000000000048</v>
      </c>
      <c r="P78" s="1476"/>
      <c r="Q78" s="1476">
        <f>+'Exhibit F'!R73+'Exhibit G State'!R53+'Exhibit H'!P37</f>
        <v>72.599999999999881</v>
      </c>
      <c r="R78" s="1476"/>
      <c r="S78" s="1476">
        <f>+'Exhibit F'!T73+'Exhibit G State'!T53+'Exhibit H'!R37</f>
        <v>62.500000000000043</v>
      </c>
      <c r="T78" s="1476"/>
      <c r="U78" s="1476">
        <f>+'Exhibit F'!V73+'Exhibit G State'!V53+'Exhibit H'!T37</f>
        <v>50.099999999999952</v>
      </c>
      <c r="V78" s="1476"/>
      <c r="W78" s="1476"/>
      <c r="X78" s="1476"/>
      <c r="Y78" s="1476"/>
      <c r="Z78" s="1476"/>
      <c r="AA78" s="2877"/>
      <c r="AB78" s="3272">
        <f t="shared" si="14"/>
        <v>706.9</v>
      </c>
      <c r="AC78" s="3272"/>
      <c r="AD78" s="3553"/>
      <c r="AE78" s="3272">
        <f>+'Exhibit F'!AF73+'Exhibit G State'!AG53+'Exhibit H'!AD37</f>
        <v>621.1</v>
      </c>
      <c r="AF78" s="3274"/>
      <c r="AG78" s="3274"/>
      <c r="AH78" s="3272">
        <f t="shared" si="13"/>
        <v>85.8</v>
      </c>
      <c r="AI78" s="3230"/>
      <c r="AJ78" s="1868">
        <f>ROUND(SUM(AH78/ABS(AE78)),3)</f>
        <v>0.13800000000000001</v>
      </c>
    </row>
    <row r="79" spans="1:36" ht="15">
      <c r="A79" s="2547" t="s">
        <v>1034</v>
      </c>
      <c r="B79" s="1477"/>
      <c r="C79" s="1476">
        <f>+'Exhibit F'!D74+'Exhibit G State'!D54</f>
        <v>625.70000000000005</v>
      </c>
      <c r="D79" s="1476"/>
      <c r="E79" s="1476">
        <f>+'Exhibit F'!F74+'Exhibit G State'!F54</f>
        <v>221.8</v>
      </c>
      <c r="F79" s="1476"/>
      <c r="G79" s="1476">
        <f>+'Exhibit F'!H74+'Exhibit G State'!H54</f>
        <v>133.19999999999999</v>
      </c>
      <c r="H79" s="1476"/>
      <c r="I79" s="1476">
        <f>+'Exhibit F'!J74+'Exhibit G State'!J54</f>
        <v>48.699999999999989</v>
      </c>
      <c r="J79" s="1476"/>
      <c r="K79" s="1476">
        <f>+'Exhibit F'!L74+'Exhibit G State'!L54</f>
        <v>29.500000000000028</v>
      </c>
      <c r="L79" s="1476"/>
      <c r="M79" s="1476">
        <f>+'Exhibit F'!N74+'Exhibit G State'!N54</f>
        <v>36.499999999999957</v>
      </c>
      <c r="N79" s="1476"/>
      <c r="O79" s="1476">
        <f>+'Exhibit F'!P74+'Exhibit G State'!P54</f>
        <v>85.899999999999977</v>
      </c>
      <c r="P79" s="1476"/>
      <c r="Q79" s="1476">
        <f>+'Exhibit F'!R74+'Exhibit G State'!R54</f>
        <v>32.300000000000068</v>
      </c>
      <c r="R79" s="1476"/>
      <c r="S79" s="1476">
        <f>+'Exhibit F'!T74+'Exhibit G State'!T54</f>
        <v>42.699999999999989</v>
      </c>
      <c r="T79" s="1476"/>
      <c r="U79" s="1476">
        <f>+'Exhibit F'!V74+'Exhibit G State'!V54</f>
        <v>34.700000000000102</v>
      </c>
      <c r="V79" s="1476"/>
      <c r="W79" s="1476"/>
      <c r="X79" s="1476"/>
      <c r="Y79" s="1476"/>
      <c r="Z79" s="1476"/>
      <c r="AA79" s="2877"/>
      <c r="AB79" s="3272">
        <f t="shared" si="14"/>
        <v>1291</v>
      </c>
      <c r="AC79" s="3272"/>
      <c r="AD79" s="3553"/>
      <c r="AE79" s="3272">
        <f>+'Exhibit F'!AF74+'Exhibit G State'!AG54</f>
        <v>1321.8</v>
      </c>
      <c r="AF79" s="3274"/>
      <c r="AG79" s="3274"/>
      <c r="AH79" s="3272">
        <f t="shared" si="13"/>
        <v>-30.8</v>
      </c>
      <c r="AI79" s="3230"/>
      <c r="AJ79" s="1868">
        <f>ROUND(SUM(AH79/ABS(AE79)),3)</f>
        <v>-2.3E-2</v>
      </c>
    </row>
    <row r="80" spans="1:36" ht="15">
      <c r="A80" s="2547" t="s">
        <v>1157</v>
      </c>
      <c r="B80" s="1477"/>
      <c r="C80" s="1476"/>
      <c r="D80" s="1476"/>
      <c r="E80" s="1476"/>
      <c r="F80" s="1476"/>
      <c r="G80" s="1476"/>
      <c r="H80" s="1476"/>
      <c r="I80" s="1476"/>
      <c r="J80" s="1476"/>
      <c r="K80" s="1476"/>
      <c r="L80" s="1476"/>
      <c r="M80" s="1476"/>
      <c r="N80" s="1476"/>
      <c r="O80" s="1476"/>
      <c r="P80" s="1476"/>
      <c r="Q80" s="1476"/>
      <c r="R80" s="1476"/>
      <c r="S80" s="1476"/>
      <c r="T80" s="1476"/>
      <c r="U80" s="1476"/>
      <c r="V80" s="1476"/>
      <c r="W80" s="1476"/>
      <c r="X80" s="1476"/>
      <c r="Y80" s="1476"/>
      <c r="Z80" s="1476"/>
      <c r="AA80" s="2877"/>
      <c r="AB80" s="3272"/>
      <c r="AC80" s="3272"/>
      <c r="AD80" s="3553"/>
      <c r="AE80" s="3272"/>
      <c r="AF80" s="3274"/>
      <c r="AG80" s="3274"/>
      <c r="AH80" s="3272"/>
      <c r="AI80" s="3230"/>
      <c r="AJ80" s="1868" t="s">
        <v>15</v>
      </c>
    </row>
    <row r="81" spans="1:36" ht="15">
      <c r="A81" s="2547" t="s">
        <v>1046</v>
      </c>
      <c r="B81" s="1477"/>
      <c r="C81" s="1476">
        <f>+'Exhibit G State'!D56</f>
        <v>31.4</v>
      </c>
      <c r="D81" s="1476"/>
      <c r="E81" s="1476">
        <f>+'Exhibit G State'!F56</f>
        <v>18.800000000000004</v>
      </c>
      <c r="F81" s="1476"/>
      <c r="G81" s="1476">
        <f>+'Exhibit G State'!H56</f>
        <v>19.700000000000003</v>
      </c>
      <c r="H81" s="1476"/>
      <c r="I81" s="1476">
        <f>+'Exhibit G State'!J56</f>
        <v>37.699999999999982</v>
      </c>
      <c r="J81" s="1476"/>
      <c r="K81" s="1476">
        <f>+'Exhibit G State'!L56</f>
        <v>15.300000000000004</v>
      </c>
      <c r="L81" s="1476"/>
      <c r="M81" s="1476">
        <f>+'Exhibit G State'!N56</f>
        <v>20</v>
      </c>
      <c r="N81" s="1476"/>
      <c r="O81" s="1476">
        <f>+'Exhibit G State'!P56</f>
        <v>36.79999999999999</v>
      </c>
      <c r="P81" s="1476"/>
      <c r="Q81" s="1476">
        <f>+'Exhibit G State'!R56</f>
        <v>13.300000000000004</v>
      </c>
      <c r="R81" s="1476"/>
      <c r="S81" s="1476">
        <f>+'Exhibit G State'!T56</f>
        <v>17.599999999999994</v>
      </c>
      <c r="T81" s="1476"/>
      <c r="U81" s="1476">
        <f>+'Exhibit G State'!V56</f>
        <v>35.699999999999996</v>
      </c>
      <c r="V81" s="1476"/>
      <c r="W81" s="1476"/>
      <c r="X81" s="1476"/>
      <c r="Y81" s="1476"/>
      <c r="Z81" s="1476"/>
      <c r="AA81" s="2877"/>
      <c r="AB81" s="3272">
        <f>ROUND(SUM(C81:Y81),1)</f>
        <v>246.3</v>
      </c>
      <c r="AC81" s="3272"/>
      <c r="AD81" s="3553"/>
      <c r="AE81" s="3272">
        <f>+'Exhibit G State'!AG56</f>
        <v>223.1</v>
      </c>
      <c r="AF81" s="3274"/>
      <c r="AG81" s="3274"/>
      <c r="AH81" s="3272">
        <f t="shared" si="13"/>
        <v>23.2</v>
      </c>
      <c r="AI81" s="3230"/>
      <c r="AJ81" s="1879">
        <f>ROUND(SUM(AH81/ABS(AE81)),3)</f>
        <v>0.104</v>
      </c>
    </row>
    <row r="82" spans="1:36" ht="15">
      <c r="A82" s="2547" t="s">
        <v>1047</v>
      </c>
      <c r="B82" s="1477"/>
      <c r="C82" s="1476">
        <f>+'Exhibit G State'!D57</f>
        <v>218.4</v>
      </c>
      <c r="D82" s="1476"/>
      <c r="E82" s="1476">
        <f>+'Exhibit G State'!F57</f>
        <v>262</v>
      </c>
      <c r="F82" s="1476"/>
      <c r="G82" s="1476">
        <f>+'Exhibit G State'!H57</f>
        <v>202.30000000000007</v>
      </c>
      <c r="H82" s="1476"/>
      <c r="I82" s="1476">
        <f>+'Exhibit G State'!J57</f>
        <v>225.69999999999993</v>
      </c>
      <c r="J82" s="1476"/>
      <c r="K82" s="1476">
        <f>+'Exhibit G State'!L57</f>
        <v>170.19999999999993</v>
      </c>
      <c r="L82" s="1476"/>
      <c r="M82" s="1476">
        <f>+'Exhibit G State'!N57</f>
        <v>176.30000000000007</v>
      </c>
      <c r="N82" s="1476"/>
      <c r="O82" s="1476">
        <f>+'Exhibit G State'!P57</f>
        <v>220.09999999999991</v>
      </c>
      <c r="P82" s="1476"/>
      <c r="Q82" s="1476">
        <f>+'Exhibit G State'!R57</f>
        <v>177.79999999999995</v>
      </c>
      <c r="R82" s="1476"/>
      <c r="S82" s="1476">
        <f>+'Exhibit G State'!T57</f>
        <v>180.00000000000011</v>
      </c>
      <c r="T82" s="1476"/>
      <c r="U82" s="1476">
        <f>+'Exhibit G State'!V57</f>
        <v>221.50000000000011</v>
      </c>
      <c r="V82" s="1476"/>
      <c r="W82" s="1476"/>
      <c r="X82" s="1476"/>
      <c r="Y82" s="1476"/>
      <c r="Z82" s="1476"/>
      <c r="AA82" s="2877"/>
      <c r="AB82" s="3272">
        <f>ROUND(SUM(C82:Y82),1)</f>
        <v>2054.3000000000002</v>
      </c>
      <c r="AC82" s="3272"/>
      <c r="AD82" s="3553"/>
      <c r="AE82" s="3272">
        <f>+'Exhibit G State'!AG57</f>
        <v>2154.5</v>
      </c>
      <c r="AF82" s="3274"/>
      <c r="AG82" s="3274"/>
      <c r="AH82" s="3272">
        <f t="shared" si="13"/>
        <v>-100.2</v>
      </c>
      <c r="AI82" s="3230"/>
      <c r="AJ82" s="1879">
        <f>ROUND(SUM(AH82/ABS(AE82)),3)</f>
        <v>-4.7E-2</v>
      </c>
    </row>
    <row r="83" spans="1:36" ht="15">
      <c r="A83" s="2547" t="s">
        <v>1048</v>
      </c>
      <c r="B83" s="1477"/>
      <c r="C83" s="1476">
        <f>+'Exhibit G State'!D58</f>
        <v>76.599999999999994</v>
      </c>
      <c r="D83" s="1476"/>
      <c r="E83" s="1476">
        <f>+'Exhibit G State'!F58</f>
        <v>88.5</v>
      </c>
      <c r="F83" s="1476"/>
      <c r="G83" s="1476">
        <f>+'Exhibit G State'!H58</f>
        <v>63.200000000000017</v>
      </c>
      <c r="H83" s="1476"/>
      <c r="I83" s="1476">
        <f>+'Exhibit G State'!J58</f>
        <v>89.5</v>
      </c>
      <c r="J83" s="1476"/>
      <c r="K83" s="1476">
        <f>+'Exhibit G State'!L58</f>
        <v>76.500000000000028</v>
      </c>
      <c r="L83" s="1476"/>
      <c r="M83" s="1476">
        <f>+'Exhibit G State'!N58</f>
        <v>77.5</v>
      </c>
      <c r="N83" s="1476"/>
      <c r="O83" s="1476">
        <f>+'Exhibit G State'!P58</f>
        <v>94.599999999999881</v>
      </c>
      <c r="P83" s="1476"/>
      <c r="Q83" s="1476">
        <f>+'Exhibit G State'!R58</f>
        <v>72.700000000000045</v>
      </c>
      <c r="R83" s="1476"/>
      <c r="S83" s="1476">
        <f>+'Exhibit G State'!T58</f>
        <v>70.600000000000051</v>
      </c>
      <c r="T83" s="1476"/>
      <c r="U83" s="1476">
        <f>+'Exhibit G State'!V58</f>
        <v>99</v>
      </c>
      <c r="V83" s="1476"/>
      <c r="W83" s="1476"/>
      <c r="X83" s="1476"/>
      <c r="Y83" s="1476"/>
      <c r="Z83" s="1476"/>
      <c r="AA83" s="2877"/>
      <c r="AB83" s="3272">
        <f>ROUND(SUM(C83:Y83),1)</f>
        <v>808.7</v>
      </c>
      <c r="AC83" s="3272"/>
      <c r="AD83" s="3553"/>
      <c r="AE83" s="3272">
        <f>+'Exhibit G State'!AG58</f>
        <v>795.7</v>
      </c>
      <c r="AF83" s="3274"/>
      <c r="AG83" s="3274"/>
      <c r="AH83" s="3272">
        <f t="shared" si="13"/>
        <v>13</v>
      </c>
      <c r="AI83" s="3230"/>
      <c r="AJ83" s="1879">
        <f>ROUND(SUM(AH83/ABS(AE83)),3)</f>
        <v>1.6E-2</v>
      </c>
    </row>
    <row r="84" spans="1:36" ht="15">
      <c r="A84" s="2547" t="s">
        <v>1035</v>
      </c>
      <c r="B84" s="1477"/>
      <c r="C84" s="1476">
        <f>+'Exhibit F'!D75+'Exhibit H'!B38+'Exhibit G State'!D59</f>
        <v>41.4</v>
      </c>
      <c r="D84" s="1476"/>
      <c r="E84" s="1476">
        <f>+'Exhibit F'!F75+'Exhibit H'!D38+'Exhibit G State'!F59</f>
        <v>35</v>
      </c>
      <c r="F84" s="1476"/>
      <c r="G84" s="1476">
        <f>+'Exhibit F'!H75+'Exhibit H'!F38+'Exhibit G State'!H59</f>
        <v>41.599999999999994</v>
      </c>
      <c r="H84" s="1476"/>
      <c r="I84" s="1476">
        <f>+'Exhibit F'!J75+'Exhibit H'!H38+'Exhibit G State'!J59</f>
        <v>32.900000000000006</v>
      </c>
      <c r="J84" s="1476"/>
      <c r="K84" s="1476">
        <f>+'Exhibit F'!L75+'Exhibit H'!J38+'Exhibit G State'!L59</f>
        <v>35.300000000000018</v>
      </c>
      <c r="L84" s="1476"/>
      <c r="M84" s="1476">
        <f>+'Exhibit F'!N75+'Exhibit H'!L38+'Exhibit G State'!N59</f>
        <v>32.199999999999982</v>
      </c>
      <c r="N84" s="1476"/>
      <c r="O84" s="1476">
        <f>+'Exhibit F'!P75+'Exhibit H'!N38+'Exhibit G State'!P59</f>
        <v>33.799999999999983</v>
      </c>
      <c r="P84" s="1476"/>
      <c r="Q84" s="1476">
        <f>+'Exhibit F'!R75+'Exhibit H'!P38+'Exhibit G State'!R59</f>
        <v>30.400000000000009</v>
      </c>
      <c r="R84" s="1476"/>
      <c r="S84" s="1476">
        <f>+'Exhibit F'!T75+'Exhibit H'!R38+'Exhibit G State'!T59</f>
        <v>25.000000000000018</v>
      </c>
      <c r="T84" s="1476"/>
      <c r="U84" s="1476">
        <f>+'Exhibit F'!V75+'Exhibit H'!T38+'Exhibit G State'!V59</f>
        <v>24.100000000000026</v>
      </c>
      <c r="V84" s="1476"/>
      <c r="W84" s="1476"/>
      <c r="X84" s="1476"/>
      <c r="Y84" s="1476"/>
      <c r="Z84" s="1476"/>
      <c r="AA84" s="2877"/>
      <c r="AB84" s="3272">
        <f>ROUND(SUM(C84:Y84),1)</f>
        <v>331.7</v>
      </c>
      <c r="AC84" s="3272"/>
      <c r="AD84" s="3553"/>
      <c r="AE84" s="3272">
        <f>+'Exhibit F'!AF75+'Exhibit H'!AD38+'Exhibit G State'!AG59</f>
        <v>242.3</v>
      </c>
      <c r="AF84" s="3274"/>
      <c r="AG84" s="3274"/>
      <c r="AH84" s="3272">
        <f t="shared" si="13"/>
        <v>89.4</v>
      </c>
      <c r="AI84" s="3230"/>
      <c r="AJ84" s="1879">
        <f>ROUND(SUM(AH84/ABS(AE84)),3)</f>
        <v>0.36899999999999999</v>
      </c>
    </row>
    <row r="85" spans="1:36" ht="15">
      <c r="A85" s="2547" t="s">
        <v>1158</v>
      </c>
      <c r="B85" s="1477"/>
      <c r="C85" s="1476"/>
      <c r="D85" s="1476"/>
      <c r="E85" s="1476"/>
      <c r="F85" s="1476"/>
      <c r="G85" s="1476"/>
      <c r="H85" s="1476"/>
      <c r="I85" s="1476"/>
      <c r="J85" s="1476"/>
      <c r="K85" s="1476"/>
      <c r="L85" s="1476"/>
      <c r="M85" s="1476"/>
      <c r="N85" s="1476"/>
      <c r="O85" s="1476"/>
      <c r="P85" s="1476"/>
      <c r="Q85" s="1476"/>
      <c r="R85" s="1476"/>
      <c r="S85" s="1476"/>
      <c r="T85" s="1476"/>
      <c r="U85" s="1476"/>
      <c r="V85" s="1476"/>
      <c r="W85" s="1476"/>
      <c r="X85" s="1476"/>
      <c r="Y85" s="1476"/>
      <c r="Z85" s="1476"/>
      <c r="AA85" s="2877"/>
      <c r="AB85" s="3272"/>
      <c r="AC85" s="3272"/>
      <c r="AD85" s="3553"/>
      <c r="AE85" s="3272"/>
      <c r="AF85" s="3274"/>
      <c r="AG85" s="3274"/>
      <c r="AH85" s="3272"/>
      <c r="AI85" s="3230"/>
      <c r="AJ85" s="1774"/>
    </row>
    <row r="86" spans="1:36" ht="15">
      <c r="A86" s="2547" t="s">
        <v>1049</v>
      </c>
      <c r="B86" s="1477"/>
      <c r="C86" s="1476">
        <f>+'Exhibit G State'!D61</f>
        <v>0</v>
      </c>
      <c r="D86" s="1476"/>
      <c r="E86" s="1476">
        <f>+'Exhibit G State'!F61</f>
        <v>0</v>
      </c>
      <c r="F86" s="1476"/>
      <c r="G86" s="1476">
        <f>+'Exhibit G State'!H61</f>
        <v>0</v>
      </c>
      <c r="H86" s="1476"/>
      <c r="I86" s="1476">
        <f>+'Exhibit G State'!J61</f>
        <v>0</v>
      </c>
      <c r="J86" s="1476"/>
      <c r="K86" s="1476">
        <f>+'Exhibit G State'!L61</f>
        <v>0</v>
      </c>
      <c r="L86" s="1476"/>
      <c r="M86" s="1476">
        <f>+'Exhibit G State'!N61</f>
        <v>0</v>
      </c>
      <c r="N86" s="1476"/>
      <c r="O86" s="1476">
        <f>+'Exhibit G State'!P61</f>
        <v>0</v>
      </c>
      <c r="P86" s="1476"/>
      <c r="Q86" s="1476">
        <f>+'Exhibit G State'!R61</f>
        <v>0</v>
      </c>
      <c r="R86" s="1476"/>
      <c r="S86" s="1476">
        <f>+'Exhibit G State'!T61</f>
        <v>0</v>
      </c>
      <c r="T86" s="1476"/>
      <c r="U86" s="1476">
        <f>+'Exhibit G State'!V61</f>
        <v>0</v>
      </c>
      <c r="V86" s="1476"/>
      <c r="W86" s="1476"/>
      <c r="X86" s="1476"/>
      <c r="Y86" s="1476"/>
      <c r="Z86" s="1476"/>
      <c r="AA86" s="2877"/>
      <c r="AB86" s="3272">
        <f t="shared" ref="AB86:AB91" si="15">ROUND(SUM(C86:Y86),1)</f>
        <v>0</v>
      </c>
      <c r="AC86" s="3272"/>
      <c r="AD86" s="3553"/>
      <c r="AE86" s="3272">
        <f>+'Exhibit G State'!AG61</f>
        <v>0</v>
      </c>
      <c r="AF86" s="3274"/>
      <c r="AG86" s="3274"/>
      <c r="AH86" s="3272">
        <f t="shared" si="13"/>
        <v>0</v>
      </c>
      <c r="AI86" s="3230"/>
      <c r="AJ86" s="1774">
        <f>ROUND(IF(AE86=0,0,AH86/ABS(AE86)),3)</f>
        <v>0</v>
      </c>
    </row>
    <row r="87" spans="1:36" ht="15">
      <c r="A87" s="2547" t="s">
        <v>1050</v>
      </c>
      <c r="B87" s="1477"/>
      <c r="C87" s="1476">
        <f>+'Exhibit F'!D77+'Exhibit G State'!D62</f>
        <v>0</v>
      </c>
      <c r="D87" s="1476"/>
      <c r="E87" s="1476">
        <f>+'Exhibit F'!F77+'Exhibit G State'!F62</f>
        <v>0</v>
      </c>
      <c r="F87" s="1476"/>
      <c r="G87" s="1476">
        <f>+'Exhibit F'!H77+'Exhibit G State'!H62</f>
        <v>0</v>
      </c>
      <c r="H87" s="1476"/>
      <c r="I87" s="1476">
        <f>+'Exhibit F'!J77+'Exhibit G State'!J62</f>
        <v>0</v>
      </c>
      <c r="J87" s="1476"/>
      <c r="K87" s="1476">
        <f>+'Exhibit F'!L77+'Exhibit G State'!L62</f>
        <v>5.0999999999999996</v>
      </c>
      <c r="L87" s="1476"/>
      <c r="M87" s="1476">
        <f>+'Exhibit F'!N77+'Exhibit G State'!N62</f>
        <v>28.1</v>
      </c>
      <c r="N87" s="1476"/>
      <c r="O87" s="1476">
        <f>+'Exhibit F'!P77+'Exhibit G State'!P62</f>
        <v>13.499999999999998</v>
      </c>
      <c r="P87" s="1476"/>
      <c r="Q87" s="1476">
        <f>+'Exhibit F'!R77+'Exhibit G State'!R62</f>
        <v>0</v>
      </c>
      <c r="R87" s="1476"/>
      <c r="S87" s="1476">
        <f>+'Exhibit F'!T77+'Exhibit G State'!T62</f>
        <v>6.0000000000000036</v>
      </c>
      <c r="T87" s="1476"/>
      <c r="U87" s="1476">
        <f>+'Exhibit F'!V77+'Exhibit G State'!V62</f>
        <v>-12.200000000000003</v>
      </c>
      <c r="V87" s="1476"/>
      <c r="W87" s="1476"/>
      <c r="X87" s="1476"/>
      <c r="Y87" s="1476"/>
      <c r="Z87" s="1476"/>
      <c r="AA87" s="2877"/>
      <c r="AB87" s="3272">
        <f t="shared" si="15"/>
        <v>40.5</v>
      </c>
      <c r="AC87" s="3272"/>
      <c r="AD87" s="3553"/>
      <c r="AE87" s="3272">
        <f>+'Exhibit F'!AF77+'Exhibit G State'!AG62</f>
        <v>46.400000000000006</v>
      </c>
      <c r="AF87" s="3274"/>
      <c r="AG87" s="3274"/>
      <c r="AH87" s="3272">
        <f t="shared" si="13"/>
        <v>-5.9</v>
      </c>
      <c r="AI87" s="3230"/>
      <c r="AJ87" s="1868">
        <f>ROUND(IF(AE87=0,0,AH87/ABS(AE87)),3)</f>
        <v>-0.127</v>
      </c>
    </row>
    <row r="88" spans="1:36" ht="15">
      <c r="A88" s="2547" t="s">
        <v>1051</v>
      </c>
      <c r="B88" s="1477"/>
      <c r="C88" s="1476">
        <f>+'Exhibit F'!D78+'Exhibit G State'!D63</f>
        <v>2</v>
      </c>
      <c r="D88" s="1476"/>
      <c r="E88" s="1476">
        <f>+'Exhibit F'!F78+'Exhibit G State'!F63</f>
        <v>1</v>
      </c>
      <c r="F88" s="1476"/>
      <c r="G88" s="1476">
        <f>+'Exhibit F'!H78+'Exhibit G State'!H63</f>
        <v>15.100000000000001</v>
      </c>
      <c r="H88" s="1476"/>
      <c r="I88" s="1476">
        <f>+'Exhibit F'!J78+'Exhibit G State'!J63</f>
        <v>6.9999999999999982</v>
      </c>
      <c r="J88" s="1476"/>
      <c r="K88" s="1476">
        <f>+'Exhibit F'!L78+'Exhibit G State'!L63</f>
        <v>0</v>
      </c>
      <c r="L88" s="1476"/>
      <c r="M88" s="1476">
        <f>+'Exhibit F'!N78+'Exhibit G State'!N63</f>
        <v>0.80000000000000071</v>
      </c>
      <c r="N88" s="1476"/>
      <c r="O88" s="1476">
        <f>+'Exhibit F'!P78+'Exhibit G State'!P63</f>
        <v>14.800000000000002</v>
      </c>
      <c r="P88" s="1476"/>
      <c r="Q88" s="1476">
        <f>+'Exhibit F'!R78+'Exhibit G State'!R63</f>
        <v>3.4999999999999982</v>
      </c>
      <c r="R88" s="1476"/>
      <c r="S88" s="1476">
        <f>+'Exhibit F'!T78+'Exhibit G State'!T63</f>
        <v>9.5</v>
      </c>
      <c r="T88" s="1476"/>
      <c r="U88" s="1476">
        <f>+'Exhibit F'!V78+'Exhibit G State'!V63</f>
        <v>29.79999999999999</v>
      </c>
      <c r="V88" s="1476"/>
      <c r="W88" s="1476"/>
      <c r="X88" s="1476"/>
      <c r="Y88" s="1476"/>
      <c r="Z88" s="1476"/>
      <c r="AA88" s="2877"/>
      <c r="AB88" s="3272">
        <f t="shared" si="15"/>
        <v>83.5</v>
      </c>
      <c r="AC88" s="3272"/>
      <c r="AD88" s="3553"/>
      <c r="AE88" s="3272">
        <f>+'Exhibit F'!AF78+'Exhibit G State'!AG63</f>
        <v>91.2</v>
      </c>
      <c r="AF88" s="3274"/>
      <c r="AG88" s="3274"/>
      <c r="AH88" s="3272">
        <f t="shared" si="13"/>
        <v>-7.7</v>
      </c>
      <c r="AI88" s="3230"/>
      <c r="AJ88" s="1879">
        <f>ROUND(SUM(AH88/ABS(AE88)),3)</f>
        <v>-8.4000000000000005E-2</v>
      </c>
    </row>
    <row r="89" spans="1:36" ht="15">
      <c r="A89" s="2547" t="s">
        <v>1052</v>
      </c>
      <c r="B89" s="1477"/>
      <c r="C89" s="1476">
        <f>+'Exhibit F'!D79+'Exhibit G State'!D64</f>
        <v>0.7</v>
      </c>
      <c r="D89" s="1476"/>
      <c r="E89" s="1476">
        <f>+'Exhibit F'!F79+'Exhibit G State'!F64</f>
        <v>4.7</v>
      </c>
      <c r="F89" s="1476"/>
      <c r="G89" s="1476">
        <f>+'Exhibit F'!H79+'Exhibit G State'!H64</f>
        <v>4.3</v>
      </c>
      <c r="H89" s="1476"/>
      <c r="I89" s="1476">
        <f>+'Exhibit F'!J79+'Exhibit G State'!J64</f>
        <v>13.5</v>
      </c>
      <c r="J89" s="1476"/>
      <c r="K89" s="1476">
        <f>+'Exhibit F'!L79+'Exhibit G State'!L64</f>
        <v>0</v>
      </c>
      <c r="L89" s="1476"/>
      <c r="M89" s="1476">
        <f>+'Exhibit F'!N79+'Exhibit G State'!N64</f>
        <v>26.699999999999996</v>
      </c>
      <c r="N89" s="1476"/>
      <c r="O89" s="1476">
        <f>+'Exhibit F'!P79+'Exhibit G State'!P64</f>
        <v>4.5</v>
      </c>
      <c r="P89" s="1476"/>
      <c r="Q89" s="1476">
        <f>+'Exhibit F'!R79+'Exhibit G State'!R64</f>
        <v>0</v>
      </c>
      <c r="R89" s="1476"/>
      <c r="S89" s="1476">
        <f>+'Exhibit F'!T79+'Exhibit G State'!T64</f>
        <v>2.6000000000000014</v>
      </c>
      <c r="T89" s="1476"/>
      <c r="U89" s="1476">
        <f>+'Exhibit F'!V79+'Exhibit G State'!V64</f>
        <v>23.099999999999998</v>
      </c>
      <c r="V89" s="1476"/>
      <c r="W89" s="1476"/>
      <c r="X89" s="1476"/>
      <c r="Y89" s="1476"/>
      <c r="Z89" s="1476"/>
      <c r="AA89" s="2877"/>
      <c r="AB89" s="3272">
        <f t="shared" si="15"/>
        <v>80.099999999999994</v>
      </c>
      <c r="AC89" s="3272"/>
      <c r="AD89" s="3553"/>
      <c r="AE89" s="3272">
        <f>+'Exhibit F'!AF79+'Exhibit G State'!AG64</f>
        <v>70.400000000000006</v>
      </c>
      <c r="AF89" s="3274"/>
      <c r="AG89" s="3274"/>
      <c r="AH89" s="3272">
        <f t="shared" si="13"/>
        <v>9.6999999999999993</v>
      </c>
      <c r="AI89" s="3230"/>
      <c r="AJ89" s="1879">
        <f>ROUND(SUM(AH89/ABS(AE89)),3)</f>
        <v>0.13800000000000001</v>
      </c>
    </row>
    <row r="90" spans="1:36" ht="15">
      <c r="A90" s="2547" t="s">
        <v>1053</v>
      </c>
      <c r="B90" s="1477"/>
      <c r="C90" s="1476">
        <f>+'Exhibit F'!D80+'Exhibit H'!B39+'Exhibit G State'!D65</f>
        <v>26.1</v>
      </c>
      <c r="D90" s="1476"/>
      <c r="E90" s="1476">
        <f>+'Exhibit F'!F80+'Exhibit H'!D39+'Exhibit G State'!F65</f>
        <v>3.1999999999999993</v>
      </c>
      <c r="F90" s="1476"/>
      <c r="G90" s="1476">
        <f>+'Exhibit F'!H80+'Exhibit H'!F39+'Exhibit G State'!H65</f>
        <v>6.2999999999999989</v>
      </c>
      <c r="H90" s="1476"/>
      <c r="I90" s="1476">
        <f>+'Exhibit F'!J80+'Exhibit H'!H39+'Exhibit G State'!J65</f>
        <v>4.4000000000000012</v>
      </c>
      <c r="J90" s="1476"/>
      <c r="K90" s="1476">
        <f>+'Exhibit F'!L80+'Exhibit H'!J39+'Exhibit G State'!L65</f>
        <v>2.3000000000000007</v>
      </c>
      <c r="L90" s="1476"/>
      <c r="M90" s="1476">
        <f>+'Exhibit F'!N80+'Exhibit H'!L39+'Exhibit G State'!N65</f>
        <v>5.8999999999999968</v>
      </c>
      <c r="N90" s="1476"/>
      <c r="O90" s="1476">
        <f>+'Exhibit F'!P80+'Exhibit H'!N39+'Exhibit G State'!P65</f>
        <v>4.4000000000000075</v>
      </c>
      <c r="P90" s="1476"/>
      <c r="Q90" s="1476">
        <f>+'Exhibit F'!R80+'Exhibit H'!P39+'Exhibit G State'!R65</f>
        <v>1.8999999999999955</v>
      </c>
      <c r="R90" s="1476"/>
      <c r="S90" s="1476">
        <f>+'Exhibit F'!T80+'Exhibit H'!R39+'Exhibit G State'!T65</f>
        <v>5.8999999999999986</v>
      </c>
      <c r="T90" s="1476"/>
      <c r="U90" s="1476">
        <f>+'Exhibit F'!V80+'Exhibit H'!T39+'Exhibit G State'!V65</f>
        <v>2.1000000000000014</v>
      </c>
      <c r="V90" s="1476"/>
      <c r="W90" s="1476"/>
      <c r="X90" s="1476"/>
      <c r="Y90" s="1476"/>
      <c r="Z90" s="1476"/>
      <c r="AA90" s="2877"/>
      <c r="AB90" s="3272">
        <f t="shared" si="15"/>
        <v>62.5</v>
      </c>
      <c r="AC90" s="3272"/>
      <c r="AD90" s="3553"/>
      <c r="AE90" s="3272">
        <f>+'Exhibit F'!AF80+'Exhibit H'!AD39+'Exhibit G State'!AG65</f>
        <v>265.5</v>
      </c>
      <c r="AF90" s="3274"/>
      <c r="AG90" s="3274"/>
      <c r="AH90" s="3272">
        <f t="shared" si="13"/>
        <v>-203</v>
      </c>
      <c r="AI90" s="3230"/>
      <c r="AJ90" s="1879">
        <f>ROUND(SUM(AH90/ABS(AE90)),3)</f>
        <v>-0.76500000000000001</v>
      </c>
    </row>
    <row r="91" spans="1:36" ht="15">
      <c r="A91" s="2547" t="s">
        <v>1054</v>
      </c>
      <c r="B91" s="1477"/>
      <c r="C91" s="1476">
        <f>+'Exhibit F'!D81+'Exhibit H'!B40+'Exhibit G State'!D66</f>
        <v>39.299999999999997</v>
      </c>
      <c r="D91" s="1476"/>
      <c r="E91" s="1476">
        <f>+'Exhibit F'!F81+'Exhibit H'!D40+'Exhibit G State'!F66</f>
        <v>28.300000000000004</v>
      </c>
      <c r="F91" s="1476"/>
      <c r="G91" s="1476">
        <f>+'Exhibit F'!H81+'Exhibit H'!F40+'Exhibit G State'!H66</f>
        <v>8.5999999999999908</v>
      </c>
      <c r="H91" s="1476"/>
      <c r="I91" s="1476">
        <f>+'Exhibit F'!J81+'Exhibit H'!H40+'Exhibit G State'!J66</f>
        <v>29.600000000000012</v>
      </c>
      <c r="J91" s="1476"/>
      <c r="K91" s="1476">
        <f>+'Exhibit F'!L81+'Exhibit H'!J40+'Exhibit G State'!L66</f>
        <v>1.0000000000000056</v>
      </c>
      <c r="L91" s="1476"/>
      <c r="M91" s="1476">
        <f>+'Exhibit F'!N81+'Exhibit H'!L40+'Exhibit G State'!N66</f>
        <v>0.69999999999998574</v>
      </c>
      <c r="N91" s="1476"/>
      <c r="O91" s="1476">
        <f>+'Exhibit F'!P81+'Exhibit H'!N40+'Exhibit G State'!P66</f>
        <v>65.700000000000017</v>
      </c>
      <c r="P91" s="1476"/>
      <c r="Q91" s="1476">
        <f>+'Exhibit F'!R81+'Exhibit H'!P40+'Exhibit G State'!R66</f>
        <v>24.100000000000016</v>
      </c>
      <c r="R91" s="1476"/>
      <c r="S91" s="1476">
        <f>+'Exhibit F'!T81+'Exhibit H'!R40+'Exhibit G State'!T66</f>
        <v>23.099999999999991</v>
      </c>
      <c r="T91" s="1476"/>
      <c r="U91" s="1476">
        <f>+'Exhibit F'!V81+'Exhibit H'!T40+'Exhibit G State'!V66</f>
        <v>48.200000000000038</v>
      </c>
      <c r="V91" s="1476"/>
      <c r="W91" s="1476"/>
      <c r="X91" s="1476"/>
      <c r="Y91" s="1476"/>
      <c r="Z91" s="1476"/>
      <c r="AA91" s="2877"/>
      <c r="AB91" s="3272">
        <f t="shared" si="15"/>
        <v>268.60000000000002</v>
      </c>
      <c r="AC91" s="3272"/>
      <c r="AD91" s="3553"/>
      <c r="AE91" s="3272">
        <f>+'Exhibit F'!AF81+'Exhibit H'!AD40+'Exhibit G State'!AG66</f>
        <v>295.5</v>
      </c>
      <c r="AF91" s="3274"/>
      <c r="AG91" s="3274"/>
      <c r="AH91" s="3272">
        <f t="shared" si="13"/>
        <v>-26.9</v>
      </c>
      <c r="AI91" s="3230"/>
      <c r="AJ91" s="1879">
        <f>ROUND(SUM(AH91/ABS(AE91)),3)</f>
        <v>-9.0999999999999998E-2</v>
      </c>
    </row>
    <row r="92" spans="1:36" ht="15">
      <c r="A92" s="2547" t="s">
        <v>1159</v>
      </c>
      <c r="B92" s="1477"/>
      <c r="C92" s="1476"/>
      <c r="D92" s="1476"/>
      <c r="E92" s="1476"/>
      <c r="F92" s="1476"/>
      <c r="G92" s="1476"/>
      <c r="H92" s="1476"/>
      <c r="I92" s="1476"/>
      <c r="J92" s="1476"/>
      <c r="K92" s="1476"/>
      <c r="L92" s="1476"/>
      <c r="M92" s="1476"/>
      <c r="N92" s="1476"/>
      <c r="O92" s="1476"/>
      <c r="P92" s="1476"/>
      <c r="Q92" s="1476"/>
      <c r="R92" s="1476"/>
      <c r="S92" s="1476"/>
      <c r="T92" s="1476"/>
      <c r="U92" s="1476"/>
      <c r="V92" s="1476"/>
      <c r="W92" s="1476"/>
      <c r="X92" s="1476"/>
      <c r="Y92" s="1476"/>
      <c r="Z92" s="1476"/>
      <c r="AA92" s="2877"/>
      <c r="AB92" s="3272"/>
      <c r="AC92" s="3272"/>
      <c r="AD92" s="3553"/>
      <c r="AE92" s="3272"/>
      <c r="AF92" s="3274"/>
      <c r="AG92" s="3274"/>
      <c r="AH92" s="3272"/>
      <c r="AI92" s="3230"/>
      <c r="AJ92" s="1774"/>
    </row>
    <row r="93" spans="1:36" ht="15">
      <c r="A93" s="2547" t="s">
        <v>1055</v>
      </c>
      <c r="B93" s="1477"/>
      <c r="C93" s="1476">
        <f>+'Exhibit F'!D83+'Exhibit G State'!D68</f>
        <v>1.9</v>
      </c>
      <c r="D93" s="1476"/>
      <c r="E93" s="1476">
        <f>+'Exhibit F'!F83+'Exhibit G State'!F68</f>
        <v>2.8000000000000003</v>
      </c>
      <c r="F93" s="1476"/>
      <c r="G93" s="1476">
        <f>+'Exhibit F'!H83+'Exhibit G State'!H68</f>
        <v>24.700000000000003</v>
      </c>
      <c r="H93" s="1476"/>
      <c r="I93" s="1476">
        <f>+'Exhibit F'!J83+'Exhibit G State'!J68</f>
        <v>17.7</v>
      </c>
      <c r="J93" s="1476"/>
      <c r="K93" s="1476">
        <f>+'Exhibit F'!L83+'Exhibit G State'!L68</f>
        <v>4.5999999999999979</v>
      </c>
      <c r="L93" s="1476"/>
      <c r="M93" s="1476">
        <f>+'Exhibit F'!N83+'Exhibit G State'!N68</f>
        <v>21.900000000000006</v>
      </c>
      <c r="N93" s="1476"/>
      <c r="O93" s="1476">
        <f>+'Exhibit F'!P83+'Exhibit G State'!P68</f>
        <v>26.700000000000003</v>
      </c>
      <c r="P93" s="1476"/>
      <c r="Q93" s="1476">
        <f>+'Exhibit F'!R83+'Exhibit G State'!R68</f>
        <v>27.6</v>
      </c>
      <c r="R93" s="1476"/>
      <c r="S93" s="1476">
        <f>+'Exhibit F'!T83+'Exhibit G State'!T68</f>
        <v>32.000000000000007</v>
      </c>
      <c r="T93" s="1476"/>
      <c r="U93" s="1476">
        <f>+'Exhibit F'!V83+'Exhibit G State'!V68</f>
        <v>15.899999999999977</v>
      </c>
      <c r="V93" s="1476"/>
      <c r="W93" s="1476"/>
      <c r="X93" s="1476"/>
      <c r="Y93" s="1476"/>
      <c r="Z93" s="1476"/>
      <c r="AA93" s="2877"/>
      <c r="AB93" s="3272">
        <f t="shared" ref="AB93:AB104" si="16">ROUND(SUM(C93:Y93),1)</f>
        <v>175.8</v>
      </c>
      <c r="AC93" s="3272"/>
      <c r="AD93" s="3553"/>
      <c r="AE93" s="3272">
        <f>+'Exhibit F'!AF83+'Exhibit G State'!AG68</f>
        <v>156.1</v>
      </c>
      <c r="AF93" s="3274"/>
      <c r="AG93" s="3274"/>
      <c r="AH93" s="3272">
        <f t="shared" si="13"/>
        <v>19.7</v>
      </c>
      <c r="AI93" s="3230"/>
      <c r="AJ93" s="1868">
        <f>ROUND(SUM(AH93/ABS(AE93)),3)</f>
        <v>0.126</v>
      </c>
    </row>
    <row r="94" spans="1:36" ht="15">
      <c r="A94" s="2547" t="s">
        <v>1056</v>
      </c>
      <c r="B94" s="1477"/>
      <c r="C94" s="1476">
        <f>+'Exhibit G State'!D69+'Exhibit F'!D84</f>
        <v>0.6</v>
      </c>
      <c r="D94" s="1476"/>
      <c r="E94" s="1476">
        <f>+'Exhibit G State'!F69+'Exhibit F'!F84</f>
        <v>0.6</v>
      </c>
      <c r="F94" s="1476"/>
      <c r="G94" s="1476">
        <f>+'Exhibit G State'!H69+'Exhibit F'!H84</f>
        <v>0.6</v>
      </c>
      <c r="H94" s="1476"/>
      <c r="I94" s="1476">
        <f>+'Exhibit G State'!J69+'Exhibit F'!J84</f>
        <v>0.60000000000000586</v>
      </c>
      <c r="J94" s="1476"/>
      <c r="K94" s="1476">
        <f>+'Exhibit G State'!L69+'Exhibit F'!L84</f>
        <v>0.19999999999999143</v>
      </c>
      <c r="L94" s="1476"/>
      <c r="M94" s="1476">
        <f>+'Exhibit G State'!N69+'Exhibit F'!N84</f>
        <v>0.79999999999999716</v>
      </c>
      <c r="N94" s="1476"/>
      <c r="O94" s="1476">
        <f>+'Exhibit G State'!P69+'Exhibit F'!P84</f>
        <v>0.70000000000001705</v>
      </c>
      <c r="P94" s="1476"/>
      <c r="Q94" s="1476">
        <f>+'Exhibit G State'!R69+'Exhibit F'!R84</f>
        <v>0.79999999999999405</v>
      </c>
      <c r="R94" s="1476"/>
      <c r="S94" s="1476">
        <f>+'Exhibit G State'!T69+'Exhibit F'!T84</f>
        <v>82.300000000000011</v>
      </c>
      <c r="T94" s="1476"/>
      <c r="U94" s="1476">
        <f>+'Exhibit G State'!V69+'Exhibit F'!V84</f>
        <v>-66.899999999999977</v>
      </c>
      <c r="V94" s="1476"/>
      <c r="W94" s="1476"/>
      <c r="X94" s="1476"/>
      <c r="Y94" s="1476"/>
      <c r="Z94" s="1476"/>
      <c r="AA94" s="2877"/>
      <c r="AB94" s="3272">
        <f t="shared" si="16"/>
        <v>20.3</v>
      </c>
      <c r="AC94" s="3272"/>
      <c r="AD94" s="3553"/>
      <c r="AE94" s="3272">
        <f>+'Exhibit G State'!AG69+'Exhibit F'!AF84</f>
        <v>14.1</v>
      </c>
      <c r="AF94" s="3274"/>
      <c r="AG94" s="3274"/>
      <c r="AH94" s="3272">
        <f t="shared" si="13"/>
        <v>6.2</v>
      </c>
      <c r="AI94" s="3230"/>
      <c r="AJ94" s="1779">
        <f>ROUND(IF(AE94=0,1,AH94/ABS(AE94)),3)</f>
        <v>0.44</v>
      </c>
    </row>
    <row r="95" spans="1:36" ht="15">
      <c r="A95" s="908" t="s">
        <v>1429</v>
      </c>
      <c r="B95" s="1477"/>
      <c r="C95" s="1476">
        <v>0</v>
      </c>
      <c r="D95" s="1476"/>
      <c r="E95" s="1476">
        <v>0</v>
      </c>
      <c r="F95" s="1476"/>
      <c r="G95" s="1476">
        <v>0</v>
      </c>
      <c r="H95" s="1476"/>
      <c r="I95" s="1476">
        <v>0</v>
      </c>
      <c r="J95" s="1476"/>
      <c r="K95" s="1476">
        <v>0</v>
      </c>
      <c r="L95" s="1476"/>
      <c r="M95" s="1476">
        <v>0</v>
      </c>
      <c r="N95" s="1476"/>
      <c r="O95" s="1476">
        <v>0</v>
      </c>
      <c r="P95" s="1476"/>
      <c r="Q95" s="1476">
        <v>0</v>
      </c>
      <c r="R95" s="1476"/>
      <c r="S95" s="1476">
        <v>0</v>
      </c>
      <c r="T95" s="1476"/>
      <c r="U95" s="1476">
        <f>+'Exhibit G State'!V70</f>
        <v>468</v>
      </c>
      <c r="V95" s="1476"/>
      <c r="W95" s="1476"/>
      <c r="X95" s="1476"/>
      <c r="Y95" s="1476"/>
      <c r="Z95" s="1476"/>
      <c r="AA95" s="2877"/>
      <c r="AB95" s="3272">
        <f t="shared" si="16"/>
        <v>468</v>
      </c>
      <c r="AC95" s="3272"/>
      <c r="AD95" s="3553"/>
      <c r="AE95" s="3272">
        <f>+'Exhibit G State'!AG70</f>
        <v>1068</v>
      </c>
      <c r="AF95" s="3274"/>
      <c r="AG95" s="3274"/>
      <c r="AH95" s="3272">
        <f t="shared" ref="AH95" si="17">ROUND(SUM(AB95-AE95),1)</f>
        <v>-600</v>
      </c>
      <c r="AI95" s="3230"/>
      <c r="AJ95" s="1774">
        <f>ROUND(IF(AE95=0,0,AH95/ABS(AE95)),3)</f>
        <v>-0.56200000000000006</v>
      </c>
    </row>
    <row r="96" spans="1:36" ht="15">
      <c r="A96" s="2547" t="s">
        <v>1057</v>
      </c>
      <c r="B96" s="1477"/>
      <c r="C96" s="1476">
        <f>+'Exhibit F'!D85+'Exhibit G State'!D71</f>
        <v>0.8</v>
      </c>
      <c r="D96" s="1476"/>
      <c r="E96" s="1476">
        <f>+'Exhibit F'!F85+'Exhibit G State'!F71</f>
        <v>1</v>
      </c>
      <c r="F96" s="1476"/>
      <c r="G96" s="1476">
        <f>+'Exhibit F'!H85+'Exhibit G State'!H71</f>
        <v>2.8</v>
      </c>
      <c r="H96" s="1476"/>
      <c r="I96" s="1476">
        <f>+'Exhibit F'!J85+'Exhibit G State'!J71</f>
        <v>0.30000000000000071</v>
      </c>
      <c r="J96" s="1476"/>
      <c r="K96" s="1476">
        <f>+'Exhibit F'!L85+'Exhibit G State'!L71</f>
        <v>0.59999999999999964</v>
      </c>
      <c r="L96" s="1476"/>
      <c r="M96" s="1476">
        <f>+'Exhibit F'!N85+'Exhibit G State'!N71</f>
        <v>0</v>
      </c>
      <c r="N96" s="1476"/>
      <c r="O96" s="1476">
        <f>+'Exhibit F'!P85+'Exhibit G State'!P71</f>
        <v>0.29999999999999982</v>
      </c>
      <c r="P96" s="1476"/>
      <c r="Q96" s="1476">
        <f>+'Exhibit F'!R85+'Exhibit G State'!R71</f>
        <v>0.29999999999999982</v>
      </c>
      <c r="R96" s="1476"/>
      <c r="S96" s="1476">
        <f>+'Exhibit F'!T85+'Exhibit G State'!T71</f>
        <v>0.30000000000000071</v>
      </c>
      <c r="T96" s="1476"/>
      <c r="U96" s="1476">
        <f>+'Exhibit F'!V85+'Exhibit G State'!V71</f>
        <v>0.5</v>
      </c>
      <c r="V96" s="1476"/>
      <c r="W96" s="1476"/>
      <c r="X96" s="1476"/>
      <c r="Y96" s="1476"/>
      <c r="Z96" s="1476"/>
      <c r="AA96" s="2877"/>
      <c r="AB96" s="3272">
        <f t="shared" si="16"/>
        <v>6.9</v>
      </c>
      <c r="AC96" s="3272"/>
      <c r="AD96" s="3553"/>
      <c r="AE96" s="3272">
        <f>+'Exhibit F'!AF85+'Exhibit G State'!AG71</f>
        <v>106.2</v>
      </c>
      <c r="AF96" s="3274"/>
      <c r="AG96" s="3274"/>
      <c r="AH96" s="3272">
        <f t="shared" si="13"/>
        <v>-99.3</v>
      </c>
      <c r="AI96" s="3230"/>
      <c r="AJ96" s="1879">
        <f t="shared" ref="AJ96:AJ103" si="18">ROUND(SUM(AH96/ABS(AE96)),3)</f>
        <v>-0.93500000000000005</v>
      </c>
    </row>
    <row r="97" spans="1:45" ht="15">
      <c r="A97" s="2547" t="s">
        <v>1058</v>
      </c>
      <c r="B97" s="1477"/>
      <c r="C97" s="1476">
        <f>+'Exhibit F'!D86+'Exhibit G State'!D72</f>
        <v>6.5</v>
      </c>
      <c r="D97" s="1476"/>
      <c r="E97" s="1476">
        <f>+'Exhibit F'!F86+'Exhibit G State'!F72</f>
        <v>5.2000000000000011</v>
      </c>
      <c r="F97" s="1476"/>
      <c r="G97" s="1476">
        <f>+'Exhibit F'!H86+'Exhibit G State'!H72</f>
        <v>8.6999999999999993</v>
      </c>
      <c r="H97" s="1476"/>
      <c r="I97" s="1476">
        <f>+'Exhibit F'!J86+'Exhibit G State'!J72</f>
        <v>8.3000000000000007</v>
      </c>
      <c r="J97" s="1476"/>
      <c r="K97" s="1476">
        <f>+'Exhibit F'!L86+'Exhibit G State'!L72</f>
        <v>7.1999999999999957</v>
      </c>
      <c r="L97" s="1476"/>
      <c r="M97" s="1476">
        <f>+'Exhibit F'!N86+'Exhibit G State'!N72</f>
        <v>5.7999999999999972</v>
      </c>
      <c r="N97" s="1476"/>
      <c r="O97" s="1476">
        <f>+'Exhibit F'!P86+'Exhibit G State'!P72</f>
        <v>7</v>
      </c>
      <c r="P97" s="1476"/>
      <c r="Q97" s="1476">
        <f>+'Exhibit F'!R86+'Exhibit G State'!R72</f>
        <v>6.2000000000000064</v>
      </c>
      <c r="R97" s="1476"/>
      <c r="S97" s="1476">
        <f>+'Exhibit F'!T86+'Exhibit G State'!T72</f>
        <v>6.5999999999999979</v>
      </c>
      <c r="T97" s="1476"/>
      <c r="U97" s="1476">
        <f>+'Exhibit F'!V86+'Exhibit G State'!V72</f>
        <v>9.9000000000000057</v>
      </c>
      <c r="V97" s="1476"/>
      <c r="W97" s="1476"/>
      <c r="X97" s="1476"/>
      <c r="Y97" s="1476"/>
      <c r="Z97" s="1476"/>
      <c r="AA97" s="2877"/>
      <c r="AB97" s="3272">
        <f t="shared" si="16"/>
        <v>71.400000000000006</v>
      </c>
      <c r="AC97" s="3272"/>
      <c r="AD97" s="3553"/>
      <c r="AE97" s="3272">
        <f>+'Exhibit F'!AF86+'Exhibit G State'!AG72</f>
        <v>80.599999999999994</v>
      </c>
      <c r="AF97" s="3274"/>
      <c r="AG97" s="3274"/>
      <c r="AH97" s="3272">
        <f t="shared" si="13"/>
        <v>-9.1999999999999993</v>
      </c>
      <c r="AI97" s="3230"/>
      <c r="AJ97" s="1868">
        <f t="shared" si="18"/>
        <v>-0.114</v>
      </c>
    </row>
    <row r="98" spans="1:45" ht="15">
      <c r="A98" s="2547" t="s">
        <v>1059</v>
      </c>
      <c r="B98" s="1477"/>
      <c r="C98" s="1476">
        <f>+'Exhibit F'!D87+'Exhibit H'!B42+'Exhibit G State'!D73</f>
        <v>239.4</v>
      </c>
      <c r="D98" s="1476"/>
      <c r="E98" s="1476">
        <f>+'Exhibit F'!F87+'Exhibit H'!D42+'Exhibit G State'!F73</f>
        <v>194.9</v>
      </c>
      <c r="F98" s="1476"/>
      <c r="G98" s="1476">
        <f>+'Exhibit F'!H87+'Exhibit H'!F42+'Exhibit G State'!H73</f>
        <v>198.09999999999997</v>
      </c>
      <c r="H98" s="1476"/>
      <c r="I98" s="1476">
        <f>+'Exhibit F'!J87+'Exhibit H'!H42+'Exhibit G State'!J73</f>
        <v>240.80000000000013</v>
      </c>
      <c r="J98" s="1476"/>
      <c r="K98" s="1476">
        <f>+'Exhibit F'!L87+'Exhibit H'!J42+'Exhibit G State'!L73</f>
        <v>208.29999999999984</v>
      </c>
      <c r="L98" s="1476"/>
      <c r="M98" s="1476">
        <f>+'Exhibit F'!N87+'Exhibit H'!L42+'Exhibit G State'!N73</f>
        <v>264.5</v>
      </c>
      <c r="N98" s="1476"/>
      <c r="O98" s="1476">
        <f>+'Exhibit F'!P87+'Exhibit H'!N42+'Exhibit G State'!P73</f>
        <v>208.10000000000025</v>
      </c>
      <c r="P98" s="1476"/>
      <c r="Q98" s="1476">
        <f>+'Exhibit F'!R87+'Exhibit H'!P42+'Exhibit G State'!R73</f>
        <v>183.49999999999989</v>
      </c>
      <c r="R98" s="1476"/>
      <c r="S98" s="1476">
        <f>+'Exhibit F'!T87+'Exhibit H'!R42+'Exhibit G State'!T73</f>
        <v>247.09999999999974</v>
      </c>
      <c r="T98" s="1476"/>
      <c r="U98" s="1476">
        <f>+'Exhibit F'!V87+'Exhibit H'!T42+'Exhibit G State'!V73</f>
        <v>135.40000000000032</v>
      </c>
      <c r="V98" s="1476"/>
      <c r="W98" s="1476"/>
      <c r="X98" s="1476"/>
      <c r="Y98" s="1476"/>
      <c r="Z98" s="1476"/>
      <c r="AA98" s="2877"/>
      <c r="AB98" s="3272">
        <f t="shared" si="16"/>
        <v>2120.1</v>
      </c>
      <c r="AC98" s="3272"/>
      <c r="AD98" s="3553"/>
      <c r="AE98" s="3272">
        <f>+'Exhibit F'!AF87+'Exhibit H'!AD42+'Exhibit G State'!AG73</f>
        <v>2071.8000000000002</v>
      </c>
      <c r="AF98" s="3274"/>
      <c r="AG98" s="3274"/>
      <c r="AH98" s="3272">
        <f t="shared" si="13"/>
        <v>48.3</v>
      </c>
      <c r="AI98" s="3230"/>
      <c r="AJ98" s="1868">
        <f t="shared" si="18"/>
        <v>2.3E-2</v>
      </c>
    </row>
    <row r="99" spans="1:45" ht="15">
      <c r="A99" s="2547" t="s">
        <v>1060</v>
      </c>
      <c r="B99" s="1477"/>
      <c r="C99" s="1476">
        <f>+'Exhibit G State'!D74+'Exhibit F'!D88</f>
        <v>4.6000000000000005</v>
      </c>
      <c r="D99" s="1476"/>
      <c r="E99" s="1476">
        <f>+'Exhibit G State'!F74+'Exhibit F'!F88</f>
        <v>2.7</v>
      </c>
      <c r="F99" s="1476"/>
      <c r="G99" s="1476">
        <f>+'Exhibit G State'!H74+'Exhibit F'!H88</f>
        <v>6.1</v>
      </c>
      <c r="H99" s="1476"/>
      <c r="I99" s="1476">
        <f>+'Exhibit G State'!J74+'Exhibit F'!J88</f>
        <v>13.400000000000002</v>
      </c>
      <c r="J99" s="1476"/>
      <c r="K99" s="1476">
        <f>+'Exhibit G State'!L74+'Exhibit F'!L88</f>
        <v>3.6000000000000014</v>
      </c>
      <c r="L99" s="1476"/>
      <c r="M99" s="1476">
        <f>+'Exhibit G State'!N74+'Exhibit F'!N88</f>
        <v>3.7999999999999972</v>
      </c>
      <c r="N99" s="1476"/>
      <c r="O99" s="1476">
        <f>+'Exhibit G State'!P74+'Exhibit F'!P88</f>
        <v>9.5999999999999979</v>
      </c>
      <c r="P99" s="1476"/>
      <c r="Q99" s="1476">
        <f>+'Exhibit G State'!R74+'Exhibit F'!R88</f>
        <v>6.3999999999999977</v>
      </c>
      <c r="R99" s="1476"/>
      <c r="S99" s="1476">
        <f>+'Exhibit G State'!T74+'Exhibit F'!T88</f>
        <v>3.1999999999999966</v>
      </c>
      <c r="T99" s="1476"/>
      <c r="U99" s="1476">
        <f>+'Exhibit G State'!V74+'Exhibit F'!V88</f>
        <v>5.2999999999999989</v>
      </c>
      <c r="V99" s="1476"/>
      <c r="W99" s="1476"/>
      <c r="X99" s="1476"/>
      <c r="Y99" s="1476"/>
      <c r="Z99" s="1476"/>
      <c r="AA99" s="2877"/>
      <c r="AB99" s="3272">
        <f t="shared" si="16"/>
        <v>58.7</v>
      </c>
      <c r="AC99" s="3272"/>
      <c r="AD99" s="3553"/>
      <c r="AE99" s="3272">
        <f>+'Exhibit G State'!AG74+'Exhibit F'!AF88</f>
        <v>51.4</v>
      </c>
      <c r="AF99" s="3274"/>
      <c r="AG99" s="3274"/>
      <c r="AH99" s="3272">
        <f t="shared" si="13"/>
        <v>7.3</v>
      </c>
      <c r="AI99" s="3230"/>
      <c r="AJ99" s="1868">
        <f t="shared" si="18"/>
        <v>0.14199999999999999</v>
      </c>
    </row>
    <row r="100" spans="1:45" ht="15">
      <c r="A100" s="2547" t="s">
        <v>1061</v>
      </c>
      <c r="B100" s="1477"/>
      <c r="C100" s="1476">
        <f>+'Exhibit F'!D89+'Exhibit G State'!D75</f>
        <v>7.6</v>
      </c>
      <c r="D100" s="1476"/>
      <c r="E100" s="1476">
        <f>+'Exhibit F'!F89+'Exhibit G State'!F75</f>
        <v>1.2000000000000011</v>
      </c>
      <c r="F100" s="1476"/>
      <c r="G100" s="1476">
        <f>+'Exhibit F'!H89+'Exhibit G State'!H75</f>
        <v>0.99999999999999889</v>
      </c>
      <c r="H100" s="1476"/>
      <c r="I100" s="1476">
        <f>+'Exhibit F'!J89+'Exhibit G State'!J75</f>
        <v>1</v>
      </c>
      <c r="J100" s="1476"/>
      <c r="K100" s="1476">
        <f>+'Exhibit F'!L89+'Exhibit G State'!L75</f>
        <v>5.9</v>
      </c>
      <c r="L100" s="1476"/>
      <c r="M100" s="1476">
        <f>+'Exhibit F'!N89+'Exhibit G State'!N75</f>
        <v>0.49999999999999856</v>
      </c>
      <c r="N100" s="1476"/>
      <c r="O100" s="1476">
        <f>+'Exhibit F'!P89+'Exhibit G State'!P75</f>
        <v>0.50000000000000222</v>
      </c>
      <c r="P100" s="1476"/>
      <c r="Q100" s="1476">
        <f>+'Exhibit F'!R89+'Exhibit G State'!R75</f>
        <v>3.6000000000000023</v>
      </c>
      <c r="R100" s="1476"/>
      <c r="S100" s="1476">
        <f>+'Exhibit F'!T89+'Exhibit G State'!T75</f>
        <v>5.6999999999999993</v>
      </c>
      <c r="T100" s="1476"/>
      <c r="U100" s="1476">
        <f>+'Exhibit F'!V89+'Exhibit G State'!V75</f>
        <v>24.4</v>
      </c>
      <c r="V100" s="1476"/>
      <c r="W100" s="1476"/>
      <c r="X100" s="1476"/>
      <c r="Y100" s="1476"/>
      <c r="Z100" s="1476"/>
      <c r="AA100" s="2877"/>
      <c r="AB100" s="3272">
        <f t="shared" si="16"/>
        <v>51.4</v>
      </c>
      <c r="AC100" s="3272"/>
      <c r="AD100" s="3553"/>
      <c r="AE100" s="3272">
        <f>+'Exhibit F'!AF89+'Exhibit G State'!AG75</f>
        <v>177.4</v>
      </c>
      <c r="AF100" s="3274"/>
      <c r="AG100" s="3274"/>
      <c r="AH100" s="3272">
        <f t="shared" si="13"/>
        <v>-126</v>
      </c>
      <c r="AI100" s="3230"/>
      <c r="AJ100" s="1879">
        <f t="shared" si="18"/>
        <v>-0.71</v>
      </c>
    </row>
    <row r="101" spans="1:45" ht="15">
      <c r="A101" s="2547" t="s">
        <v>1062</v>
      </c>
      <c r="B101" s="1477"/>
      <c r="C101" s="1476">
        <f>+'Exhibit F'!D90+'Exhibit G State'!D76</f>
        <v>7.5</v>
      </c>
      <c r="D101" s="1476"/>
      <c r="E101" s="1476">
        <f>+'Exhibit F'!F90+'Exhibit G State'!F76</f>
        <v>3.0999999999999996</v>
      </c>
      <c r="F101" s="1476"/>
      <c r="G101" s="1476">
        <f>+'Exhibit F'!H90+'Exhibit G State'!H76</f>
        <v>8.5000000000000018</v>
      </c>
      <c r="H101" s="1476"/>
      <c r="I101" s="1476">
        <f>+'Exhibit F'!J90+'Exhibit G State'!J76</f>
        <v>7.4999999999999982</v>
      </c>
      <c r="J101" s="1476"/>
      <c r="K101" s="1476">
        <f>+'Exhibit F'!L90+'Exhibit G State'!L76</f>
        <v>1.7000000000000028</v>
      </c>
      <c r="L101" s="1476"/>
      <c r="M101" s="1476">
        <f>+'Exhibit F'!N90+'Exhibit G State'!N76</f>
        <v>10.9</v>
      </c>
      <c r="N101" s="1476"/>
      <c r="O101" s="1476">
        <f>+'Exhibit F'!P90+'Exhibit G State'!P76</f>
        <v>2.2999999999999972</v>
      </c>
      <c r="P101" s="1476"/>
      <c r="Q101" s="1476">
        <f>+'Exhibit F'!R90+'Exhibit G State'!R76</f>
        <v>2.2000000000000011</v>
      </c>
      <c r="R101" s="1476"/>
      <c r="S101" s="1476">
        <f>+'Exhibit F'!T90+'Exhibit G State'!T76</f>
        <v>10.799999999999997</v>
      </c>
      <c r="T101" s="1476"/>
      <c r="U101" s="1476">
        <f>+'Exhibit F'!V90+'Exhibit G State'!V76</f>
        <v>2.5000000000000018</v>
      </c>
      <c r="V101" s="1476"/>
      <c r="W101" s="1476"/>
      <c r="X101" s="1476"/>
      <c r="Y101" s="1476"/>
      <c r="Z101" s="1476"/>
      <c r="AA101" s="2877"/>
      <c r="AB101" s="3272">
        <f t="shared" si="16"/>
        <v>57</v>
      </c>
      <c r="AC101" s="3272"/>
      <c r="AD101" s="3553"/>
      <c r="AE101" s="3272">
        <f>+'Exhibit F'!AF90+'Exhibit G State'!AG76</f>
        <v>76.900000000000006</v>
      </c>
      <c r="AF101" s="3274"/>
      <c r="AG101" s="3274"/>
      <c r="AH101" s="3272">
        <f t="shared" si="13"/>
        <v>-19.899999999999999</v>
      </c>
      <c r="AI101" s="3230"/>
      <c r="AJ101" s="1868">
        <f t="shared" si="18"/>
        <v>-0.25900000000000001</v>
      </c>
    </row>
    <row r="102" spans="1:45" ht="15">
      <c r="A102" s="2547" t="s">
        <v>1063</v>
      </c>
      <c r="B102" s="1477"/>
      <c r="C102" s="1476">
        <f>+'Exhibit F'!D91+'Exhibit G State'!D77+'Exhibit H'!B43</f>
        <v>49</v>
      </c>
      <c r="D102" s="1476"/>
      <c r="E102" s="1476">
        <f>+'Exhibit F'!F91+'Exhibit G State'!F77+'Exhibit H'!D43</f>
        <v>55.199999999999996</v>
      </c>
      <c r="F102" s="1476"/>
      <c r="G102" s="1476">
        <f>+'Exhibit F'!H91+'Exhibit G State'!H77+'Exhibit H'!F43</f>
        <v>45.79999999999999</v>
      </c>
      <c r="H102" s="1476"/>
      <c r="I102" s="1476">
        <f>+'Exhibit F'!J91+'Exhibit G State'!J77+'Exhibit H'!H43</f>
        <v>43.300000000000011</v>
      </c>
      <c r="J102" s="1476"/>
      <c r="K102" s="1476">
        <f>+'Exhibit F'!L91+'Exhibit G State'!L77+'Exhibit H'!J43</f>
        <v>44.3</v>
      </c>
      <c r="L102" s="1476"/>
      <c r="M102" s="1476">
        <f>+'Exhibit F'!N91+'Exhibit G State'!N77+'Exhibit H'!L43</f>
        <v>77.600000000000023</v>
      </c>
      <c r="N102" s="1476"/>
      <c r="O102" s="1476">
        <f>+'Exhibit F'!P91+'Exhibit G State'!P77+'Exhibit H'!N43</f>
        <v>56.300000000000018</v>
      </c>
      <c r="P102" s="1476"/>
      <c r="Q102" s="1476">
        <f>+'Exhibit F'!R91+'Exhibit G State'!R77+'Exhibit H'!P43</f>
        <v>39.80000000000004</v>
      </c>
      <c r="R102" s="1476"/>
      <c r="S102" s="1476">
        <f>+'Exhibit F'!T91+'Exhibit G State'!T77+'Exhibit H'!R43</f>
        <v>39.999999999999957</v>
      </c>
      <c r="T102" s="1476"/>
      <c r="U102" s="1476">
        <f>+'Exhibit F'!V91+'Exhibit G State'!V77+'Exhibit H'!T43</f>
        <v>53.20000000000006</v>
      </c>
      <c r="V102" s="1476"/>
      <c r="W102" s="1476"/>
      <c r="X102" s="1476"/>
      <c r="Y102" s="1476"/>
      <c r="Z102" s="1476"/>
      <c r="AA102" s="2877"/>
      <c r="AB102" s="3272">
        <f t="shared" si="16"/>
        <v>504.5</v>
      </c>
      <c r="AC102" s="3272"/>
      <c r="AD102" s="3553"/>
      <c r="AE102" s="3272">
        <f>+'Exhibit F'!AF91+'Exhibit G State'!AG77+'Exhibit H'!AD43</f>
        <v>424.6</v>
      </c>
      <c r="AF102" s="3274"/>
      <c r="AG102" s="3274"/>
      <c r="AH102" s="3272">
        <f t="shared" si="13"/>
        <v>79.900000000000006</v>
      </c>
      <c r="AI102" s="3230"/>
      <c r="AJ102" s="1868">
        <f t="shared" si="18"/>
        <v>0.188</v>
      </c>
    </row>
    <row r="103" spans="1:45" ht="15">
      <c r="A103" s="2547" t="s">
        <v>1064</v>
      </c>
      <c r="B103" s="1477"/>
      <c r="C103" s="1476">
        <f>+'Exhibit F'!D92+'Exhibit G State'!D78+'Exhibit H'!B44</f>
        <v>1</v>
      </c>
      <c r="D103" s="1476"/>
      <c r="E103" s="1476">
        <f>+'Exhibit F'!F92+'Exhibit G State'!F78+'Exhibit H'!D44</f>
        <v>0.79999999999999993</v>
      </c>
      <c r="F103" s="1476"/>
      <c r="G103" s="1476">
        <f>+'Exhibit F'!H92+'Exhibit G State'!H78+'Exhibit H'!F44</f>
        <v>1.2000000000000004</v>
      </c>
      <c r="H103" s="1476"/>
      <c r="I103" s="1476">
        <f>+'Exhibit F'!J92+'Exhibit G State'!J78+'Exhibit H'!H44</f>
        <v>2.6999999999999997</v>
      </c>
      <c r="J103" s="1476"/>
      <c r="K103" s="1476">
        <f>+'Exhibit F'!L92+'Exhibit G State'!L78+'Exhibit H'!J44</f>
        <v>1.6999999999999997</v>
      </c>
      <c r="L103" s="1476"/>
      <c r="M103" s="1476">
        <f>+'Exhibit F'!N92+'Exhibit G State'!N78+'Exhibit H'!L44</f>
        <v>2.4999999999999996</v>
      </c>
      <c r="N103" s="1476"/>
      <c r="O103" s="1476">
        <f>+'Exhibit F'!P92+'Exhibit G State'!P78+'Exhibit H'!N44</f>
        <v>0.79999999999999893</v>
      </c>
      <c r="P103" s="1476"/>
      <c r="Q103" s="1476">
        <f>+'Exhibit F'!R92+'Exhibit G State'!R78+'Exhibit H'!P44</f>
        <v>1.5000000000000004</v>
      </c>
      <c r="R103" s="1476"/>
      <c r="S103" s="1476">
        <f>+'Exhibit F'!T92+'Exhibit G State'!T78+'Exhibit H'!R44</f>
        <v>1.3000000000000007</v>
      </c>
      <c r="T103" s="1476"/>
      <c r="U103" s="1476">
        <f>+'Exhibit F'!V92+'Exhibit G State'!V78+'Exhibit H'!T44</f>
        <v>1.4</v>
      </c>
      <c r="V103" s="1476"/>
      <c r="W103" s="1476"/>
      <c r="X103" s="1476"/>
      <c r="Y103" s="1476"/>
      <c r="Z103" s="1476"/>
      <c r="AA103" s="2877"/>
      <c r="AB103" s="3272">
        <f t="shared" si="16"/>
        <v>14.9</v>
      </c>
      <c r="AC103" s="3272"/>
      <c r="AD103" s="3553"/>
      <c r="AE103" s="3272">
        <f>+'Exhibit F'!AF92+'Exhibit G State'!AG78+'Exhibit H'!AD44</f>
        <v>21</v>
      </c>
      <c r="AF103" s="3274"/>
      <c r="AG103" s="3274"/>
      <c r="AH103" s="3272">
        <f t="shared" si="13"/>
        <v>-6.1</v>
      </c>
      <c r="AI103" s="3230"/>
      <c r="AJ103" s="1868">
        <f t="shared" si="18"/>
        <v>-0.28999999999999998</v>
      </c>
    </row>
    <row r="104" spans="1:45" ht="15">
      <c r="A104" s="2547" t="s">
        <v>1065</v>
      </c>
      <c r="B104" s="1477"/>
      <c r="C104" s="1476">
        <f>+'Exhibit G State'!D79</f>
        <v>52</v>
      </c>
      <c r="D104" s="1476"/>
      <c r="E104" s="1476">
        <f>+'Exhibit G State'!F79</f>
        <v>48.099999999999994</v>
      </c>
      <c r="F104" s="1476"/>
      <c r="G104" s="1476">
        <f>+'Exhibit G State'!H79</f>
        <v>34.900000000000006</v>
      </c>
      <c r="H104" s="1476"/>
      <c r="I104" s="1476">
        <f>+'Exhibit G State'!J79</f>
        <v>45</v>
      </c>
      <c r="J104" s="1476"/>
      <c r="K104" s="1476">
        <f>+'Exhibit G State'!L79</f>
        <v>240</v>
      </c>
      <c r="L104" s="1476"/>
      <c r="M104" s="1476">
        <f>+'Exhibit G State'!N79</f>
        <v>309.89999999999998</v>
      </c>
      <c r="N104" s="1476"/>
      <c r="O104" s="1476">
        <f>+'Exhibit G State'!P79</f>
        <v>137.5</v>
      </c>
      <c r="P104" s="1476"/>
      <c r="Q104" s="1476">
        <f>+'Exhibit G State'!R79</f>
        <v>37.5</v>
      </c>
      <c r="R104" s="1476"/>
      <c r="S104" s="1476">
        <f>+'Exhibit G State'!T79</f>
        <v>14.100000000000023</v>
      </c>
      <c r="T104" s="1476"/>
      <c r="U104" s="1476">
        <f>+'Exhibit G State'!V79</f>
        <v>261.79999999999995</v>
      </c>
      <c r="V104" s="1476"/>
      <c r="W104" s="1476"/>
      <c r="X104" s="1476"/>
      <c r="Y104" s="1476"/>
      <c r="Z104" s="1476"/>
      <c r="AA104" s="2877"/>
      <c r="AB104" s="3272">
        <f t="shared" si="16"/>
        <v>1180.8</v>
      </c>
      <c r="AC104" s="3272"/>
      <c r="AD104" s="3553"/>
      <c r="AE104" s="3272">
        <f>+'Exhibit G State'!AG79</f>
        <v>1295.5999999999999</v>
      </c>
      <c r="AF104" s="3274"/>
      <c r="AG104" s="3274"/>
      <c r="AH104" s="3272">
        <f t="shared" si="13"/>
        <v>-114.8</v>
      </c>
      <c r="AI104" s="3230"/>
      <c r="AJ104" s="1868">
        <f>ROUND(SUM(AH104/ABS(AE104)),3)</f>
        <v>-8.8999999999999996E-2</v>
      </c>
    </row>
    <row r="105" spans="1:45" ht="15.75">
      <c r="A105" s="2534" t="s">
        <v>1099</v>
      </c>
      <c r="B105" s="2489"/>
      <c r="C105" s="2096">
        <f>ROUND(SUM(C64:C104),1)</f>
        <v>2340.8000000000002</v>
      </c>
      <c r="D105" s="2551"/>
      <c r="E105" s="2096">
        <f>ROUND(SUM(E64:E104),1)</f>
        <v>1727</v>
      </c>
      <c r="F105" s="2551"/>
      <c r="G105" s="2096">
        <f>ROUND(SUM(G64:G104),1)</f>
        <v>1706.2</v>
      </c>
      <c r="H105" s="1498"/>
      <c r="I105" s="2096">
        <f>ROUND(SUM(I64:I104),1)</f>
        <v>1709.4</v>
      </c>
      <c r="J105" s="1498"/>
      <c r="K105" s="2096">
        <f>ROUND(SUM(K64:K104),1)</f>
        <v>1632.2</v>
      </c>
      <c r="L105" s="1498"/>
      <c r="M105" s="2096">
        <f>ROUND(SUM(M64:M104),1)</f>
        <v>2168.8000000000002</v>
      </c>
      <c r="N105" s="1498"/>
      <c r="O105" s="2096">
        <f>ROUND(SUM(O64:O104),1)</f>
        <v>1878.8</v>
      </c>
      <c r="P105" s="1498"/>
      <c r="Q105" s="2096">
        <f>ROUND(SUM(Q64:Q104),1)</f>
        <v>1589.4</v>
      </c>
      <c r="R105" s="1498"/>
      <c r="S105" s="2096">
        <f>ROUND(SUM(S64:S104),1)</f>
        <v>1727.6</v>
      </c>
      <c r="T105" s="1498"/>
      <c r="U105" s="2096">
        <f>ROUND(SUM(U64:U104),1)</f>
        <v>2313.6</v>
      </c>
      <c r="V105" s="1498"/>
      <c r="W105" s="2096">
        <f>ROUND(SUM(W64:W104),1)</f>
        <v>0</v>
      </c>
      <c r="X105" s="2064"/>
      <c r="Y105" s="2096">
        <f>ROUND(SUM(Y64:Y104),1)</f>
        <v>0</v>
      </c>
      <c r="Z105" s="2064"/>
      <c r="AA105" s="2099"/>
      <c r="AB105" s="1497">
        <f>ROUND(SUM(AB64:AB104),1)</f>
        <v>18793.8</v>
      </c>
      <c r="AC105" s="2104"/>
      <c r="AD105" s="2618"/>
      <c r="AE105" s="1497">
        <f>ROUND(SUM(AE64:AE104),1)</f>
        <v>19565.400000000001</v>
      </c>
      <c r="AF105" s="1499"/>
      <c r="AG105" s="3517"/>
      <c r="AH105" s="1497">
        <f>ROUND(SUM(AH64:AH104),1)</f>
        <v>-771.6</v>
      </c>
      <c r="AI105" s="1499"/>
      <c r="AJ105" s="1870">
        <f>ROUND(SUM(+AH105/ABS(AE105)),3)</f>
        <v>-3.9E-2</v>
      </c>
    </row>
    <row r="106" spans="1:45" ht="15">
      <c r="A106" s="1477"/>
      <c r="B106" s="1477"/>
      <c r="C106" s="1476"/>
      <c r="D106" s="1476"/>
      <c r="E106" s="1476"/>
      <c r="F106" s="1476"/>
      <c r="G106" s="1476"/>
      <c r="H106" s="1476"/>
      <c r="I106" s="1476"/>
      <c r="J106" s="1476"/>
      <c r="K106" s="1476"/>
      <c r="L106" s="1476"/>
      <c r="M106" s="1476"/>
      <c r="N106" s="1476"/>
      <c r="O106" s="1476"/>
      <c r="P106" s="1476"/>
      <c r="Q106" s="1476"/>
      <c r="R106" s="1476"/>
      <c r="S106" s="1476"/>
      <c r="T106" s="1476"/>
      <c r="U106" s="1476"/>
      <c r="V106" s="1476"/>
      <c r="W106" s="1476"/>
      <c r="X106" s="1476"/>
      <c r="Y106" s="1476"/>
      <c r="Z106" s="1476"/>
      <c r="AA106" s="2876"/>
      <c r="AB106" s="3272"/>
      <c r="AC106" s="3274"/>
      <c r="AD106" s="3555"/>
      <c r="AE106" s="3272"/>
      <c r="AF106" s="3274"/>
      <c r="AG106" s="3274"/>
      <c r="AH106" s="3272"/>
      <c r="AI106" s="3230"/>
      <c r="AJ106" s="1868"/>
    </row>
    <row r="107" spans="1:45" ht="15">
      <c r="A107" s="1477" t="s">
        <v>21</v>
      </c>
      <c r="B107" s="1477"/>
      <c r="C107" s="2878">
        <f>+'Exhibit F'!D95+'Exhibit G State'!D82+'Exhibit H'!B47</f>
        <v>0</v>
      </c>
      <c r="D107" s="1476"/>
      <c r="E107" s="2878">
        <f>+'Exhibit F'!F95+'Exhibit G State'!F82+'Exhibit H'!D47</f>
        <v>0</v>
      </c>
      <c r="F107" s="1476"/>
      <c r="G107" s="2878">
        <f>+'Exhibit F'!H95+'Exhibit G State'!H82+'Exhibit H'!F47</f>
        <v>-0.9</v>
      </c>
      <c r="H107" s="1476"/>
      <c r="I107" s="2878">
        <f>+'Exhibit F'!J95+'Exhibit G State'!J82+'Exhibit H'!H47</f>
        <v>1.7000000000000002</v>
      </c>
      <c r="J107" s="1476"/>
      <c r="K107" s="2878">
        <f>+'Exhibit F'!L95+'Exhibit G State'!L82+'Exhibit H'!J47</f>
        <v>53.599999999999994</v>
      </c>
      <c r="L107" s="1476"/>
      <c r="M107" s="2878">
        <f>+'Exhibit F'!N95+'Exhibit G State'!N82+'Exhibit H'!L47</f>
        <v>0.30000000000000138</v>
      </c>
      <c r="N107" s="1476"/>
      <c r="O107" s="2878">
        <f>+'Exhibit F'!P95+'Exhibit G State'!P82+'Exhibit H'!N47</f>
        <v>0.10000000000000006</v>
      </c>
      <c r="P107" s="1476"/>
      <c r="Q107" s="2878">
        <f>+'Exhibit F'!R95+'Exhibit G State'!R82+'Exhibit H'!P47</f>
        <v>0.19999999999999785</v>
      </c>
      <c r="R107" s="1476"/>
      <c r="S107" s="2878">
        <f>+'Exhibit F'!T95+'Exhibit G State'!T82+'Exhibit H'!R47</f>
        <v>0</v>
      </c>
      <c r="T107" s="1476"/>
      <c r="U107" s="2878">
        <f>+'Exhibit F'!V95+'Exhibit G State'!V82+'Exhibit H'!T47</f>
        <v>-25.299999999999994</v>
      </c>
      <c r="V107" s="1476"/>
      <c r="W107" s="2878"/>
      <c r="X107" s="1476"/>
      <c r="Y107" s="2878"/>
      <c r="Z107" s="1476"/>
      <c r="AA107" s="2877"/>
      <c r="AB107" s="3275">
        <f>ROUND(SUM(C107:Y107),1)</f>
        <v>29.7</v>
      </c>
      <c r="AC107" s="3272"/>
      <c r="AD107" s="3553"/>
      <c r="AE107" s="3275">
        <f>'Exhibit F'!AF95+'Exhibit G State'!AG82+'Exhibit H'!AD47</f>
        <v>36</v>
      </c>
      <c r="AF107" s="3274"/>
      <c r="AG107" s="3274"/>
      <c r="AH107" s="3275">
        <f>ROUND(SUM(AB107-AE107),1)</f>
        <v>-6.3</v>
      </c>
      <c r="AI107" s="3230"/>
      <c r="AJ107" s="3518">
        <f>ROUND(IF(AE107=0,1,AH107/ABS(AE107)),3)</f>
        <v>-0.17499999999999999</v>
      </c>
    </row>
    <row r="108" spans="1:45" ht="15">
      <c r="A108" s="1477"/>
      <c r="B108" s="1477"/>
      <c r="C108" s="1476"/>
      <c r="D108" s="1476"/>
      <c r="E108" s="1476"/>
      <c r="F108" s="1476"/>
      <c r="G108" s="1476"/>
      <c r="H108" s="1476"/>
      <c r="I108" s="1476"/>
      <c r="J108" s="1476"/>
      <c r="K108" s="1476"/>
      <c r="L108" s="1476"/>
      <c r="M108" s="1476"/>
      <c r="N108" s="1476"/>
      <c r="O108" s="1476"/>
      <c r="P108" s="1476"/>
      <c r="Q108" s="1476"/>
      <c r="R108" s="1476"/>
      <c r="S108" s="1476"/>
      <c r="T108" s="1476"/>
      <c r="U108" s="1476"/>
      <c r="V108" s="1476"/>
      <c r="W108" s="1476"/>
      <c r="X108" s="1476"/>
      <c r="Y108" s="1476"/>
      <c r="Z108" s="1476"/>
      <c r="AA108" s="2877"/>
      <c r="AB108" s="3272"/>
      <c r="AC108" s="3272"/>
      <c r="AD108" s="3553"/>
      <c r="AE108" s="3272"/>
      <c r="AF108" s="3274"/>
      <c r="AG108" s="3274"/>
      <c r="AH108" s="3272"/>
      <c r="AI108" s="3230"/>
      <c r="AJ108" s="3519"/>
    </row>
    <row r="109" spans="1:45" ht="15.75">
      <c r="A109" s="2488" t="s">
        <v>151</v>
      </c>
      <c r="B109" s="2076"/>
      <c r="C109" s="2074">
        <f>ROUND(SUM(C107+C105+C60),1)</f>
        <v>13788.5</v>
      </c>
      <c r="D109" s="1498"/>
      <c r="E109" s="2074">
        <f>ROUND(SUM(E107+E105+E60),1)</f>
        <v>5511.1</v>
      </c>
      <c r="F109" s="1498"/>
      <c r="G109" s="2074">
        <f>ROUND(SUM(G107+G105+G60),1)</f>
        <v>10211.700000000001</v>
      </c>
      <c r="H109" s="1498"/>
      <c r="I109" s="2074">
        <f>ROUND(SUM(I107+I105+I60),1)</f>
        <v>6912.4</v>
      </c>
      <c r="J109" s="1498"/>
      <c r="K109" s="2074">
        <f>ROUND(SUM(K107+K105+K60),1)</f>
        <v>6126.7</v>
      </c>
      <c r="L109" s="1498"/>
      <c r="M109" s="2074">
        <f>ROUND(SUM(M107+M105+M60),1)</f>
        <v>10456.700000000001</v>
      </c>
      <c r="N109" s="1498"/>
      <c r="O109" s="2074">
        <f>ROUND(SUM(O107+O105+O60),1)</f>
        <v>6204</v>
      </c>
      <c r="P109" s="1498"/>
      <c r="Q109" s="2074">
        <f>ROUND(SUM(Q107+Q105+Q60),1)</f>
        <v>5736.7</v>
      </c>
      <c r="R109" s="1498"/>
      <c r="S109" s="2074">
        <f>ROUND(SUM(S107+S105+S60),1)</f>
        <v>9611.7000000000007</v>
      </c>
      <c r="T109" s="1498"/>
      <c r="U109" s="2074">
        <f>ROUND(SUM(U107+U105+U60),1)</f>
        <v>13062.7</v>
      </c>
      <c r="V109" s="1498"/>
      <c r="W109" s="2074">
        <f>ROUND(SUM(W107+W105+W60),1)</f>
        <v>0</v>
      </c>
      <c r="X109" s="2064"/>
      <c r="Y109" s="2074">
        <f>ROUND(SUM(Y107+Y105+Y60),1)</f>
        <v>0</v>
      </c>
      <c r="Z109" s="2879"/>
      <c r="AA109" s="2497"/>
      <c r="AB109" s="1606">
        <f>ROUND(SUM(AB107+AB105+AB60),1)</f>
        <v>87622.2</v>
      </c>
      <c r="AC109" s="2104"/>
      <c r="AD109" s="2618"/>
      <c r="AE109" s="1606">
        <f>ROUND(SUM(AE107+AE105+AE60),1)</f>
        <v>82022.3</v>
      </c>
      <c r="AF109" s="1499"/>
      <c r="AG109" s="3517"/>
      <c r="AH109" s="1606">
        <f>ROUND(SUM(AH107+AH105+AH60),1)</f>
        <v>5599.9</v>
      </c>
      <c r="AI109" s="1499"/>
      <c r="AJ109" s="3516">
        <f>ROUND(SUM(+AH109/ABS(AE109)),3)</f>
        <v>6.8000000000000005E-2</v>
      </c>
      <c r="AK109" s="2871"/>
      <c r="AL109" s="2871"/>
      <c r="AM109" s="2871"/>
      <c r="AN109" s="2871"/>
      <c r="AO109" s="2871"/>
      <c r="AP109" s="2871"/>
      <c r="AQ109" s="2871"/>
      <c r="AR109" s="2871"/>
      <c r="AS109" s="2871"/>
    </row>
    <row r="110" spans="1:45" ht="15.75">
      <c r="A110" s="2064"/>
      <c r="B110" s="1477"/>
      <c r="C110" s="2880"/>
      <c r="D110" s="1476"/>
      <c r="E110" s="2880"/>
      <c r="F110" s="1476"/>
      <c r="G110" s="2880"/>
      <c r="H110" s="1476"/>
      <c r="I110" s="2880"/>
      <c r="J110" s="1476"/>
      <c r="K110" s="2880"/>
      <c r="L110" s="1476"/>
      <c r="M110" s="2880"/>
      <c r="N110" s="1476"/>
      <c r="O110" s="2880"/>
      <c r="P110" s="1476"/>
      <c r="Q110" s="2880"/>
      <c r="R110" s="1476"/>
      <c r="S110" s="2880"/>
      <c r="T110" s="1476"/>
      <c r="U110" s="2880"/>
      <c r="V110" s="1476"/>
      <c r="W110" s="2880"/>
      <c r="X110" s="1476"/>
      <c r="Y110" s="2880"/>
      <c r="Z110" s="1476"/>
      <c r="AA110" s="2877"/>
      <c r="AB110" s="2624"/>
      <c r="AC110" s="3272"/>
      <c r="AD110" s="3553"/>
      <c r="AE110" s="2624"/>
      <c r="AF110" s="3274"/>
      <c r="AG110" s="3274"/>
      <c r="AH110" s="2054"/>
      <c r="AI110" s="3230"/>
      <c r="AJ110" s="3514"/>
    </row>
    <row r="111" spans="1:45" ht="15.75">
      <c r="A111" s="2064" t="s">
        <v>23</v>
      </c>
      <c r="B111" s="1477"/>
      <c r="C111" s="2875"/>
      <c r="D111" s="1476"/>
      <c r="E111" s="2875"/>
      <c r="F111" s="1476"/>
      <c r="G111" s="2875"/>
      <c r="H111" s="1476"/>
      <c r="I111" s="2875"/>
      <c r="J111" s="1476"/>
      <c r="K111" s="2875"/>
      <c r="L111" s="1476"/>
      <c r="M111" s="2875"/>
      <c r="N111" s="1476"/>
      <c r="O111" s="2875"/>
      <c r="P111" s="1476"/>
      <c r="Q111" s="2875"/>
      <c r="R111" s="1476"/>
      <c r="S111" s="2875"/>
      <c r="T111" s="1476"/>
      <c r="U111" s="2875"/>
      <c r="V111" s="1476"/>
      <c r="W111" s="2875"/>
      <c r="X111" s="1476"/>
      <c r="Y111" s="2875"/>
      <c r="Z111" s="1476"/>
      <c r="AA111" s="2877"/>
      <c r="AB111" s="3274"/>
      <c r="AC111" s="3272"/>
      <c r="AD111" s="3553"/>
      <c r="AE111" s="3274"/>
      <c r="AF111" s="3274"/>
      <c r="AG111" s="3274"/>
      <c r="AH111" s="2054"/>
      <c r="AI111" s="3230"/>
      <c r="AJ111" s="3514"/>
    </row>
    <row r="112" spans="1:45" ht="15">
      <c r="A112" s="1477" t="s">
        <v>138</v>
      </c>
      <c r="B112" s="1477"/>
      <c r="C112" s="1476"/>
      <c r="D112" s="1476"/>
      <c r="E112" s="1476"/>
      <c r="F112" s="1476"/>
      <c r="G112" s="1476"/>
      <c r="H112" s="1476"/>
      <c r="I112" s="1476"/>
      <c r="J112" s="1476"/>
      <c r="K112" s="1476"/>
      <c r="L112" s="1476"/>
      <c r="M112" s="1476"/>
      <c r="N112" s="1476"/>
      <c r="O112" s="1476"/>
      <c r="P112" s="1476"/>
      <c r="Q112" s="1476"/>
      <c r="R112" s="1476"/>
      <c r="S112" s="1476"/>
      <c r="T112" s="1476"/>
      <c r="U112" s="1476"/>
      <c r="V112" s="1476"/>
      <c r="W112" s="1476"/>
      <c r="X112" s="1476"/>
      <c r="Y112" s="1476"/>
      <c r="Z112" s="1476"/>
      <c r="AA112" s="2877"/>
      <c r="AB112" s="3272"/>
      <c r="AC112" s="3272"/>
      <c r="AD112" s="3553"/>
      <c r="AE112" s="2054"/>
      <c r="AF112" s="3274"/>
      <c r="AG112" s="3274"/>
      <c r="AH112" s="3272"/>
      <c r="AI112" s="3230"/>
      <c r="AJ112" s="1868"/>
    </row>
    <row r="113" spans="1:38" ht="15">
      <c r="A113" s="2881" t="s">
        <v>25</v>
      </c>
      <c r="B113" s="1477"/>
      <c r="C113" s="1476">
        <f>+'Exhibit F'!D101+'Exhibit G State'!D88</f>
        <v>917.2</v>
      </c>
      <c r="D113" s="1476"/>
      <c r="E113" s="1476">
        <f>+'Exhibit F'!F101+'Exhibit G State'!F88</f>
        <v>3980.2</v>
      </c>
      <c r="F113" s="1476"/>
      <c r="G113" s="1476">
        <f>+'Exhibit F'!H101+'Exhibit G State'!H88</f>
        <v>2539.1000000000004</v>
      </c>
      <c r="H113" s="1476"/>
      <c r="I113" s="1476">
        <f>+'Exhibit F'!J101+'Exhibit G State'!J88</f>
        <v>1611.5999999999997</v>
      </c>
      <c r="J113" s="1476"/>
      <c r="K113" s="1476">
        <f>+'Exhibit F'!L101+'Exhibit G State'!L88</f>
        <v>680.80000000000109</v>
      </c>
      <c r="L113" s="1476"/>
      <c r="M113" s="1476">
        <f>+'Exhibit F'!N101+'Exhibit G State'!N88</f>
        <v>4854.2999999999993</v>
      </c>
      <c r="N113" s="1476"/>
      <c r="O113" s="1476">
        <f>+'Exhibit F'!P101+'Exhibit G State'!P88</f>
        <v>1230.1999999999994</v>
      </c>
      <c r="P113" s="1476"/>
      <c r="Q113" s="1476">
        <f>+'Exhibit F'!R101+'Exhibit G State'!R88</f>
        <v>1890.7999999999988</v>
      </c>
      <c r="R113" s="1476"/>
      <c r="S113" s="1476">
        <f>+'Exhibit F'!T101+'Exhibit G State'!T88</f>
        <v>2433.9000000000028</v>
      </c>
      <c r="T113" s="1476"/>
      <c r="U113" s="1476">
        <f>+'Exhibit F'!V101+'Exhibit G State'!V88</f>
        <v>3045.7999999999965</v>
      </c>
      <c r="V113" s="1476"/>
      <c r="W113" s="1476"/>
      <c r="X113" s="1476"/>
      <c r="Y113" s="1476"/>
      <c r="Z113" s="1476"/>
      <c r="AA113" s="2877"/>
      <c r="AB113" s="2054">
        <f>ROUND(SUM(C113:Y113),1)</f>
        <v>23183.9</v>
      </c>
      <c r="AC113" s="3272"/>
      <c r="AD113" s="3553"/>
      <c r="AE113" s="2054">
        <f>+'Exhibit F'!AF101+'Exhibit G State'!AG88</f>
        <v>22754.7</v>
      </c>
      <c r="AF113" s="3274"/>
      <c r="AG113" s="3274"/>
      <c r="AH113" s="3272">
        <f>ROUND(SUM(AB113-AE113),1)</f>
        <v>429.2</v>
      </c>
      <c r="AI113" s="3230"/>
      <c r="AJ113" s="1868">
        <f>ROUND(SUM(AH113/ABS(AE113)),3)</f>
        <v>1.9E-2</v>
      </c>
    </row>
    <row r="114" spans="1:38" ht="15">
      <c r="A114" s="2881" t="s">
        <v>26</v>
      </c>
      <c r="B114" s="1477"/>
      <c r="C114" s="1476">
        <f>+'Exhibit F'!D102+'Exhibit G State'!D89</f>
        <v>0.2</v>
      </c>
      <c r="D114" s="1476"/>
      <c r="E114" s="1476">
        <f>+'Exhibit F'!F102+'Exhibit G State'!F89</f>
        <v>0.1</v>
      </c>
      <c r="F114" s="1476"/>
      <c r="G114" s="1476">
        <f>+'Exhibit F'!H102+'Exhibit G State'!H89</f>
        <v>0.6</v>
      </c>
      <c r="H114" s="1476"/>
      <c r="I114" s="1476">
        <f>+'Exhibit F'!J102+'Exhibit G State'!J89</f>
        <v>-9.9999999999999978E-2</v>
      </c>
      <c r="J114" s="1476"/>
      <c r="K114" s="1476">
        <f>+'Exhibit F'!L102+'Exhibit G State'!L89</f>
        <v>0.30000000000000004</v>
      </c>
      <c r="L114" s="1476"/>
      <c r="M114" s="1476">
        <f>+'Exhibit F'!N102+'Exhibit G State'!N89</f>
        <v>0.99999999999999989</v>
      </c>
      <c r="N114" s="1476"/>
      <c r="O114" s="1476">
        <f>+'Exhibit F'!P102+'Exhibit G State'!P89</f>
        <v>0.69999999999999973</v>
      </c>
      <c r="P114" s="1476"/>
      <c r="Q114" s="1476">
        <f>+'Exhibit F'!R102+'Exhibit G State'!R89</f>
        <v>0.30000000000000004</v>
      </c>
      <c r="R114" s="1476"/>
      <c r="S114" s="1476">
        <f>+'Exhibit F'!T102+'Exhibit G State'!T89</f>
        <v>0.69999999999999962</v>
      </c>
      <c r="T114" s="1476"/>
      <c r="U114" s="1476">
        <f>+'Exhibit F'!V102+'Exhibit G State'!V89</f>
        <v>0.70000000000000007</v>
      </c>
      <c r="V114" s="1476"/>
      <c r="W114" s="1476"/>
      <c r="X114" s="1476"/>
      <c r="Y114" s="1476"/>
      <c r="Z114" s="1476"/>
      <c r="AA114" s="2877"/>
      <c r="AB114" s="2054">
        <f t="shared" ref="AB114:AB121" si="19">ROUND(SUM(C114:Y114),1)</f>
        <v>4.5</v>
      </c>
      <c r="AC114" s="3272"/>
      <c r="AD114" s="3553"/>
      <c r="AE114" s="2054">
        <f>+'Exhibit F'!AF102+'Exhibit G State'!AG89</f>
        <v>6.5</v>
      </c>
      <c r="AF114" s="3274"/>
      <c r="AG114" s="3274"/>
      <c r="AH114" s="3272">
        <f t="shared" ref="AH114:AH121" si="20">ROUND(SUM(AB114-AE114),1)</f>
        <v>-2</v>
      </c>
      <c r="AI114" s="3230"/>
      <c r="AJ114" s="1868">
        <f>ROUND(IF(AE114=0,1,AH114/ABS(AE114)),3)</f>
        <v>-0.308</v>
      </c>
    </row>
    <row r="115" spans="1:38" ht="15">
      <c r="A115" s="2881" t="s">
        <v>27</v>
      </c>
      <c r="B115" s="1477"/>
      <c r="C115" s="1476">
        <f>+'Exhibit F'!D103+'Exhibit G State'!D90</f>
        <v>27.099999999999998</v>
      </c>
      <c r="D115" s="1476"/>
      <c r="E115" s="1476">
        <f>+'Exhibit F'!F103+'Exhibit G State'!F90</f>
        <v>34.400000000000006</v>
      </c>
      <c r="F115" s="1476"/>
      <c r="G115" s="1476">
        <f>+'Exhibit F'!H103+'Exhibit G State'!H90</f>
        <v>576.69999999999982</v>
      </c>
      <c r="H115" s="1476"/>
      <c r="I115" s="1476">
        <f>+'Exhibit F'!J103+'Exhibit G State'!J90</f>
        <v>22.400000000000041</v>
      </c>
      <c r="J115" s="1476"/>
      <c r="K115" s="1476">
        <f>+'Exhibit F'!L103+'Exhibit G State'!L90</f>
        <v>58</v>
      </c>
      <c r="L115" s="1476"/>
      <c r="M115" s="1476">
        <f>+'Exhibit F'!N103+'Exhibit G State'!N90</f>
        <v>71.19999999999996</v>
      </c>
      <c r="N115" s="1476"/>
      <c r="O115" s="1476">
        <f>+'Exhibit F'!P103+'Exhibit G State'!P90</f>
        <v>33.200000000000017</v>
      </c>
      <c r="P115" s="1476"/>
      <c r="Q115" s="1476">
        <f>+'Exhibit F'!R103+'Exhibit G State'!R90</f>
        <v>51.1</v>
      </c>
      <c r="R115" s="1476"/>
      <c r="S115" s="1476">
        <f>+'Exhibit F'!T103+'Exhibit G State'!T90</f>
        <v>232.40000000000006</v>
      </c>
      <c r="T115" s="1476"/>
      <c r="U115" s="1476">
        <f>+'Exhibit F'!V103+'Exhibit G State'!V90</f>
        <v>30.799999999999947</v>
      </c>
      <c r="V115" s="1476"/>
      <c r="W115" s="1476"/>
      <c r="X115" s="1476"/>
      <c r="Y115" s="1476"/>
      <c r="Z115" s="1476"/>
      <c r="AA115" s="2877"/>
      <c r="AB115" s="2054">
        <f t="shared" si="19"/>
        <v>1137.3</v>
      </c>
      <c r="AC115" s="3272"/>
      <c r="AD115" s="3553"/>
      <c r="AE115" s="2054">
        <f>+'Exhibit F'!AF103+'Exhibit G State'!AG90</f>
        <v>1062</v>
      </c>
      <c r="AF115" s="3274"/>
      <c r="AG115" s="3274"/>
      <c r="AH115" s="3272">
        <f t="shared" si="20"/>
        <v>75.3</v>
      </c>
      <c r="AI115" s="3230"/>
      <c r="AJ115" s="1868">
        <f>ROUND(SUM(AH115/ABS(AE115)),3)</f>
        <v>7.0999999999999994E-2</v>
      </c>
    </row>
    <row r="116" spans="1:38" ht="15">
      <c r="A116" s="2881" t="s">
        <v>28</v>
      </c>
      <c r="B116" s="1477"/>
      <c r="C116" s="1476"/>
      <c r="D116" s="1476"/>
      <c r="E116" s="1476"/>
      <c r="F116" s="1476"/>
      <c r="G116" s="1476"/>
      <c r="H116" s="1476"/>
      <c r="I116" s="1476"/>
      <c r="J116" s="1476"/>
      <c r="K116" s="1476"/>
      <c r="L116" s="1476"/>
      <c r="M116" s="1476"/>
      <c r="N116" s="1476"/>
      <c r="O116" s="1476"/>
      <c r="P116" s="1476"/>
      <c r="Q116" s="1476"/>
      <c r="R116" s="1476"/>
      <c r="S116" s="1476"/>
      <c r="T116" s="1476"/>
      <c r="U116" s="1476"/>
      <c r="V116" s="1476"/>
      <c r="W116" s="1476"/>
      <c r="X116" s="1476"/>
      <c r="Y116" s="1476"/>
      <c r="Z116" s="1476"/>
      <c r="AA116" s="2877"/>
      <c r="AB116" s="2054"/>
      <c r="AC116" s="3272"/>
      <c r="AD116" s="3553"/>
      <c r="AE116" s="2694"/>
      <c r="AF116" s="3274"/>
      <c r="AG116" s="3274"/>
      <c r="AH116" s="3272" t="s">
        <v>15</v>
      </c>
      <c r="AI116" s="3230"/>
      <c r="AJ116" s="1868"/>
    </row>
    <row r="117" spans="1:38" ht="15">
      <c r="A117" s="2882" t="s">
        <v>29</v>
      </c>
      <c r="B117" s="1477"/>
      <c r="C117" s="1476">
        <f>+'Exhibit F'!D105+'Exhibit G State'!D92</f>
        <v>3295.5</v>
      </c>
      <c r="D117" s="1476"/>
      <c r="E117" s="1476">
        <f>+'Exhibit F'!F105+'Exhibit G State'!F92</f>
        <v>2470.5</v>
      </c>
      <c r="F117" s="1476"/>
      <c r="G117" s="1476">
        <f>+'Exhibit F'!H105+'Exhibit G State'!H92</f>
        <v>1759.2000000000003</v>
      </c>
      <c r="H117" s="1476"/>
      <c r="I117" s="1476">
        <f>+'Exhibit F'!J105+'Exhibit G State'!J92</f>
        <v>1903.0000000000005</v>
      </c>
      <c r="J117" s="1476"/>
      <c r="K117" s="1476">
        <f>+'Exhibit F'!L105+'Exhibit G State'!L92</f>
        <v>1759.4999999999991</v>
      </c>
      <c r="L117" s="1476"/>
      <c r="M117" s="1476">
        <f>+'Exhibit F'!N105+'Exhibit G State'!N92</f>
        <v>1915.7999999999988</v>
      </c>
      <c r="N117" s="1476"/>
      <c r="O117" s="1476">
        <f>+'Exhibit F'!P105+'Exhibit G State'!P92</f>
        <v>2120.2000000000003</v>
      </c>
      <c r="P117" s="1476"/>
      <c r="Q117" s="1476">
        <f>+'Exhibit F'!R105+'Exhibit G State'!R92</f>
        <v>2341.5</v>
      </c>
      <c r="R117" s="1476"/>
      <c r="S117" s="1476">
        <f>+'Exhibit F'!T105+'Exhibit G State'!T92</f>
        <v>1734.4</v>
      </c>
      <c r="T117" s="1476"/>
      <c r="U117" s="1476">
        <f>+'Exhibit F'!V105+'Exhibit G State'!V92</f>
        <v>2245.7000000000003</v>
      </c>
      <c r="V117" s="1476"/>
      <c r="W117" s="1476"/>
      <c r="X117" s="1476"/>
      <c r="Y117" s="1476"/>
      <c r="Z117" s="1476"/>
      <c r="AA117" s="2877"/>
      <c r="AB117" s="2054">
        <f t="shared" si="19"/>
        <v>21545.3</v>
      </c>
      <c r="AC117" s="3272"/>
      <c r="AD117" s="3553"/>
      <c r="AE117" s="2054">
        <f>+'Exhibit F'!AF105+'Exhibit G State'!AG92</f>
        <v>19160.300000000003</v>
      </c>
      <c r="AF117" s="3274"/>
      <c r="AG117" s="3274"/>
      <c r="AH117" s="3272">
        <f t="shared" si="20"/>
        <v>2385</v>
      </c>
      <c r="AI117" s="3230"/>
      <c r="AJ117" s="1868">
        <f t="shared" ref="AJ117:AJ123" si="21">ROUND(SUM(AH117/ABS(AE117)),3)</f>
        <v>0.124</v>
      </c>
      <c r="AK117" s="2883"/>
    </row>
    <row r="118" spans="1:38" ht="15">
      <c r="A118" s="2881" t="s">
        <v>30</v>
      </c>
      <c r="B118" s="1477"/>
      <c r="C118" s="1476">
        <f>+'Exhibit F'!D106+'Exhibit G State'!D93</f>
        <v>210.3</v>
      </c>
      <c r="D118" s="1476"/>
      <c r="E118" s="1476">
        <f>+'Exhibit F'!F106+'Exhibit G State'!F93</f>
        <v>152.99999999999997</v>
      </c>
      <c r="F118" s="1476"/>
      <c r="G118" s="1476">
        <f>+'Exhibit F'!H106+'Exhibit G State'!H93</f>
        <v>440.70000000000005</v>
      </c>
      <c r="H118" s="1476"/>
      <c r="I118" s="1476">
        <f>+'Exhibit F'!J106+'Exhibit G State'!J93</f>
        <v>261.20000000000016</v>
      </c>
      <c r="J118" s="1476"/>
      <c r="K118" s="1476">
        <f>+'Exhibit F'!L106+'Exhibit G State'!L93</f>
        <v>276.89999999999986</v>
      </c>
      <c r="L118" s="1476"/>
      <c r="M118" s="1476">
        <f>+'Exhibit F'!N106+'Exhibit G State'!N93</f>
        <v>267.19999999999993</v>
      </c>
      <c r="N118" s="1476"/>
      <c r="O118" s="1476">
        <f>+'Exhibit F'!P106+'Exhibit G State'!P93</f>
        <v>277.20000000000016</v>
      </c>
      <c r="P118" s="1476"/>
      <c r="Q118" s="1476">
        <f>+'Exhibit F'!R106+'Exhibit G State'!R93</f>
        <v>143.0999999999998</v>
      </c>
      <c r="R118" s="1476"/>
      <c r="S118" s="1476">
        <f>+'Exhibit F'!T106+'Exhibit G State'!T93</f>
        <v>382.89999999999975</v>
      </c>
      <c r="T118" s="1476"/>
      <c r="U118" s="1476">
        <f>+'Exhibit F'!V106+'Exhibit G State'!V93</f>
        <v>223.60000000000025</v>
      </c>
      <c r="V118" s="1476"/>
      <c r="W118" s="1476"/>
      <c r="X118" s="1476"/>
      <c r="Y118" s="1476"/>
      <c r="Z118" s="1476"/>
      <c r="AA118" s="2877"/>
      <c r="AB118" s="2054">
        <f t="shared" si="19"/>
        <v>2636.1</v>
      </c>
      <c r="AC118" s="3556"/>
      <c r="AD118" s="3272"/>
      <c r="AE118" s="2054">
        <f>+'Exhibit F'!AF106+'Exhibit G State'!AG93</f>
        <v>2719.5</v>
      </c>
      <c r="AF118" s="3274"/>
      <c r="AG118" s="3274"/>
      <c r="AH118" s="3272">
        <f t="shared" si="20"/>
        <v>-83.4</v>
      </c>
      <c r="AI118" s="3230"/>
      <c r="AJ118" s="1868">
        <f t="shared" si="21"/>
        <v>-3.1E-2</v>
      </c>
    </row>
    <row r="119" spans="1:38" ht="15">
      <c r="A119" s="2881" t="s">
        <v>31</v>
      </c>
      <c r="B119" s="1477"/>
      <c r="C119" s="1476">
        <f>+'Exhibit F'!D107+'Exhibit G State'!D94</f>
        <v>30.700000000000003</v>
      </c>
      <c r="D119" s="1476"/>
      <c r="E119" s="1476">
        <f>+'Exhibit F'!F107+'Exhibit G State'!F94</f>
        <v>27.799999999999997</v>
      </c>
      <c r="F119" s="1476"/>
      <c r="G119" s="1476">
        <f>+'Exhibit F'!H107+'Exhibit G State'!H94</f>
        <v>28.6</v>
      </c>
      <c r="H119" s="1476"/>
      <c r="I119" s="1476">
        <f>+'Exhibit F'!J107+'Exhibit G State'!J94</f>
        <v>28</v>
      </c>
      <c r="J119" s="1476"/>
      <c r="K119" s="1476">
        <f>+'Exhibit F'!L107+'Exhibit G State'!L94</f>
        <v>33.000000000000007</v>
      </c>
      <c r="L119" s="1476"/>
      <c r="M119" s="1476">
        <f>+'Exhibit F'!N107+'Exhibit G State'!N94</f>
        <v>41.79999999999999</v>
      </c>
      <c r="N119" s="1476"/>
      <c r="O119" s="1476">
        <f>+'Exhibit F'!P107+'Exhibit G State'!P94</f>
        <v>28.500000000000007</v>
      </c>
      <c r="P119" s="1476"/>
      <c r="Q119" s="1476">
        <f>+'Exhibit F'!R107+'Exhibit G State'!R94</f>
        <v>22.499999999999979</v>
      </c>
      <c r="R119" s="1476"/>
      <c r="S119" s="1476">
        <f>+'Exhibit F'!T107+'Exhibit G State'!T94</f>
        <v>34.200000000000017</v>
      </c>
      <c r="T119" s="1476"/>
      <c r="U119" s="1476">
        <f>+'Exhibit F'!V107+'Exhibit G State'!V94</f>
        <v>-19.800000000000018</v>
      </c>
      <c r="V119" s="1476"/>
      <c r="W119" s="1476"/>
      <c r="X119" s="1476"/>
      <c r="Y119" s="1476"/>
      <c r="Z119" s="1476"/>
      <c r="AA119" s="2877"/>
      <c r="AB119" s="2054">
        <f t="shared" si="19"/>
        <v>255.3</v>
      </c>
      <c r="AC119" s="3557"/>
      <c r="AD119" s="3553"/>
      <c r="AE119" s="2054">
        <f>+'Exhibit F'!AF107+'Exhibit G State'!AG94</f>
        <v>282.2</v>
      </c>
      <c r="AF119" s="3274"/>
      <c r="AG119" s="3274"/>
      <c r="AH119" s="3272">
        <f t="shared" si="20"/>
        <v>-26.9</v>
      </c>
      <c r="AI119" s="3230"/>
      <c r="AJ119" s="1868">
        <f t="shared" si="21"/>
        <v>-9.5000000000000001E-2</v>
      </c>
    </row>
    <row r="120" spans="1:38" ht="15">
      <c r="A120" s="2881" t="s">
        <v>32</v>
      </c>
      <c r="B120" s="1477"/>
      <c r="C120" s="1476">
        <f>+'Exhibit F'!D108+'Exhibit G State'!D95</f>
        <v>88.700000000000017</v>
      </c>
      <c r="D120" s="1476"/>
      <c r="E120" s="1476">
        <f>+'Exhibit F'!F108+'Exhibit G State'!F95</f>
        <v>85.699999999999974</v>
      </c>
      <c r="F120" s="1476"/>
      <c r="G120" s="1476">
        <f>+'Exhibit F'!H108+'Exhibit G State'!H95</f>
        <v>181</v>
      </c>
      <c r="H120" s="1476"/>
      <c r="I120" s="1476">
        <f>+'Exhibit F'!J108+'Exhibit G State'!J95</f>
        <v>128.90000000000003</v>
      </c>
      <c r="J120" s="1476"/>
      <c r="K120" s="1476">
        <f>+'Exhibit F'!L108+'Exhibit G State'!L95</f>
        <v>180.6999999999999</v>
      </c>
      <c r="L120" s="1476"/>
      <c r="M120" s="1476">
        <f>+'Exhibit F'!N108+'Exhibit G State'!N95</f>
        <v>170.00000000000006</v>
      </c>
      <c r="N120" s="1476"/>
      <c r="O120" s="1476">
        <f>+'Exhibit F'!P108+'Exhibit G State'!P95</f>
        <v>424.80000000000007</v>
      </c>
      <c r="P120" s="1476"/>
      <c r="Q120" s="1476">
        <f>+'Exhibit F'!R108+'Exhibit G State'!R95</f>
        <v>460.89999999999981</v>
      </c>
      <c r="R120" s="1476"/>
      <c r="S120" s="1476">
        <f>+'Exhibit F'!T108+'Exhibit G State'!T95</f>
        <v>119.1999999999999</v>
      </c>
      <c r="T120" s="1476"/>
      <c r="U120" s="1476">
        <f>+'Exhibit F'!V108+'Exhibit G State'!V95</f>
        <v>171.1</v>
      </c>
      <c r="V120" s="1476"/>
      <c r="W120" s="1476"/>
      <c r="X120" s="1476"/>
      <c r="Y120" s="1476"/>
      <c r="Z120" s="1476"/>
      <c r="AA120" s="2877"/>
      <c r="AB120" s="2054">
        <f t="shared" si="19"/>
        <v>2011</v>
      </c>
      <c r="AC120" s="3557"/>
      <c r="AD120" s="3553"/>
      <c r="AE120" s="2054">
        <f>+'Exhibit F'!AF108+'Exhibit G State'!AG95</f>
        <v>1949.5</v>
      </c>
      <c r="AF120" s="3274"/>
      <c r="AG120" s="3274"/>
      <c r="AH120" s="3272">
        <f t="shared" si="20"/>
        <v>61.5</v>
      </c>
      <c r="AI120" s="3230"/>
      <c r="AJ120" s="1868">
        <f t="shared" si="21"/>
        <v>3.2000000000000001E-2</v>
      </c>
    </row>
    <row r="121" spans="1:38" ht="15">
      <c r="A121" s="2881" t="s">
        <v>33</v>
      </c>
      <c r="B121" s="1477"/>
      <c r="C121" s="1476">
        <f>+'Exhibit F'!D109+'Exhibit G State'!D96</f>
        <v>7.1</v>
      </c>
      <c r="D121" s="1476"/>
      <c r="E121" s="1476">
        <f>+'Exhibit F'!F109+'Exhibit G State'!F96</f>
        <v>14.399999999999999</v>
      </c>
      <c r="F121" s="1476"/>
      <c r="G121" s="1476">
        <f>+'Exhibit F'!H109+'Exhibit G State'!H96</f>
        <v>7</v>
      </c>
      <c r="H121" s="1476"/>
      <c r="I121" s="1476">
        <f>+'Exhibit F'!J109+'Exhibit G State'!J96</f>
        <v>27.8</v>
      </c>
      <c r="J121" s="1476"/>
      <c r="K121" s="1476">
        <f>+'Exhibit F'!L109+'Exhibit G State'!L96</f>
        <v>24.499999999999993</v>
      </c>
      <c r="L121" s="1476"/>
      <c r="M121" s="1476">
        <f>+'Exhibit F'!N109+'Exhibit G State'!N96</f>
        <v>11.699999999999996</v>
      </c>
      <c r="N121" s="1476"/>
      <c r="O121" s="1476">
        <f>+'Exhibit F'!P109+'Exhibit G State'!P96</f>
        <v>22.400000000000006</v>
      </c>
      <c r="P121" s="1476"/>
      <c r="Q121" s="1476">
        <f>+'Exhibit F'!R109+'Exhibit G State'!R96</f>
        <v>20.999999999999996</v>
      </c>
      <c r="R121" s="1476"/>
      <c r="S121" s="1476">
        <f>+'Exhibit F'!T109+'Exhibit G State'!T96</f>
        <v>19.000000000000014</v>
      </c>
      <c r="T121" s="1476"/>
      <c r="U121" s="1476">
        <f>+'Exhibit F'!V109+'Exhibit G State'!V96</f>
        <v>4.6999999999999886</v>
      </c>
      <c r="V121" s="1476"/>
      <c r="W121" s="1476"/>
      <c r="X121" s="1476"/>
      <c r="Y121" s="1476"/>
      <c r="Z121" s="1476"/>
      <c r="AA121" s="2877"/>
      <c r="AB121" s="2054">
        <f t="shared" si="19"/>
        <v>159.6</v>
      </c>
      <c r="AC121" s="3557"/>
      <c r="AD121" s="3553"/>
      <c r="AE121" s="2054">
        <f>+'Exhibit F'!AF109+'Exhibit G State'!AG96</f>
        <v>175.8</v>
      </c>
      <c r="AF121" s="3274"/>
      <c r="AG121" s="3274"/>
      <c r="AH121" s="3272">
        <f t="shared" si="20"/>
        <v>-16.2</v>
      </c>
      <c r="AI121" s="3230"/>
      <c r="AJ121" s="1868">
        <f t="shared" si="21"/>
        <v>-9.1999999999999998E-2</v>
      </c>
    </row>
    <row r="122" spans="1:38" ht="15">
      <c r="A122" s="2881" t="s">
        <v>34</v>
      </c>
      <c r="B122" s="1477"/>
      <c r="C122" s="1476">
        <f>+'Exhibit F'!D110+'Exhibit G State'!D97</f>
        <v>68.3</v>
      </c>
      <c r="D122" s="1476"/>
      <c r="E122" s="1476">
        <f>+'Exhibit F'!F110+'Exhibit G State'!F97</f>
        <v>426.59999999999997</v>
      </c>
      <c r="F122" s="1476"/>
      <c r="G122" s="1476">
        <f>+'Exhibit F'!H110+'Exhibit G State'!H97</f>
        <v>279.40000000000003</v>
      </c>
      <c r="H122" s="1476"/>
      <c r="I122" s="1476">
        <f>+'Exhibit F'!J110+'Exhibit G State'!J97</f>
        <v>274.30000000000007</v>
      </c>
      <c r="J122" s="1476"/>
      <c r="K122" s="1476">
        <f>+'Exhibit F'!L110+'Exhibit G State'!L97</f>
        <v>388.40000000000003</v>
      </c>
      <c r="L122" s="1476"/>
      <c r="M122" s="1476">
        <f>+'Exhibit F'!N110+'Exhibit G State'!N97</f>
        <v>327.09999999999974</v>
      </c>
      <c r="N122" s="1476"/>
      <c r="O122" s="1476">
        <f>+'Exhibit F'!P110+'Exhibit G State'!P97</f>
        <v>279.80000000000024</v>
      </c>
      <c r="P122" s="1476"/>
      <c r="Q122" s="1476">
        <f>+'Exhibit F'!R110+'Exhibit G State'!R97</f>
        <v>498.89999999999941</v>
      </c>
      <c r="R122" s="1476"/>
      <c r="S122" s="1476">
        <f>+'Exhibit F'!T110+'Exhibit G State'!T97</f>
        <v>739.50000000000011</v>
      </c>
      <c r="T122" s="1476"/>
      <c r="U122" s="1476">
        <f>+'Exhibit F'!V110+'Exhibit G State'!V97</f>
        <v>62.500000000000455</v>
      </c>
      <c r="V122" s="1476"/>
      <c r="W122" s="1476"/>
      <c r="X122" s="1476"/>
      <c r="Y122" s="1476"/>
      <c r="Z122" s="1476"/>
      <c r="AA122" s="2877"/>
      <c r="AB122" s="3272">
        <f>ROUND(SUM(C122:Y122),1)</f>
        <v>3344.8</v>
      </c>
      <c r="AC122" s="3557"/>
      <c r="AD122" s="3553"/>
      <c r="AE122" s="2054">
        <f>+'Exhibit F'!AF110+'Exhibit G State'!AG97</f>
        <v>3643</v>
      </c>
      <c r="AF122" s="3274"/>
      <c r="AG122" s="3274"/>
      <c r="AH122" s="3272">
        <f>ROUND(SUM(AB122-AE122),1)</f>
        <v>-298.2</v>
      </c>
      <c r="AI122" s="3230"/>
      <c r="AJ122" s="1485">
        <f t="shared" si="21"/>
        <v>-8.2000000000000003E-2</v>
      </c>
    </row>
    <row r="123" spans="1:38" ht="15.75">
      <c r="A123" s="1477" t="s">
        <v>35</v>
      </c>
      <c r="B123" s="1477"/>
      <c r="C123" s="2884">
        <f>ROUND(SUM(C113:C122),1)</f>
        <v>4645.1000000000004</v>
      </c>
      <c r="D123" s="2885"/>
      <c r="E123" s="2884">
        <f>ROUND(SUM(E113:E122),1)</f>
        <v>7192.7</v>
      </c>
      <c r="F123" s="2885"/>
      <c r="G123" s="2884">
        <f>ROUND(SUM(G113:G122),1)</f>
        <v>5812.3</v>
      </c>
      <c r="H123" s="2885"/>
      <c r="I123" s="2884">
        <f>ROUND(SUM(I113:I122),1)</f>
        <v>4257.1000000000004</v>
      </c>
      <c r="J123" s="2885"/>
      <c r="K123" s="2884">
        <f>ROUND(SUM(K113:K122),1)</f>
        <v>3402.1</v>
      </c>
      <c r="L123" s="2885"/>
      <c r="M123" s="2884">
        <f>ROUND(SUM(M113:M122),1)</f>
        <v>7660.1</v>
      </c>
      <c r="N123" s="2885"/>
      <c r="O123" s="2884">
        <f>ROUND(SUM(O113:O122),1)</f>
        <v>4417</v>
      </c>
      <c r="P123" s="2885"/>
      <c r="Q123" s="2884">
        <f>ROUND(SUM(Q113:Q122),1)</f>
        <v>5430.1</v>
      </c>
      <c r="R123" s="2885"/>
      <c r="S123" s="2884">
        <f>ROUND(SUM(S113:S122),1)</f>
        <v>5696.2</v>
      </c>
      <c r="T123" s="2885"/>
      <c r="U123" s="2884">
        <f>ROUND(SUM(U113:U122),1)</f>
        <v>5765.1</v>
      </c>
      <c r="V123" s="2885"/>
      <c r="W123" s="2884">
        <f>ROUND(SUM(W113:W122),1)</f>
        <v>0</v>
      </c>
      <c r="X123" s="2885"/>
      <c r="Y123" s="2884">
        <f>ROUND(SUM(Y113:Y122),1)</f>
        <v>0</v>
      </c>
      <c r="Z123" s="2885"/>
      <c r="AA123" s="2886"/>
      <c r="AB123" s="3558">
        <f>ROUND(SUM(AB113:AB122),1)</f>
        <v>54277.8</v>
      </c>
      <c r="AC123" s="3559"/>
      <c r="AD123" s="3560"/>
      <c r="AE123" s="1497">
        <f>ROUND(SUM(AE113:AE122),1)</f>
        <v>51753.5</v>
      </c>
      <c r="AF123" s="3273"/>
      <c r="AG123" s="3273"/>
      <c r="AH123" s="1497">
        <f>ROUND(SUM(AH113:AH122),1)</f>
        <v>2524.3000000000002</v>
      </c>
      <c r="AI123" s="3214"/>
      <c r="AJ123" s="2613">
        <f t="shared" si="21"/>
        <v>4.9000000000000002E-2</v>
      </c>
      <c r="AK123" s="2871"/>
      <c r="AL123" s="2871"/>
    </row>
    <row r="124" spans="1:38" ht="15">
      <c r="A124" s="1477" t="s">
        <v>36</v>
      </c>
      <c r="B124" s="1477"/>
      <c r="C124" s="2875"/>
      <c r="D124" s="1476"/>
      <c r="E124" s="2875"/>
      <c r="F124" s="1476"/>
      <c r="G124" s="2875"/>
      <c r="H124" s="1476"/>
      <c r="I124" s="2875"/>
      <c r="J124" s="1476"/>
      <c r="K124" s="2875"/>
      <c r="L124" s="1476"/>
      <c r="M124" s="2875"/>
      <c r="N124" s="1476"/>
      <c r="O124" s="2875"/>
      <c r="P124" s="1476"/>
      <c r="Q124" s="2875"/>
      <c r="R124" s="1476"/>
      <c r="S124" s="2875"/>
      <c r="T124" s="1476"/>
      <c r="U124" s="2875"/>
      <c r="V124" s="1476"/>
      <c r="W124" s="2875"/>
      <c r="X124" s="1476"/>
      <c r="Y124" s="2875"/>
      <c r="Z124" s="1476"/>
      <c r="AA124" s="2877"/>
      <c r="AB124" s="3274"/>
      <c r="AC124" s="3272"/>
      <c r="AD124" s="3553"/>
      <c r="AE124" s="2095"/>
      <c r="AF124" s="3274"/>
      <c r="AG124" s="3274"/>
      <c r="AH124" s="2054"/>
      <c r="AI124" s="3230"/>
      <c r="AJ124" s="3514"/>
    </row>
    <row r="125" spans="1:38" ht="15">
      <c r="A125" s="1477" t="s">
        <v>139</v>
      </c>
      <c r="B125" s="1477"/>
      <c r="C125" s="1476">
        <f>+'Exhibit F'!D113+'Exhibit G State'!D100</f>
        <v>1090.5</v>
      </c>
      <c r="D125" s="1476"/>
      <c r="E125" s="1476">
        <f>+'Exhibit F'!F113+'Exhibit G State'!F100</f>
        <v>1651.8</v>
      </c>
      <c r="F125" s="1476"/>
      <c r="G125" s="1476">
        <f>+'Exhibit F'!H113+'Exhibit G State'!H100</f>
        <v>1072.5999999999999</v>
      </c>
      <c r="H125" s="1476"/>
      <c r="I125" s="1476">
        <f>+'Exhibit F'!J113+'Exhibit G State'!J100</f>
        <v>1146.7000000000005</v>
      </c>
      <c r="J125" s="1476"/>
      <c r="K125" s="1476">
        <f>+'Exhibit F'!L113+'Exhibit G State'!L100</f>
        <v>1205.5999999999995</v>
      </c>
      <c r="L125" s="1476"/>
      <c r="M125" s="1476">
        <f>+'Exhibit F'!N113+'Exhibit G State'!N100</f>
        <v>1064.2000000000005</v>
      </c>
      <c r="N125" s="1476"/>
      <c r="O125" s="1476">
        <f>+'Exhibit F'!P113+'Exhibit G State'!P100</f>
        <v>1364.3999999999999</v>
      </c>
      <c r="P125" s="1476"/>
      <c r="Q125" s="1476">
        <f>+'Exhibit F'!R113+'Exhibit G State'!R100</f>
        <v>1083.0999999999992</v>
      </c>
      <c r="R125" s="1476"/>
      <c r="S125" s="1476">
        <f>+'Exhibit F'!T113+'Exhibit G State'!T100</f>
        <v>1092.2000000000007</v>
      </c>
      <c r="T125" s="1476"/>
      <c r="U125" s="1476">
        <f>+'Exhibit F'!V113+'Exhibit G State'!V100</f>
        <v>1193.1000000000008</v>
      </c>
      <c r="V125" s="1476"/>
      <c r="W125" s="1476"/>
      <c r="X125" s="1476"/>
      <c r="Y125" s="1476"/>
      <c r="Z125" s="1476"/>
      <c r="AA125" s="2877"/>
      <c r="AB125" s="3272">
        <f>ROUND(SUM(C125:Y125),1)</f>
        <v>11964.2</v>
      </c>
      <c r="AC125" s="3272"/>
      <c r="AD125" s="3553"/>
      <c r="AE125" s="2054">
        <f>+'Exhibit F'!AF113+'Exhibit G State'!AG100</f>
        <v>11594.7</v>
      </c>
      <c r="AF125" s="3274"/>
      <c r="AG125" s="3274"/>
      <c r="AH125" s="3272">
        <f>ROUND(SUM(AB125-AE125),1)</f>
        <v>369.5</v>
      </c>
      <c r="AI125" s="3230"/>
      <c r="AJ125" s="1868">
        <f>ROUND(SUM(AH125/ABS(AE125)),3)</f>
        <v>3.2000000000000001E-2</v>
      </c>
    </row>
    <row r="126" spans="1:38" ht="15">
      <c r="A126" s="1477" t="s">
        <v>140</v>
      </c>
      <c r="B126" s="1477"/>
      <c r="C126" s="1476">
        <f>+'Exhibit F'!D114+'Exhibit G State'!D101+'Exhibit H'!B53</f>
        <v>404</v>
      </c>
      <c r="D126" s="1476"/>
      <c r="E126" s="1476">
        <f>+'Exhibit F'!F114+'Exhibit G State'!F101+'Exhibit H'!D53</f>
        <v>500</v>
      </c>
      <c r="F126" s="1476"/>
      <c r="G126" s="1476">
        <f>+'Exhibit F'!H114+'Exhibit G State'!H101+'Exhibit H'!F53</f>
        <v>419.5</v>
      </c>
      <c r="H126" s="1476"/>
      <c r="I126" s="1476">
        <f>+'Exhibit F'!J114+'Exhibit G State'!J101+'Exhibit H'!H53</f>
        <v>437.90000000000015</v>
      </c>
      <c r="J126" s="1476"/>
      <c r="K126" s="1476">
        <f>+'Exhibit F'!L114+'Exhibit G State'!L101+'Exhibit H'!J53</f>
        <v>472.69999999999982</v>
      </c>
      <c r="L126" s="1476"/>
      <c r="M126" s="1476">
        <f>+'Exhibit F'!N114+'Exhibit G State'!N101+'Exhibit H'!L53</f>
        <v>406.6</v>
      </c>
      <c r="N126" s="1476"/>
      <c r="O126" s="1476">
        <f>+'Exhibit F'!P114+'Exhibit G State'!P101+'Exhibit H'!N53</f>
        <v>514.30000000000007</v>
      </c>
      <c r="P126" s="1476"/>
      <c r="Q126" s="1476">
        <f>+'Exhibit F'!R114+'Exhibit G State'!R101+'Exhibit H'!P53</f>
        <v>431.59999999999985</v>
      </c>
      <c r="R126" s="1476"/>
      <c r="S126" s="1476">
        <f>+'Exhibit F'!T114+'Exhibit G State'!T101+'Exhibit H'!R53</f>
        <v>399.2</v>
      </c>
      <c r="T126" s="1476"/>
      <c r="U126" s="1476">
        <f>+'Exhibit F'!V114+'Exhibit G State'!V101+'Exhibit H'!T53</f>
        <v>540.39999999999964</v>
      </c>
      <c r="V126" s="1476"/>
      <c r="W126" s="1476"/>
      <c r="X126" s="1476"/>
      <c r="Y126" s="1476"/>
      <c r="Z126" s="1476"/>
      <c r="AA126" s="2877"/>
      <c r="AB126" s="3272">
        <f>ROUND(SUM(C126:Y126),1)</f>
        <v>4526.2</v>
      </c>
      <c r="AC126" s="3272"/>
      <c r="AD126" s="3553"/>
      <c r="AE126" s="2054">
        <f>+'Exhibit F'!AF114+'Exhibit G State'!AG101+'Exhibit H'!AD53</f>
        <v>4392</v>
      </c>
      <c r="AF126" s="3274"/>
      <c r="AG126" s="3274"/>
      <c r="AH126" s="3272">
        <f>ROUND(SUM(AB126-AE126),1)</f>
        <v>134.19999999999999</v>
      </c>
      <c r="AI126" s="3230"/>
      <c r="AJ126" s="1868">
        <f>ROUND(SUM(AH126/ABS(AE126)),3)</f>
        <v>3.1E-2</v>
      </c>
    </row>
    <row r="127" spans="1:38" ht="15">
      <c r="A127" s="1477" t="s">
        <v>39</v>
      </c>
      <c r="B127" s="1477"/>
      <c r="C127" s="1476">
        <f>+'Exhibit F'!D115+'Exhibit G State'!D102</f>
        <v>792.2</v>
      </c>
      <c r="D127" s="1476"/>
      <c r="E127" s="1476">
        <f>+'Exhibit F'!F115+'Exhibit G State'!F102</f>
        <v>2436.5</v>
      </c>
      <c r="F127" s="1476"/>
      <c r="G127" s="1476">
        <f>+'Exhibit F'!H115+'Exhibit G State'!H102</f>
        <v>420.59999999999968</v>
      </c>
      <c r="H127" s="1476"/>
      <c r="I127" s="1476">
        <f>+'Exhibit F'!J115+'Exhibit G State'!J102</f>
        <v>463.4000000000002</v>
      </c>
      <c r="J127" s="1476"/>
      <c r="K127" s="1476">
        <f>+'Exhibit F'!L115+'Exhibit G State'!L102</f>
        <v>518.50000000000034</v>
      </c>
      <c r="L127" s="1476"/>
      <c r="M127" s="1476">
        <f>+'Exhibit F'!N115+'Exhibit G State'!N102</f>
        <v>548.20000000000005</v>
      </c>
      <c r="N127" s="1476"/>
      <c r="O127" s="1476">
        <f>+'Exhibit F'!P115+'Exhibit G State'!P102</f>
        <v>639.89999999999964</v>
      </c>
      <c r="P127" s="1476"/>
      <c r="Q127" s="1476">
        <f>+'Exhibit F'!R115+'Exhibit G State'!R102</f>
        <v>539.50000000000011</v>
      </c>
      <c r="R127" s="1476"/>
      <c r="S127" s="1476">
        <f>+'Exhibit F'!T115+'Exhibit G State'!T102</f>
        <v>513.79999999999984</v>
      </c>
      <c r="T127" s="1476"/>
      <c r="U127" s="1476">
        <f>+'Exhibit F'!V115+'Exhibit G State'!V102</f>
        <v>529.80000000000041</v>
      </c>
      <c r="V127" s="1476"/>
      <c r="W127" s="1476"/>
      <c r="X127" s="1476"/>
      <c r="Y127" s="1476"/>
      <c r="Z127" s="1476"/>
      <c r="AA127" s="2877"/>
      <c r="AB127" s="3272">
        <f>ROUND(SUM(C127:Y127),1)</f>
        <v>7402.4</v>
      </c>
      <c r="AC127" s="3272"/>
      <c r="AD127" s="3553"/>
      <c r="AE127" s="2054">
        <f>+'Exhibit F'!AF115+'Exhibit G State'!AG102</f>
        <v>7203.7</v>
      </c>
      <c r="AF127" s="3274"/>
      <c r="AG127" s="3274"/>
      <c r="AH127" s="3272">
        <f>ROUND(SUM(AB127-AE127),1)</f>
        <v>198.7</v>
      </c>
      <c r="AI127" s="3230"/>
      <c r="AJ127" s="1868">
        <f>ROUND(SUM(AH127/ABS(AE127)),3)</f>
        <v>2.8000000000000001E-2</v>
      </c>
    </row>
    <row r="128" spans="1:38" ht="15">
      <c r="A128" s="1477" t="s">
        <v>40</v>
      </c>
      <c r="B128" s="1477"/>
      <c r="C128" s="2875"/>
      <c r="D128" s="1476"/>
      <c r="E128" s="2875"/>
      <c r="F128" s="1476"/>
      <c r="G128" s="2875"/>
      <c r="H128" s="1476"/>
      <c r="I128" s="2875"/>
      <c r="J128" s="1476"/>
      <c r="K128" s="2875"/>
      <c r="L128" s="1476"/>
      <c r="M128" s="2875"/>
      <c r="N128" s="1476"/>
      <c r="O128" s="2875"/>
      <c r="P128" s="1476"/>
      <c r="Q128" s="2875"/>
      <c r="R128" s="1476"/>
      <c r="S128" s="2875"/>
      <c r="T128" s="1476"/>
      <c r="U128" s="2875"/>
      <c r="V128" s="1476"/>
      <c r="W128" s="2875"/>
      <c r="X128" s="1476"/>
      <c r="Y128" s="2875"/>
      <c r="Z128" s="1476"/>
      <c r="AA128" s="2877"/>
      <c r="AB128" s="3272"/>
      <c r="AC128" s="3272"/>
      <c r="AD128" s="3553"/>
      <c r="AE128" s="3274"/>
      <c r="AF128" s="3274"/>
      <c r="AG128" s="3274"/>
      <c r="AH128" s="3272"/>
      <c r="AI128" s="3230"/>
      <c r="AJ128" s="1868"/>
    </row>
    <row r="129" spans="1:59" ht="15">
      <c r="A129" s="1477" t="s">
        <v>41</v>
      </c>
      <c r="B129" s="1477"/>
      <c r="C129" s="1476">
        <f>+'Exhibit H'!B55</f>
        <v>72.400000000000006</v>
      </c>
      <c r="D129" s="1476"/>
      <c r="E129" s="1476">
        <f>+'Exhibit H'!D55</f>
        <v>121.1</v>
      </c>
      <c r="F129" s="1476"/>
      <c r="G129" s="1476">
        <f>+'Exhibit H'!F55</f>
        <v>230.29999999999998</v>
      </c>
      <c r="H129" s="1476"/>
      <c r="I129" s="1476">
        <f>+'Exhibit H'!H55</f>
        <v>45.099999999999994</v>
      </c>
      <c r="J129" s="1476"/>
      <c r="K129" s="1476">
        <f>+'Exhibit H'!J55</f>
        <v>74.5</v>
      </c>
      <c r="L129" s="1476"/>
      <c r="M129" s="1476">
        <f>+'Exhibit H'!L55</f>
        <v>433.20000000000005</v>
      </c>
      <c r="N129" s="1476"/>
      <c r="O129" s="1476">
        <f>+'Exhibit H'!N55</f>
        <v>48.499999999999886</v>
      </c>
      <c r="P129" s="1476"/>
      <c r="Q129" s="1476">
        <f>+'Exhibit H'!P55</f>
        <v>74.899999999999977</v>
      </c>
      <c r="R129" s="1476"/>
      <c r="S129" s="1476">
        <f>+'Exhibit H'!R55</f>
        <v>412.20000000000027</v>
      </c>
      <c r="T129" s="1476"/>
      <c r="U129" s="1476">
        <f>+'Exhibit H'!T55</f>
        <v>44.599999999999909</v>
      </c>
      <c r="V129" s="1476"/>
      <c r="W129" s="1476"/>
      <c r="X129" s="1476"/>
      <c r="Y129" s="1476"/>
      <c r="Z129" s="1476"/>
      <c r="AA129" s="2877"/>
      <c r="AB129" s="3272">
        <f>ROUND(SUM(C129:Y129),1)</f>
        <v>1556.8</v>
      </c>
      <c r="AC129" s="3272"/>
      <c r="AD129" s="3553"/>
      <c r="AE129" s="2095">
        <f>+'Exhibit H'!AD55</f>
        <v>1768.9</v>
      </c>
      <c r="AF129" s="3274"/>
      <c r="AG129" s="3274"/>
      <c r="AH129" s="3272">
        <f>ROUND(SUM(AB129-AE129),1)</f>
        <v>-212.1</v>
      </c>
      <c r="AI129" s="3230"/>
      <c r="AJ129" s="1868">
        <f>ROUND(SUM(AH129/ABS(AE129)),3)</f>
        <v>-0.12</v>
      </c>
    </row>
    <row r="130" spans="1:59" ht="15">
      <c r="A130" s="1477" t="s">
        <v>141</v>
      </c>
      <c r="B130" s="1477"/>
      <c r="C130" s="1476">
        <f>'Exhibit G State'!D103</f>
        <v>0</v>
      </c>
      <c r="D130" s="1476"/>
      <c r="E130" s="1476">
        <f>'Exhibit G State'!F103</f>
        <v>0</v>
      </c>
      <c r="F130" s="1476"/>
      <c r="G130" s="1476">
        <f>'Exhibit G State'!H103</f>
        <v>0.1</v>
      </c>
      <c r="H130" s="1476"/>
      <c r="I130" s="1476">
        <f>'Exhibit G State'!J103</f>
        <v>0</v>
      </c>
      <c r="J130" s="1476"/>
      <c r="K130" s="1476">
        <f>'Exhibit G State'!L103</f>
        <v>-0.1</v>
      </c>
      <c r="L130" s="1476"/>
      <c r="M130" s="1476">
        <f>'Exhibit G State'!N103</f>
        <v>0</v>
      </c>
      <c r="N130" s="1476"/>
      <c r="O130" s="1476">
        <f>'Exhibit G State'!P103</f>
        <v>0</v>
      </c>
      <c r="P130" s="1476"/>
      <c r="Q130" s="1476">
        <f>'Exhibit G State'!R103</f>
        <v>0</v>
      </c>
      <c r="R130" s="1476"/>
      <c r="S130" s="1476">
        <f>'Exhibit G State'!T103</f>
        <v>0</v>
      </c>
      <c r="T130" s="1476"/>
      <c r="U130" s="1476">
        <f>'Exhibit G State'!V103</f>
        <v>0</v>
      </c>
      <c r="V130" s="1476"/>
      <c r="W130" s="1476"/>
      <c r="X130" s="1476"/>
      <c r="Y130" s="1476"/>
      <c r="Z130" s="1476"/>
      <c r="AA130" s="2876"/>
      <c r="AB130" s="3272">
        <f>ROUND(SUM(C130:Y130),1)</f>
        <v>0</v>
      </c>
      <c r="AC130" s="3272"/>
      <c r="AD130" s="3553"/>
      <c r="AE130" s="2095">
        <f>+'Exhibit H'!AD56</f>
        <v>0</v>
      </c>
      <c r="AF130" s="3274"/>
      <c r="AG130" s="3274"/>
      <c r="AH130" s="3272">
        <f>ROUND(SUM(AB130-AE130),1)</f>
        <v>0</v>
      </c>
      <c r="AI130" s="3230"/>
      <c r="AJ130" s="1774">
        <f>ROUND(IF(AE130=0,0,AH130/ABS(AE130)),3)</f>
        <v>0</v>
      </c>
    </row>
    <row r="131" spans="1:59" ht="16.5" customHeight="1">
      <c r="A131" s="1477"/>
      <c r="B131" s="1477"/>
      <c r="C131" s="3701"/>
      <c r="D131" s="1476"/>
      <c r="E131" s="3701"/>
      <c r="F131" s="1476"/>
      <c r="G131" s="3701"/>
      <c r="H131" s="1476"/>
      <c r="I131" s="3701"/>
      <c r="J131" s="1476"/>
      <c r="K131" s="3701"/>
      <c r="L131" s="1476"/>
      <c r="M131" s="3701"/>
      <c r="N131" s="1476"/>
      <c r="O131" s="3701"/>
      <c r="P131" s="1476"/>
      <c r="Q131" s="3701"/>
      <c r="R131" s="1476"/>
      <c r="S131" s="3701"/>
      <c r="T131" s="1476"/>
      <c r="U131" s="3701"/>
      <c r="V131" s="1476"/>
      <c r="W131" s="3701"/>
      <c r="X131" s="1476"/>
      <c r="Y131" s="3701"/>
      <c r="Z131" s="1476"/>
      <c r="AA131" s="2877"/>
      <c r="AB131" s="3702"/>
      <c r="AC131" s="3272"/>
      <c r="AD131" s="3553"/>
      <c r="AE131" s="3702"/>
      <c r="AF131" s="3274"/>
      <c r="AG131" s="3274"/>
      <c r="AH131" s="3702"/>
      <c r="AI131" s="3230"/>
      <c r="AJ131" s="3703"/>
    </row>
    <row r="132" spans="1:59" ht="16.5" customHeight="1">
      <c r="A132" s="2064" t="s">
        <v>58</v>
      </c>
      <c r="B132" s="1477"/>
      <c r="C132" s="2887">
        <f>ROUND(SUM(C123:C130),1)</f>
        <v>7004.2</v>
      </c>
      <c r="D132" s="2885"/>
      <c r="E132" s="2887">
        <f>ROUND(SUM(E123:E130),1)</f>
        <v>11902.1</v>
      </c>
      <c r="F132" s="2885"/>
      <c r="G132" s="2887">
        <f>ROUND(SUM(G123:G130),1)</f>
        <v>7955.4</v>
      </c>
      <c r="H132" s="2885"/>
      <c r="I132" s="2887">
        <f>ROUND(SUM(I123:I130),1)</f>
        <v>6350.2</v>
      </c>
      <c r="J132" s="2885"/>
      <c r="K132" s="2887">
        <f>ROUND(SUM(K123:K130),1)</f>
        <v>5673.3</v>
      </c>
      <c r="L132" s="2885"/>
      <c r="M132" s="2887">
        <f>ROUND(SUM(M123:M130),1)</f>
        <v>10112.299999999999</v>
      </c>
      <c r="N132" s="2885"/>
      <c r="O132" s="2887">
        <f>ROUND(SUM(O123:O130),1)</f>
        <v>6984.1</v>
      </c>
      <c r="P132" s="2885"/>
      <c r="Q132" s="2887">
        <f>ROUND(SUM(Q123:Q130),1)</f>
        <v>7559.2</v>
      </c>
      <c r="R132" s="2885"/>
      <c r="S132" s="2887">
        <f>ROUND(SUM(S123:S130),1)</f>
        <v>8113.6</v>
      </c>
      <c r="T132" s="2885"/>
      <c r="U132" s="2887">
        <f>ROUND(SUM(U123:U130),1)</f>
        <v>8073</v>
      </c>
      <c r="V132" s="2885"/>
      <c r="W132" s="2887">
        <f>ROUND(SUM(W123:W130),1)</f>
        <v>0</v>
      </c>
      <c r="X132" s="2885"/>
      <c r="Y132" s="2887">
        <f>ROUND(SUM(Y123:Y130),1)</f>
        <v>0</v>
      </c>
      <c r="Z132" s="2885"/>
      <c r="AA132" s="2886"/>
      <c r="AB132" s="3276">
        <f>ROUND(SUM(AB123:AB130),1)</f>
        <v>79727.399999999994</v>
      </c>
      <c r="AC132" s="3561"/>
      <c r="AD132" s="3560"/>
      <c r="AE132" s="1606">
        <f>ROUND(SUM(AE123:AE131),1)</f>
        <v>76712.800000000003</v>
      </c>
      <c r="AF132" s="3273"/>
      <c r="AG132" s="3273"/>
      <c r="AH132" s="1606">
        <f>ROUND(SUM(AH123:AH131),1)</f>
        <v>3014.6</v>
      </c>
      <c r="AI132" s="3214"/>
      <c r="AJ132" s="2637">
        <f>ROUND(SUM(AH132/ABS(AE132)),3)</f>
        <v>3.9E-2</v>
      </c>
      <c r="AK132" s="2871"/>
      <c r="AL132" s="2871"/>
      <c r="AM132" s="2871"/>
      <c r="AN132" s="2871"/>
      <c r="AO132" s="2871"/>
      <c r="AP132" s="2871"/>
      <c r="AQ132" s="2871"/>
      <c r="AR132" s="2871"/>
    </row>
    <row r="133" spans="1:59" ht="16.5" customHeight="1">
      <c r="A133" s="2064"/>
      <c r="B133" s="1477"/>
      <c r="C133" s="1476"/>
      <c r="D133" s="1476"/>
      <c r="E133" s="1476"/>
      <c r="F133" s="1476"/>
      <c r="G133" s="1476"/>
      <c r="H133" s="1476"/>
      <c r="I133" s="1476"/>
      <c r="J133" s="1476"/>
      <c r="K133" s="1476"/>
      <c r="L133" s="1476"/>
      <c r="M133" s="1476"/>
      <c r="N133" s="1476"/>
      <c r="O133" s="1476"/>
      <c r="P133" s="1476"/>
      <c r="Q133" s="1476"/>
      <c r="R133" s="1476"/>
      <c r="S133" s="1476"/>
      <c r="T133" s="1476"/>
      <c r="U133" s="1476"/>
      <c r="V133" s="1476"/>
      <c r="W133" s="1476"/>
      <c r="X133" s="1476"/>
      <c r="Y133" s="1476"/>
      <c r="Z133" s="1476"/>
      <c r="AA133" s="2877"/>
      <c r="AB133" s="3272"/>
      <c r="AC133" s="3272"/>
      <c r="AD133" s="3553"/>
      <c r="AE133" s="3272"/>
      <c r="AF133" s="3274"/>
      <c r="AG133" s="3274"/>
      <c r="AH133" s="2054"/>
      <c r="AI133" s="3230"/>
      <c r="AJ133" s="3514"/>
    </row>
    <row r="134" spans="1:59" ht="16.5" customHeight="1">
      <c r="A134" s="2064" t="s">
        <v>44</v>
      </c>
      <c r="B134" s="1477"/>
      <c r="C134" s="1476"/>
      <c r="D134" s="1476"/>
      <c r="E134" s="1476"/>
      <c r="F134" s="1476"/>
      <c r="G134" s="1476"/>
      <c r="H134" s="1476"/>
      <c r="I134" s="1476"/>
      <c r="J134" s="1476"/>
      <c r="K134" s="1476"/>
      <c r="L134" s="1476"/>
      <c r="M134" s="1476"/>
      <c r="N134" s="1476"/>
      <c r="O134" s="1476"/>
      <c r="P134" s="1476"/>
      <c r="Q134" s="1476"/>
      <c r="R134" s="1476"/>
      <c r="S134" s="1476"/>
      <c r="T134" s="1476"/>
      <c r="U134" s="1476"/>
      <c r="V134" s="1476"/>
      <c r="W134" s="1476"/>
      <c r="X134" s="1476"/>
      <c r="Y134" s="1476"/>
      <c r="Z134" s="1476"/>
      <c r="AA134" s="2877"/>
      <c r="AB134" s="3272"/>
      <c r="AC134" s="3272"/>
      <c r="AD134" s="3553"/>
      <c r="AE134" s="3272"/>
      <c r="AF134" s="3274"/>
      <c r="AG134" s="3274"/>
      <c r="AH134" s="2054"/>
      <c r="AI134" s="3230"/>
      <c r="AJ134" s="3514"/>
    </row>
    <row r="135" spans="1:59" ht="16.5" customHeight="1">
      <c r="A135" s="2064" t="s">
        <v>45</v>
      </c>
      <c r="B135" s="1477"/>
      <c r="C135" s="2887">
        <f>ROUND(SUM(C109-C132),1)</f>
        <v>6784.3</v>
      </c>
      <c r="D135" s="2885"/>
      <c r="E135" s="2887">
        <f>ROUND(SUM(E109-E132),1)</f>
        <v>-6391</v>
      </c>
      <c r="F135" s="2885"/>
      <c r="G135" s="2887">
        <f>ROUND(SUM(G109-G132),1)</f>
        <v>2256.3000000000002</v>
      </c>
      <c r="H135" s="2885"/>
      <c r="I135" s="2887">
        <f>ROUND(SUM(I109-I132),1)</f>
        <v>562.20000000000005</v>
      </c>
      <c r="J135" s="2885"/>
      <c r="K135" s="2887">
        <f>ROUND(SUM(K109-K132),1)</f>
        <v>453.4</v>
      </c>
      <c r="L135" s="2885"/>
      <c r="M135" s="2887">
        <f>ROUND(SUM(M109-M132),1)</f>
        <v>344.4</v>
      </c>
      <c r="N135" s="2885"/>
      <c r="O135" s="2887">
        <f>ROUND(SUM(O109-O132),1)</f>
        <v>-780.1</v>
      </c>
      <c r="P135" s="2885"/>
      <c r="Q135" s="2887">
        <f>ROUND(SUM(Q109-Q132),1)</f>
        <v>-1822.5</v>
      </c>
      <c r="R135" s="2885"/>
      <c r="S135" s="2887">
        <f>ROUND(SUM(S109-S132),1)</f>
        <v>1498.1</v>
      </c>
      <c r="T135" s="2885"/>
      <c r="U135" s="2887">
        <f>ROUND(SUM(U109-U132),1)</f>
        <v>4989.7</v>
      </c>
      <c r="V135" s="2885"/>
      <c r="W135" s="2887">
        <f>ROUND(SUM(W109-W132),1)</f>
        <v>0</v>
      </c>
      <c r="X135" s="2885"/>
      <c r="Y135" s="2887">
        <f>ROUND(SUM(Y109-Y132),1)</f>
        <v>0</v>
      </c>
      <c r="Z135" s="2885"/>
      <c r="AA135" s="2886"/>
      <c r="AB135" s="3276">
        <f>ROUND(SUM(AB109-AB132),1)</f>
        <v>7894.8</v>
      </c>
      <c r="AC135" s="3561"/>
      <c r="AD135" s="3560"/>
      <c r="AE135" s="3276">
        <f>ROUND(SUM(AE109-AE132),1)</f>
        <v>5309.5</v>
      </c>
      <c r="AF135" s="3273"/>
      <c r="AG135" s="3273"/>
      <c r="AH135" s="3520">
        <f>ROUND(SUM(AB135-AE135),1)</f>
        <v>2585.3000000000002</v>
      </c>
      <c r="AI135" s="3214"/>
      <c r="AJ135" s="2242">
        <f>ROUND(SUM(AH135/ABS(AE135)),3)</f>
        <v>0.48699999999999999</v>
      </c>
      <c r="AK135" s="2871"/>
      <c r="AL135" s="2871"/>
    </row>
    <row r="136" spans="1:59" ht="16.5" customHeight="1">
      <c r="A136" s="1894"/>
      <c r="B136" s="1477"/>
      <c r="C136" s="2880"/>
      <c r="D136" s="1476"/>
      <c r="E136" s="2880"/>
      <c r="F136" s="1476"/>
      <c r="G136" s="2880"/>
      <c r="H136" s="1476"/>
      <c r="I136" s="2880"/>
      <c r="J136" s="1476"/>
      <c r="K136" s="2880"/>
      <c r="L136" s="1476"/>
      <c r="M136" s="2880"/>
      <c r="N136" s="1476"/>
      <c r="O136" s="2880"/>
      <c r="P136" s="1476"/>
      <c r="Q136" s="2880"/>
      <c r="R136" s="1476"/>
      <c r="S136" s="2880"/>
      <c r="T136" s="1476"/>
      <c r="U136" s="2880"/>
      <c r="V136" s="1476"/>
      <c r="W136" s="2880"/>
      <c r="X136" s="1476"/>
      <c r="Y136" s="2880"/>
      <c r="Z136" s="2888"/>
      <c r="AA136" s="2877"/>
      <c r="AB136" s="2624"/>
      <c r="AC136" s="3272"/>
      <c r="AD136" s="3553"/>
      <c r="AE136" s="2624"/>
      <c r="AF136" s="3274"/>
      <c r="AG136" s="3274"/>
      <c r="AH136" s="2054"/>
      <c r="AI136" s="3230"/>
      <c r="AJ136" s="3514"/>
    </row>
    <row r="137" spans="1:59" ht="16.5" customHeight="1">
      <c r="A137" s="2064" t="s">
        <v>46</v>
      </c>
      <c r="B137" s="1477"/>
      <c r="C137" s="2875"/>
      <c r="D137" s="1476"/>
      <c r="E137" s="2875"/>
      <c r="F137" s="2889"/>
      <c r="G137" s="2875"/>
      <c r="H137" s="2889"/>
      <c r="I137" s="2890"/>
      <c r="J137" s="2889"/>
      <c r="K137" s="2890"/>
      <c r="L137" s="2889"/>
      <c r="M137" s="2890"/>
      <c r="N137" s="2889"/>
      <c r="O137" s="2890"/>
      <c r="P137" s="2889"/>
      <c r="Q137" s="2890"/>
      <c r="R137" s="2889"/>
      <c r="S137" s="2890"/>
      <c r="T137" s="2889"/>
      <c r="U137" s="2890"/>
      <c r="V137" s="1476"/>
      <c r="W137" s="2890"/>
      <c r="X137" s="1476"/>
      <c r="Y137" s="2890"/>
      <c r="Z137" s="2891"/>
      <c r="AA137" s="2877"/>
      <c r="AB137" s="3274"/>
      <c r="AC137" s="3562"/>
      <c r="AD137" s="3272"/>
      <c r="AE137" s="3274"/>
      <c r="AF137" s="3274"/>
      <c r="AG137" s="3274"/>
      <c r="AH137" s="2054"/>
      <c r="AI137" s="3230"/>
      <c r="AJ137" s="3514"/>
    </row>
    <row r="138" spans="1:59" ht="16.5" customHeight="1">
      <c r="A138" s="1477" t="s">
        <v>1195</v>
      </c>
      <c r="B138" s="1477"/>
      <c r="C138" s="2892">
        <f>+'Exhibit F'!D124+'Exhibit F'!D125+'Exhibit F'!D126+'Exhibit F'!D127+'Exhibit G State'!D111+'Exhibit H'!B64</f>
        <v>5706.6000000000013</v>
      </c>
      <c r="D138" s="1476"/>
      <c r="E138" s="2892">
        <f>+'Exhibit F'!F124+'Exhibit F'!F125+'Exhibit F'!F126+'Exhibit F'!F127+'Exhibit G State'!F111+'Exhibit H'!D64</f>
        <v>2416.9999999999995</v>
      </c>
      <c r="F138" s="1476"/>
      <c r="G138" s="2892">
        <f>+'Exhibit F'!H124+'Exhibit F'!H125+'Exhibit F'!H126+'Exhibit F'!H127+'Exhibit G State'!H111+'Exhibit H'!F64</f>
        <v>4298.6000000000004</v>
      </c>
      <c r="H138" s="1476"/>
      <c r="I138" s="2892">
        <f>+'Exhibit F'!J124+'Exhibit F'!J125+'Exhibit F'!J126+'Exhibit F'!J127+'Exhibit G State'!J111+'Exhibit H'!H64</f>
        <v>3019.8000000000011</v>
      </c>
      <c r="J138" s="1476"/>
      <c r="K138" s="2892">
        <f>+'Exhibit F'!L124+'Exhibit F'!L125+'Exhibit F'!L126+'Exhibit F'!L127+'Exhibit G State'!L111+'Exhibit H'!J64</f>
        <v>2505.2999999999997</v>
      </c>
      <c r="L138" s="1476"/>
      <c r="M138" s="2892">
        <f>+'Exhibit F'!N124+'Exhibit F'!N125+'Exhibit F'!N126+'Exhibit F'!N127+'Exhibit G State'!N111+'Exhibit H'!L64</f>
        <v>4021.0999999999972</v>
      </c>
      <c r="N138" s="1476"/>
      <c r="O138" s="2892">
        <f>+'Exhibit F'!P124+'Exhibit F'!P125+'Exhibit F'!P126+'Exhibit F'!P127+'Exhibit G State'!P111+'Exhibit H'!N64</f>
        <v>2373.2000000000016</v>
      </c>
      <c r="P138" s="1476"/>
      <c r="Q138" s="2892">
        <f>+'Exhibit F'!R124+'Exhibit F'!R125+'Exhibit F'!R126+'Exhibit F'!R127+'Exhibit G State'!R111+'Exhibit H'!P64</f>
        <v>1883.800000000002</v>
      </c>
      <c r="R138" s="1476"/>
      <c r="S138" s="2892">
        <f>+'Exhibit F'!T124+'Exhibit F'!T125+'Exhibit F'!T126+'Exhibit F'!T127+'Exhibit G State'!T111+'Exhibit H'!R64</f>
        <v>3514.3999999999969</v>
      </c>
      <c r="T138" s="1476"/>
      <c r="U138" s="2892">
        <f>+'Exhibit F'!V124+'Exhibit F'!V125+'Exhibit F'!V126+'Exhibit F'!V127+'Exhibit G State'!V111+'Exhibit H'!T64</f>
        <v>4658.8000000000011</v>
      </c>
      <c r="V138" s="1476"/>
      <c r="W138" s="2892"/>
      <c r="X138" s="1476"/>
      <c r="Y138" s="2892"/>
      <c r="Z138" s="1476"/>
      <c r="AA138" s="2877"/>
      <c r="AB138" s="3272">
        <f>ROUND(SUM(C138:Y138),1)</f>
        <v>34398.6</v>
      </c>
      <c r="AC138" s="3272"/>
      <c r="AD138" s="3555"/>
      <c r="AE138" s="3272">
        <f>'Exhibit F'!AF124+'Exhibit F'!AF125+'Exhibit F'!AF126+'Exhibit F'!AF127+'Exhibit G State'!AG111+'Exhibit H'!AD64</f>
        <v>30283.3</v>
      </c>
      <c r="AF138" s="3274"/>
      <c r="AG138" s="3274"/>
      <c r="AH138" s="3272">
        <f>ROUND(SUM(AB138-AE138),1)</f>
        <v>4115.3</v>
      </c>
      <c r="AI138" s="3230"/>
      <c r="AJ138" s="1868">
        <f>ROUND(SUM(AH138/ABS(AE138)),3)</f>
        <v>0.13600000000000001</v>
      </c>
    </row>
    <row r="139" spans="1:59" ht="16.5" customHeight="1">
      <c r="A139" s="1477" t="s">
        <v>1196</v>
      </c>
      <c r="C139" s="2893">
        <f>+'Exhibit F'!D128+'Exhibit F'!D129+'Exhibit F'!D130+'Exhibit F'!D131+'Exhibit G State'!D112+'Exhibit H'!B65</f>
        <v>-6134</v>
      </c>
      <c r="D139" s="2606"/>
      <c r="E139" s="2893">
        <f>+'Exhibit F'!F128+'Exhibit F'!F129+'Exhibit F'!F130+'Exhibit F'!F131+'Exhibit G State'!F112+'Exhibit H'!D65</f>
        <v>-2500.7000000000003</v>
      </c>
      <c r="F139" s="2606"/>
      <c r="G139" s="2893">
        <f>+'Exhibit F'!H128+'Exhibit F'!H129+'Exhibit F'!H130+'Exhibit F'!H131+'Exhibit G State'!H112+'Exhibit H'!F65</f>
        <v>-4748.7</v>
      </c>
      <c r="H139" s="2606"/>
      <c r="I139" s="2893">
        <f>+'Exhibit F'!J128+'Exhibit F'!J129+'Exhibit F'!J130+'Exhibit F'!J131+'Exhibit G State'!J112+'Exhibit H'!H65</f>
        <v>-3125.5999999999995</v>
      </c>
      <c r="J139" s="2606"/>
      <c r="K139" s="2893">
        <f>+'Exhibit F'!L128+'Exhibit F'!L129+'Exhibit F'!L130+'Exhibit F'!L131+'Exhibit G State'!L112+'Exhibit H'!J65</f>
        <v>-2729.3999999999992</v>
      </c>
      <c r="L139" s="2606"/>
      <c r="M139" s="2893">
        <f>+'Exhibit F'!N128+'Exhibit F'!N129+'Exhibit F'!N130+'Exhibit F'!N131+'Exhibit G State'!N112+'Exhibit H'!L65</f>
        <v>-4467.3000000000011</v>
      </c>
      <c r="N139" s="2606"/>
      <c r="O139" s="2893">
        <f>+'Exhibit F'!P128+'Exhibit F'!P129+'Exhibit F'!P130+'Exhibit F'!P131+'Exhibit G State'!P112+'Exhibit H'!N65</f>
        <v>-1456.6000000000017</v>
      </c>
      <c r="P139" s="2606"/>
      <c r="Q139" s="2893">
        <f>+'Exhibit F'!R128+'Exhibit F'!R129+'Exhibit F'!R130+'Exhibit F'!R131+'Exhibit G State'!R112+'Exhibit H'!P65</f>
        <v>-2236.3999999999987</v>
      </c>
      <c r="R139" s="2606"/>
      <c r="S139" s="2893">
        <f>+'Exhibit F'!T128+'Exhibit F'!T129+'Exhibit F'!T130+'Exhibit F'!T131+'Exhibit G State'!T112+'Exhibit H'!R65</f>
        <v>-3584.300000000002</v>
      </c>
      <c r="T139" s="2606"/>
      <c r="U139" s="2893">
        <f>+'Exhibit F'!V128+'Exhibit F'!V129+'Exhibit F'!V130+'Exhibit F'!V131+'Exhibit G State'!V112+'Exhibit H'!T65</f>
        <v>-4662.6000000000004</v>
      </c>
      <c r="V139" s="2606"/>
      <c r="W139" s="2893"/>
      <c r="X139" s="2606"/>
      <c r="Y139" s="2893"/>
      <c r="Z139" s="2606"/>
      <c r="AA139" s="2894"/>
      <c r="AB139" s="3275">
        <f>ROUND(SUM(C139:Y139),1)</f>
        <v>-35645.599999999999</v>
      </c>
      <c r="AC139" s="2614"/>
      <c r="AD139" s="3563"/>
      <c r="AE139" s="3275">
        <f>'Exhibit F'!AF128+'Exhibit F'!AF129+'Exhibit F'!AF130+'Exhibit F'!AF131+'Exhibit G State'!AG112+'Exhibit H'!AD65</f>
        <v>-30946.400000000001</v>
      </c>
      <c r="AF139" s="2624"/>
      <c r="AG139" s="2624"/>
      <c r="AH139" s="3275">
        <f>ROUND(SUM(-AB139+AE139),1)</f>
        <v>4699.2</v>
      </c>
      <c r="AI139" s="3514"/>
      <c r="AJ139" s="3521">
        <f>ROUND(SUM(AH139/ABS(AE139)),3)</f>
        <v>0.152</v>
      </c>
    </row>
    <row r="140" spans="1:59" ht="16.5" customHeight="1">
      <c r="A140" s="1477"/>
      <c r="C140" s="2875"/>
      <c r="D140" s="2606"/>
      <c r="E140" s="2875"/>
      <c r="F140" s="2606"/>
      <c r="G140" s="2875"/>
      <c r="H140" s="2606"/>
      <c r="I140" s="2875"/>
      <c r="J140" s="2606"/>
      <c r="K140" s="2875"/>
      <c r="L140" s="2606"/>
      <c r="M140" s="2875"/>
      <c r="N140" s="2606"/>
      <c r="O140" s="2875"/>
      <c r="P140" s="2606"/>
      <c r="Q140" s="2875"/>
      <c r="R140" s="2606"/>
      <c r="S140" s="2875"/>
      <c r="T140" s="2606"/>
      <c r="U140" s="2875"/>
      <c r="V140" s="2606"/>
      <c r="W140" s="2875"/>
      <c r="X140" s="2606"/>
      <c r="Y140" s="2875"/>
      <c r="Z140" s="2606"/>
      <c r="AA140" s="2894"/>
      <c r="AB140" s="3274"/>
      <c r="AC140" s="2614"/>
      <c r="AD140" s="3563"/>
      <c r="AE140" s="3274"/>
      <c r="AF140" s="2624"/>
      <c r="AG140" s="2624"/>
      <c r="AH140" s="3274"/>
      <c r="AI140" s="3514"/>
      <c r="AJ140" s="1485"/>
    </row>
    <row r="141" spans="1:59" ht="16.5" customHeight="1">
      <c r="A141" s="2064" t="s">
        <v>50</v>
      </c>
      <c r="C141" s="2887">
        <f>ROUND(SUM(C138:C139),1)</f>
        <v>-427.4</v>
      </c>
      <c r="D141" s="2895"/>
      <c r="E141" s="2887">
        <f>ROUND(SUM(E138:E139),1)</f>
        <v>-83.7</v>
      </c>
      <c r="F141" s="2895"/>
      <c r="G141" s="2887">
        <f>ROUND(SUM(G138:G139),1)</f>
        <v>-450.1</v>
      </c>
      <c r="H141" s="2895"/>
      <c r="I141" s="2887">
        <f>ROUND(SUM(I138:I139),1)</f>
        <v>-105.8</v>
      </c>
      <c r="J141" s="2895"/>
      <c r="K141" s="2887">
        <f>ROUND(SUM(K138:K139),1)</f>
        <v>-224.1</v>
      </c>
      <c r="L141" s="2895"/>
      <c r="M141" s="2887">
        <f>ROUND(SUM(M138:M139),1)</f>
        <v>-446.2</v>
      </c>
      <c r="N141" s="2895"/>
      <c r="O141" s="2887">
        <f>ROUND(SUM(O138:O139),1)</f>
        <v>916.6</v>
      </c>
      <c r="P141" s="2895"/>
      <c r="Q141" s="2887">
        <f>ROUND(SUM(Q138:Q139),1)</f>
        <v>-352.6</v>
      </c>
      <c r="R141" s="2895"/>
      <c r="S141" s="2887">
        <f>ROUND(SUM(S138:S139),1)</f>
        <v>-69.900000000000006</v>
      </c>
      <c r="T141" s="2895"/>
      <c r="U141" s="2887">
        <f>ROUND(SUM(U138:U139),1)</f>
        <v>-3.8</v>
      </c>
      <c r="V141" s="2895"/>
      <c r="W141" s="2887">
        <f>ROUND(SUM(W138:W139),1)</f>
        <v>0</v>
      </c>
      <c r="X141" s="2895"/>
      <c r="Y141" s="2887">
        <f>ROUND(SUM(Y138:Y139),1)</f>
        <v>0</v>
      </c>
      <c r="Z141" s="2895"/>
      <c r="AA141" s="2896"/>
      <c r="AB141" s="3276">
        <f>ROUND(SUM(AB138:AB139),1)</f>
        <v>-1247</v>
      </c>
      <c r="AC141" s="2619"/>
      <c r="AD141" s="3564"/>
      <c r="AE141" s="3276">
        <f>ROUND(SUM(AE138:AE139),1)</f>
        <v>-663.1</v>
      </c>
      <c r="AF141" s="3522"/>
      <c r="AG141" s="2624"/>
      <c r="AH141" s="3276">
        <f>ROUND(SUM(AH138-AH139),1)</f>
        <v>-583.9</v>
      </c>
      <c r="AI141" s="2231"/>
      <c r="AJ141" s="2242">
        <f>-ROUND(SUM(-AH141/ABS(AE141)),3)</f>
        <v>-0.88100000000000001</v>
      </c>
      <c r="AK141" s="2871"/>
      <c r="AL141" s="2871"/>
    </row>
    <row r="142" spans="1:59" ht="16.5" customHeight="1">
      <c r="A142" s="1894"/>
      <c r="C142" s="2606"/>
      <c r="D142" s="2606"/>
      <c r="E142" s="2606"/>
      <c r="F142" s="2606"/>
      <c r="G142" s="2606"/>
      <c r="H142" s="2606"/>
      <c r="I142" s="2606"/>
      <c r="J142" s="2606"/>
      <c r="K142" s="2606"/>
      <c r="L142" s="2606"/>
      <c r="M142" s="2606"/>
      <c r="N142" s="2606"/>
      <c r="O142" s="2606"/>
      <c r="P142" s="2606"/>
      <c r="Q142" s="2606"/>
      <c r="R142" s="2606"/>
      <c r="S142" s="2606"/>
      <c r="T142" s="2606"/>
      <c r="U142" s="2606"/>
      <c r="V142" s="2606"/>
      <c r="W142" s="2606"/>
      <c r="X142" s="2606"/>
      <c r="Y142" s="2606"/>
      <c r="Z142" s="2606"/>
      <c r="AA142" s="2894"/>
      <c r="AB142" s="2614"/>
      <c r="AC142" s="2614"/>
      <c r="AD142" s="3563"/>
      <c r="AE142" s="2614"/>
      <c r="AF142" s="2624"/>
      <c r="AG142" s="3523"/>
      <c r="AH142" s="2054"/>
      <c r="AI142" s="3514"/>
      <c r="AJ142" s="3514"/>
    </row>
    <row r="143" spans="1:59" ht="16.5" customHeight="1">
      <c r="A143" s="2231" t="s">
        <v>44</v>
      </c>
      <c r="C143" s="2875"/>
      <c r="D143" s="2606"/>
      <c r="E143" s="2875"/>
      <c r="F143" s="2606"/>
      <c r="G143" s="2875"/>
      <c r="H143" s="2606"/>
      <c r="I143" s="2875"/>
      <c r="J143" s="2606"/>
      <c r="K143" s="2875"/>
      <c r="L143" s="2606"/>
      <c r="M143" s="2875"/>
      <c r="N143" s="2606"/>
      <c r="O143" s="2875"/>
      <c r="P143" s="2606"/>
      <c r="Q143" s="2875"/>
      <c r="R143" s="2606"/>
      <c r="S143" s="2875"/>
      <c r="T143" s="2606"/>
      <c r="U143" s="2875"/>
      <c r="V143" s="2606"/>
      <c r="W143" s="2875"/>
      <c r="X143" s="2606"/>
      <c r="Y143" s="2875"/>
      <c r="Z143" s="2606"/>
      <c r="AA143" s="2894"/>
      <c r="AB143" s="3274"/>
      <c r="AC143" s="2614"/>
      <c r="AD143" s="3563"/>
      <c r="AE143" s="3274"/>
      <c r="AF143" s="2624"/>
      <c r="AG143" s="3524"/>
      <c r="AH143" s="2054"/>
      <c r="AI143" s="3514"/>
      <c r="AJ143" s="3514"/>
    </row>
    <row r="144" spans="1:59" ht="16.5" customHeight="1">
      <c r="A144" s="2231" t="s">
        <v>51</v>
      </c>
      <c r="C144" s="2885"/>
      <c r="D144" s="2895"/>
      <c r="E144" s="2885"/>
      <c r="F144" s="2895"/>
      <c r="G144" s="2885"/>
      <c r="H144" s="2895"/>
      <c r="I144" s="2885"/>
      <c r="J144" s="2895"/>
      <c r="K144" s="2885"/>
      <c r="L144" s="2895"/>
      <c r="M144" s="2885"/>
      <c r="N144" s="2895"/>
      <c r="O144" s="2885"/>
      <c r="P144" s="2895"/>
      <c r="Q144" s="2885"/>
      <c r="R144" s="2895"/>
      <c r="S144" s="2885"/>
      <c r="T144" s="2895"/>
      <c r="U144" s="2885"/>
      <c r="V144" s="2895"/>
      <c r="W144" s="2885"/>
      <c r="X144" s="2895"/>
      <c r="Y144" s="2885"/>
      <c r="Z144" s="2895"/>
      <c r="AA144" s="2896"/>
      <c r="AB144" s="3561"/>
      <c r="AC144" s="2619"/>
      <c r="AD144" s="3564"/>
      <c r="AE144" s="3561"/>
      <c r="AF144" s="2624"/>
      <c r="AG144" s="3523"/>
      <c r="AH144" s="2104"/>
      <c r="AI144" s="2231"/>
      <c r="AJ144" s="2231"/>
      <c r="AK144" s="2871"/>
      <c r="AL144" s="2871"/>
      <c r="AM144" s="2871"/>
      <c r="AN144" s="2871"/>
      <c r="AO144" s="2871"/>
      <c r="AP144" s="2871"/>
      <c r="AQ144" s="2871"/>
      <c r="AR144" s="2871"/>
      <c r="AS144" s="2871"/>
      <c r="AT144" s="2871"/>
      <c r="AU144" s="2871"/>
      <c r="AV144" s="2871"/>
      <c r="AW144" s="2871"/>
      <c r="AX144" s="2871"/>
      <c r="AY144" s="2871"/>
      <c r="AZ144" s="2871"/>
      <c r="BA144" s="2871"/>
      <c r="BB144" s="2871"/>
      <c r="BC144" s="2871"/>
      <c r="BD144" s="2871"/>
      <c r="BE144" s="2871"/>
      <c r="BF144" s="2871"/>
      <c r="BG144" s="2871"/>
    </row>
    <row r="145" spans="1:59" ht="16.5" customHeight="1">
      <c r="A145" s="2231" t="s">
        <v>52</v>
      </c>
      <c r="C145" s="2897">
        <f>ROUND(SUM(C135+C141),1)</f>
        <v>6356.9</v>
      </c>
      <c r="D145" s="2895"/>
      <c r="E145" s="2897">
        <f>ROUND(SUM(E135+E141),1)</f>
        <v>-6474.7</v>
      </c>
      <c r="F145" s="2895"/>
      <c r="G145" s="2897">
        <f>ROUND(SUM(G135+G141),1)</f>
        <v>1806.2</v>
      </c>
      <c r="H145" s="2895"/>
      <c r="I145" s="2897">
        <f>ROUND(SUM(I135+I141),1)</f>
        <v>456.4</v>
      </c>
      <c r="J145" s="2895"/>
      <c r="K145" s="2897">
        <f>ROUND(SUM(K135+K141),1)</f>
        <v>229.3</v>
      </c>
      <c r="L145" s="2895"/>
      <c r="M145" s="2897">
        <f>ROUND(SUM(M135+M141),1)</f>
        <v>-101.8</v>
      </c>
      <c r="N145" s="2895"/>
      <c r="O145" s="2897">
        <f>ROUND(SUM(O135+O141),1)</f>
        <v>136.5</v>
      </c>
      <c r="P145" s="2895"/>
      <c r="Q145" s="2897">
        <f>ROUND(SUM(Q135+Q141),1)</f>
        <v>-2175.1</v>
      </c>
      <c r="R145" s="2895"/>
      <c r="S145" s="2897">
        <f>ROUND(SUM(S135+S141),1)</f>
        <v>1428.2</v>
      </c>
      <c r="T145" s="2895"/>
      <c r="U145" s="2897">
        <f>ROUND(SUM(U135+U141),1)</f>
        <v>4985.8999999999996</v>
      </c>
      <c r="V145" s="2895"/>
      <c r="W145" s="2897">
        <f>ROUND(SUM(W135+W141),1)</f>
        <v>0</v>
      </c>
      <c r="X145" s="2895"/>
      <c r="Y145" s="2897">
        <f>ROUND(SUM(Y135+Y141),1)</f>
        <v>0</v>
      </c>
      <c r="Z145" s="2895"/>
      <c r="AA145" s="2896"/>
      <c r="AB145" s="3565">
        <f>ROUND(SUM(AB135+AB141),1)</f>
        <v>6647.8</v>
      </c>
      <c r="AC145" s="2619"/>
      <c r="AD145" s="3564"/>
      <c r="AE145" s="3565">
        <f>ROUND(SUM(AE135+AE141),1)</f>
        <v>4646.3999999999996</v>
      </c>
      <c r="AF145" s="2624"/>
      <c r="AG145" s="3525"/>
      <c r="AH145" s="3520">
        <f>ROUND(SUM(AB145-AE145),1)</f>
        <v>2001.4</v>
      </c>
      <c r="AI145" s="2231"/>
      <c r="AJ145" s="2242">
        <f>ROUND(SUM(AH145/ABS(AE145)),3)</f>
        <v>0.43099999999999999</v>
      </c>
      <c r="AK145" s="2871"/>
      <c r="AL145" s="2871"/>
      <c r="AM145" s="2871"/>
      <c r="AN145" s="2871"/>
      <c r="AO145" s="2871"/>
      <c r="AP145" s="2871"/>
      <c r="AQ145" s="2871"/>
      <c r="AR145" s="2871"/>
      <c r="AS145" s="2871"/>
      <c r="AT145" s="2871"/>
      <c r="AU145" s="2871"/>
      <c r="AV145" s="2871"/>
      <c r="AW145" s="2871"/>
      <c r="AX145" s="2871"/>
      <c r="AY145" s="2871"/>
      <c r="AZ145" s="2871"/>
      <c r="BA145" s="2871"/>
      <c r="BB145" s="2871"/>
      <c r="BC145" s="2871"/>
      <c r="BD145" s="2871"/>
      <c r="BE145" s="2871"/>
      <c r="BF145" s="2871"/>
      <c r="BG145" s="2871"/>
    </row>
    <row r="146" spans="1:59" ht="15.75">
      <c r="A146" s="2064"/>
      <c r="C146" s="2865"/>
      <c r="E146" s="2865"/>
      <c r="G146" s="2865"/>
      <c r="I146" s="2865"/>
      <c r="K146" s="2865"/>
      <c r="M146" s="2865"/>
      <c r="O146" s="2865"/>
      <c r="Q146" s="2865"/>
      <c r="S146" s="2865"/>
      <c r="U146" s="2865"/>
      <c r="W146" s="2865"/>
      <c r="Y146" s="2865"/>
      <c r="AA146" s="2899"/>
      <c r="AB146" s="3550"/>
      <c r="AD146" s="3566"/>
      <c r="AE146" s="3583"/>
      <c r="AF146" s="2624"/>
      <c r="AG146" s="3525"/>
      <c r="AH146" s="3514"/>
      <c r="AI146" s="3514"/>
      <c r="AJ146" s="3514"/>
    </row>
    <row r="147" spans="1:59" thickBot="1">
      <c r="A147" s="2900" t="s">
        <v>142</v>
      </c>
      <c r="C147" s="2901">
        <f>ROUND(SUM(C16+C145),1)</f>
        <v>18718.2</v>
      </c>
      <c r="D147" s="2902"/>
      <c r="E147" s="2901">
        <f>ROUND(SUM(E16+E145),1)</f>
        <v>12243.5</v>
      </c>
      <c r="F147" s="2902"/>
      <c r="G147" s="2901">
        <f>ROUND(SUM(G16+G145),1)</f>
        <v>14049.7</v>
      </c>
      <c r="H147" s="2902"/>
      <c r="I147" s="2901">
        <f>ROUND(SUM(I16+I145),1)</f>
        <v>14506.1</v>
      </c>
      <c r="J147" s="2903"/>
      <c r="K147" s="2901">
        <f>ROUND(SUM(K16+K145),1)</f>
        <v>14735.4</v>
      </c>
      <c r="L147" s="2903"/>
      <c r="M147" s="2901">
        <f>ROUND(SUM(M16+M145),1)</f>
        <v>14633.6</v>
      </c>
      <c r="N147" s="2903"/>
      <c r="O147" s="2901">
        <f>ROUND(SUM(O16+O145),1)</f>
        <v>14770.1</v>
      </c>
      <c r="P147" s="2903"/>
      <c r="Q147" s="2901">
        <f>ROUND(SUM(Q16+Q145),1)</f>
        <v>12595</v>
      </c>
      <c r="R147" s="2903"/>
      <c r="S147" s="2901">
        <f>ROUND(SUM(S16+S145),1)</f>
        <v>14023.2</v>
      </c>
      <c r="T147" s="2903"/>
      <c r="U147" s="2901">
        <f>ROUND(SUM(U16+U145),1)</f>
        <v>19009.099999999999</v>
      </c>
      <c r="V147" s="2903"/>
      <c r="W147" s="2901">
        <f>ROUND(SUM(W16+W145),1)</f>
        <v>0</v>
      </c>
      <c r="X147" s="2903"/>
      <c r="Y147" s="2901">
        <f>ROUND(SUM(Y16+Y145),1)</f>
        <v>0</v>
      </c>
      <c r="Z147" s="2902"/>
      <c r="AA147" s="2898"/>
      <c r="AB147" s="3277">
        <f>ROUND(SUM(AB16+AB145),1)</f>
        <v>19009.099999999999</v>
      </c>
      <c r="AC147" s="3567"/>
      <c r="AD147" s="3525"/>
      <c r="AE147" s="3277">
        <f>ROUND(SUM(AE16+AE145),1)</f>
        <v>18253</v>
      </c>
      <c r="AF147" s="2624"/>
      <c r="AG147" s="3525"/>
      <c r="AH147" s="3277">
        <f>ROUND(SUM(AB147-AE147),1)</f>
        <v>756.1</v>
      </c>
      <c r="AI147" s="2231"/>
      <c r="AJ147" s="3526">
        <f>ROUND(SUM(AH147/ABS(AE147)),3)</f>
        <v>4.1000000000000002E-2</v>
      </c>
      <c r="AK147" s="2871"/>
    </row>
    <row r="148" spans="1:59" thickTop="1">
      <c r="A148" s="2904"/>
      <c r="C148" s="2883"/>
      <c r="AH148" s="3514"/>
      <c r="AI148" s="3514"/>
      <c r="AJ148" s="3514"/>
    </row>
    <row r="149" spans="1:59" ht="15">
      <c r="A149" s="2317" t="s">
        <v>1183</v>
      </c>
      <c r="AH149" s="3514"/>
      <c r="AI149" s="3514"/>
      <c r="AJ149" s="3514"/>
    </row>
    <row r="150" spans="1:59" ht="15">
      <c r="A150" s="2317" t="s">
        <v>1144</v>
      </c>
      <c r="AH150" s="3514"/>
      <c r="AI150" s="3514"/>
      <c r="AJ150" s="3514"/>
    </row>
    <row r="151" spans="1:59" ht="15">
      <c r="A151" s="2905" t="s">
        <v>1217</v>
      </c>
      <c r="AH151" s="3514"/>
      <c r="AI151" s="3514"/>
      <c r="AJ151" s="3514"/>
    </row>
    <row r="152" spans="1:59" ht="16.5" customHeight="1">
      <c r="AH152" s="3514"/>
      <c r="AI152" s="3514"/>
      <c r="AJ152" s="3514"/>
    </row>
    <row r="153" spans="1:59" ht="16.5" customHeight="1">
      <c r="AH153" s="3514"/>
      <c r="AI153" s="3514"/>
      <c r="AJ153" s="3514"/>
    </row>
    <row r="154" spans="1:59" ht="16.5" customHeight="1">
      <c r="AH154" s="3514"/>
      <c r="AI154" s="3514"/>
      <c r="AJ154" s="3514"/>
    </row>
    <row r="155" spans="1:59" ht="16.5" customHeight="1">
      <c r="AH155" s="3514"/>
      <c r="AI155" s="3514"/>
      <c r="AJ155" s="3514"/>
    </row>
    <row r="156" spans="1:59" ht="16.5" customHeight="1">
      <c r="AH156" s="3514"/>
      <c r="AI156" s="3514"/>
      <c r="AJ156" s="3514"/>
    </row>
    <row r="157" spans="1:59" ht="16.5" customHeight="1">
      <c r="AH157" s="3514"/>
      <c r="AI157" s="3514"/>
      <c r="AJ157" s="3514"/>
    </row>
    <row r="158" spans="1:59" ht="16.5" customHeight="1">
      <c r="AH158" s="3514"/>
      <c r="AI158" s="3514"/>
      <c r="AJ158" s="3514"/>
    </row>
    <row r="159" spans="1:59" ht="16.5" customHeight="1">
      <c r="AH159" s="3514"/>
      <c r="AI159" s="3514"/>
      <c r="AJ159" s="3514"/>
    </row>
    <row r="160" spans="1:59" ht="16.5" customHeight="1">
      <c r="AH160" s="3514"/>
      <c r="AI160" s="3514"/>
      <c r="AJ160" s="3514"/>
    </row>
    <row r="161" spans="34:36" ht="16.5" customHeight="1">
      <c r="AH161" s="3514"/>
      <c r="AI161" s="3514"/>
      <c r="AJ161" s="3514"/>
    </row>
    <row r="162" spans="34:36" ht="16.5" customHeight="1">
      <c r="AH162" s="3514"/>
      <c r="AI162" s="3514"/>
      <c r="AJ162" s="3514"/>
    </row>
    <row r="163" spans="34:36" ht="16.5" customHeight="1">
      <c r="AH163" s="3514"/>
      <c r="AI163" s="3514"/>
      <c r="AJ163" s="3514"/>
    </row>
    <row r="164" spans="34:36" ht="16.5" customHeight="1">
      <c r="AH164" s="3514"/>
      <c r="AI164" s="3514"/>
      <c r="AJ164" s="3514"/>
    </row>
    <row r="165" spans="34:36" ht="16.5" customHeight="1">
      <c r="AH165" s="3514"/>
      <c r="AI165" s="3514"/>
      <c r="AJ165" s="3514"/>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5" max="35" man="1"/>
  </rowBreaks>
  <ignoredErrors>
    <ignoredError sqref="AJ27:AJ34" unlockedFormula="1"/>
    <ignoredError sqref="AH24 AH35:AI35 AJ55 AJ35 AJ38:AJ39 AJ94 AH95 AB26" formula="1"/>
    <ignoredError sqref="AJ85 AJ75:AJ77 AJ72 AJ69 AJ71 AJ74 AJ114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80" zoomScaleNormal="85" workbookViewId="0"/>
  </sheetViews>
  <sheetFormatPr defaultColWidth="8.88671875" defaultRowHeight="12.75"/>
  <cols>
    <col min="1" max="1" width="2.5546875" style="2478" customWidth="1"/>
    <col min="2" max="2" width="48.5546875" style="2478" customWidth="1"/>
    <col min="3" max="3" width="1.109375" style="2478" customWidth="1"/>
    <col min="4" max="4" width="12.44140625" style="2478" bestFit="1" customWidth="1"/>
    <col min="5" max="5" width="1.88671875" style="2478" customWidth="1"/>
    <col min="6" max="6" width="12" style="2478" customWidth="1"/>
    <col min="7" max="7" width="1.88671875" style="2478" customWidth="1"/>
    <col min="8" max="8" width="12.109375" style="2478" customWidth="1"/>
    <col min="9" max="9" width="1.88671875" style="2478" customWidth="1"/>
    <col min="10" max="10" width="13.88671875" style="2479" customWidth="1"/>
    <col min="11" max="11" width="1.88671875" style="2478" customWidth="1"/>
    <col min="12" max="12" width="12.109375" style="2478" bestFit="1" customWidth="1"/>
    <col min="13" max="13" width="1.88671875" style="2478" customWidth="1"/>
    <col min="14" max="14" width="13.88671875" style="2478" customWidth="1"/>
    <col min="15" max="15" width="1.88671875" style="2478" customWidth="1"/>
    <col min="16" max="16" width="12.109375" style="2480" customWidth="1"/>
    <col min="17" max="17" width="1.88671875" style="2478" customWidth="1"/>
    <col min="18" max="18" width="12.109375" style="2478" customWidth="1"/>
    <col min="19" max="19" width="1.88671875" style="2478" customWidth="1"/>
    <col min="20" max="20" width="11.88671875" style="2478" customWidth="1"/>
    <col min="21" max="21" width="1.88671875" style="2478" customWidth="1"/>
    <col min="22" max="22" width="12.109375" style="2478" customWidth="1"/>
    <col min="23" max="23" width="1.88671875" style="2478" customWidth="1"/>
    <col min="24" max="24" width="12.88671875" style="2478" customWidth="1"/>
    <col min="25" max="25" width="1.88671875" style="2478" customWidth="1"/>
    <col min="26" max="26" width="10.88671875" style="2478" customWidth="1"/>
    <col min="27" max="27" width="1.5546875" style="2478" customWidth="1"/>
    <col min="28" max="28" width="1.88671875" style="2478" customWidth="1"/>
    <col min="29" max="29" width="12.109375" style="2480" bestFit="1" customWidth="1"/>
    <col min="30" max="30" width="1.44140625" style="2480" customWidth="1"/>
    <col min="31" max="31" width="1.109375" style="2480" customWidth="1"/>
    <col min="32" max="32" width="12.109375" style="2480" bestFit="1" customWidth="1"/>
    <col min="33" max="33" width="1" style="2478" customWidth="1"/>
    <col min="34" max="34" width="1.109375" style="2478" customWidth="1"/>
    <col min="35" max="35" width="13.109375" style="2478" bestFit="1" customWidth="1"/>
    <col min="36" max="36" width="1" style="2481" customWidth="1"/>
    <col min="37" max="37" width="13.88671875" style="2482" bestFit="1" customWidth="1"/>
    <col min="38" max="38" width="10.109375" style="2478" customWidth="1"/>
    <col min="39" max="16384" width="8.88671875" style="2478"/>
  </cols>
  <sheetData>
    <row r="1" spans="1:37" ht="15">
      <c r="B1" s="2294" t="s">
        <v>979</v>
      </c>
    </row>
    <row r="2" spans="1:37">
      <c r="A2" s="2483"/>
      <c r="B2" s="2079"/>
      <c r="C2" s="2079"/>
      <c r="D2" s="2079"/>
      <c r="E2" s="2079"/>
      <c r="F2" s="2079"/>
      <c r="G2" s="2079"/>
      <c r="H2" s="2079"/>
      <c r="I2" s="2079"/>
      <c r="J2" s="2484"/>
      <c r="K2" s="2079"/>
      <c r="L2" s="2079"/>
      <c r="M2" s="2079"/>
      <c r="N2" s="2079"/>
      <c r="O2" s="2079"/>
      <c r="P2" s="2251"/>
      <c r="Q2" s="2079"/>
      <c r="R2" s="2079"/>
      <c r="S2" s="2079"/>
      <c r="T2" s="2079"/>
      <c r="U2" s="2079"/>
      <c r="V2" s="2079"/>
      <c r="W2" s="2079"/>
      <c r="X2" s="2079"/>
      <c r="Y2" s="2079"/>
      <c r="Z2" s="2079"/>
      <c r="AA2" s="2079"/>
      <c r="AB2" s="2079"/>
      <c r="AC2" s="2251"/>
      <c r="AD2" s="2251"/>
      <c r="AE2" s="2251"/>
      <c r="AF2" s="2251"/>
      <c r="AG2" s="2079"/>
      <c r="AH2" s="2485"/>
    </row>
    <row r="3" spans="1:37" ht="18">
      <c r="A3" s="2483"/>
      <c r="B3" s="2486" t="s">
        <v>0</v>
      </c>
      <c r="C3" s="2079"/>
      <c r="D3" s="2079"/>
      <c r="E3" s="2079"/>
      <c r="F3" s="2487"/>
      <c r="G3" s="2079"/>
      <c r="H3" s="2079"/>
      <c r="I3" s="2079"/>
      <c r="J3" s="2484"/>
      <c r="K3" s="2079"/>
      <c r="L3" s="2079"/>
      <c r="M3" s="2488"/>
      <c r="N3" s="2489"/>
      <c r="O3" s="2079"/>
      <c r="P3" s="2251"/>
      <c r="Q3" s="2079"/>
      <c r="R3" s="2079"/>
      <c r="S3" s="2079"/>
      <c r="T3" s="2079"/>
      <c r="U3" s="2079"/>
      <c r="V3" s="2079"/>
      <c r="W3" s="2079"/>
      <c r="X3" s="2079"/>
      <c r="Y3" s="2079"/>
      <c r="Z3" s="2079"/>
      <c r="AA3" s="2079"/>
      <c r="AB3" s="2079"/>
      <c r="AC3" s="2251"/>
      <c r="AD3" s="2251"/>
      <c r="AE3" s="2251"/>
      <c r="AF3" s="2251"/>
      <c r="AG3" s="2079"/>
      <c r="AH3" s="2485"/>
      <c r="AK3" s="2490" t="s">
        <v>148</v>
      </c>
    </row>
    <row r="4" spans="1:37" ht="18">
      <c r="A4" s="2483"/>
      <c r="B4" s="2491" t="s">
        <v>147</v>
      </c>
      <c r="C4" s="2079"/>
      <c r="D4" s="2079"/>
      <c r="E4" s="2079"/>
      <c r="F4" s="2487"/>
      <c r="G4" s="2079"/>
      <c r="H4" s="2079" t="s">
        <v>15</v>
      </c>
      <c r="I4" s="2079"/>
      <c r="J4" s="2484"/>
      <c r="K4" s="2079"/>
      <c r="L4" s="2079"/>
      <c r="M4" s="2488"/>
      <c r="N4" s="2489"/>
      <c r="O4" s="2079"/>
      <c r="P4" s="2251"/>
      <c r="Q4" s="2079"/>
      <c r="R4" s="2079"/>
      <c r="S4" s="2079"/>
      <c r="T4" s="2079"/>
      <c r="U4" s="2079"/>
      <c r="V4" s="2079"/>
      <c r="W4" s="2079"/>
      <c r="X4" s="2079"/>
      <c r="Y4" s="2079"/>
      <c r="Z4" s="2079"/>
      <c r="AA4" s="2079"/>
      <c r="AB4" s="2079"/>
      <c r="AC4" s="3278"/>
      <c r="AD4" s="3278"/>
      <c r="AE4" s="3278"/>
      <c r="AF4" s="3650"/>
      <c r="AG4" s="2492"/>
      <c r="AH4" s="2485"/>
    </row>
    <row r="5" spans="1:37" ht="18">
      <c r="A5" s="2483"/>
      <c r="B5" s="2491" t="s">
        <v>149</v>
      </c>
      <c r="C5" s="2079"/>
      <c r="D5" s="2079"/>
      <c r="E5" s="2079"/>
      <c r="F5" s="2487"/>
      <c r="G5" s="2079"/>
      <c r="H5" s="2079"/>
      <c r="I5" s="2079"/>
      <c r="J5" s="2484"/>
      <c r="K5" s="2079"/>
      <c r="L5" s="2079"/>
      <c r="M5" s="2488"/>
      <c r="N5" s="2489"/>
      <c r="O5" s="2079"/>
      <c r="P5" s="2251"/>
      <c r="Q5" s="2079"/>
      <c r="R5" s="2079"/>
      <c r="S5" s="2079"/>
      <c r="T5" s="2079"/>
      <c r="U5" s="2079"/>
      <c r="V5" s="2079"/>
      <c r="W5" s="2079"/>
      <c r="X5" s="2079"/>
      <c r="Y5" s="2079"/>
      <c r="Z5" s="2079"/>
      <c r="AA5" s="2079"/>
      <c r="AB5" s="2079"/>
      <c r="AD5" s="3279"/>
      <c r="AE5" s="3279"/>
      <c r="AH5" s="2485"/>
    </row>
    <row r="6" spans="1:37" ht="18" customHeight="1">
      <c r="A6" s="2483"/>
      <c r="B6" s="2493" t="str">
        <f>'Cashflow Governmental'!A6</f>
        <v xml:space="preserve">FISCAL YEAR 2019-2020   </v>
      </c>
      <c r="C6" s="2079"/>
      <c r="D6" s="2079"/>
      <c r="E6" s="2079"/>
      <c r="F6" s="2487"/>
      <c r="G6" s="2079"/>
      <c r="H6" s="2079"/>
      <c r="I6" s="2079"/>
      <c r="J6" s="2484"/>
      <c r="K6" s="2079"/>
      <c r="L6" s="2079"/>
      <c r="M6" s="2488"/>
      <c r="N6" s="2489"/>
      <c r="O6" s="2079"/>
      <c r="P6" s="2251"/>
      <c r="Q6" s="2079"/>
      <c r="R6" s="2079"/>
      <c r="S6" s="2079"/>
      <c r="T6" s="2079"/>
      <c r="U6" s="2079"/>
      <c r="V6" s="2079"/>
      <c r="W6" s="2079"/>
      <c r="X6" s="2079"/>
      <c r="Y6" s="2079"/>
      <c r="Z6" s="2079"/>
      <c r="AA6" s="2079"/>
      <c r="AB6" s="2079"/>
      <c r="AC6" s="2251"/>
      <c r="AD6" s="2251"/>
      <c r="AE6" s="2251"/>
      <c r="AF6" s="2251"/>
      <c r="AG6" s="2079"/>
      <c r="AH6" s="2485"/>
    </row>
    <row r="7" spans="1:37" ht="15" customHeight="1">
      <c r="A7" s="2483"/>
      <c r="B7" s="2491" t="s">
        <v>1416</v>
      </c>
      <c r="C7" s="2079"/>
      <c r="D7" s="2079"/>
      <c r="E7" s="2079"/>
      <c r="F7" s="2487"/>
      <c r="G7" s="2079"/>
      <c r="H7" s="2079"/>
      <c r="I7" s="2079"/>
      <c r="J7" s="2484"/>
      <c r="K7" s="2079"/>
      <c r="L7" s="2489"/>
      <c r="M7" s="2488"/>
      <c r="N7" s="2079"/>
      <c r="O7" s="2079"/>
      <c r="P7" s="3213"/>
      <c r="Q7" s="2079"/>
      <c r="R7" s="2079"/>
      <c r="S7" s="2079"/>
      <c r="T7" s="2079"/>
      <c r="U7" s="2079"/>
      <c r="V7" s="2079"/>
      <c r="W7" s="2079"/>
      <c r="X7" s="2079"/>
      <c r="Y7" s="2079"/>
      <c r="Z7" s="2079"/>
      <c r="AA7" s="2079"/>
      <c r="AB7" s="2079"/>
      <c r="AC7" s="2251"/>
      <c r="AD7" s="2251"/>
      <c r="AE7" s="2251"/>
      <c r="AF7" s="2251"/>
      <c r="AG7" s="2079"/>
      <c r="AH7" s="2485"/>
    </row>
    <row r="8" spans="1:37" ht="15.75">
      <c r="A8" s="2483"/>
      <c r="B8" s="2079"/>
      <c r="C8" s="2079"/>
      <c r="D8" s="2079"/>
      <c r="E8" s="2079"/>
      <c r="F8" s="2487"/>
      <c r="G8" s="2079"/>
      <c r="H8" s="2079"/>
      <c r="I8" s="2079"/>
      <c r="J8" s="2484"/>
      <c r="K8" s="2079"/>
      <c r="L8" s="2079"/>
      <c r="M8" s="2079"/>
      <c r="N8" s="2079"/>
      <c r="O8" s="2079"/>
      <c r="P8" s="2251"/>
      <c r="Q8" s="2079"/>
      <c r="R8" s="2079"/>
      <c r="S8" s="2079"/>
      <c r="T8" s="2079"/>
      <c r="U8" s="2079"/>
      <c r="V8" s="2079"/>
      <c r="W8" s="2079"/>
      <c r="X8" s="2079"/>
      <c r="Y8" s="2079"/>
      <c r="Z8" s="2079"/>
      <c r="AA8" s="2079"/>
      <c r="AB8" s="3912" t="str">
        <f>+'Cashflow Governmental'!AB12:AJ12</f>
        <v>10 Months Ended January 31</v>
      </c>
      <c r="AC8" s="3912"/>
      <c r="AD8" s="3912"/>
      <c r="AE8" s="3912"/>
      <c r="AF8" s="3912"/>
      <c r="AG8" s="3912"/>
      <c r="AH8" s="3912"/>
      <c r="AI8" s="3912"/>
      <c r="AJ8" s="3912"/>
      <c r="AK8" s="3912"/>
    </row>
    <row r="9" spans="1:37" ht="15" customHeight="1">
      <c r="A9" s="2483"/>
      <c r="B9" s="2076"/>
      <c r="C9" s="2076"/>
      <c r="D9" s="2494" t="str">
        <f>'Cashflow Governmental'!C13</f>
        <v>2019</v>
      </c>
      <c r="E9" s="2495"/>
      <c r="F9" s="2495"/>
      <c r="G9" s="2495"/>
      <c r="H9" s="2495"/>
      <c r="I9" s="2495"/>
      <c r="J9" s="2495"/>
      <c r="K9" s="2495"/>
      <c r="L9" s="2495"/>
      <c r="M9" s="2495"/>
      <c r="N9" s="2495"/>
      <c r="O9" s="2495"/>
      <c r="P9" s="3214"/>
      <c r="Q9" s="2495"/>
      <c r="R9" s="2495"/>
      <c r="S9" s="2495"/>
      <c r="T9" s="2495"/>
      <c r="U9" s="2495"/>
      <c r="V9" s="2494" t="str">
        <f>'Cashflow Governmental'!U13</f>
        <v>2020</v>
      </c>
      <c r="W9" s="2495"/>
      <c r="X9" s="2495"/>
      <c r="Y9" s="2495"/>
      <c r="Z9" s="2495"/>
      <c r="AA9" s="2489"/>
      <c r="AB9" s="2488"/>
      <c r="AC9" s="2498"/>
      <c r="AD9" s="1903"/>
      <c r="AE9" s="1903"/>
      <c r="AF9" s="2498"/>
      <c r="AG9" s="2496"/>
      <c r="AH9" s="2499"/>
      <c r="AI9" s="2500" t="s">
        <v>8</v>
      </c>
      <c r="AJ9" s="2496"/>
      <c r="AK9" s="2501" t="s">
        <v>9</v>
      </c>
    </row>
    <row r="10" spans="1:37" ht="15" customHeight="1">
      <c r="A10" s="2483"/>
      <c r="B10" s="2076"/>
      <c r="C10" s="2076"/>
      <c r="D10" s="2502" t="s">
        <v>125</v>
      </c>
      <c r="E10" s="2488"/>
      <c r="F10" s="2503" t="s">
        <v>126</v>
      </c>
      <c r="G10" s="2488"/>
      <c r="H10" s="2503" t="s">
        <v>127</v>
      </c>
      <c r="I10" s="2488"/>
      <c r="J10" s="2504" t="s">
        <v>128</v>
      </c>
      <c r="K10" s="2488"/>
      <c r="L10" s="2505" t="s">
        <v>129</v>
      </c>
      <c r="M10" s="2488"/>
      <c r="N10" s="2505" t="s">
        <v>144</v>
      </c>
      <c r="O10" s="2488"/>
      <c r="P10" s="2663" t="s">
        <v>145</v>
      </c>
      <c r="Q10" s="2488"/>
      <c r="R10" s="2505" t="s">
        <v>132</v>
      </c>
      <c r="S10" s="2488"/>
      <c r="T10" s="2505" t="s">
        <v>133</v>
      </c>
      <c r="U10" s="2488"/>
      <c r="V10" s="2505" t="s">
        <v>134</v>
      </c>
      <c r="W10" s="2488"/>
      <c r="X10" s="2505" t="s">
        <v>135</v>
      </c>
      <c r="Y10" s="2488"/>
      <c r="Z10" s="2505" t="s">
        <v>186</v>
      </c>
      <c r="AA10" s="2501"/>
      <c r="AB10" s="2488"/>
      <c r="AC10" s="3280">
        <f>'Cashflow Governmental'!AB14</f>
        <v>2020</v>
      </c>
      <c r="AD10" s="2617" t="s">
        <v>15</v>
      </c>
      <c r="AE10" s="2617"/>
      <c r="AF10" s="3280">
        <f>'Cashflow Governmental'!AE14</f>
        <v>2019</v>
      </c>
      <c r="AG10" s="2506"/>
      <c r="AH10" s="2499"/>
      <c r="AI10" s="2507" t="s">
        <v>12</v>
      </c>
      <c r="AJ10" s="2489"/>
      <c r="AK10" s="2508" t="s">
        <v>13</v>
      </c>
    </row>
    <row r="11" spans="1:37" ht="5.25" customHeight="1">
      <c r="A11" s="2483"/>
      <c r="B11" s="2076"/>
      <c r="C11" s="2076"/>
      <c r="D11" s="2509" t="s">
        <v>15</v>
      </c>
      <c r="E11" s="2076"/>
      <c r="F11" s="2510"/>
      <c r="G11" s="2076"/>
      <c r="H11" s="2509"/>
      <c r="I11" s="2076"/>
      <c r="J11" s="2105"/>
      <c r="K11" s="2076"/>
      <c r="L11" s="2509"/>
      <c r="M11" s="2076"/>
      <c r="N11" s="2509"/>
      <c r="O11" s="2076"/>
      <c r="P11" s="3183"/>
      <c r="Q11" s="2076"/>
      <c r="R11" s="2509"/>
      <c r="S11" s="2076"/>
      <c r="T11" s="2509"/>
      <c r="U11" s="2076"/>
      <c r="V11" s="2509"/>
      <c r="W11" s="2076"/>
      <c r="X11" s="2509"/>
      <c r="Y11" s="2076"/>
      <c r="Z11" s="2509"/>
      <c r="AA11" s="2075"/>
      <c r="AB11" s="2076"/>
      <c r="AC11" s="2243"/>
      <c r="AD11" s="2244"/>
      <c r="AE11" s="2244"/>
      <c r="AF11" s="2243"/>
      <c r="AG11" s="2075"/>
      <c r="AH11" s="2511"/>
    </row>
    <row r="12" spans="1:37" ht="15" customHeight="1">
      <c r="A12" s="2512"/>
      <c r="B12" s="2513" t="s">
        <v>137</v>
      </c>
      <c r="C12" s="2098"/>
      <c r="D12" s="2514">
        <v>7205.7</v>
      </c>
      <c r="E12" s="2515"/>
      <c r="F12" s="2516">
        <f>D140</f>
        <v>11968.7</v>
      </c>
      <c r="G12" s="2515"/>
      <c r="H12" s="2516">
        <f>F140</f>
        <v>5221.6000000000004</v>
      </c>
      <c r="I12" s="2515"/>
      <c r="J12" s="2516">
        <f>H140</f>
        <v>6593</v>
      </c>
      <c r="K12" s="2515"/>
      <c r="L12" s="2516">
        <f>J140</f>
        <v>6614.3</v>
      </c>
      <c r="M12" s="2515"/>
      <c r="N12" s="2516">
        <f>L140</f>
        <v>6886.4</v>
      </c>
      <c r="O12" s="2515"/>
      <c r="P12" s="2083">
        <f>N140</f>
        <v>9049.7999999999993</v>
      </c>
      <c r="Q12" s="2515"/>
      <c r="R12" s="2083">
        <f>P140</f>
        <v>8815.2000000000007</v>
      </c>
      <c r="S12" s="2515"/>
      <c r="T12" s="2516">
        <f>R140</f>
        <v>6571.4</v>
      </c>
      <c r="U12" s="2515"/>
      <c r="V12" s="2516">
        <f>T140</f>
        <v>8179.7</v>
      </c>
      <c r="W12" s="2516"/>
      <c r="X12" s="2516"/>
      <c r="Y12" s="2515"/>
      <c r="Z12" s="2516"/>
      <c r="AA12" s="2515"/>
      <c r="AB12" s="2517"/>
      <c r="AC12" s="2083">
        <f>D12</f>
        <v>7205.7</v>
      </c>
      <c r="AD12" s="2518"/>
      <c r="AE12" s="3281"/>
      <c r="AF12" s="3634">
        <v>9445</v>
      </c>
      <c r="AG12" s="2515"/>
      <c r="AH12" s="2519"/>
      <c r="AI12" s="2516">
        <f>ROUND(SUM(+AC12-AF12),1)</f>
        <v>-2239.3000000000002</v>
      </c>
      <c r="AJ12" s="2520"/>
      <c r="AK12" s="1467">
        <f>ROUND(IF(AF12=0,0,AI12/ABS(AF12)),3)</f>
        <v>-0.23699999999999999</v>
      </c>
    </row>
    <row r="13" spans="1:37" ht="15" customHeight="1">
      <c r="A13" s="2512"/>
      <c r="B13" s="2098"/>
      <c r="C13" s="2098"/>
      <c r="D13" s="2098"/>
      <c r="E13" s="2098"/>
      <c r="F13" s="2521"/>
      <c r="G13" s="2098"/>
      <c r="H13" s="2521"/>
      <c r="I13" s="2098"/>
      <c r="J13" s="2049"/>
      <c r="K13" s="2098"/>
      <c r="L13" s="2521"/>
      <c r="M13" s="2098"/>
      <c r="N13" s="2076"/>
      <c r="O13" s="2098"/>
      <c r="P13" s="2244"/>
      <c r="Q13" s="2098"/>
      <c r="R13" s="2076"/>
      <c r="S13" s="2098"/>
      <c r="T13" s="2076"/>
      <c r="U13" s="2098"/>
      <c r="V13" s="2076"/>
      <c r="W13" s="2098"/>
      <c r="X13" s="2076"/>
      <c r="Y13" s="2098"/>
      <c r="Z13" s="2076"/>
      <c r="AA13" s="2076"/>
      <c r="AB13" s="2097"/>
      <c r="AC13" s="2244"/>
      <c r="AD13" s="2526"/>
      <c r="AE13" s="3282"/>
      <c r="AF13" s="2244"/>
      <c r="AG13" s="2076"/>
      <c r="AH13" s="2511"/>
      <c r="AI13" s="2079"/>
      <c r="AJ13" s="2522"/>
      <c r="AK13" s="1486"/>
    </row>
    <row r="14" spans="1:37" ht="15" customHeight="1">
      <c r="A14" s="2512"/>
      <c r="B14" s="2488" t="s">
        <v>14</v>
      </c>
      <c r="C14" s="2098"/>
      <c r="D14" s="2098"/>
      <c r="E14" s="2098"/>
      <c r="F14" s="2076"/>
      <c r="G14" s="2098"/>
      <c r="H14" s="2076"/>
      <c r="I14" s="2098"/>
      <c r="J14" s="2049"/>
      <c r="K14" s="2098"/>
      <c r="L14" s="2076"/>
      <c r="M14" s="2098"/>
      <c r="N14" s="2076"/>
      <c r="O14" s="2098"/>
      <c r="P14" s="2244"/>
      <c r="Q14" s="2098"/>
      <c r="R14" s="2076"/>
      <c r="S14" s="2098"/>
      <c r="T14" s="2076"/>
      <c r="U14" s="2098"/>
      <c r="V14" s="2076"/>
      <c r="W14" s="2098"/>
      <c r="X14" s="2076"/>
      <c r="Y14" s="2098"/>
      <c r="Z14" s="2076"/>
      <c r="AA14" s="2076"/>
      <c r="AB14" s="2097"/>
      <c r="AC14" s="2244"/>
      <c r="AD14" s="2526"/>
      <c r="AE14" s="3282"/>
      <c r="AF14" s="2244"/>
      <c r="AG14" s="2076"/>
      <c r="AH14" s="2511"/>
      <c r="AI14" s="2079"/>
      <c r="AJ14" s="2522"/>
      <c r="AK14" s="1486"/>
    </row>
    <row r="15" spans="1:37" ht="15" customHeight="1">
      <c r="A15" s="2512"/>
      <c r="B15" s="2523" t="s">
        <v>1097</v>
      </c>
      <c r="C15" s="2098"/>
      <c r="D15" s="2098"/>
      <c r="E15" s="2098"/>
      <c r="F15" s="2076"/>
      <c r="G15" s="2098"/>
      <c r="H15" s="2076"/>
      <c r="I15" s="2098"/>
      <c r="J15" s="2049"/>
      <c r="K15" s="2098"/>
      <c r="L15" s="2076"/>
      <c r="M15" s="2098"/>
      <c r="N15" s="2076"/>
      <c r="O15" s="2098"/>
      <c r="P15" s="2244"/>
      <c r="Q15" s="2098"/>
      <c r="R15" s="2076"/>
      <c r="S15" s="2098"/>
      <c r="T15" s="2076"/>
      <c r="U15" s="2098"/>
      <c r="V15" s="2076"/>
      <c r="W15" s="2098"/>
      <c r="X15" s="2076"/>
      <c r="Y15" s="2098"/>
      <c r="Z15" s="2076"/>
      <c r="AA15" s="2076"/>
      <c r="AB15" s="2097"/>
      <c r="AC15" s="2244"/>
      <c r="AD15" s="2526"/>
      <c r="AE15" s="3282"/>
      <c r="AF15" s="2244"/>
      <c r="AG15" s="2076"/>
      <c r="AH15" s="2511"/>
      <c r="AI15" s="2079"/>
      <c r="AJ15" s="2522"/>
      <c r="AK15" s="1486"/>
    </row>
    <row r="16" spans="1:37" ht="15" customHeight="1">
      <c r="A16" s="2512"/>
      <c r="B16" s="2524" t="s">
        <v>1164</v>
      </c>
      <c r="C16" s="2098"/>
      <c r="D16" s="2098"/>
      <c r="E16" s="2098"/>
      <c r="F16" s="2076"/>
      <c r="G16" s="2098"/>
      <c r="H16" s="2076"/>
      <c r="I16" s="2098"/>
      <c r="J16" s="2049"/>
      <c r="K16" s="2098"/>
      <c r="L16" s="2076"/>
      <c r="M16" s="2098"/>
      <c r="N16" s="2076"/>
      <c r="O16" s="2098"/>
      <c r="P16" s="2244"/>
      <c r="Q16" s="2098"/>
      <c r="R16" s="2076"/>
      <c r="S16" s="2098"/>
      <c r="T16" s="2076"/>
      <c r="U16" s="2098"/>
      <c r="V16" s="2076"/>
      <c r="W16" s="2098"/>
      <c r="X16" s="2076"/>
      <c r="Y16" s="2098"/>
      <c r="Z16" s="2076"/>
      <c r="AA16" s="2076"/>
      <c r="AB16" s="2097"/>
      <c r="AC16" s="2244"/>
      <c r="AD16" s="2526"/>
      <c r="AE16" s="3282"/>
      <c r="AF16" s="2244"/>
      <c r="AG16" s="2076"/>
      <c r="AH16" s="2511"/>
      <c r="AI16" s="2079"/>
      <c r="AJ16" s="2522"/>
      <c r="AK16" s="1486"/>
    </row>
    <row r="17" spans="1:38" s="2480" customFormat="1" ht="15" customHeight="1">
      <c r="A17" s="2525"/>
      <c r="B17" s="2395" t="s">
        <v>1103</v>
      </c>
      <c r="C17" s="2526"/>
      <c r="D17" s="1839">
        <v>3237.1</v>
      </c>
      <c r="E17" s="1529"/>
      <c r="F17" s="1839">
        <v>3220.1</v>
      </c>
      <c r="G17" s="1529"/>
      <c r="H17" s="1839">
        <v>2922.2999999999997</v>
      </c>
      <c r="I17" s="2527"/>
      <c r="J17" s="1839">
        <v>3365.7999999999988</v>
      </c>
      <c r="K17" s="2052"/>
      <c r="L17" s="1839">
        <v>2933.7000000000012</v>
      </c>
      <c r="M17" s="2052"/>
      <c r="N17" s="1839">
        <v>2851.0999999999981</v>
      </c>
      <c r="O17" s="2052"/>
      <c r="P17" s="1839">
        <v>3270.6000000000045</v>
      </c>
      <c r="Q17" s="2052"/>
      <c r="R17" s="1839">
        <v>2981.8000000000006</v>
      </c>
      <c r="S17" s="2052"/>
      <c r="T17" s="1839">
        <v>4054.2999999999997</v>
      </c>
      <c r="U17" s="2052"/>
      <c r="V17" s="1839">
        <f>$AC17-$D17-$F17-$H17-$J17-$L17-$N17-$P17-$R17-$T17</f>
        <v>5045.6000000000022</v>
      </c>
      <c r="W17" s="2052"/>
      <c r="X17" s="1839"/>
      <c r="Y17" s="2052"/>
      <c r="Z17" s="1839"/>
      <c r="AA17" s="2053"/>
      <c r="AB17" s="2056"/>
      <c r="AC17" s="1855">
        <v>33882.400000000001</v>
      </c>
      <c r="AD17" s="2095"/>
      <c r="AE17" s="2056" t="s">
        <v>15</v>
      </c>
      <c r="AF17" s="1855">
        <v>32407.200000000001</v>
      </c>
      <c r="AG17" s="2244"/>
      <c r="AH17" s="2528"/>
      <c r="AI17" s="2054">
        <f>ROUND(SUM(+AC17-AF17),1)</f>
        <v>1475.2</v>
      </c>
      <c r="AJ17" s="2529"/>
      <c r="AK17" s="1774">
        <f t="shared" ref="AK17:AK21" si="0">ROUND(IF(AF17=0,0,AI17/ABS(AF17)),3)</f>
        <v>4.5999999999999999E-2</v>
      </c>
      <c r="AL17" s="2478"/>
    </row>
    <row r="18" spans="1:38" s="2480" customFormat="1" ht="15" customHeight="1">
      <c r="A18" s="2525"/>
      <c r="B18" s="2395" t="s">
        <v>1391</v>
      </c>
      <c r="C18" s="2526"/>
      <c r="D18" s="1839">
        <v>6843.2</v>
      </c>
      <c r="E18" s="1457"/>
      <c r="F18" s="1839">
        <v>112.60000000000036</v>
      </c>
      <c r="G18" s="1457"/>
      <c r="H18" s="1839">
        <v>2396.4000000000005</v>
      </c>
      <c r="I18" s="2530"/>
      <c r="J18" s="1839">
        <v>118.69999999999891</v>
      </c>
      <c r="K18" s="2052"/>
      <c r="L18" s="1839">
        <v>98.700000000000728</v>
      </c>
      <c r="M18" s="2052"/>
      <c r="N18" s="1839">
        <v>2742</v>
      </c>
      <c r="O18" s="2052"/>
      <c r="P18" s="1839">
        <v>170.89999999999964</v>
      </c>
      <c r="Q18" s="2052"/>
      <c r="R18" s="1839">
        <v>93.5</v>
      </c>
      <c r="S18" s="2052"/>
      <c r="T18" s="1839">
        <v>379.79999999999927</v>
      </c>
      <c r="U18" s="2052"/>
      <c r="V18" s="1839">
        <f t="shared" ref="V18:V25" si="1">$AC18-$D18-$F18-$H18-$J18-$L18-$N18-$P18-$R18-$T18</f>
        <v>3842.2</v>
      </c>
      <c r="W18" s="2052"/>
      <c r="X18" s="1839"/>
      <c r="Y18" s="2052"/>
      <c r="Z18" s="1839"/>
      <c r="AA18" s="2053"/>
      <c r="AB18" s="2056"/>
      <c r="AC18" s="1855">
        <v>16798</v>
      </c>
      <c r="AD18" s="2095"/>
      <c r="AE18" s="2056" t="s">
        <v>15</v>
      </c>
      <c r="AF18" s="1855">
        <v>13784.6</v>
      </c>
      <c r="AG18" s="2244"/>
      <c r="AH18" s="2528"/>
      <c r="AI18" s="2054">
        <f>ROUND(SUM(+AC18-AF18),1)</f>
        <v>3013.4</v>
      </c>
      <c r="AJ18" s="2529"/>
      <c r="AK18" s="1774">
        <f t="shared" si="0"/>
        <v>0.219</v>
      </c>
      <c r="AL18" s="2478"/>
    </row>
    <row r="19" spans="1:38" s="2480" customFormat="1" ht="15" customHeight="1">
      <c r="A19" s="2525"/>
      <c r="B19" s="2395" t="s">
        <v>1104</v>
      </c>
      <c r="C19" s="2526"/>
      <c r="D19" s="1839">
        <v>2286.9</v>
      </c>
      <c r="E19" s="1457"/>
      <c r="F19" s="1839">
        <v>75.099999999999994</v>
      </c>
      <c r="G19" s="1457"/>
      <c r="H19" s="1839">
        <v>54.1</v>
      </c>
      <c r="I19" s="2530"/>
      <c r="J19" s="1839">
        <v>40.800000000000004</v>
      </c>
      <c r="K19" s="2052"/>
      <c r="L19" s="1839">
        <v>45.099999999999916</v>
      </c>
      <c r="M19" s="2052"/>
      <c r="N19" s="1839">
        <v>65.5</v>
      </c>
      <c r="O19" s="2052"/>
      <c r="P19" s="1839">
        <v>564.19999999999982</v>
      </c>
      <c r="Q19" s="2052"/>
      <c r="R19" s="1839">
        <v>42.500000000000455</v>
      </c>
      <c r="S19" s="2052"/>
      <c r="T19" s="1839">
        <v>24.599999999999909</v>
      </c>
      <c r="U19" s="2052"/>
      <c r="V19" s="1839">
        <f t="shared" si="1"/>
        <v>25.699999999999818</v>
      </c>
      <c r="W19" s="2052"/>
      <c r="X19" s="1839"/>
      <c r="Y19" s="2052"/>
      <c r="Z19" s="1839"/>
      <c r="AA19" s="2053"/>
      <c r="AB19" s="2056"/>
      <c r="AC19" s="1855">
        <v>3224.5</v>
      </c>
      <c r="AD19" s="2095"/>
      <c r="AE19" s="2056" t="s">
        <v>15</v>
      </c>
      <c r="AF19" s="1855">
        <v>2438.9</v>
      </c>
      <c r="AG19" s="2244"/>
      <c r="AH19" s="2528"/>
      <c r="AI19" s="2054">
        <f>ROUND(SUM(+AC19-AF19),1)</f>
        <v>785.6</v>
      </c>
      <c r="AJ19" s="2529"/>
      <c r="AK19" s="1774">
        <f t="shared" si="0"/>
        <v>0.32200000000000001</v>
      </c>
      <c r="AL19" s="2478"/>
    </row>
    <row r="20" spans="1:38" s="2480" customFormat="1" ht="15" customHeight="1">
      <c r="A20" s="2525"/>
      <c r="B20" s="2531" t="s">
        <v>1105</v>
      </c>
      <c r="C20" s="2526"/>
      <c r="D20" s="1839">
        <v>-296.89999999999998</v>
      </c>
      <c r="E20" s="1457"/>
      <c r="F20" s="1839">
        <v>-31.100000000000023</v>
      </c>
      <c r="G20" s="1457"/>
      <c r="H20" s="1839">
        <v>-25.899999999999977</v>
      </c>
      <c r="I20" s="2530"/>
      <c r="J20" s="1839">
        <v>-21</v>
      </c>
      <c r="K20" s="2052"/>
      <c r="L20" s="1839">
        <v>-20.900000000000034</v>
      </c>
      <c r="M20" s="2052"/>
      <c r="N20" s="1839">
        <v>-47.199999999999989</v>
      </c>
      <c r="O20" s="2052"/>
      <c r="P20" s="1839">
        <v>-475.39999999999992</v>
      </c>
      <c r="Q20" s="2052"/>
      <c r="R20" s="1839">
        <v>-59.499999999999943</v>
      </c>
      <c r="S20" s="2052"/>
      <c r="T20" s="1839">
        <v>-17.700000000000045</v>
      </c>
      <c r="U20" s="2052"/>
      <c r="V20" s="1839">
        <f t="shared" si="1"/>
        <v>-9.6000000000001364</v>
      </c>
      <c r="W20" s="2052"/>
      <c r="X20" s="1839"/>
      <c r="Y20" s="2052"/>
      <c r="Z20" s="1839"/>
      <c r="AA20" s="2053"/>
      <c r="AB20" s="2056"/>
      <c r="AC20" s="1855">
        <v>-1005.2</v>
      </c>
      <c r="AD20" s="2095"/>
      <c r="AE20" s="2056" t="s">
        <v>15</v>
      </c>
      <c r="AF20" s="1855">
        <v>-1025.0999999999999</v>
      </c>
      <c r="AG20" s="2244"/>
      <c r="AH20" s="2528"/>
      <c r="AI20" s="2054">
        <f>-ROUND(SUM(+AC20-AF20),1)</f>
        <v>-19.899999999999999</v>
      </c>
      <c r="AJ20" s="2529"/>
      <c r="AK20" s="1774">
        <f t="shared" si="0"/>
        <v>-1.9E-2</v>
      </c>
      <c r="AL20" s="2478"/>
    </row>
    <row r="21" spans="1:38" s="2480" customFormat="1" ht="15" customHeight="1">
      <c r="A21" s="2525"/>
      <c r="B21" s="2531" t="s">
        <v>1390</v>
      </c>
      <c r="C21" s="2526"/>
      <c r="D21" s="1839">
        <v>170.3</v>
      </c>
      <c r="E21" s="1457"/>
      <c r="F21" s="1839">
        <v>105.19999999999999</v>
      </c>
      <c r="G21" s="1457"/>
      <c r="H21" s="1839">
        <v>96.199999999999989</v>
      </c>
      <c r="I21" s="2530"/>
      <c r="J21" s="1839">
        <v>89.300000000000011</v>
      </c>
      <c r="K21" s="2052"/>
      <c r="L21" s="1839">
        <v>95.700000000000045</v>
      </c>
      <c r="M21" s="2052"/>
      <c r="N21" s="1839">
        <v>91.699999999999932</v>
      </c>
      <c r="O21" s="2052"/>
      <c r="P21" s="1839">
        <v>104.30000000000013</v>
      </c>
      <c r="Q21" s="2052"/>
      <c r="R21" s="1839">
        <v>121.59999999999985</v>
      </c>
      <c r="S21" s="2052"/>
      <c r="T21" s="1839">
        <v>134.59999999999991</v>
      </c>
      <c r="U21" s="2052"/>
      <c r="V21" s="1839">
        <f t="shared" si="1"/>
        <v>87.200000000000273</v>
      </c>
      <c r="W21" s="2052"/>
      <c r="X21" s="1839"/>
      <c r="Y21" s="2052"/>
      <c r="Z21" s="1839"/>
      <c r="AA21" s="2053"/>
      <c r="AB21" s="2056"/>
      <c r="AC21" s="1855">
        <v>1096.1000000000001</v>
      </c>
      <c r="AD21" s="2095"/>
      <c r="AE21" s="2056" t="s">
        <v>15</v>
      </c>
      <c r="AF21" s="1855">
        <v>1055.0999999999999</v>
      </c>
      <c r="AG21" s="2244"/>
      <c r="AH21" s="2528"/>
      <c r="AI21" s="2054">
        <f>ROUND(SUM(+AC21-AF21),1)</f>
        <v>41</v>
      </c>
      <c r="AJ21" s="2529"/>
      <c r="AK21" s="1774">
        <f t="shared" si="0"/>
        <v>3.9E-2</v>
      </c>
      <c r="AL21" s="2478"/>
    </row>
    <row r="22" spans="1:38" ht="15" customHeight="1">
      <c r="A22" s="2512"/>
      <c r="B22" s="2376" t="s">
        <v>1106</v>
      </c>
      <c r="C22" s="2098"/>
      <c r="D22" s="2532">
        <f>ROUND(SUM(D17:D21),1)</f>
        <v>12240.6</v>
      </c>
      <c r="E22" s="2530"/>
      <c r="F22" s="2533">
        <f>ROUND(SUM(F17:F21),1)</f>
        <v>3481.9</v>
      </c>
      <c r="G22" s="2530"/>
      <c r="H22" s="2532">
        <f>ROUND(SUM(H17:H21),1)</f>
        <v>5443.1</v>
      </c>
      <c r="I22" s="2530"/>
      <c r="J22" s="2533">
        <f>ROUND(SUM(J17:J21),1)</f>
        <v>3593.6</v>
      </c>
      <c r="K22" s="2098"/>
      <c r="L22" s="2096">
        <f>ROUND(SUM(L17:L21),1)</f>
        <v>3152.3</v>
      </c>
      <c r="M22" s="2098"/>
      <c r="N22" s="2096">
        <f>ROUND(SUM(N17:N21),1)</f>
        <v>5703.1</v>
      </c>
      <c r="O22" s="2060"/>
      <c r="P22" s="1497">
        <f>ROUND(SUM(P17:P21),1)</f>
        <v>3634.6</v>
      </c>
      <c r="Q22" s="2060"/>
      <c r="R22" s="2096">
        <f>ROUND(SUM(R17:R21),1)</f>
        <v>3179.9</v>
      </c>
      <c r="S22" s="2060"/>
      <c r="T22" s="2096">
        <f>ROUND(SUM(T17:T21),1)</f>
        <v>4575.6000000000004</v>
      </c>
      <c r="U22" s="2060"/>
      <c r="V22" s="2096">
        <f>ROUND(SUM(V17:V21),1)</f>
        <v>8991.1</v>
      </c>
      <c r="W22" s="2060"/>
      <c r="X22" s="2096">
        <f>ROUND(SUM(X17:X21),1)</f>
        <v>0</v>
      </c>
      <c r="Y22" s="2060"/>
      <c r="Z22" s="2096">
        <f>ROUND(SUM(Z17:Z21),1)</f>
        <v>0</v>
      </c>
      <c r="AA22" s="2076"/>
      <c r="AB22" s="2097"/>
      <c r="AC22" s="3283">
        <f>ROUND(SUM(AC17:AC21),1)</f>
        <v>53995.8</v>
      </c>
      <c r="AD22" s="2526"/>
      <c r="AE22" s="3284" t="s">
        <v>15</v>
      </c>
      <c r="AF22" s="1497">
        <f>ROUND(SUM(AF17:AF21),1)</f>
        <v>48660.7</v>
      </c>
      <c r="AG22" s="2076"/>
      <c r="AH22" s="2511"/>
      <c r="AI22" s="2096">
        <f>ROUND(SUM(AC22-AF22),1)</f>
        <v>5335.1</v>
      </c>
      <c r="AJ22" s="2522"/>
      <c r="AK22" s="1482">
        <f>ROUND(SUM(+AI22/AF22),3)</f>
        <v>0.11</v>
      </c>
    </row>
    <row r="23" spans="1:38" s="2480" customFormat="1" ht="15" customHeight="1">
      <c r="A23" s="2525"/>
      <c r="B23" s="2531" t="s">
        <v>1108</v>
      </c>
      <c r="C23" s="2526"/>
      <c r="D23" s="1839">
        <v>0</v>
      </c>
      <c r="E23" s="1457"/>
      <c r="F23" s="1839">
        <v>0</v>
      </c>
      <c r="G23" s="1457"/>
      <c r="H23" s="1839">
        <v>0</v>
      </c>
      <c r="I23" s="2530"/>
      <c r="J23" s="1839">
        <v>0</v>
      </c>
      <c r="K23" s="2052"/>
      <c r="L23" s="1839">
        <v>0</v>
      </c>
      <c r="M23" s="2052"/>
      <c r="N23" s="1839">
        <v>0</v>
      </c>
      <c r="O23" s="2052"/>
      <c r="P23" s="1839">
        <v>-0.2</v>
      </c>
      <c r="Q23" s="2052"/>
      <c r="R23" s="1839">
        <v>-3</v>
      </c>
      <c r="S23" s="2052"/>
      <c r="T23" s="1839">
        <v>-38.5</v>
      </c>
      <c r="U23" s="2052"/>
      <c r="V23" s="1839">
        <f t="shared" si="1"/>
        <v>-2107.4</v>
      </c>
      <c r="W23" s="2052"/>
      <c r="X23" s="1839"/>
      <c r="Y23" s="2052"/>
      <c r="Z23" s="1839"/>
      <c r="AA23" s="2053"/>
      <c r="AB23" s="2056"/>
      <c r="AC23" s="1855">
        <v>-2149.1</v>
      </c>
      <c r="AD23" s="2095"/>
      <c r="AE23" s="2056" t="s">
        <v>15</v>
      </c>
      <c r="AF23" s="1855">
        <v>-2410</v>
      </c>
      <c r="AG23" s="2244"/>
      <c r="AH23" s="2528"/>
      <c r="AI23" s="2054">
        <f>-ROUND(SUM(+AC23-AF23),1)</f>
        <v>-260.89999999999998</v>
      </c>
      <c r="AJ23" s="2529"/>
      <c r="AK23" s="1774">
        <f>ROUND(IF(AF23=0,0,AI23/ABS(AF23)),3)</f>
        <v>-0.108</v>
      </c>
      <c r="AL23" s="2478"/>
    </row>
    <row r="24" spans="1:38" s="2480" customFormat="1" ht="15" customHeight="1">
      <c r="A24" s="2525"/>
      <c r="B24" s="2531" t="s">
        <v>1109</v>
      </c>
      <c r="C24" s="2526"/>
      <c r="D24" s="1839">
        <v>-4607.7</v>
      </c>
      <c r="E24" s="1457"/>
      <c r="F24" s="1839">
        <v>-1242.3000000000002</v>
      </c>
      <c r="G24" s="1457"/>
      <c r="H24" s="1839">
        <v>-2604.8999999999996</v>
      </c>
      <c r="I24" s="2530"/>
      <c r="J24" s="1839">
        <v>-1665.7999999999993</v>
      </c>
      <c r="K24" s="2052"/>
      <c r="L24" s="1839">
        <v>-1454.3000000000011</v>
      </c>
      <c r="M24" s="2052"/>
      <c r="N24" s="1839">
        <v>-2415.6999999999998</v>
      </c>
      <c r="O24" s="2052"/>
      <c r="P24" s="1839">
        <v>-1289.2000000000016</v>
      </c>
      <c r="Q24" s="2052"/>
      <c r="R24" s="1839">
        <v>-1234.6999999999971</v>
      </c>
      <c r="S24" s="2052"/>
      <c r="T24" s="1839">
        <v>-2144</v>
      </c>
      <c r="U24" s="2052"/>
      <c r="V24" s="1839">
        <f t="shared" si="1"/>
        <v>-4449.6000000000013</v>
      </c>
      <c r="W24" s="2052"/>
      <c r="X24" s="1839"/>
      <c r="Y24" s="2052"/>
      <c r="Z24" s="1839"/>
      <c r="AA24" s="2053"/>
      <c r="AB24" s="2056"/>
      <c r="AC24" s="1855">
        <v>-23108.2</v>
      </c>
      <c r="AD24" s="2095"/>
      <c r="AE24" s="2056" t="s">
        <v>15</v>
      </c>
      <c r="AF24" s="1855">
        <v>-20571.3</v>
      </c>
      <c r="AG24" s="2244"/>
      <c r="AH24" s="2528"/>
      <c r="AI24" s="2054">
        <f>-ROUND(SUM(+AC24-AF24),1)</f>
        <v>2536.9</v>
      </c>
      <c r="AJ24" s="2529"/>
      <c r="AK24" s="1774">
        <f>ROUND(IF(AF24=0,0,AI24/ABS(AF24)),3)</f>
        <v>0.123</v>
      </c>
      <c r="AL24" s="2478"/>
    </row>
    <row r="25" spans="1:38" s="2480" customFormat="1" ht="15" customHeight="1">
      <c r="A25" s="2525"/>
      <c r="B25" s="2395" t="s">
        <v>1392</v>
      </c>
      <c r="C25" s="2526"/>
      <c r="D25" s="1839">
        <v>-3025.2</v>
      </c>
      <c r="E25" s="1457"/>
      <c r="F25" s="1839">
        <v>-997.30000000000018</v>
      </c>
      <c r="G25" s="1457"/>
      <c r="H25" s="1839">
        <v>-233.19999999999982</v>
      </c>
      <c r="I25" s="2530"/>
      <c r="J25" s="1839">
        <v>-262</v>
      </c>
      <c r="K25" s="2052"/>
      <c r="L25" s="1839">
        <v>-243.80000000000018</v>
      </c>
      <c r="M25" s="2052"/>
      <c r="N25" s="1839">
        <v>-871.69999999999982</v>
      </c>
      <c r="O25" s="2052"/>
      <c r="P25" s="1839">
        <v>-1056.1999999999998</v>
      </c>
      <c r="Q25" s="2052"/>
      <c r="R25" s="1839">
        <v>-710.5</v>
      </c>
      <c r="S25" s="2052"/>
      <c r="T25" s="1839">
        <v>-287.60000000000036</v>
      </c>
      <c r="U25" s="2052"/>
      <c r="V25" s="1839">
        <f t="shared" si="1"/>
        <v>-91.899999999999636</v>
      </c>
      <c r="W25" s="2052"/>
      <c r="X25" s="1839"/>
      <c r="Y25" s="2052"/>
      <c r="Z25" s="1839"/>
      <c r="AA25" s="2053"/>
      <c r="AB25" s="2056"/>
      <c r="AC25" s="1855">
        <v>-7779.4</v>
      </c>
      <c r="AD25" s="2095"/>
      <c r="AE25" s="2056" t="s">
        <v>15</v>
      </c>
      <c r="AF25" s="1855">
        <v>-7518.2</v>
      </c>
      <c r="AG25" s="2244"/>
      <c r="AH25" s="2528"/>
      <c r="AI25" s="2054">
        <f>-ROUND(SUM(+AC25-AF25),1)</f>
        <v>261.2</v>
      </c>
      <c r="AJ25" s="2529"/>
      <c r="AK25" s="1774">
        <f>ROUND(IF(AF25=0,0,AI25/ABS(AF25)),3)</f>
        <v>3.5000000000000003E-2</v>
      </c>
      <c r="AL25" s="2478"/>
    </row>
    <row r="26" spans="1:38" ht="15" customHeight="1">
      <c r="A26" s="2512"/>
      <c r="B26" s="2534" t="s">
        <v>1107</v>
      </c>
      <c r="C26" s="2076"/>
      <c r="D26" s="2535">
        <f>ROUND(SUM(D22:D25),1)</f>
        <v>4607.7</v>
      </c>
      <c r="E26" s="1480"/>
      <c r="F26" s="2536">
        <f>ROUND(SUM(F22+F23+F24+F25),1)</f>
        <v>1242.3</v>
      </c>
      <c r="G26" s="1480"/>
      <c r="H26" s="2535">
        <f>ROUND(SUM(H22+H23+H24+H25),1)</f>
        <v>2605</v>
      </c>
      <c r="I26" s="1480"/>
      <c r="J26" s="2536">
        <f>ROUND(SUM(J22+J23+J24+J25),1)</f>
        <v>1665.8</v>
      </c>
      <c r="K26" s="2060"/>
      <c r="L26" s="2096">
        <f>ROUND(SUM(L22+L23+L24+L25),1)</f>
        <v>1454.2</v>
      </c>
      <c r="M26" s="2060"/>
      <c r="N26" s="2096">
        <f>ROUND(SUM(N22+N23+N24+N25),1)</f>
        <v>2415.6999999999998</v>
      </c>
      <c r="O26" s="2060"/>
      <c r="P26" s="1497">
        <f>ROUND(SUM(P22+P23+P24+P25),1)</f>
        <v>1289</v>
      </c>
      <c r="Q26" s="2060"/>
      <c r="R26" s="2096">
        <f>ROUND(SUM(R22+R23+R24+R25),1)</f>
        <v>1231.7</v>
      </c>
      <c r="S26" s="2060"/>
      <c r="T26" s="2096">
        <f>ROUND(SUM(T22+T23+T24+T25),1)</f>
        <v>2105.5</v>
      </c>
      <c r="U26" s="2060"/>
      <c r="V26" s="2096">
        <f>ROUND(SUM(V22+V23+V24+V25),1)</f>
        <v>2342.1999999999998</v>
      </c>
      <c r="W26" s="2060"/>
      <c r="X26" s="2096">
        <f>ROUND(SUM(X22+X23+X24+X25),1)</f>
        <v>0</v>
      </c>
      <c r="Y26" s="2060"/>
      <c r="Z26" s="2096">
        <f>ROUND(SUM(Z22+Z23+Z24+Z25),1)</f>
        <v>0</v>
      </c>
      <c r="AA26" s="1500"/>
      <c r="AB26" s="2097"/>
      <c r="AC26" s="3283">
        <f>ROUND(SUM(AC22+AC23+AC24+AC25),1)</f>
        <v>20959.099999999999</v>
      </c>
      <c r="AD26" s="2049"/>
      <c r="AE26" s="2055" t="s">
        <v>15</v>
      </c>
      <c r="AF26" s="1497">
        <f>ROUND(SUM(AF22+AF23+AF24+AF25),1)</f>
        <v>18161.2</v>
      </c>
      <c r="AG26" s="2060"/>
      <c r="AH26" s="2537"/>
      <c r="AI26" s="2096">
        <f>ROUND(SUM(AI22-AI23-AI24-AI25),1)</f>
        <v>2797.9</v>
      </c>
      <c r="AJ26" s="2538"/>
      <c r="AK26" s="1482">
        <f>ROUND(SUM(+AI26/AF26),3)</f>
        <v>0.154</v>
      </c>
    </row>
    <row r="27" spans="1:38" ht="15" customHeight="1">
      <c r="A27" s="2512"/>
      <c r="B27" s="2524" t="s">
        <v>1161</v>
      </c>
      <c r="C27" s="2076"/>
      <c r="D27" s="1481"/>
      <c r="E27" s="1480"/>
      <c r="F27" s="1499"/>
      <c r="G27" s="1480"/>
      <c r="H27" s="1481"/>
      <c r="I27" s="1480"/>
      <c r="J27" s="1499"/>
      <c r="K27" s="2060"/>
      <c r="L27" s="1481"/>
      <c r="M27" s="2060"/>
      <c r="N27" s="1481"/>
      <c r="O27" s="2060"/>
      <c r="P27" s="1499"/>
      <c r="Q27" s="2060"/>
      <c r="R27" s="1481"/>
      <c r="S27" s="2060"/>
      <c r="T27" s="1481"/>
      <c r="U27" s="2060"/>
      <c r="V27" s="1481"/>
      <c r="W27" s="2060"/>
      <c r="X27" s="1481"/>
      <c r="Y27" s="2060"/>
      <c r="Z27" s="1481"/>
      <c r="AA27" s="1500"/>
      <c r="AB27" s="2097"/>
      <c r="AC27" s="1499"/>
      <c r="AD27" s="2049"/>
      <c r="AE27" s="2055" t="s">
        <v>15</v>
      </c>
      <c r="AF27" s="1499"/>
      <c r="AG27" s="2060"/>
      <c r="AH27" s="2537"/>
      <c r="AI27" s="1481"/>
      <c r="AJ27" s="2538"/>
      <c r="AK27" s="2539"/>
    </row>
    <row r="28" spans="1:38" ht="15" customHeight="1">
      <c r="A28" s="2512"/>
      <c r="B28" s="2294" t="s">
        <v>1112</v>
      </c>
      <c r="C28" s="2076"/>
      <c r="D28" s="1839">
        <v>539.29999999999995</v>
      </c>
      <c r="E28" s="1457"/>
      <c r="F28" s="1839">
        <v>551.40000000000009</v>
      </c>
      <c r="G28" s="1457"/>
      <c r="H28" s="1839">
        <v>743.5</v>
      </c>
      <c r="I28" s="1480"/>
      <c r="J28" s="1839">
        <v>579.79999999999995</v>
      </c>
      <c r="K28" s="2052"/>
      <c r="L28" s="1839">
        <v>581.79999999999995</v>
      </c>
      <c r="M28" s="2052"/>
      <c r="N28" s="1839">
        <v>761.89999999999964</v>
      </c>
      <c r="O28" s="2052"/>
      <c r="P28" s="1839">
        <v>579</v>
      </c>
      <c r="Q28" s="2052"/>
      <c r="R28" s="1839">
        <v>584.50000000000023</v>
      </c>
      <c r="S28" s="2052"/>
      <c r="T28" s="1839">
        <v>742.10000000000014</v>
      </c>
      <c r="U28" s="2052"/>
      <c r="V28" s="1839">
        <f t="shared" ref="V28:V36" si="2">$AC28-$D28-$F28-$H28-$J28-$L28-$N28-$P28-$R28-$T28</f>
        <v>635.5</v>
      </c>
      <c r="W28" s="2052"/>
      <c r="X28" s="1839"/>
      <c r="Y28" s="2052"/>
      <c r="Z28" s="1839"/>
      <c r="AA28" s="2053"/>
      <c r="AB28" s="2056"/>
      <c r="AC28" s="1855">
        <v>6298.8</v>
      </c>
      <c r="AD28" s="2095"/>
      <c r="AE28" s="2056" t="s">
        <v>15</v>
      </c>
      <c r="AF28" s="1855">
        <v>5955.9</v>
      </c>
      <c r="AG28" s="2060"/>
      <c r="AH28" s="2537"/>
      <c r="AI28" s="1480">
        <f t="shared" ref="AI28:AI36" si="3">ROUND(SUM(+AC28-AF28),1)</f>
        <v>342.9</v>
      </c>
      <c r="AJ28" s="2538"/>
      <c r="AK28" s="1475">
        <f t="shared" ref="AK28:AK36" si="4">ROUND(IF(AF28=0,0,AI28/ABS(AF28)),3)</f>
        <v>5.8000000000000003E-2</v>
      </c>
    </row>
    <row r="29" spans="1:38" ht="15" customHeight="1">
      <c r="A29" s="2512"/>
      <c r="B29" s="2294" t="s">
        <v>1113</v>
      </c>
      <c r="C29" s="2076"/>
      <c r="D29" s="1839">
        <v>0</v>
      </c>
      <c r="E29" s="1457"/>
      <c r="F29" s="1839">
        <v>0</v>
      </c>
      <c r="G29" s="1457"/>
      <c r="H29" s="1839">
        <v>0</v>
      </c>
      <c r="I29" s="1480"/>
      <c r="J29" s="1839">
        <v>0</v>
      </c>
      <c r="K29" s="2052"/>
      <c r="L29" s="1839">
        <v>0</v>
      </c>
      <c r="M29" s="2052"/>
      <c r="N29" s="1839">
        <v>0</v>
      </c>
      <c r="O29" s="2052"/>
      <c r="P29" s="1839">
        <v>0</v>
      </c>
      <c r="Q29" s="2052"/>
      <c r="R29" s="1839">
        <v>0</v>
      </c>
      <c r="S29" s="2052"/>
      <c r="T29" s="1839">
        <v>0</v>
      </c>
      <c r="U29" s="2052"/>
      <c r="V29" s="1839">
        <f t="shared" si="2"/>
        <v>0</v>
      </c>
      <c r="W29" s="2052"/>
      <c r="X29" s="1839"/>
      <c r="Y29" s="2052"/>
      <c r="Z29" s="1839"/>
      <c r="AA29" s="2053"/>
      <c r="AB29" s="2056"/>
      <c r="AC29" s="1855">
        <v>0</v>
      </c>
      <c r="AD29" s="2095"/>
      <c r="AE29" s="2056" t="s">
        <v>15</v>
      </c>
      <c r="AF29" s="1855">
        <v>0</v>
      </c>
      <c r="AG29" s="2060"/>
      <c r="AH29" s="2537"/>
      <c r="AI29" s="1480">
        <f t="shared" si="3"/>
        <v>0</v>
      </c>
      <c r="AJ29" s="2538"/>
      <c r="AK29" s="1475">
        <f t="shared" si="4"/>
        <v>0</v>
      </c>
    </row>
    <row r="30" spans="1:38" ht="15" customHeight="1">
      <c r="A30" s="2512"/>
      <c r="B30" s="2294" t="s">
        <v>1114</v>
      </c>
      <c r="C30" s="2076"/>
      <c r="D30" s="1839">
        <v>26</v>
      </c>
      <c r="E30" s="1457"/>
      <c r="F30" s="1839">
        <v>25.799999999999997</v>
      </c>
      <c r="G30" s="1457"/>
      <c r="H30" s="1839">
        <v>26.5</v>
      </c>
      <c r="I30" s="1480"/>
      <c r="J30" s="1839">
        <v>31.400000000000006</v>
      </c>
      <c r="K30" s="2052"/>
      <c r="L30" s="1839">
        <v>28.299999999999997</v>
      </c>
      <c r="M30" s="2052"/>
      <c r="N30" s="1839">
        <v>28.300000000000011</v>
      </c>
      <c r="O30" s="2052"/>
      <c r="P30" s="1839">
        <v>28.299999999999997</v>
      </c>
      <c r="Q30" s="2052"/>
      <c r="R30" s="1839">
        <v>26.300000000000011</v>
      </c>
      <c r="S30" s="2052"/>
      <c r="T30" s="1839">
        <v>27.299999999999955</v>
      </c>
      <c r="U30" s="2052"/>
      <c r="V30" s="1839">
        <f t="shared" si="2"/>
        <v>24.000000000000014</v>
      </c>
      <c r="W30" s="2052"/>
      <c r="X30" s="1839"/>
      <c r="Y30" s="2052"/>
      <c r="Z30" s="1839"/>
      <c r="AA30" s="2053"/>
      <c r="AB30" s="2056"/>
      <c r="AC30" s="1855">
        <v>272.2</v>
      </c>
      <c r="AD30" s="2095"/>
      <c r="AE30" s="2056" t="s">
        <v>15</v>
      </c>
      <c r="AF30" s="1855">
        <v>285.3</v>
      </c>
      <c r="AG30" s="2060"/>
      <c r="AH30" s="2537"/>
      <c r="AI30" s="1480">
        <f t="shared" si="3"/>
        <v>-13.1</v>
      </c>
      <c r="AJ30" s="2538"/>
      <c r="AK30" s="1475">
        <f t="shared" si="4"/>
        <v>-4.5999999999999999E-2</v>
      </c>
    </row>
    <row r="31" spans="1:38" ht="15" customHeight="1">
      <c r="A31" s="2512"/>
      <c r="B31" s="2294" t="s">
        <v>1115</v>
      </c>
      <c r="C31" s="2076"/>
      <c r="D31" s="1839">
        <v>0</v>
      </c>
      <c r="E31" s="1457"/>
      <c r="F31" s="1839">
        <v>0</v>
      </c>
      <c r="G31" s="1457"/>
      <c r="H31" s="1839">
        <v>0</v>
      </c>
      <c r="I31" s="1480"/>
      <c r="J31" s="1839">
        <v>0</v>
      </c>
      <c r="K31" s="2052"/>
      <c r="L31" s="1839">
        <v>0</v>
      </c>
      <c r="M31" s="2052"/>
      <c r="N31" s="1839">
        <v>0</v>
      </c>
      <c r="O31" s="2052"/>
      <c r="P31" s="1839">
        <v>0</v>
      </c>
      <c r="Q31" s="2052"/>
      <c r="R31" s="1839">
        <v>0</v>
      </c>
      <c r="S31" s="2052"/>
      <c r="T31" s="1839">
        <v>0</v>
      </c>
      <c r="U31" s="2052"/>
      <c r="V31" s="1839">
        <f t="shared" si="2"/>
        <v>0</v>
      </c>
      <c r="W31" s="2052"/>
      <c r="X31" s="1839"/>
      <c r="Y31" s="2052"/>
      <c r="Z31" s="1839"/>
      <c r="AA31" s="2053"/>
      <c r="AB31" s="2056"/>
      <c r="AC31" s="1855">
        <v>0</v>
      </c>
      <c r="AD31" s="2095"/>
      <c r="AE31" s="2056" t="s">
        <v>15</v>
      </c>
      <c r="AF31" s="1855">
        <v>0</v>
      </c>
      <c r="AG31" s="2060"/>
      <c r="AH31" s="2537"/>
      <c r="AI31" s="1480">
        <f t="shared" si="3"/>
        <v>0</v>
      </c>
      <c r="AJ31" s="2538"/>
      <c r="AK31" s="1475">
        <f>ROUND(IF(AF31=0,0,AI31/ABS(AF31)),3)</f>
        <v>0</v>
      </c>
    </row>
    <row r="32" spans="1:38" ht="15" customHeight="1">
      <c r="A32" s="2512"/>
      <c r="B32" s="2294" t="s">
        <v>1116</v>
      </c>
      <c r="C32" s="2076"/>
      <c r="D32" s="1839">
        <v>20</v>
      </c>
      <c r="E32" s="1457"/>
      <c r="F32" s="1839">
        <v>20.9</v>
      </c>
      <c r="G32" s="1457"/>
      <c r="H32" s="1839">
        <v>26.000000000000007</v>
      </c>
      <c r="I32" s="1480"/>
      <c r="J32" s="1839">
        <v>25.599999999999994</v>
      </c>
      <c r="K32" s="2052"/>
      <c r="L32" s="1839">
        <v>19.499999999999993</v>
      </c>
      <c r="M32" s="2052"/>
      <c r="N32" s="1839">
        <v>23.500000000000007</v>
      </c>
      <c r="O32" s="2052"/>
      <c r="P32" s="1839">
        <v>19.099999999999994</v>
      </c>
      <c r="Q32" s="2052"/>
      <c r="R32" s="1839">
        <v>24.499999999999993</v>
      </c>
      <c r="S32" s="2052"/>
      <c r="T32" s="1839">
        <v>20.400000000000006</v>
      </c>
      <c r="U32" s="2052"/>
      <c r="V32" s="1839">
        <f t="shared" si="2"/>
        <v>34.6</v>
      </c>
      <c r="W32" s="2052"/>
      <c r="X32" s="1839"/>
      <c r="Y32" s="2052"/>
      <c r="Z32" s="1839"/>
      <c r="AA32" s="2053"/>
      <c r="AB32" s="2056"/>
      <c r="AC32" s="1855">
        <v>234.1</v>
      </c>
      <c r="AD32" s="2095"/>
      <c r="AE32" s="2056" t="s">
        <v>15</v>
      </c>
      <c r="AF32" s="1855">
        <v>230.2</v>
      </c>
      <c r="AG32" s="2060"/>
      <c r="AH32" s="2537"/>
      <c r="AI32" s="1480">
        <f t="shared" si="3"/>
        <v>3.9</v>
      </c>
      <c r="AJ32" s="2538"/>
      <c r="AK32" s="1475">
        <f t="shared" si="4"/>
        <v>1.7000000000000001E-2</v>
      </c>
    </row>
    <row r="33" spans="1:38" ht="15" customHeight="1">
      <c r="A33" s="2512"/>
      <c r="B33" s="2294" t="s">
        <v>1117</v>
      </c>
      <c r="C33" s="2076"/>
      <c r="D33" s="1839">
        <v>0</v>
      </c>
      <c r="E33" s="1457"/>
      <c r="F33" s="1839">
        <v>0</v>
      </c>
      <c r="G33" s="1457"/>
      <c r="H33" s="1839">
        <v>0</v>
      </c>
      <c r="I33" s="1480"/>
      <c r="J33" s="1839">
        <v>0</v>
      </c>
      <c r="K33" s="2052"/>
      <c r="L33" s="1839">
        <v>0</v>
      </c>
      <c r="M33" s="2052"/>
      <c r="N33" s="1839">
        <v>0</v>
      </c>
      <c r="O33" s="2052"/>
      <c r="P33" s="1839">
        <v>0</v>
      </c>
      <c r="Q33" s="2052"/>
      <c r="R33" s="1839">
        <v>0</v>
      </c>
      <c r="S33" s="2052"/>
      <c r="T33" s="1839">
        <v>0</v>
      </c>
      <c r="U33" s="2052"/>
      <c r="V33" s="1839">
        <f t="shared" si="2"/>
        <v>0</v>
      </c>
      <c r="W33" s="2052"/>
      <c r="X33" s="1839"/>
      <c r="Y33" s="2052"/>
      <c r="Z33" s="1839"/>
      <c r="AA33" s="2053"/>
      <c r="AB33" s="2056"/>
      <c r="AC33" s="1855">
        <v>0</v>
      </c>
      <c r="AD33" s="2095"/>
      <c r="AE33" s="2056" t="s">
        <v>15</v>
      </c>
      <c r="AF33" s="1855">
        <v>0</v>
      </c>
      <c r="AG33" s="2060"/>
      <c r="AH33" s="2537"/>
      <c r="AI33" s="1480">
        <f t="shared" si="3"/>
        <v>0</v>
      </c>
      <c r="AJ33" s="2538"/>
      <c r="AK33" s="1475">
        <f t="shared" si="4"/>
        <v>0</v>
      </c>
    </row>
    <row r="34" spans="1:38" ht="15" customHeight="1">
      <c r="A34" s="2512"/>
      <c r="B34" s="2294" t="s">
        <v>1592</v>
      </c>
      <c r="C34" s="2076"/>
      <c r="D34" s="1839">
        <v>0</v>
      </c>
      <c r="E34" s="1457"/>
      <c r="F34" s="1839">
        <v>0</v>
      </c>
      <c r="G34" s="1457"/>
      <c r="H34" s="1839">
        <v>0</v>
      </c>
      <c r="I34" s="1480"/>
      <c r="J34" s="1839">
        <v>0</v>
      </c>
      <c r="K34" s="2052"/>
      <c r="L34" s="1839">
        <v>0</v>
      </c>
      <c r="M34" s="2052"/>
      <c r="N34" s="1839">
        <v>0</v>
      </c>
      <c r="O34" s="2052"/>
      <c r="P34" s="1839">
        <v>0</v>
      </c>
      <c r="Q34" s="2052"/>
      <c r="R34" s="1839">
        <v>0</v>
      </c>
      <c r="S34" s="2052"/>
      <c r="T34" s="1839">
        <v>0</v>
      </c>
      <c r="U34" s="2052"/>
      <c r="V34" s="1839">
        <f>$AC34-$D34-$F34-$H34-$J34-$L34-$N34-$P34-$R34-$T34</f>
        <v>0</v>
      </c>
      <c r="W34" s="2052"/>
      <c r="X34" s="1839"/>
      <c r="Y34" s="2052"/>
      <c r="Z34" s="1839"/>
      <c r="AA34" s="2053"/>
      <c r="AB34" s="2102"/>
      <c r="AC34" s="1855">
        <v>0</v>
      </c>
      <c r="AD34" s="2095"/>
      <c r="AE34" s="2102" t="s">
        <v>15</v>
      </c>
      <c r="AF34" s="1855">
        <v>0</v>
      </c>
      <c r="AG34" s="2060"/>
      <c r="AH34" s="2537"/>
      <c r="AI34" s="1480">
        <f>ROUND(SUM(+AC34-AF34),1)</f>
        <v>0</v>
      </c>
      <c r="AJ34" s="2538"/>
      <c r="AK34" s="1475">
        <f>ROUND(IF(AF34=0,0,AI34/ABS(AF34)),3)</f>
        <v>0</v>
      </c>
    </row>
    <row r="35" spans="1:38" ht="15" customHeight="1">
      <c r="A35" s="2512"/>
      <c r="B35" s="2294" t="s">
        <v>1593</v>
      </c>
      <c r="C35" s="2076"/>
      <c r="D35" s="1839">
        <v>0</v>
      </c>
      <c r="E35" s="1457"/>
      <c r="F35" s="1839">
        <v>0</v>
      </c>
      <c r="G35" s="1457"/>
      <c r="H35" s="1839">
        <v>0</v>
      </c>
      <c r="I35" s="1480"/>
      <c r="J35" s="1839">
        <v>0</v>
      </c>
      <c r="K35" s="2052"/>
      <c r="L35" s="1839">
        <v>0</v>
      </c>
      <c r="M35" s="2052"/>
      <c r="N35" s="1839">
        <v>0</v>
      </c>
      <c r="O35" s="2052"/>
      <c r="P35" s="1839">
        <v>0</v>
      </c>
      <c r="Q35" s="2052"/>
      <c r="R35" s="1839">
        <v>0</v>
      </c>
      <c r="S35" s="2052"/>
      <c r="T35" s="1839">
        <v>0</v>
      </c>
      <c r="U35" s="2052"/>
      <c r="V35" s="1839">
        <f t="shared" si="2"/>
        <v>16.899999999999999</v>
      </c>
      <c r="W35" s="2052"/>
      <c r="X35" s="1839"/>
      <c r="Y35" s="2052"/>
      <c r="Z35" s="1839"/>
      <c r="AA35" s="2053"/>
      <c r="AB35" s="2056"/>
      <c r="AC35" s="1855">
        <v>16.899999999999999</v>
      </c>
      <c r="AD35" s="2095"/>
      <c r="AE35" s="2056" t="s">
        <v>15</v>
      </c>
      <c r="AF35" s="1855">
        <v>0</v>
      </c>
      <c r="AG35" s="2060"/>
      <c r="AH35" s="2537"/>
      <c r="AI35" s="1480">
        <f t="shared" ref="AI35" si="5">ROUND(SUM(+AC35-AF35),1)</f>
        <v>16.899999999999999</v>
      </c>
      <c r="AJ35" s="2538"/>
      <c r="AK35" s="1475">
        <f>ROUND(IF(AF35=0,1,AI35/ABS(AF35)),3)</f>
        <v>1</v>
      </c>
    </row>
    <row r="36" spans="1:38" ht="15" customHeight="1">
      <c r="A36" s="2512"/>
      <c r="B36" s="2540" t="s">
        <v>1118</v>
      </c>
      <c r="C36" s="2076"/>
      <c r="D36" s="1839">
        <v>0</v>
      </c>
      <c r="E36" s="1457"/>
      <c r="F36" s="1839">
        <v>0</v>
      </c>
      <c r="G36" s="1457"/>
      <c r="H36" s="1839">
        <v>0</v>
      </c>
      <c r="I36" s="1480"/>
      <c r="J36" s="1839">
        <v>0</v>
      </c>
      <c r="K36" s="2052"/>
      <c r="L36" s="1839">
        <v>0</v>
      </c>
      <c r="M36" s="2052"/>
      <c r="N36" s="1839">
        <v>0</v>
      </c>
      <c r="O36" s="2052"/>
      <c r="P36" s="1839">
        <v>0</v>
      </c>
      <c r="Q36" s="2052"/>
      <c r="R36" s="1839">
        <v>0</v>
      </c>
      <c r="S36" s="2052"/>
      <c r="T36" s="1839">
        <v>0</v>
      </c>
      <c r="U36" s="2052"/>
      <c r="V36" s="1839">
        <f t="shared" si="2"/>
        <v>0</v>
      </c>
      <c r="W36" s="2052"/>
      <c r="X36" s="1839"/>
      <c r="Y36" s="2052"/>
      <c r="Z36" s="1839"/>
      <c r="AA36" s="2053"/>
      <c r="AB36" s="2056"/>
      <c r="AC36" s="1855">
        <v>0</v>
      </c>
      <c r="AD36" s="2095"/>
      <c r="AE36" s="2056" t="s">
        <v>15</v>
      </c>
      <c r="AF36" s="1855">
        <v>0</v>
      </c>
      <c r="AG36" s="2060"/>
      <c r="AH36" s="2537"/>
      <c r="AI36" s="1480">
        <f t="shared" si="3"/>
        <v>0</v>
      </c>
      <c r="AJ36" s="2538"/>
      <c r="AK36" s="1475">
        <f t="shared" si="4"/>
        <v>0</v>
      </c>
    </row>
    <row r="37" spans="1:38" s="2543" customFormat="1" ht="15" customHeight="1">
      <c r="A37" s="2541"/>
      <c r="B37" s="2534" t="s">
        <v>1111</v>
      </c>
      <c r="C37" s="2489"/>
      <c r="D37" s="2535">
        <f>ROUND(SUM(D28:D36),1)</f>
        <v>585.29999999999995</v>
      </c>
      <c r="E37" s="1498"/>
      <c r="F37" s="2536">
        <f>ROUND(SUM(F28:F36),1)</f>
        <v>598.1</v>
      </c>
      <c r="G37" s="1498"/>
      <c r="H37" s="2535">
        <f>ROUND(SUM(H28:H36),1)</f>
        <v>796</v>
      </c>
      <c r="I37" s="1498"/>
      <c r="J37" s="2536">
        <f>ROUND(SUM(J28:J36),1)</f>
        <v>636.79999999999995</v>
      </c>
      <c r="K37" s="1498"/>
      <c r="L37" s="2096">
        <f>ROUND(SUM(L28:L36),1)</f>
        <v>629.6</v>
      </c>
      <c r="M37" s="1498"/>
      <c r="N37" s="2096">
        <f>ROUND(SUM(N28:N36),1)</f>
        <v>813.7</v>
      </c>
      <c r="O37" s="1498"/>
      <c r="P37" s="1497">
        <f>ROUND(SUM(P28:P36),1)</f>
        <v>626.4</v>
      </c>
      <c r="Q37" s="1498"/>
      <c r="R37" s="2096">
        <f>ROUND(SUM(R28:R36),1)</f>
        <v>635.29999999999995</v>
      </c>
      <c r="S37" s="1498"/>
      <c r="T37" s="2096">
        <f>ROUND(SUM(T28:T36),1)</f>
        <v>789.8</v>
      </c>
      <c r="U37" s="1498"/>
      <c r="V37" s="2096">
        <f>ROUND(SUM(V28:V36),1)</f>
        <v>711</v>
      </c>
      <c r="W37" s="1498"/>
      <c r="X37" s="2096">
        <f>ROUND(SUM(X28:X36),1)</f>
        <v>0</v>
      </c>
      <c r="Y37" s="1498"/>
      <c r="Z37" s="2096">
        <f>ROUND(SUM(Z28:Z36),1)</f>
        <v>0</v>
      </c>
      <c r="AA37" s="2064"/>
      <c r="AB37" s="2099"/>
      <c r="AC37" s="3283">
        <f>ROUND(SUM(AC28:AC36),1)</f>
        <v>6822</v>
      </c>
      <c r="AD37" s="2104"/>
      <c r="AE37" s="2618"/>
      <c r="AF37" s="1497">
        <f>ROUND(SUM(AF28:AF36),1)</f>
        <v>6471.4</v>
      </c>
      <c r="AG37" s="1498"/>
      <c r="AH37" s="2542"/>
      <c r="AI37" s="2096">
        <f>ROUND(SUM(AI28:AI36),1)</f>
        <v>350.6</v>
      </c>
      <c r="AJ37" s="1481"/>
      <c r="AK37" s="1482">
        <f>ROUND(SUM(+AI37/AF37),3)</f>
        <v>5.3999999999999999E-2</v>
      </c>
      <c r="AL37" s="2478"/>
    </row>
    <row r="38" spans="1:38" s="2543" customFormat="1" ht="15" customHeight="1">
      <c r="A38" s="2541"/>
      <c r="B38" s="2524" t="s">
        <v>1162</v>
      </c>
      <c r="C38" s="2489"/>
      <c r="D38" s="1481"/>
      <c r="E38" s="1498"/>
      <c r="F38" s="1499"/>
      <c r="G38" s="1498"/>
      <c r="H38" s="1481"/>
      <c r="I38" s="1498"/>
      <c r="J38" s="2095"/>
      <c r="K38" s="1498"/>
      <c r="L38" s="1481"/>
      <c r="M38" s="1498"/>
      <c r="N38" s="1481"/>
      <c r="O38" s="1498"/>
      <c r="P38" s="1499"/>
      <c r="Q38" s="1498"/>
      <c r="R38" s="1481"/>
      <c r="S38" s="1498"/>
      <c r="T38" s="1481"/>
      <c r="U38" s="1498"/>
      <c r="V38" s="1481"/>
      <c r="W38" s="1498"/>
      <c r="X38" s="1481"/>
      <c r="Y38" s="1498"/>
      <c r="Z38" s="1481"/>
      <c r="AA38" s="2064"/>
      <c r="AB38" s="2099"/>
      <c r="AC38" s="1499"/>
      <c r="AD38" s="2104"/>
      <c r="AE38" s="2618" t="s">
        <v>15</v>
      </c>
      <c r="AF38" s="1499"/>
      <c r="AG38" s="1498"/>
      <c r="AH38" s="2542"/>
      <c r="AI38" s="1481"/>
      <c r="AJ38" s="1481"/>
      <c r="AK38" s="2539"/>
      <c r="AL38" s="2478"/>
    </row>
    <row r="39" spans="1:38" s="2543" customFormat="1" ht="15" customHeight="1">
      <c r="A39" s="2541"/>
      <c r="B39" s="2294" t="s">
        <v>1120</v>
      </c>
      <c r="C39" s="2489"/>
      <c r="D39" s="1839">
        <v>274.10000000000002</v>
      </c>
      <c r="E39" s="1457"/>
      <c r="F39" s="1839">
        <v>-75.000000000000028</v>
      </c>
      <c r="G39" s="1457"/>
      <c r="H39" s="1839">
        <v>725.8</v>
      </c>
      <c r="I39" s="1498"/>
      <c r="J39" s="1839">
        <v>109.39999999999998</v>
      </c>
      <c r="K39" s="2052"/>
      <c r="L39" s="1839">
        <v>-21.4</v>
      </c>
      <c r="M39" s="2052"/>
      <c r="N39" s="1839">
        <v>791.3</v>
      </c>
      <c r="O39" s="2052"/>
      <c r="P39" s="1839">
        <v>71.5</v>
      </c>
      <c r="Q39" s="2052"/>
      <c r="R39" s="1839">
        <v>69.700000000000273</v>
      </c>
      <c r="S39" s="2052"/>
      <c r="T39" s="1839">
        <v>855.7</v>
      </c>
      <c r="U39" s="2052"/>
      <c r="V39" s="1839">
        <f t="shared" ref="V39:V43" si="6">$AC39-$D39-$F39-$H39-$J39-$L39-$N39-$P39-$R39-$T39</f>
        <v>122.69999999999982</v>
      </c>
      <c r="W39" s="2052"/>
      <c r="X39" s="1839"/>
      <c r="Y39" s="2052"/>
      <c r="Z39" s="1839"/>
      <c r="AA39" s="2053"/>
      <c r="AB39" s="2056"/>
      <c r="AC39" s="1855">
        <v>2923.7999999999997</v>
      </c>
      <c r="AD39" s="2095"/>
      <c r="AE39" s="2056" t="s">
        <v>15</v>
      </c>
      <c r="AF39" s="1855">
        <v>2573</v>
      </c>
      <c r="AG39" s="1498"/>
      <c r="AH39" s="2542"/>
      <c r="AI39" s="1480">
        <f>ROUND(SUM(+AC39-AF39),1)</f>
        <v>350.8</v>
      </c>
      <c r="AJ39" s="1481"/>
      <c r="AK39" s="1475">
        <f>ROUND(IF(AF39=0,0,AI39/ABS(AF39)),3)</f>
        <v>0.13600000000000001</v>
      </c>
      <c r="AL39" s="2478"/>
    </row>
    <row r="40" spans="1:38" s="2543" customFormat="1" ht="15" customHeight="1">
      <c r="A40" s="2541"/>
      <c r="B40" s="2294" t="s">
        <v>1121</v>
      </c>
      <c r="C40" s="2489"/>
      <c r="D40" s="1839">
        <v>16.3</v>
      </c>
      <c r="E40" s="1457"/>
      <c r="F40" s="1839">
        <v>1.8000000000000007</v>
      </c>
      <c r="G40" s="1457"/>
      <c r="H40" s="1839">
        <v>84.100000000000009</v>
      </c>
      <c r="I40" s="1498"/>
      <c r="J40" s="1839">
        <v>0.20000000000000284</v>
      </c>
      <c r="K40" s="2052"/>
      <c r="L40" s="1839">
        <v>-0.80000000000001137</v>
      </c>
      <c r="M40" s="2052"/>
      <c r="N40" s="1839">
        <v>105.49999999999997</v>
      </c>
      <c r="O40" s="2052"/>
      <c r="P40" s="1839">
        <v>2</v>
      </c>
      <c r="Q40" s="2052"/>
      <c r="R40" s="1839">
        <v>-1.9000000000000057</v>
      </c>
      <c r="S40" s="2052"/>
      <c r="T40" s="1839">
        <v>87.099999999999966</v>
      </c>
      <c r="U40" s="2052"/>
      <c r="V40" s="1839">
        <f t="shared" si="6"/>
        <v>-0.99999999999994316</v>
      </c>
      <c r="W40" s="2052"/>
      <c r="X40" s="1839"/>
      <c r="Y40" s="2052"/>
      <c r="Z40" s="1839"/>
      <c r="AA40" s="2053"/>
      <c r="AB40" s="2056"/>
      <c r="AC40" s="1855">
        <v>293.3</v>
      </c>
      <c r="AD40" s="2095"/>
      <c r="AE40" s="2056" t="s">
        <v>15</v>
      </c>
      <c r="AF40" s="1855">
        <v>301.39999999999998</v>
      </c>
      <c r="AG40" s="1498"/>
      <c r="AH40" s="2542"/>
      <c r="AI40" s="1480">
        <f>ROUND(SUM(+AC40-AF40),1)</f>
        <v>-8.1</v>
      </c>
      <c r="AJ40" s="1481"/>
      <c r="AK40" s="1518">
        <f>ROUND(IF(AF40=0,0,AI40/ABS(AF40)),3)</f>
        <v>-2.7E-2</v>
      </c>
      <c r="AL40" s="2478"/>
    </row>
    <row r="41" spans="1:38" s="2543" customFormat="1" ht="15" customHeight="1">
      <c r="A41" s="2541"/>
      <c r="B41" s="2294" t="s">
        <v>1122</v>
      </c>
      <c r="C41" s="2489"/>
      <c r="D41" s="1839">
        <v>127.4</v>
      </c>
      <c r="E41" s="1457"/>
      <c r="F41" s="1839">
        <v>-3.6000000000000085</v>
      </c>
      <c r="G41" s="1457"/>
      <c r="H41" s="1839">
        <v>354.70000000000005</v>
      </c>
      <c r="I41" s="1498"/>
      <c r="J41" s="1839">
        <v>50.899999999999977</v>
      </c>
      <c r="K41" s="2052"/>
      <c r="L41" s="1839">
        <v>2.3000000000000682</v>
      </c>
      <c r="M41" s="2052"/>
      <c r="N41" s="1839">
        <v>387.79999999999995</v>
      </c>
      <c r="O41" s="2052"/>
      <c r="P41" s="1839">
        <v>2.7000000000000455</v>
      </c>
      <c r="Q41" s="2052"/>
      <c r="R41" s="1839">
        <v>25.599999999999909</v>
      </c>
      <c r="S41" s="2052"/>
      <c r="T41" s="1839">
        <v>395.09999999999991</v>
      </c>
      <c r="U41" s="2052"/>
      <c r="V41" s="1839">
        <f t="shared" si="6"/>
        <v>2.2999999999999545</v>
      </c>
      <c r="W41" s="2052"/>
      <c r="X41" s="1839"/>
      <c r="Y41" s="2052"/>
      <c r="Z41" s="1839"/>
      <c r="AA41" s="2053"/>
      <c r="AB41" s="2056"/>
      <c r="AC41" s="1855">
        <v>1345.2</v>
      </c>
      <c r="AD41" s="2095"/>
      <c r="AE41" s="2056" t="s">
        <v>15</v>
      </c>
      <c r="AF41" s="1855">
        <v>1000.3</v>
      </c>
      <c r="AG41" s="1498"/>
      <c r="AH41" s="2542"/>
      <c r="AI41" s="1480">
        <f>ROUND(SUM(+AC41-AF41),1)</f>
        <v>344.9</v>
      </c>
      <c r="AJ41" s="1481"/>
      <c r="AK41" s="1475">
        <f>ROUND(IF(AF41=0,0,AI41/ABS(AF41)),3)</f>
        <v>0.34499999999999997</v>
      </c>
      <c r="AL41" s="2478"/>
    </row>
    <row r="42" spans="1:38" s="2543" customFormat="1" ht="15" customHeight="1">
      <c r="A42" s="2541"/>
      <c r="B42" s="2294" t="s">
        <v>1123</v>
      </c>
      <c r="C42" s="2489"/>
      <c r="D42" s="1839">
        <v>125.4</v>
      </c>
      <c r="E42" s="1457"/>
      <c r="F42" s="1839">
        <v>-104.7</v>
      </c>
      <c r="G42" s="1457"/>
      <c r="H42" s="1839">
        <v>-21.5</v>
      </c>
      <c r="I42" s="1498"/>
      <c r="J42" s="1839">
        <v>-0.29999999999999716</v>
      </c>
      <c r="K42" s="2052"/>
      <c r="L42" s="1839">
        <v>-0.20000000000000284</v>
      </c>
      <c r="M42" s="2052"/>
      <c r="N42" s="1839">
        <v>-1</v>
      </c>
      <c r="O42" s="2052"/>
      <c r="P42" s="1839">
        <v>-2.8999999999999915</v>
      </c>
      <c r="Q42" s="2052"/>
      <c r="R42" s="1839">
        <v>-36.599999999999994</v>
      </c>
      <c r="S42" s="2052"/>
      <c r="T42" s="1839">
        <v>13.899999999999977</v>
      </c>
      <c r="U42" s="2052"/>
      <c r="V42" s="1839">
        <f t="shared" si="6"/>
        <v>-0.5</v>
      </c>
      <c r="W42" s="2052"/>
      <c r="X42" s="1839"/>
      <c r="Y42" s="2052"/>
      <c r="Z42" s="1839"/>
      <c r="AA42" s="2053"/>
      <c r="AB42" s="2056"/>
      <c r="AC42" s="1855">
        <v>-28.4</v>
      </c>
      <c r="AD42" s="2095"/>
      <c r="AE42" s="2056" t="s">
        <v>15</v>
      </c>
      <c r="AF42" s="1855">
        <v>74.5</v>
      </c>
      <c r="AG42" s="1498"/>
      <c r="AH42" s="2542"/>
      <c r="AI42" s="1480">
        <f>ROUND(SUM(+AC42-AF42),1)</f>
        <v>-102.9</v>
      </c>
      <c r="AJ42" s="1481"/>
      <c r="AK42" s="1518">
        <f>ROUND(IF(AF42=0,0,AI42/ABS(AF42)),3)</f>
        <v>-1.381</v>
      </c>
      <c r="AL42" s="2478"/>
    </row>
    <row r="43" spans="1:38" s="2543" customFormat="1" ht="15" customHeight="1">
      <c r="A43" s="2541"/>
      <c r="B43" s="2294" t="s">
        <v>1124</v>
      </c>
      <c r="C43" s="2489"/>
      <c r="D43" s="1839">
        <v>0</v>
      </c>
      <c r="E43" s="1457"/>
      <c r="F43" s="1839">
        <v>0</v>
      </c>
      <c r="G43" s="1457"/>
      <c r="H43" s="1839">
        <v>0</v>
      </c>
      <c r="I43" s="1498"/>
      <c r="J43" s="1839">
        <v>0</v>
      </c>
      <c r="K43" s="2052"/>
      <c r="L43" s="1839">
        <v>0</v>
      </c>
      <c r="M43" s="2052"/>
      <c r="N43" s="1839">
        <v>0</v>
      </c>
      <c r="O43" s="2052"/>
      <c r="P43" s="1839">
        <v>0</v>
      </c>
      <c r="Q43" s="2052"/>
      <c r="R43" s="1839">
        <v>0</v>
      </c>
      <c r="S43" s="2052"/>
      <c r="T43" s="1839">
        <v>0</v>
      </c>
      <c r="U43" s="2052"/>
      <c r="V43" s="1839">
        <f t="shared" si="6"/>
        <v>0</v>
      </c>
      <c r="W43" s="2052"/>
      <c r="X43" s="1839"/>
      <c r="Y43" s="2052"/>
      <c r="Z43" s="1839"/>
      <c r="AA43" s="2053"/>
      <c r="AB43" s="2056"/>
      <c r="AC43" s="1855">
        <v>0</v>
      </c>
      <c r="AD43" s="2095"/>
      <c r="AE43" s="2056" t="s">
        <v>15</v>
      </c>
      <c r="AF43" s="1855">
        <v>0</v>
      </c>
      <c r="AG43" s="1498"/>
      <c r="AH43" s="2542"/>
      <c r="AI43" s="1480">
        <f>ROUND(SUM(+AC43-AF43),1)</f>
        <v>0</v>
      </c>
      <c r="AJ43" s="1481"/>
      <c r="AK43" s="1475">
        <f>ROUND(IF(AF43=0,0,AI43/ABS(AF43)),3)</f>
        <v>0</v>
      </c>
      <c r="AL43" s="2478"/>
    </row>
    <row r="44" spans="1:38" s="2543" customFormat="1" ht="15" customHeight="1">
      <c r="A44" s="2541"/>
      <c r="B44" s="2534" t="s">
        <v>1119</v>
      </c>
      <c r="C44" s="2489"/>
      <c r="D44" s="2536">
        <f>ROUND(SUM(D39:D43),1)</f>
        <v>543.20000000000005</v>
      </c>
      <c r="E44" s="1498"/>
      <c r="F44" s="2536">
        <f>ROUND(SUM(F39:F43),1)</f>
        <v>-181.5</v>
      </c>
      <c r="G44" s="1498"/>
      <c r="H44" s="2536">
        <f>ROUND(SUM(H39:H43),1)</f>
        <v>1143.0999999999999</v>
      </c>
      <c r="I44" s="1498"/>
      <c r="J44" s="2536">
        <f>ROUND(SUM(J39:J43),1)</f>
        <v>160.19999999999999</v>
      </c>
      <c r="K44" s="1498"/>
      <c r="L44" s="1497">
        <f>ROUND(SUM(L39:L43),1)</f>
        <v>-20.100000000000001</v>
      </c>
      <c r="M44" s="1498"/>
      <c r="N44" s="1497">
        <f>ROUND(SUM(N39:N43),1)</f>
        <v>1283.5999999999999</v>
      </c>
      <c r="O44" s="1498"/>
      <c r="P44" s="1497">
        <f>ROUND(SUM(P39:P43),1)</f>
        <v>73.3</v>
      </c>
      <c r="Q44" s="1498"/>
      <c r="R44" s="1497">
        <f>ROUND(SUM(R39:R43),1)</f>
        <v>56.8</v>
      </c>
      <c r="S44" s="1498"/>
      <c r="T44" s="1497">
        <f>ROUND(SUM(T39:T43),1)</f>
        <v>1351.8</v>
      </c>
      <c r="U44" s="1498"/>
      <c r="V44" s="1497">
        <f>ROUND(SUM(V39:V43),1)</f>
        <v>123.5</v>
      </c>
      <c r="W44" s="1498"/>
      <c r="X44" s="1497">
        <f>ROUND(SUM(X39:X43),1)</f>
        <v>0</v>
      </c>
      <c r="Y44" s="1498"/>
      <c r="Z44" s="1497">
        <f>ROUND(SUM(Z39:Z43),1)</f>
        <v>0</v>
      </c>
      <c r="AA44" s="2064"/>
      <c r="AB44" s="2099"/>
      <c r="AC44" s="3283">
        <f>ROUND(SUM(AC39:AC43),1)</f>
        <v>4533.8999999999996</v>
      </c>
      <c r="AD44" s="2104"/>
      <c r="AE44" s="2618"/>
      <c r="AF44" s="1497">
        <f>ROUND(SUM(AF39:AF43),1)</f>
        <v>3949.2</v>
      </c>
      <c r="AG44" s="1498"/>
      <c r="AH44" s="2542"/>
      <c r="AI44" s="1497">
        <f>ROUND(SUM(AI39:AI43),1)</f>
        <v>584.70000000000005</v>
      </c>
      <c r="AJ44" s="1481"/>
      <c r="AK44" s="1482">
        <f>ROUND(SUM(+AI44/AF44),3)</f>
        <v>0.14799999999999999</v>
      </c>
      <c r="AL44" s="2478"/>
    </row>
    <row r="45" spans="1:38" s="2543" customFormat="1" ht="15" customHeight="1">
      <c r="A45" s="2541"/>
      <c r="B45" s="2524" t="s">
        <v>1163</v>
      </c>
      <c r="C45" s="2489"/>
      <c r="D45" s="1481"/>
      <c r="E45" s="1498"/>
      <c r="F45" s="1481"/>
      <c r="G45" s="1498"/>
      <c r="H45" s="1481"/>
      <c r="I45" s="1498"/>
      <c r="J45" s="1499"/>
      <c r="K45" s="1498"/>
      <c r="L45" s="1481"/>
      <c r="M45" s="1498"/>
      <c r="N45" s="1481"/>
      <c r="O45" s="1498"/>
      <c r="P45" s="1499"/>
      <c r="Q45" s="1498"/>
      <c r="R45" s="1481"/>
      <c r="S45" s="1498"/>
      <c r="T45" s="1481"/>
      <c r="U45" s="1498"/>
      <c r="V45" s="1481"/>
      <c r="W45" s="1498"/>
      <c r="X45" s="1481"/>
      <c r="Y45" s="1498"/>
      <c r="Z45" s="1481"/>
      <c r="AA45" s="2064"/>
      <c r="AB45" s="2099"/>
      <c r="AC45" s="1499"/>
      <c r="AD45" s="2104"/>
      <c r="AE45" s="2618"/>
      <c r="AF45" s="1499"/>
      <c r="AG45" s="1498"/>
      <c r="AH45" s="2542"/>
      <c r="AI45" s="1481"/>
      <c r="AJ45" s="1481"/>
      <c r="AK45" s="2539"/>
      <c r="AL45" s="2478"/>
    </row>
    <row r="46" spans="1:38" s="2543" customFormat="1" ht="15" customHeight="1">
      <c r="A46" s="2541"/>
      <c r="B46" s="2294" t="s">
        <v>1127</v>
      </c>
      <c r="C46" s="2489"/>
      <c r="D46" s="1839">
        <v>0</v>
      </c>
      <c r="E46" s="1457"/>
      <c r="F46" s="1839">
        <v>0</v>
      </c>
      <c r="G46" s="1457"/>
      <c r="H46" s="1839">
        <v>0</v>
      </c>
      <c r="I46" s="1498"/>
      <c r="J46" s="1839">
        <v>0</v>
      </c>
      <c r="K46" s="2052"/>
      <c r="L46" s="1839">
        <v>0</v>
      </c>
      <c r="M46" s="2052"/>
      <c r="N46" s="1839">
        <v>0</v>
      </c>
      <c r="O46" s="2052"/>
      <c r="P46" s="1839">
        <v>0</v>
      </c>
      <c r="Q46" s="2052"/>
      <c r="R46" s="1839">
        <v>0</v>
      </c>
      <c r="S46" s="2052"/>
      <c r="T46" s="1839">
        <v>0</v>
      </c>
      <c r="U46" s="2052"/>
      <c r="V46" s="1839">
        <f t="shared" ref="V46:V52" si="7">$AC46-$D46-$F46-$H46-$J46-$L46-$N46-$P46-$R46-$T46</f>
        <v>0</v>
      </c>
      <c r="W46" s="2052"/>
      <c r="X46" s="1839"/>
      <c r="Y46" s="2052"/>
      <c r="Z46" s="1839"/>
      <c r="AA46" s="2053"/>
      <c r="AB46" s="2056"/>
      <c r="AC46" s="1855">
        <v>0</v>
      </c>
      <c r="AD46" s="2095"/>
      <c r="AE46" s="2056" t="s">
        <v>15</v>
      </c>
      <c r="AF46" s="1855">
        <v>0</v>
      </c>
      <c r="AG46" s="1498"/>
      <c r="AH46" s="2542"/>
      <c r="AI46" s="1480">
        <f t="shared" ref="AI46:AI51" si="8">ROUND(SUM(+AC46-AF46),1)</f>
        <v>0</v>
      </c>
      <c r="AJ46" s="1481"/>
      <c r="AK46" s="1475">
        <f t="shared" ref="AK46:AK51" si="9">ROUND(IF(AF46=0,0,AI46/ABS(AF46)),3)</f>
        <v>0</v>
      </c>
      <c r="AL46" s="2478"/>
    </row>
    <row r="47" spans="1:38" s="2543" customFormat="1" ht="15" customHeight="1">
      <c r="A47" s="2541"/>
      <c r="B47" s="2294" t="s">
        <v>1128</v>
      </c>
      <c r="C47" s="2489"/>
      <c r="D47" s="1839">
        <v>79.7</v>
      </c>
      <c r="E47" s="1457"/>
      <c r="F47" s="1839">
        <v>57.3</v>
      </c>
      <c r="G47" s="1457"/>
      <c r="H47" s="1839">
        <v>62.199999999999989</v>
      </c>
      <c r="I47" s="1498"/>
      <c r="J47" s="1839">
        <v>124.69999999999999</v>
      </c>
      <c r="K47" s="2052"/>
      <c r="L47" s="1839">
        <v>41.800000000000011</v>
      </c>
      <c r="M47" s="2052"/>
      <c r="N47" s="1839">
        <v>53.800000000000011</v>
      </c>
      <c r="O47" s="2052"/>
      <c r="P47" s="1839">
        <v>163.20000000000005</v>
      </c>
      <c r="Q47" s="2052"/>
      <c r="R47" s="1839">
        <v>87.199999999999932</v>
      </c>
      <c r="S47" s="2052"/>
      <c r="T47" s="1839">
        <v>143.59999999999997</v>
      </c>
      <c r="U47" s="2052"/>
      <c r="V47" s="1839">
        <f t="shared" si="7"/>
        <v>93.5</v>
      </c>
      <c r="W47" s="2052"/>
      <c r="X47" s="1839"/>
      <c r="Y47" s="2052"/>
      <c r="Z47" s="1839"/>
      <c r="AA47" s="2053"/>
      <c r="AB47" s="2056"/>
      <c r="AC47" s="1855">
        <v>907</v>
      </c>
      <c r="AD47" s="2095"/>
      <c r="AE47" s="2056" t="s">
        <v>15</v>
      </c>
      <c r="AF47" s="1855">
        <v>958.3</v>
      </c>
      <c r="AG47" s="1498"/>
      <c r="AH47" s="2542"/>
      <c r="AI47" s="1480">
        <f t="shared" si="8"/>
        <v>-51.3</v>
      </c>
      <c r="AJ47" s="1481"/>
      <c r="AK47" s="1475">
        <f t="shared" si="9"/>
        <v>-5.3999999999999999E-2</v>
      </c>
      <c r="AL47" s="2478"/>
    </row>
    <row r="48" spans="1:38" s="2543" customFormat="1" ht="15" customHeight="1">
      <c r="A48" s="2541"/>
      <c r="B48" s="2294" t="s">
        <v>1129</v>
      </c>
      <c r="C48" s="2489"/>
      <c r="D48" s="1839">
        <v>0.9</v>
      </c>
      <c r="E48" s="1457"/>
      <c r="F48" s="1839">
        <v>1.1000000000000001</v>
      </c>
      <c r="G48" s="1457"/>
      <c r="H48" s="1839">
        <v>1.6</v>
      </c>
      <c r="I48" s="1498"/>
      <c r="J48" s="1839">
        <v>1.1999999999999997</v>
      </c>
      <c r="K48" s="2052"/>
      <c r="L48" s="1839">
        <v>2.2000000000000002</v>
      </c>
      <c r="M48" s="2052"/>
      <c r="N48" s="1839">
        <v>2.1000000000000005</v>
      </c>
      <c r="O48" s="2052"/>
      <c r="P48" s="1839">
        <v>1</v>
      </c>
      <c r="Q48" s="2052"/>
      <c r="R48" s="1839">
        <v>1.0999999999999996</v>
      </c>
      <c r="S48" s="2052"/>
      <c r="T48" s="1839">
        <v>1</v>
      </c>
      <c r="U48" s="2052"/>
      <c r="V48" s="1839">
        <f t="shared" si="7"/>
        <v>0.70000000000000107</v>
      </c>
      <c r="W48" s="2052"/>
      <c r="X48" s="1839"/>
      <c r="Y48" s="2052"/>
      <c r="Z48" s="1839"/>
      <c r="AA48" s="2053"/>
      <c r="AB48" s="2056"/>
      <c r="AC48" s="1855">
        <v>12.9</v>
      </c>
      <c r="AD48" s="2095"/>
      <c r="AE48" s="2056" t="s">
        <v>15</v>
      </c>
      <c r="AF48" s="1855">
        <v>13.6</v>
      </c>
      <c r="AG48" s="1498"/>
      <c r="AH48" s="2542"/>
      <c r="AI48" s="1480">
        <f t="shared" si="8"/>
        <v>-0.7</v>
      </c>
      <c r="AJ48" s="1481"/>
      <c r="AK48" s="1475">
        <f t="shared" si="9"/>
        <v>-5.0999999999999997E-2</v>
      </c>
      <c r="AL48" s="2478"/>
    </row>
    <row r="49" spans="1:38" s="2543" customFormat="1" ht="15" customHeight="1">
      <c r="A49" s="2541"/>
      <c r="B49" s="2294" t="s">
        <v>1130</v>
      </c>
      <c r="C49" s="2489"/>
      <c r="D49" s="1839">
        <v>0</v>
      </c>
      <c r="E49" s="1457"/>
      <c r="F49" s="1839">
        <v>0</v>
      </c>
      <c r="G49" s="1457"/>
      <c r="H49" s="1839">
        <v>0</v>
      </c>
      <c r="I49" s="1498"/>
      <c r="J49" s="1839">
        <v>0</v>
      </c>
      <c r="K49" s="2052"/>
      <c r="L49" s="1839">
        <v>0</v>
      </c>
      <c r="M49" s="2052"/>
      <c r="N49" s="1839">
        <v>0</v>
      </c>
      <c r="O49" s="2052"/>
      <c r="P49" s="1839">
        <v>0</v>
      </c>
      <c r="Q49" s="2052"/>
      <c r="R49" s="1839">
        <v>0</v>
      </c>
      <c r="S49" s="2052"/>
      <c r="T49" s="1839">
        <v>0</v>
      </c>
      <c r="U49" s="2052"/>
      <c r="V49" s="1839">
        <f t="shared" si="7"/>
        <v>0</v>
      </c>
      <c r="W49" s="2052"/>
      <c r="X49" s="1839"/>
      <c r="Y49" s="2052"/>
      <c r="Z49" s="1839"/>
      <c r="AA49" s="2053"/>
      <c r="AB49" s="2056"/>
      <c r="AC49" s="1855">
        <v>0</v>
      </c>
      <c r="AD49" s="2095">
        <f>'Exhibit F'!AF1212</f>
        <v>0</v>
      </c>
      <c r="AE49" s="2056" t="s">
        <v>15</v>
      </c>
      <c r="AF49" s="1855">
        <v>0</v>
      </c>
      <c r="AG49" s="1498"/>
      <c r="AH49" s="2542"/>
      <c r="AI49" s="1480">
        <f t="shared" si="8"/>
        <v>0</v>
      </c>
      <c r="AJ49" s="1481"/>
      <c r="AK49" s="1475">
        <f t="shared" si="9"/>
        <v>0</v>
      </c>
      <c r="AL49" s="2478"/>
    </row>
    <row r="50" spans="1:38" s="2543" customFormat="1" ht="15" customHeight="1">
      <c r="A50" s="2541"/>
      <c r="B50" s="2294" t="s">
        <v>1131</v>
      </c>
      <c r="C50" s="2489"/>
      <c r="D50" s="1839">
        <v>0.2</v>
      </c>
      <c r="E50" s="1457"/>
      <c r="F50" s="1839">
        <v>9.9999999999999978E-2</v>
      </c>
      <c r="G50" s="1457"/>
      <c r="H50" s="1839">
        <v>0.3</v>
      </c>
      <c r="I50" s="1498"/>
      <c r="J50" s="1839">
        <v>0.20000000000000012</v>
      </c>
      <c r="K50" s="2052"/>
      <c r="L50" s="1839">
        <v>9.9999999999999867E-2</v>
      </c>
      <c r="M50" s="2052"/>
      <c r="N50" s="1839">
        <v>0</v>
      </c>
      <c r="O50" s="2052"/>
      <c r="P50" s="1839">
        <v>0.39999999999999997</v>
      </c>
      <c r="Q50" s="2052"/>
      <c r="R50" s="1839">
        <v>0.60000000000000009</v>
      </c>
      <c r="S50" s="2052"/>
      <c r="T50" s="1839">
        <v>0.10000000000000009</v>
      </c>
      <c r="U50" s="2052"/>
      <c r="V50" s="1839">
        <f t="shared" si="7"/>
        <v>-0.10000000000000009</v>
      </c>
      <c r="W50" s="2052"/>
      <c r="X50" s="1839"/>
      <c r="Y50" s="2052"/>
      <c r="Z50" s="1839"/>
      <c r="AA50" s="2053"/>
      <c r="AB50" s="2056"/>
      <c r="AC50" s="1855">
        <v>1.9</v>
      </c>
      <c r="AD50" s="2095"/>
      <c r="AE50" s="2056" t="s">
        <v>15</v>
      </c>
      <c r="AF50" s="1855">
        <v>2.2999999999999998</v>
      </c>
      <c r="AG50" s="1498"/>
      <c r="AH50" s="2542"/>
      <c r="AI50" s="1480">
        <f t="shared" si="8"/>
        <v>-0.4</v>
      </c>
      <c r="AJ50" s="1481"/>
      <c r="AK50" s="1475">
        <f>ROUND(IF(AF50=0,1,AI50/ABS(AF50)),3)</f>
        <v>-0.17399999999999999</v>
      </c>
      <c r="AL50" s="2478"/>
    </row>
    <row r="51" spans="1:38" s="2543" customFormat="1" ht="15" customHeight="1">
      <c r="A51" s="2541"/>
      <c r="B51" s="2540" t="s">
        <v>1220</v>
      </c>
      <c r="C51" s="2489"/>
      <c r="D51" s="1839">
        <v>0</v>
      </c>
      <c r="E51" s="1457"/>
      <c r="F51" s="1839">
        <v>0</v>
      </c>
      <c r="G51" s="1457"/>
      <c r="H51" s="1839">
        <v>0</v>
      </c>
      <c r="I51" s="1498"/>
      <c r="J51" s="1839">
        <v>0</v>
      </c>
      <c r="K51" s="2052"/>
      <c r="L51" s="1839">
        <v>0</v>
      </c>
      <c r="M51" s="2052"/>
      <c r="N51" s="1839">
        <v>0</v>
      </c>
      <c r="O51" s="2052"/>
      <c r="P51" s="1839">
        <v>0</v>
      </c>
      <c r="Q51" s="2052"/>
      <c r="R51" s="1839">
        <v>0</v>
      </c>
      <c r="S51" s="2052"/>
      <c r="T51" s="1839">
        <v>0</v>
      </c>
      <c r="U51" s="2052"/>
      <c r="V51" s="1839">
        <f t="shared" si="7"/>
        <v>0</v>
      </c>
      <c r="W51" s="2052"/>
      <c r="X51" s="1839"/>
      <c r="Y51" s="2052"/>
      <c r="Z51" s="1839"/>
      <c r="AA51" s="2053"/>
      <c r="AB51" s="2056"/>
      <c r="AC51" s="1855">
        <v>0</v>
      </c>
      <c r="AD51" s="2095"/>
      <c r="AE51" s="2056" t="s">
        <v>15</v>
      </c>
      <c r="AF51" s="1855">
        <v>0</v>
      </c>
      <c r="AG51" s="1498"/>
      <c r="AH51" s="2542"/>
      <c r="AI51" s="1480">
        <f t="shared" si="8"/>
        <v>0</v>
      </c>
      <c r="AJ51" s="1481"/>
      <c r="AK51" s="1475">
        <f t="shared" si="9"/>
        <v>0</v>
      </c>
      <c r="AL51" s="2478"/>
    </row>
    <row r="52" spans="1:38" s="2543" customFormat="1" ht="15" customHeight="1">
      <c r="A52" s="2541"/>
      <c r="B52" s="2531" t="s">
        <v>1426</v>
      </c>
      <c r="C52" s="2526"/>
      <c r="D52" s="1839">
        <v>0.1</v>
      </c>
      <c r="E52" s="1457"/>
      <c r="F52" s="1839">
        <v>0</v>
      </c>
      <c r="G52" s="1457"/>
      <c r="H52" s="1839">
        <v>0</v>
      </c>
      <c r="I52" s="2530"/>
      <c r="J52" s="1839">
        <v>0.1</v>
      </c>
      <c r="K52" s="2052"/>
      <c r="L52" s="1839">
        <v>9.9999999999999978E-2</v>
      </c>
      <c r="M52" s="2052"/>
      <c r="N52" s="1839">
        <v>0</v>
      </c>
      <c r="O52" s="2052"/>
      <c r="P52" s="1839">
        <v>0.10000000000000006</v>
      </c>
      <c r="Q52" s="2052"/>
      <c r="R52" s="1839">
        <v>0.1</v>
      </c>
      <c r="S52" s="2052"/>
      <c r="T52" s="1839">
        <v>0.19999999999999993</v>
      </c>
      <c r="U52" s="2052"/>
      <c r="V52" s="1839">
        <f t="shared" si="7"/>
        <v>0.20000000000000009</v>
      </c>
      <c r="W52" s="2052"/>
      <c r="X52" s="1839"/>
      <c r="Y52" s="2052"/>
      <c r="Z52" s="1839"/>
      <c r="AA52" s="2053"/>
      <c r="AB52" s="2056"/>
      <c r="AC52" s="1855">
        <v>0.9</v>
      </c>
      <c r="AD52" s="2095"/>
      <c r="AE52" s="2056" t="s">
        <v>15</v>
      </c>
      <c r="AF52" s="1855">
        <v>0</v>
      </c>
      <c r="AG52" s="2244"/>
      <c r="AH52" s="2528"/>
      <c r="AI52" s="2054">
        <f>ROUND(SUM(+AC52-AF52),1)</f>
        <v>0.9</v>
      </c>
      <c r="AJ52" s="2529"/>
      <c r="AK52" s="1774">
        <f>ROUND(IF(AF52=0,1,AI52/ABS(AF52)),3)</f>
        <v>1</v>
      </c>
      <c r="AL52" s="2478"/>
    </row>
    <row r="53" spans="1:38" s="2543" customFormat="1" ht="15" customHeight="1">
      <c r="A53" s="2541"/>
      <c r="B53" s="2534" t="s">
        <v>1125</v>
      </c>
      <c r="C53" s="2489"/>
      <c r="D53" s="2536">
        <f>ROUND(SUM(D46:D52),1)</f>
        <v>80.900000000000006</v>
      </c>
      <c r="E53" s="1498"/>
      <c r="F53" s="2536">
        <f>ROUND(SUM(F46:F52),1)</f>
        <v>58.5</v>
      </c>
      <c r="G53" s="1498"/>
      <c r="H53" s="2536">
        <f>ROUND(SUM(H46:H52),1)</f>
        <v>64.099999999999994</v>
      </c>
      <c r="I53" s="1498"/>
      <c r="J53" s="2536">
        <f>ROUND(SUM(J46:J52),1)</f>
        <v>126.2</v>
      </c>
      <c r="K53" s="1498"/>
      <c r="L53" s="1497">
        <f>ROUND(SUM(L46:L52),1)</f>
        <v>44.2</v>
      </c>
      <c r="M53" s="1498"/>
      <c r="N53" s="1497">
        <f>ROUND(SUM(N46:N52),1)</f>
        <v>55.9</v>
      </c>
      <c r="O53" s="1498"/>
      <c r="P53" s="1497">
        <f>ROUND(SUM(P46:P52),1)</f>
        <v>164.7</v>
      </c>
      <c r="Q53" s="1498"/>
      <c r="R53" s="1497">
        <f>ROUND(SUM(R46:R52),1)</f>
        <v>89</v>
      </c>
      <c r="S53" s="1498"/>
      <c r="T53" s="1497">
        <f>ROUND(SUM(T46:T52),1)</f>
        <v>144.9</v>
      </c>
      <c r="U53" s="1498"/>
      <c r="V53" s="1497">
        <f>ROUND(SUM(V46:V52),1)</f>
        <v>94.3</v>
      </c>
      <c r="W53" s="1498"/>
      <c r="X53" s="1497">
        <f>ROUND(SUM(X46:X52),1)</f>
        <v>0</v>
      </c>
      <c r="Y53" s="1498"/>
      <c r="Z53" s="1497">
        <f>ROUND(SUM(Z46:Z52),1)</f>
        <v>0</v>
      </c>
      <c r="AA53" s="2064"/>
      <c r="AB53" s="2099"/>
      <c r="AC53" s="3283">
        <f>ROUND(SUM(AC46:AC52),1)</f>
        <v>922.7</v>
      </c>
      <c r="AD53" s="2104"/>
      <c r="AE53" s="2618"/>
      <c r="AF53" s="1497">
        <f>ROUND(SUM(AF46:AF52),1)</f>
        <v>974.2</v>
      </c>
      <c r="AG53" s="1498"/>
      <c r="AH53" s="2542"/>
      <c r="AI53" s="1497">
        <f>ROUND(SUM(AI46:AI52),1)</f>
        <v>-51.5</v>
      </c>
      <c r="AJ53" s="1481"/>
      <c r="AK53" s="1482">
        <f>ROUND(SUM(+AI53/AF53),3)</f>
        <v>-5.2999999999999999E-2</v>
      </c>
      <c r="AL53" s="2478"/>
    </row>
    <row r="54" spans="1:38" s="2543" customFormat="1" ht="15" customHeight="1">
      <c r="A54" s="2541"/>
      <c r="B54" s="2534"/>
      <c r="C54" s="2489"/>
      <c r="D54" s="1481"/>
      <c r="E54" s="1498"/>
      <c r="F54" s="1481"/>
      <c r="G54" s="1481"/>
      <c r="H54" s="1481"/>
      <c r="I54" s="1481"/>
      <c r="J54" s="1499"/>
      <c r="K54" s="1481"/>
      <c r="L54" s="1481"/>
      <c r="M54" s="1481"/>
      <c r="N54" s="1481"/>
      <c r="O54" s="1481"/>
      <c r="P54" s="1499"/>
      <c r="Q54" s="1481"/>
      <c r="R54" s="1481"/>
      <c r="S54" s="1481"/>
      <c r="T54" s="1481"/>
      <c r="U54" s="1481"/>
      <c r="V54" s="1481"/>
      <c r="W54" s="1481"/>
      <c r="X54" s="1499"/>
      <c r="Y54" s="1481"/>
      <c r="Z54" s="1499"/>
      <c r="AA54" s="2064"/>
      <c r="AB54" s="2099"/>
      <c r="AC54" s="1499"/>
      <c r="AD54" s="2104"/>
      <c r="AE54" s="2618"/>
      <c r="AF54" s="1499"/>
      <c r="AG54" s="1498"/>
      <c r="AH54" s="2542"/>
      <c r="AI54" s="1481"/>
      <c r="AJ54" s="1481"/>
      <c r="AK54" s="2539"/>
      <c r="AL54" s="2478"/>
    </row>
    <row r="55" spans="1:38" ht="15" customHeight="1">
      <c r="A55" s="2512"/>
      <c r="B55" s="2534" t="s">
        <v>1126</v>
      </c>
      <c r="C55" s="2076"/>
      <c r="D55" s="2544">
        <f>ROUND(SUM(D26+D37+D44+D53),1)</f>
        <v>5817.1</v>
      </c>
      <c r="E55" s="1480"/>
      <c r="F55" s="2544">
        <f>ROUND(SUM(F26+F37+F44+F53),1)</f>
        <v>1717.4</v>
      </c>
      <c r="G55" s="1480"/>
      <c r="H55" s="2544">
        <f>ROUND(SUM(H26+H37+H44+H53),1)</f>
        <v>4608.2</v>
      </c>
      <c r="I55" s="1480"/>
      <c r="J55" s="2544">
        <f>ROUND(SUM(J26+J37+J44+J53),1)</f>
        <v>2589</v>
      </c>
      <c r="K55" s="2060"/>
      <c r="L55" s="2037">
        <f>ROUND(SUM(L26+L37+L44+L53),1)</f>
        <v>2107.9</v>
      </c>
      <c r="M55" s="2060"/>
      <c r="N55" s="2037">
        <f>ROUND(SUM(N26+N37+N44+N53),1)</f>
        <v>4568.8999999999996</v>
      </c>
      <c r="O55" s="2060"/>
      <c r="P55" s="2037">
        <f>ROUND(SUM(P26+P37+P44+P53),1)</f>
        <v>2153.4</v>
      </c>
      <c r="Q55" s="2060"/>
      <c r="R55" s="2037">
        <f>ROUND(SUM(R26+R37+R44+R53),1)</f>
        <v>2012.8</v>
      </c>
      <c r="S55" s="2060"/>
      <c r="T55" s="2037">
        <f>ROUND(SUM(T26+T37+T44+T53),1)</f>
        <v>4392</v>
      </c>
      <c r="U55" s="2060"/>
      <c r="V55" s="2037">
        <f>ROUND(SUM(V26+V37+V44+V53),1)</f>
        <v>3271</v>
      </c>
      <c r="W55" s="2060"/>
      <c r="X55" s="2037">
        <f>ROUND(SUM(X26+X37+X44+X53),1)</f>
        <v>0</v>
      </c>
      <c r="Y55" s="2060"/>
      <c r="Z55" s="2037">
        <f>ROUND(SUM(Z26+Z37+Z44+Z53),1)</f>
        <v>0</v>
      </c>
      <c r="AA55" s="1500"/>
      <c r="AB55" s="2097"/>
      <c r="AC55" s="3285">
        <f>ROUND(SUM(AC26+AC37+AC44+AC53),1)</f>
        <v>33237.699999999997</v>
      </c>
      <c r="AD55" s="2049"/>
      <c r="AE55" s="2093"/>
      <c r="AF55" s="2037">
        <f>ROUND(SUM(AF26+AF37+AF44+AF53),1)</f>
        <v>29556</v>
      </c>
      <c r="AG55" s="2060"/>
      <c r="AH55" s="2537"/>
      <c r="AI55" s="2037">
        <f>ROUND(SUM(AI26+AI37+AI44+AI53),1)</f>
        <v>3681.7</v>
      </c>
      <c r="AJ55" s="2538"/>
      <c r="AK55" s="1472">
        <f>ROUND(SUM(+AI55/AF55),3)</f>
        <v>0.125</v>
      </c>
    </row>
    <row r="56" spans="1:38" ht="8.25" customHeight="1">
      <c r="A56" s="2512"/>
      <c r="B56" s="2530"/>
      <c r="C56" s="2076"/>
      <c r="D56" s="1480"/>
      <c r="E56" s="1480"/>
      <c r="F56" s="1480"/>
      <c r="G56" s="1480"/>
      <c r="H56" s="1480"/>
      <c r="I56" s="1480"/>
      <c r="J56" s="2054"/>
      <c r="K56" s="2060"/>
      <c r="L56" s="2060"/>
      <c r="M56" s="2060"/>
      <c r="N56" s="2060"/>
      <c r="O56" s="2060"/>
      <c r="P56" s="2049"/>
      <c r="Q56" s="2060"/>
      <c r="R56" s="2060"/>
      <c r="S56" s="2060"/>
      <c r="T56" s="2060"/>
      <c r="U56" s="2060"/>
      <c r="V56" s="2060"/>
      <c r="W56" s="2060"/>
      <c r="X56" s="2060"/>
      <c r="Y56" s="2060"/>
      <c r="Z56" s="2060"/>
      <c r="AA56" s="1500"/>
      <c r="AB56" s="2097"/>
      <c r="AC56" s="2054"/>
      <c r="AD56" s="2049"/>
      <c r="AE56" s="2093"/>
      <c r="AF56" s="2049"/>
      <c r="AG56" s="2060"/>
      <c r="AH56" s="2537"/>
      <c r="AI56" s="1480"/>
      <c r="AJ56" s="2538"/>
      <c r="AK56" s="1468"/>
    </row>
    <row r="57" spans="1:38" ht="15" customHeight="1">
      <c r="A57" s="2512"/>
      <c r="B57" s="2523" t="s">
        <v>1033</v>
      </c>
      <c r="C57" s="2545"/>
      <c r="D57" s="1480"/>
      <c r="E57" s="2546"/>
      <c r="F57" s="1480"/>
      <c r="G57" s="2546"/>
      <c r="H57" s="1480"/>
      <c r="I57" s="1480"/>
      <c r="J57" s="2054"/>
      <c r="K57" s="2060"/>
      <c r="L57" s="2060"/>
      <c r="M57" s="2060"/>
      <c r="N57" s="2060"/>
      <c r="O57" s="2060"/>
      <c r="P57" s="2049"/>
      <c r="Q57" s="2060"/>
      <c r="R57" s="2060"/>
      <c r="S57" s="2060"/>
      <c r="T57" s="2060"/>
      <c r="U57" s="2060"/>
      <c r="V57" s="2060"/>
      <c r="W57" s="2060"/>
      <c r="X57" s="2060"/>
      <c r="Y57" s="2060"/>
      <c r="Z57" s="2060"/>
      <c r="AA57" s="1500"/>
      <c r="AB57" s="2097"/>
      <c r="AC57" s="2054"/>
      <c r="AD57" s="2049"/>
      <c r="AE57" s="2093"/>
      <c r="AF57" s="2049"/>
      <c r="AG57" s="2060"/>
      <c r="AH57" s="2537"/>
      <c r="AI57" s="1480"/>
      <c r="AJ57" s="2538"/>
      <c r="AK57" s="1468"/>
    </row>
    <row r="58" spans="1:38" ht="15" customHeight="1">
      <c r="A58" s="2512"/>
      <c r="B58" s="2547" t="s">
        <v>1154</v>
      </c>
      <c r="C58" s="2545"/>
      <c r="D58" s="1480"/>
      <c r="E58" s="2546"/>
      <c r="F58" s="1480"/>
      <c r="G58" s="2546"/>
      <c r="H58" s="1480"/>
      <c r="I58" s="1480"/>
      <c r="J58" s="2054"/>
      <c r="K58" s="2060"/>
      <c r="L58" s="2060"/>
      <c r="M58" s="2060"/>
      <c r="N58" s="2060"/>
      <c r="O58" s="2060"/>
      <c r="P58" s="2049"/>
      <c r="Q58" s="2060"/>
      <c r="R58" s="2060"/>
      <c r="S58" s="2060"/>
      <c r="T58" s="2060"/>
      <c r="U58" s="2060"/>
      <c r="V58" s="2060"/>
      <c r="W58" s="2060"/>
      <c r="X58" s="2060"/>
      <c r="Y58" s="2060"/>
      <c r="Z58" s="2060"/>
      <c r="AA58" s="1500"/>
      <c r="AB58" s="2100"/>
      <c r="AC58" s="2054"/>
      <c r="AD58" s="2049"/>
      <c r="AE58" s="2093"/>
      <c r="AF58" s="2054"/>
      <c r="AG58" s="2060"/>
      <c r="AH58" s="2537"/>
      <c r="AI58" s="1480"/>
      <c r="AJ58" s="2538"/>
      <c r="AK58" s="1468"/>
    </row>
    <row r="59" spans="1:38" ht="15" customHeight="1">
      <c r="A59" s="2512"/>
      <c r="B59" s="2547" t="s">
        <v>1031</v>
      </c>
      <c r="C59" s="2547"/>
      <c r="D59" s="1839">
        <v>0.9</v>
      </c>
      <c r="E59" s="2546"/>
      <c r="F59" s="1839">
        <v>9.9999999999999978E-2</v>
      </c>
      <c r="G59" s="2546"/>
      <c r="H59" s="1839">
        <v>0</v>
      </c>
      <c r="I59" s="1480"/>
      <c r="J59" s="1839">
        <v>0.30000000000000004</v>
      </c>
      <c r="K59" s="2052"/>
      <c r="L59" s="1839">
        <v>4.8</v>
      </c>
      <c r="M59" s="2052"/>
      <c r="N59" s="1839">
        <v>30.2</v>
      </c>
      <c r="O59" s="2052"/>
      <c r="P59" s="1839">
        <v>35</v>
      </c>
      <c r="Q59" s="2052"/>
      <c r="R59" s="1839">
        <v>215</v>
      </c>
      <c r="S59" s="2052"/>
      <c r="T59" s="1839">
        <v>0</v>
      </c>
      <c r="U59" s="2052"/>
      <c r="V59" s="1839">
        <f t="shared" ref="V59:V92" si="10">$AC59-$D59-$F59-$H59-$J59-$L59-$N59-$P59-$R59-$T59</f>
        <v>0</v>
      </c>
      <c r="W59" s="2052"/>
      <c r="X59" s="1839"/>
      <c r="Y59" s="2052"/>
      <c r="Z59" s="1839"/>
      <c r="AA59" s="2053"/>
      <c r="AB59" s="2056"/>
      <c r="AC59" s="1855">
        <v>286.3</v>
      </c>
      <c r="AD59" s="2095"/>
      <c r="AE59" s="2056" t="s">
        <v>15</v>
      </c>
      <c r="AF59" s="1855">
        <v>307.2</v>
      </c>
      <c r="AG59" s="2548"/>
      <c r="AH59" s="2549"/>
      <c r="AI59" s="1480">
        <f>ROUND(SUM(+AC59-AF59),1)</f>
        <v>-20.9</v>
      </c>
      <c r="AJ59" s="2538"/>
      <c r="AK59" s="1475">
        <f>ROUND(IF(AF59=0,1,AI59/ABS(AF59)),3)</f>
        <v>-6.8000000000000005E-2</v>
      </c>
    </row>
    <row r="60" spans="1:38" ht="15" customHeight="1">
      <c r="A60" s="2512"/>
      <c r="B60" s="2547" t="s">
        <v>1032</v>
      </c>
      <c r="C60" s="2547"/>
      <c r="D60" s="1839">
        <v>0.2</v>
      </c>
      <c r="E60" s="2546"/>
      <c r="F60" s="1839">
        <v>0.3</v>
      </c>
      <c r="G60" s="2546"/>
      <c r="H60" s="1839">
        <v>8.1999999999999993</v>
      </c>
      <c r="I60" s="1480"/>
      <c r="J60" s="1839">
        <v>0.30000000000000071</v>
      </c>
      <c r="K60" s="2052"/>
      <c r="L60" s="1839">
        <v>9.9999999999999645E-2</v>
      </c>
      <c r="M60" s="2052"/>
      <c r="N60" s="1839">
        <v>39.1</v>
      </c>
      <c r="O60" s="2052"/>
      <c r="P60" s="1839">
        <v>0.29999999999999716</v>
      </c>
      <c r="Q60" s="2052"/>
      <c r="R60" s="1839">
        <v>0.29999999999999716</v>
      </c>
      <c r="S60" s="2052"/>
      <c r="T60" s="1839">
        <v>23.200000000000003</v>
      </c>
      <c r="U60" s="2052"/>
      <c r="V60" s="1839">
        <f t="shared" si="10"/>
        <v>0.59999999999999432</v>
      </c>
      <c r="W60" s="2052"/>
      <c r="X60" s="1839"/>
      <c r="Y60" s="2052"/>
      <c r="Z60" s="1839"/>
      <c r="AA60" s="2053"/>
      <c r="AB60" s="2056"/>
      <c r="AC60" s="1855">
        <v>72.599999999999994</v>
      </c>
      <c r="AD60" s="2095"/>
      <c r="AE60" s="2056" t="s">
        <v>15</v>
      </c>
      <c r="AF60" s="1855">
        <v>73.3</v>
      </c>
      <c r="AG60" s="2061"/>
      <c r="AH60" s="2537"/>
      <c r="AI60" s="1480">
        <f>ROUND(SUM(+AC60-AF60),1)</f>
        <v>-0.7</v>
      </c>
      <c r="AJ60" s="2538"/>
      <c r="AK60" s="1475">
        <f>ROUND(IF(AF60=0,0,AI60/ABS(AF60)),3)</f>
        <v>-0.01</v>
      </c>
    </row>
    <row r="61" spans="1:38" ht="15" customHeight="1">
      <c r="A61" s="2512"/>
      <c r="B61" s="2547" t="s">
        <v>1155</v>
      </c>
      <c r="C61" s="2547"/>
      <c r="D61" s="1839" t="s">
        <v>15</v>
      </c>
      <c r="E61" s="2546"/>
      <c r="F61" s="1839"/>
      <c r="G61" s="2546"/>
      <c r="H61" s="1839"/>
      <c r="I61" s="1480"/>
      <c r="J61" s="1839"/>
      <c r="K61" s="2049"/>
      <c r="L61" s="1839"/>
      <c r="M61" s="2049"/>
      <c r="N61" s="1839"/>
      <c r="O61" s="2049"/>
      <c r="P61" s="1839"/>
      <c r="Q61" s="2049"/>
      <c r="R61" s="1839"/>
      <c r="S61" s="2049"/>
      <c r="T61" s="1839"/>
      <c r="U61" s="2049"/>
      <c r="V61" s="1839"/>
      <c r="W61" s="2049"/>
      <c r="X61" s="1839"/>
      <c r="Y61" s="2049"/>
      <c r="Z61" s="1839"/>
      <c r="AA61" s="2045"/>
      <c r="AB61" s="2101"/>
      <c r="AC61" s="3286"/>
      <c r="AD61" s="2030"/>
      <c r="AE61" s="2051"/>
      <c r="AF61" s="3286"/>
      <c r="AG61" s="2061"/>
      <c r="AH61" s="2537"/>
      <c r="AI61" s="1480"/>
      <c r="AJ61" s="2538"/>
      <c r="AK61" s="1468"/>
    </row>
    <row r="62" spans="1:38" ht="15" customHeight="1">
      <c r="A62" s="2512"/>
      <c r="B62" s="2547" t="s">
        <v>1036</v>
      </c>
      <c r="C62" s="2547"/>
      <c r="D62" s="1839">
        <v>0</v>
      </c>
      <c r="E62" s="2546"/>
      <c r="F62" s="1839">
        <v>0</v>
      </c>
      <c r="G62" s="2546"/>
      <c r="H62" s="1839">
        <v>0</v>
      </c>
      <c r="I62" s="1480"/>
      <c r="J62" s="1839">
        <v>0</v>
      </c>
      <c r="K62" s="2052"/>
      <c r="L62" s="1839">
        <v>0</v>
      </c>
      <c r="M62" s="2052"/>
      <c r="N62" s="1839">
        <v>0</v>
      </c>
      <c r="O62" s="2052"/>
      <c r="P62" s="1839">
        <v>0</v>
      </c>
      <c r="Q62" s="2052"/>
      <c r="R62" s="1839">
        <v>0</v>
      </c>
      <c r="S62" s="2052"/>
      <c r="T62" s="1839">
        <v>0</v>
      </c>
      <c r="U62" s="2052"/>
      <c r="V62" s="1839">
        <f t="shared" si="10"/>
        <v>0</v>
      </c>
      <c r="W62" s="2052"/>
      <c r="X62" s="1839"/>
      <c r="Y62" s="2052"/>
      <c r="Z62" s="1839"/>
      <c r="AA62" s="2053"/>
      <c r="AB62" s="2056"/>
      <c r="AC62" s="1855">
        <v>0</v>
      </c>
      <c r="AD62" s="2095"/>
      <c r="AE62" s="2056" t="s">
        <v>15</v>
      </c>
      <c r="AF62" s="1855">
        <v>0</v>
      </c>
      <c r="AG62" s="2548"/>
      <c r="AH62" s="2549"/>
      <c r="AI62" s="1480">
        <f>ROUND(SUM(+AC62-AF62),1)</f>
        <v>0</v>
      </c>
      <c r="AJ62" s="2538"/>
      <c r="AK62" s="1475">
        <f>ROUND(IF(AF62=0,0,AI62/ABS(AF62)),3)</f>
        <v>0</v>
      </c>
    </row>
    <row r="63" spans="1:38" ht="15" customHeight="1">
      <c r="A63" s="2512"/>
      <c r="B63" s="2547" t="s">
        <v>1037</v>
      </c>
      <c r="C63" s="2547"/>
      <c r="D63" s="1839">
        <v>0</v>
      </c>
      <c r="E63" s="2546"/>
      <c r="F63" s="1839">
        <v>4.2</v>
      </c>
      <c r="G63" s="2546"/>
      <c r="H63" s="1839">
        <v>4.3</v>
      </c>
      <c r="I63" s="1480"/>
      <c r="J63" s="1839">
        <v>3.8000000000000016</v>
      </c>
      <c r="K63" s="2052"/>
      <c r="L63" s="1839">
        <v>2.5999999999999979</v>
      </c>
      <c r="M63" s="2052"/>
      <c r="N63" s="1839">
        <v>1.9000000000000012</v>
      </c>
      <c r="O63" s="2052"/>
      <c r="P63" s="1839">
        <v>2.5</v>
      </c>
      <c r="Q63" s="2052"/>
      <c r="R63" s="1839">
        <v>3.3999999999999995</v>
      </c>
      <c r="S63" s="2052"/>
      <c r="T63" s="1839">
        <v>6.9999999999999991</v>
      </c>
      <c r="U63" s="2052"/>
      <c r="V63" s="1839">
        <f t="shared" si="10"/>
        <v>4.5000000000000044</v>
      </c>
      <c r="W63" s="2052"/>
      <c r="X63" s="1839"/>
      <c r="Y63" s="2052"/>
      <c r="Z63" s="1839"/>
      <c r="AA63" s="2053"/>
      <c r="AB63" s="2056"/>
      <c r="AC63" s="1855">
        <v>34.200000000000003</v>
      </c>
      <c r="AD63" s="2095"/>
      <c r="AE63" s="2056" t="s">
        <v>15</v>
      </c>
      <c r="AF63" s="1855">
        <v>38.6</v>
      </c>
      <c r="AG63" s="2548"/>
      <c r="AH63" s="2549"/>
      <c r="AI63" s="1480">
        <f>ROUND(SUM(+AC63-AF63),1)</f>
        <v>-4.4000000000000004</v>
      </c>
      <c r="AJ63" s="2538"/>
      <c r="AK63" s="1475">
        <f>ROUND(IF(AF63=0,0,AI63/ABS(AF63)),3)</f>
        <v>-0.114</v>
      </c>
    </row>
    <row r="64" spans="1:38" ht="15" customHeight="1">
      <c r="A64" s="2512"/>
      <c r="B64" s="2547" t="s">
        <v>1038</v>
      </c>
      <c r="C64" s="2547"/>
      <c r="D64" s="1839">
        <v>0</v>
      </c>
      <c r="E64" s="2546"/>
      <c r="F64" s="1839">
        <v>0</v>
      </c>
      <c r="G64" s="2546"/>
      <c r="H64" s="1839">
        <v>0</v>
      </c>
      <c r="I64" s="1480"/>
      <c r="J64" s="1839">
        <v>0</v>
      </c>
      <c r="K64" s="2052"/>
      <c r="L64" s="1839">
        <v>0</v>
      </c>
      <c r="M64" s="2052"/>
      <c r="N64" s="1839">
        <v>0</v>
      </c>
      <c r="O64" s="2052"/>
      <c r="P64" s="1839">
        <v>0</v>
      </c>
      <c r="Q64" s="2052"/>
      <c r="R64" s="1839">
        <v>0</v>
      </c>
      <c r="S64" s="2052"/>
      <c r="T64" s="1839">
        <v>0</v>
      </c>
      <c r="U64" s="2052"/>
      <c r="V64" s="1839">
        <f t="shared" si="10"/>
        <v>0</v>
      </c>
      <c r="W64" s="2052"/>
      <c r="X64" s="1839"/>
      <c r="Y64" s="2052"/>
      <c r="Z64" s="1839"/>
      <c r="AA64" s="2053"/>
      <c r="AB64" s="2056"/>
      <c r="AC64" s="1855">
        <v>0</v>
      </c>
      <c r="AD64" s="2095"/>
      <c r="AE64" s="2056" t="s">
        <v>15</v>
      </c>
      <c r="AF64" s="1855">
        <v>0</v>
      </c>
      <c r="AG64" s="2548"/>
      <c r="AH64" s="2549"/>
      <c r="AI64" s="1480">
        <f>ROUND(SUM(+AC64-AF64),1)</f>
        <v>0</v>
      </c>
      <c r="AJ64" s="2538"/>
      <c r="AK64" s="1475">
        <f>ROUND(IF(AF64=0,0,AI64/ABS(AF64)),3)</f>
        <v>0</v>
      </c>
    </row>
    <row r="65" spans="1:37" ht="15">
      <c r="A65" s="2512"/>
      <c r="B65" s="2547" t="s">
        <v>1039</v>
      </c>
      <c r="C65" s="2547"/>
      <c r="D65" s="1839">
        <v>0</v>
      </c>
      <c r="E65" s="2546"/>
      <c r="F65" s="1839">
        <v>0.1</v>
      </c>
      <c r="G65" s="2546"/>
      <c r="H65" s="1839">
        <v>0.1</v>
      </c>
      <c r="I65" s="1480"/>
      <c r="J65" s="1839">
        <v>0</v>
      </c>
      <c r="K65" s="2052"/>
      <c r="L65" s="1839">
        <v>9.9999999999999978E-2</v>
      </c>
      <c r="M65" s="2052"/>
      <c r="N65" s="1839">
        <v>0</v>
      </c>
      <c r="O65" s="2052"/>
      <c r="P65" s="1839">
        <v>0</v>
      </c>
      <c r="Q65" s="2052"/>
      <c r="R65" s="1839">
        <v>0.10000000000000006</v>
      </c>
      <c r="S65" s="2052"/>
      <c r="T65" s="1839">
        <v>0</v>
      </c>
      <c r="U65" s="2052"/>
      <c r="V65" s="1839">
        <f t="shared" si="10"/>
        <v>0.1</v>
      </c>
      <c r="W65" s="2052"/>
      <c r="X65" s="1839"/>
      <c r="Y65" s="2052"/>
      <c r="Z65" s="1839"/>
      <c r="AA65" s="2053"/>
      <c r="AB65" s="2056"/>
      <c r="AC65" s="1855">
        <v>0.5</v>
      </c>
      <c r="AD65" s="2095"/>
      <c r="AE65" s="2056" t="s">
        <v>15</v>
      </c>
      <c r="AF65" s="1855">
        <v>0.7</v>
      </c>
      <c r="AG65" s="2548"/>
      <c r="AH65" s="2549"/>
      <c r="AI65" s="1480">
        <f>ROUND(SUM(+AC65-AF65),1)</f>
        <v>-0.2</v>
      </c>
      <c r="AJ65" s="2538"/>
      <c r="AK65" s="1475">
        <f>ROUND(IF(AF65=0,0,AI65/ABS(AF65)),3)</f>
        <v>-0.28599999999999998</v>
      </c>
    </row>
    <row r="66" spans="1:37" ht="15" customHeight="1">
      <c r="A66" s="2512"/>
      <c r="B66" s="2547" t="s">
        <v>1160</v>
      </c>
      <c r="C66" s="2547"/>
      <c r="D66" s="1839" t="s">
        <v>15</v>
      </c>
      <c r="E66" s="2546"/>
      <c r="F66" s="1839"/>
      <c r="G66" s="2546"/>
      <c r="H66" s="1839"/>
      <c r="I66" s="1480"/>
      <c r="J66" s="1839"/>
      <c r="K66" s="2049"/>
      <c r="L66" s="1839"/>
      <c r="M66" s="2049"/>
      <c r="N66" s="1839"/>
      <c r="O66" s="2049"/>
      <c r="P66" s="1839"/>
      <c r="Q66" s="2049"/>
      <c r="R66" s="1839"/>
      <c r="S66" s="2049"/>
      <c r="T66" s="1839"/>
      <c r="U66" s="2049"/>
      <c r="V66" s="1839"/>
      <c r="W66" s="2049"/>
      <c r="X66" s="1839"/>
      <c r="Y66" s="2049"/>
      <c r="Z66" s="1839"/>
      <c r="AA66" s="2045"/>
      <c r="AB66" s="2101"/>
      <c r="AC66" s="3286"/>
      <c r="AD66" s="2030"/>
      <c r="AE66" s="2051"/>
      <c r="AF66" s="3286"/>
      <c r="AG66" s="2061"/>
      <c r="AH66" s="2537"/>
      <c r="AI66" s="1480"/>
      <c r="AJ66" s="2538"/>
      <c r="AK66" s="1468"/>
    </row>
    <row r="67" spans="1:37" ht="15" customHeight="1">
      <c r="A67" s="2512"/>
      <c r="B67" s="2547" t="s">
        <v>1040</v>
      </c>
      <c r="C67" s="2547"/>
      <c r="D67" s="1839">
        <v>5.7</v>
      </c>
      <c r="E67" s="2546"/>
      <c r="F67" s="1839">
        <v>5.9999999999999991</v>
      </c>
      <c r="G67" s="2546"/>
      <c r="H67" s="1839">
        <v>5.400000000000003</v>
      </c>
      <c r="I67" s="1480"/>
      <c r="J67" s="1839">
        <v>5.9999999999999991</v>
      </c>
      <c r="K67" s="2052"/>
      <c r="L67" s="1839">
        <v>6.8999999999999995</v>
      </c>
      <c r="M67" s="2052"/>
      <c r="N67" s="1839">
        <v>6.9999999999999991</v>
      </c>
      <c r="O67" s="2052"/>
      <c r="P67" s="1839">
        <v>7.3999999999999959</v>
      </c>
      <c r="Q67" s="2052"/>
      <c r="R67" s="1839">
        <v>7.1999999999999984</v>
      </c>
      <c r="S67" s="2052"/>
      <c r="T67" s="1839">
        <v>5.5000000000000009</v>
      </c>
      <c r="U67" s="2052"/>
      <c r="V67" s="1839">
        <f t="shared" si="10"/>
        <v>5.6999999999999948</v>
      </c>
      <c r="W67" s="2052"/>
      <c r="X67" s="1839"/>
      <c r="Y67" s="2052"/>
      <c r="Z67" s="1839"/>
      <c r="AA67" s="2053"/>
      <c r="AB67" s="2056"/>
      <c r="AC67" s="1855">
        <v>62.8</v>
      </c>
      <c r="AD67" s="2095"/>
      <c r="AE67" s="2056" t="s">
        <v>15</v>
      </c>
      <c r="AF67" s="1855">
        <v>62.6</v>
      </c>
      <c r="AG67" s="2061"/>
      <c r="AH67" s="2537"/>
      <c r="AI67" s="1480">
        <f t="shared" ref="AI67:AI74" si="11">ROUND(SUM(+AC67-AF67),1)</f>
        <v>0.2</v>
      </c>
      <c r="AJ67" s="2538"/>
      <c r="AK67" s="1475">
        <f>ROUND(IF(AF67=0,0,AI67/ABS(AF67)),3)</f>
        <v>3.0000000000000001E-3</v>
      </c>
    </row>
    <row r="68" spans="1:37" ht="15" customHeight="1">
      <c r="A68" s="2512"/>
      <c r="B68" s="2547" t="s">
        <v>1256</v>
      </c>
      <c r="C68" s="2547"/>
      <c r="D68" s="1839">
        <v>0</v>
      </c>
      <c r="E68" s="2546"/>
      <c r="F68" s="1839">
        <v>0</v>
      </c>
      <c r="G68" s="2546"/>
      <c r="H68" s="1839">
        <v>0</v>
      </c>
      <c r="I68" s="1480"/>
      <c r="J68" s="1839">
        <v>0</v>
      </c>
      <c r="K68" s="2052"/>
      <c r="L68" s="1839">
        <v>0</v>
      </c>
      <c r="M68" s="2052"/>
      <c r="N68" s="1839">
        <v>0</v>
      </c>
      <c r="O68" s="2052"/>
      <c r="P68" s="1839">
        <v>0</v>
      </c>
      <c r="Q68" s="2052"/>
      <c r="R68" s="1839">
        <v>0</v>
      </c>
      <c r="S68" s="2052"/>
      <c r="T68" s="1839">
        <v>0</v>
      </c>
      <c r="U68" s="2052"/>
      <c r="V68" s="1839">
        <f t="shared" si="10"/>
        <v>0</v>
      </c>
      <c r="W68" s="2052"/>
      <c r="X68" s="1839"/>
      <c r="Y68" s="2052"/>
      <c r="Z68" s="1839"/>
      <c r="AA68" s="2053"/>
      <c r="AB68" s="2102"/>
      <c r="AC68" s="1855">
        <v>0</v>
      </c>
      <c r="AD68" s="2095"/>
      <c r="AE68" s="2102" t="s">
        <v>15</v>
      </c>
      <c r="AF68" s="1855">
        <v>0</v>
      </c>
      <c r="AG68" s="2061"/>
      <c r="AH68" s="2537"/>
      <c r="AI68" s="1480">
        <f>ROUND(SUM(+AC68-AF68),1)</f>
        <v>0</v>
      </c>
      <c r="AJ68" s="2538"/>
      <c r="AK68" s="1475">
        <f>ROUND(IF(AF68=0,0,AI68/ABS(AF68)),3)</f>
        <v>0</v>
      </c>
    </row>
    <row r="69" spans="1:37" ht="15" customHeight="1">
      <c r="A69" s="2512"/>
      <c r="B69" s="2547" t="s">
        <v>1041</v>
      </c>
      <c r="C69" s="2547"/>
      <c r="D69" s="1839">
        <v>11.1</v>
      </c>
      <c r="E69" s="2546"/>
      <c r="F69" s="1839">
        <v>18.100000000000001</v>
      </c>
      <c r="G69" s="2546"/>
      <c r="H69" s="1839">
        <v>29.799999999999997</v>
      </c>
      <c r="I69" s="1480"/>
      <c r="J69" s="1839">
        <v>15</v>
      </c>
      <c r="K69" s="2052"/>
      <c r="L69" s="1839">
        <v>3.4000000000000128</v>
      </c>
      <c r="M69" s="2052"/>
      <c r="N69" s="1839">
        <v>35.1</v>
      </c>
      <c r="O69" s="2052"/>
      <c r="P69" s="1839">
        <v>30.300000000000004</v>
      </c>
      <c r="Q69" s="2052"/>
      <c r="R69" s="1839">
        <v>16.199999999999989</v>
      </c>
      <c r="S69" s="2052"/>
      <c r="T69" s="1839">
        <v>30.800000000000018</v>
      </c>
      <c r="U69" s="2052"/>
      <c r="V69" s="1839">
        <f t="shared" si="10"/>
        <v>41.39999999999997</v>
      </c>
      <c r="W69" s="2052"/>
      <c r="X69" s="1839"/>
      <c r="Y69" s="2052"/>
      <c r="Z69" s="1839"/>
      <c r="AA69" s="2053"/>
      <c r="AB69" s="2056"/>
      <c r="AC69" s="1855">
        <v>231.2</v>
      </c>
      <c r="AD69" s="2095"/>
      <c r="AE69" s="2056" t="s">
        <v>15</v>
      </c>
      <c r="AF69" s="1855">
        <v>171</v>
      </c>
      <c r="AG69" s="2548"/>
      <c r="AH69" s="2549"/>
      <c r="AI69" s="1480">
        <f t="shared" si="11"/>
        <v>60.2</v>
      </c>
      <c r="AJ69" s="2538"/>
      <c r="AK69" s="1475">
        <f>ROUND(IF(AF69=0,0,AI69/ABS(AF69)),3)</f>
        <v>0.35199999999999998</v>
      </c>
    </row>
    <row r="70" spans="1:37" ht="15" customHeight="1">
      <c r="A70" s="2512"/>
      <c r="B70" s="2547" t="s">
        <v>1042</v>
      </c>
      <c r="C70" s="2547"/>
      <c r="D70" s="1839">
        <v>25</v>
      </c>
      <c r="E70" s="2546"/>
      <c r="F70" s="1839">
        <v>13.399999999999999</v>
      </c>
      <c r="G70" s="2546"/>
      <c r="H70" s="1839">
        <v>17.800000000000004</v>
      </c>
      <c r="I70" s="1480"/>
      <c r="J70" s="1839">
        <v>18.399999999999991</v>
      </c>
      <c r="K70" s="2052"/>
      <c r="L70" s="1839">
        <v>15.100000000000009</v>
      </c>
      <c r="M70" s="2052"/>
      <c r="N70" s="1839">
        <v>26.699999999999996</v>
      </c>
      <c r="O70" s="2052"/>
      <c r="P70" s="1839">
        <v>15.699999999999982</v>
      </c>
      <c r="Q70" s="2052"/>
      <c r="R70" s="1839">
        <v>17.099999999999994</v>
      </c>
      <c r="S70" s="2052"/>
      <c r="T70" s="1839">
        <v>28.100000000000023</v>
      </c>
      <c r="U70" s="2052"/>
      <c r="V70" s="1839">
        <f t="shared" si="10"/>
        <v>11.500000000000007</v>
      </c>
      <c r="W70" s="2052"/>
      <c r="X70" s="1839"/>
      <c r="Y70" s="2052"/>
      <c r="Z70" s="1839"/>
      <c r="AA70" s="2053"/>
      <c r="AB70" s="2056"/>
      <c r="AC70" s="1855">
        <v>188.8</v>
      </c>
      <c r="AD70" s="2095"/>
      <c r="AE70" s="2056" t="s">
        <v>15</v>
      </c>
      <c r="AF70" s="1855">
        <v>187.9</v>
      </c>
      <c r="AG70" s="2548"/>
      <c r="AH70" s="2549"/>
      <c r="AI70" s="1480">
        <f t="shared" si="11"/>
        <v>0.9</v>
      </c>
      <c r="AJ70" s="2538"/>
      <c r="AK70" s="1475">
        <f>ROUND(IF(AF70=0,0,AI70/ABS(AF70)),3)</f>
        <v>5.0000000000000001E-3</v>
      </c>
    </row>
    <row r="71" spans="1:37" ht="15" customHeight="1">
      <c r="A71" s="2512"/>
      <c r="B71" s="2547" t="s">
        <v>1043</v>
      </c>
      <c r="C71" s="2547"/>
      <c r="D71" s="1839">
        <v>0.2</v>
      </c>
      <c r="E71" s="2546"/>
      <c r="F71" s="1839">
        <v>9.9999999999999978E-2</v>
      </c>
      <c r="G71" s="2546"/>
      <c r="H71" s="1839">
        <v>0.10000000000000003</v>
      </c>
      <c r="I71" s="1480"/>
      <c r="J71" s="1839">
        <v>0.19999999999999996</v>
      </c>
      <c r="K71" s="2052"/>
      <c r="L71" s="1839">
        <v>0.20000000000000012</v>
      </c>
      <c r="M71" s="2052"/>
      <c r="N71" s="1839">
        <v>9.9999999999999867E-2</v>
      </c>
      <c r="O71" s="2052"/>
      <c r="P71" s="1839">
        <v>0.10000000000000014</v>
      </c>
      <c r="Q71" s="2052"/>
      <c r="R71" s="1839">
        <v>0.10000000000000009</v>
      </c>
      <c r="S71" s="2052"/>
      <c r="T71" s="1839">
        <v>0.19999999999999973</v>
      </c>
      <c r="U71" s="2052"/>
      <c r="V71" s="1839">
        <f t="shared" si="10"/>
        <v>0.10000000000000003</v>
      </c>
      <c r="W71" s="2052"/>
      <c r="X71" s="1839"/>
      <c r="Y71" s="2052"/>
      <c r="Z71" s="1839"/>
      <c r="AA71" s="2053"/>
      <c r="AB71" s="2056"/>
      <c r="AC71" s="1855">
        <v>1.4</v>
      </c>
      <c r="AD71" s="2095"/>
      <c r="AE71" s="2056" t="s">
        <v>15</v>
      </c>
      <c r="AF71" s="1855">
        <v>1.4</v>
      </c>
      <c r="AG71" s="2548"/>
      <c r="AH71" s="2549"/>
      <c r="AI71" s="1480">
        <f t="shared" si="11"/>
        <v>0</v>
      </c>
      <c r="AJ71" s="2538"/>
      <c r="AK71" s="1475">
        <f>ROUND(IF(AF71=0,0,AI71/ABS(AF71)),3)</f>
        <v>0</v>
      </c>
    </row>
    <row r="72" spans="1:37" ht="15" customHeight="1">
      <c r="A72" s="2512"/>
      <c r="B72" s="2547" t="s">
        <v>1044</v>
      </c>
      <c r="C72" s="2547"/>
      <c r="D72" s="1839">
        <v>33.200000000000003</v>
      </c>
      <c r="E72" s="2546"/>
      <c r="F72" s="1839">
        <v>34.899999999999991</v>
      </c>
      <c r="G72" s="2546"/>
      <c r="H72" s="1839">
        <v>11.600000000000009</v>
      </c>
      <c r="I72" s="1480"/>
      <c r="J72" s="1839">
        <v>35.5</v>
      </c>
      <c r="K72" s="2052"/>
      <c r="L72" s="1839">
        <v>24.399999999999991</v>
      </c>
      <c r="M72" s="2052"/>
      <c r="N72" s="1839">
        <v>24.200000000000031</v>
      </c>
      <c r="O72" s="2052"/>
      <c r="P72" s="1839">
        <v>33.799999999999969</v>
      </c>
      <c r="Q72" s="2052"/>
      <c r="R72" s="1839">
        <v>10.100000000000009</v>
      </c>
      <c r="S72" s="2052"/>
      <c r="T72" s="1839">
        <v>40.800000000000011</v>
      </c>
      <c r="U72" s="2052"/>
      <c r="V72" s="1839">
        <f t="shared" si="10"/>
        <v>28.399999999999991</v>
      </c>
      <c r="W72" s="2052"/>
      <c r="X72" s="1839"/>
      <c r="Y72" s="2052"/>
      <c r="Z72" s="1839"/>
      <c r="AA72" s="2053"/>
      <c r="AB72" s="2056"/>
      <c r="AC72" s="1855">
        <v>276.89999999999998</v>
      </c>
      <c r="AD72" s="2095"/>
      <c r="AE72" s="2056" t="s">
        <v>15</v>
      </c>
      <c r="AF72" s="1855">
        <v>240.6</v>
      </c>
      <c r="AG72" s="2548"/>
      <c r="AH72" s="2549"/>
      <c r="AI72" s="1480">
        <f t="shared" si="11"/>
        <v>36.299999999999997</v>
      </c>
      <c r="AJ72" s="2538"/>
      <c r="AK72" s="1518">
        <f>ROUND(IF(AF72=0,1,AI72/ABS(AF72)),3)</f>
        <v>0.151</v>
      </c>
    </row>
    <row r="73" spans="1:37" ht="15" customHeight="1">
      <c r="A73" s="2512"/>
      <c r="B73" s="2547" t="s">
        <v>1045</v>
      </c>
      <c r="C73" s="2547"/>
      <c r="D73" s="1839">
        <v>1.2</v>
      </c>
      <c r="E73" s="2546"/>
      <c r="F73" s="1839">
        <v>1.5000000000000002</v>
      </c>
      <c r="G73" s="2546"/>
      <c r="H73" s="1839">
        <v>1.8999999999999992</v>
      </c>
      <c r="I73" s="1480"/>
      <c r="J73" s="1839">
        <v>1.6000000000000008</v>
      </c>
      <c r="K73" s="2052"/>
      <c r="L73" s="1839">
        <v>1.3999999999999992</v>
      </c>
      <c r="M73" s="2052"/>
      <c r="N73" s="1839">
        <v>2.1000000000000005</v>
      </c>
      <c r="O73" s="2052"/>
      <c r="P73" s="1839">
        <v>1.3000000000000007</v>
      </c>
      <c r="Q73" s="2052"/>
      <c r="R73" s="1839">
        <v>1.5</v>
      </c>
      <c r="S73" s="2052"/>
      <c r="T73" s="1839">
        <v>1.8000000000000007</v>
      </c>
      <c r="U73" s="2052"/>
      <c r="V73" s="1839">
        <f t="shared" si="10"/>
        <v>0.79999999999999893</v>
      </c>
      <c r="W73" s="2052"/>
      <c r="X73" s="1839"/>
      <c r="Y73" s="2052"/>
      <c r="Z73" s="1839"/>
      <c r="AA73" s="2053"/>
      <c r="AB73" s="2056"/>
      <c r="AC73" s="1855">
        <v>15.1</v>
      </c>
      <c r="AD73" s="2095"/>
      <c r="AE73" s="2056" t="s">
        <v>15</v>
      </c>
      <c r="AF73" s="1855">
        <v>14.5</v>
      </c>
      <c r="AG73" s="2548"/>
      <c r="AH73" s="2549"/>
      <c r="AI73" s="1480">
        <f t="shared" si="11"/>
        <v>0.6</v>
      </c>
      <c r="AJ73" s="2538"/>
      <c r="AK73" s="1475">
        <f>ROUND(IF(AF73=0,0,AI73/ABS(AF73)),3)</f>
        <v>4.1000000000000002E-2</v>
      </c>
    </row>
    <row r="74" spans="1:37" ht="15" customHeight="1">
      <c r="A74" s="2512"/>
      <c r="B74" s="2547" t="s">
        <v>1034</v>
      </c>
      <c r="C74" s="2547"/>
      <c r="D74" s="1839">
        <v>618.1</v>
      </c>
      <c r="E74" s="2546"/>
      <c r="F74" s="1839">
        <v>154.60000000000002</v>
      </c>
      <c r="G74" s="2546"/>
      <c r="H74" s="1839">
        <v>26.5</v>
      </c>
      <c r="I74" s="1480"/>
      <c r="J74" s="1839">
        <v>43.899999999999977</v>
      </c>
      <c r="K74" s="2052"/>
      <c r="L74" s="1839">
        <v>19.700000000000045</v>
      </c>
      <c r="M74" s="2052"/>
      <c r="N74" s="1839">
        <v>28.699999999999932</v>
      </c>
      <c r="O74" s="2052"/>
      <c r="P74" s="1839">
        <v>72</v>
      </c>
      <c r="Q74" s="2052"/>
      <c r="R74" s="1839">
        <v>24.200000000000045</v>
      </c>
      <c r="S74" s="2052"/>
      <c r="T74" s="1839">
        <v>24.600000000000023</v>
      </c>
      <c r="U74" s="2052"/>
      <c r="V74" s="1839">
        <f t="shared" si="10"/>
        <v>28.300000000000068</v>
      </c>
      <c r="W74" s="2052"/>
      <c r="X74" s="1839"/>
      <c r="Y74" s="2052"/>
      <c r="Z74" s="1839"/>
      <c r="AA74" s="2053"/>
      <c r="AB74" s="2056"/>
      <c r="AC74" s="1855">
        <v>1040.6000000000001</v>
      </c>
      <c r="AD74" s="2095"/>
      <c r="AE74" s="2056" t="s">
        <v>15</v>
      </c>
      <c r="AF74" s="1855">
        <v>1180</v>
      </c>
      <c r="AG74" s="2548"/>
      <c r="AH74" s="2549"/>
      <c r="AI74" s="1480">
        <f t="shared" si="11"/>
        <v>-139.4</v>
      </c>
      <c r="AJ74" s="2538"/>
      <c r="AK74" s="1518">
        <f>ROUND(IF(AF74=0,0,AI74/ABS(AF74)),3)</f>
        <v>-0.11799999999999999</v>
      </c>
    </row>
    <row r="75" spans="1:37" ht="15" customHeight="1">
      <c r="A75" s="2512"/>
      <c r="B75" s="2547" t="s">
        <v>1035</v>
      </c>
      <c r="C75" s="2547"/>
      <c r="D75" s="1839">
        <v>21.8</v>
      </c>
      <c r="E75" s="2546"/>
      <c r="F75" s="1839">
        <v>16.8</v>
      </c>
      <c r="G75" s="2546"/>
      <c r="H75" s="1839">
        <v>19.799999999999994</v>
      </c>
      <c r="I75" s="1480"/>
      <c r="J75" s="1839">
        <v>13.100000000000012</v>
      </c>
      <c r="K75" s="2052"/>
      <c r="L75" s="1839">
        <v>13.900000000000006</v>
      </c>
      <c r="M75" s="2052"/>
      <c r="N75" s="1839">
        <v>12.799999999999994</v>
      </c>
      <c r="O75" s="2052"/>
      <c r="P75" s="1839">
        <v>14.000000000000004</v>
      </c>
      <c r="Q75" s="2052"/>
      <c r="R75" s="1839">
        <v>12.599999999999994</v>
      </c>
      <c r="S75" s="2052"/>
      <c r="T75" s="1839">
        <v>11.000000000000011</v>
      </c>
      <c r="U75" s="2052"/>
      <c r="V75" s="1839">
        <f t="shared" si="10"/>
        <v>9.5000000000000036</v>
      </c>
      <c r="W75" s="2052"/>
      <c r="X75" s="1839"/>
      <c r="Y75" s="2052"/>
      <c r="Z75" s="1839"/>
      <c r="AA75" s="2053"/>
      <c r="AB75" s="2056"/>
      <c r="AC75" s="1855">
        <v>145.30000000000001</v>
      </c>
      <c r="AD75" s="2095"/>
      <c r="AE75" s="2056" t="s">
        <v>15</v>
      </c>
      <c r="AF75" s="1855">
        <v>97</v>
      </c>
      <c r="AG75" s="2061"/>
      <c r="AH75" s="2537"/>
      <c r="AI75" s="1480">
        <f>ROUND(SUM(+AC75-AF75),1)</f>
        <v>48.3</v>
      </c>
      <c r="AJ75" s="2538"/>
      <c r="AK75" s="1518">
        <f>ROUND(IF(AF75=0,1,AI75/ABS(AF75)),3)</f>
        <v>0.498</v>
      </c>
    </row>
    <row r="76" spans="1:37" ht="15" customHeight="1">
      <c r="A76" s="2512"/>
      <c r="B76" s="2547" t="s">
        <v>1158</v>
      </c>
      <c r="C76" s="2547"/>
      <c r="D76" s="1839" t="s">
        <v>15</v>
      </c>
      <c r="E76" s="2546"/>
      <c r="F76" s="1839"/>
      <c r="G76" s="2546"/>
      <c r="H76" s="1839"/>
      <c r="I76" s="1480"/>
      <c r="J76" s="1839"/>
      <c r="K76" s="2049"/>
      <c r="L76" s="1839"/>
      <c r="M76" s="2049"/>
      <c r="N76" s="1839"/>
      <c r="O76" s="2049"/>
      <c r="P76" s="1839"/>
      <c r="Q76" s="2049"/>
      <c r="R76" s="1839"/>
      <c r="S76" s="2049"/>
      <c r="T76" s="1839"/>
      <c r="U76" s="2049"/>
      <c r="V76" s="1839"/>
      <c r="W76" s="2049"/>
      <c r="X76" s="1839"/>
      <c r="Y76" s="2049"/>
      <c r="Z76" s="1839"/>
      <c r="AA76" s="2045"/>
      <c r="AB76" s="2101"/>
      <c r="AC76" s="3286"/>
      <c r="AD76" s="2030"/>
      <c r="AE76" s="2051"/>
      <c r="AF76" s="3286"/>
      <c r="AG76" s="2061"/>
      <c r="AH76" s="2537"/>
      <c r="AI76" s="1480"/>
      <c r="AJ76" s="2538"/>
      <c r="AK76" s="1468"/>
    </row>
    <row r="77" spans="1:37" ht="15" customHeight="1">
      <c r="A77" s="2512"/>
      <c r="B77" s="2547" t="s">
        <v>1050</v>
      </c>
      <c r="C77" s="2547"/>
      <c r="D77" s="1839">
        <v>0</v>
      </c>
      <c r="E77" s="2546"/>
      <c r="F77" s="1839">
        <v>0</v>
      </c>
      <c r="G77" s="2546"/>
      <c r="H77" s="1839">
        <v>0</v>
      </c>
      <c r="I77" s="1480"/>
      <c r="J77" s="1839">
        <v>0</v>
      </c>
      <c r="K77" s="2052"/>
      <c r="L77" s="1839">
        <v>5.0999999999999996</v>
      </c>
      <c r="M77" s="2052"/>
      <c r="N77" s="1839">
        <v>5</v>
      </c>
      <c r="O77" s="2052"/>
      <c r="P77" s="1839">
        <v>7.9</v>
      </c>
      <c r="Q77" s="2052"/>
      <c r="R77" s="1839">
        <v>0</v>
      </c>
      <c r="S77" s="2052"/>
      <c r="T77" s="1839">
        <v>2.1000000000000014</v>
      </c>
      <c r="U77" s="2052"/>
      <c r="V77" s="1839">
        <f t="shared" si="10"/>
        <v>0</v>
      </c>
      <c r="W77" s="2052"/>
      <c r="X77" s="1839"/>
      <c r="Y77" s="2052"/>
      <c r="Z77" s="1839"/>
      <c r="AA77" s="2053"/>
      <c r="AB77" s="2056"/>
      <c r="AC77" s="1855">
        <v>20.100000000000001</v>
      </c>
      <c r="AD77" s="2095"/>
      <c r="AE77" s="2056" t="s">
        <v>15</v>
      </c>
      <c r="AF77" s="1855">
        <v>20.3</v>
      </c>
      <c r="AG77" s="2548"/>
      <c r="AH77" s="2549"/>
      <c r="AI77" s="1480">
        <f>ROUND(SUM(+AC77-AF77),1)</f>
        <v>-0.2</v>
      </c>
      <c r="AJ77" s="2538"/>
      <c r="AK77" s="1475">
        <f>ROUND(IF(AF77=0,0,AI77/ABS(AF77)),3)</f>
        <v>-0.01</v>
      </c>
    </row>
    <row r="78" spans="1:37" ht="15" customHeight="1">
      <c r="A78" s="2512"/>
      <c r="B78" s="2547" t="s">
        <v>1051</v>
      </c>
      <c r="C78" s="2547"/>
      <c r="D78" s="1839">
        <v>0</v>
      </c>
      <c r="E78" s="2546"/>
      <c r="F78" s="1839">
        <v>0</v>
      </c>
      <c r="G78" s="2546"/>
      <c r="H78" s="1839">
        <v>10.9</v>
      </c>
      <c r="I78" s="1480"/>
      <c r="J78" s="1839">
        <v>6.9999999999999982</v>
      </c>
      <c r="K78" s="2052"/>
      <c r="L78" s="1839">
        <v>0</v>
      </c>
      <c r="M78" s="2052"/>
      <c r="N78" s="1839">
        <v>0.80000000000000071</v>
      </c>
      <c r="O78" s="2052"/>
      <c r="P78" s="1839">
        <v>14.800000000000002</v>
      </c>
      <c r="Q78" s="2052"/>
      <c r="R78" s="1839">
        <v>3.4999999999999982</v>
      </c>
      <c r="S78" s="2052"/>
      <c r="T78" s="1839">
        <v>9.5</v>
      </c>
      <c r="U78" s="2052"/>
      <c r="V78" s="1839">
        <f t="shared" si="10"/>
        <v>29.79999999999999</v>
      </c>
      <c r="W78" s="2052"/>
      <c r="X78" s="1839"/>
      <c r="Y78" s="2052"/>
      <c r="Z78" s="1839"/>
      <c r="AA78" s="2053"/>
      <c r="AB78" s="2056"/>
      <c r="AC78" s="1855">
        <v>76.3</v>
      </c>
      <c r="AD78" s="2095"/>
      <c r="AE78" s="2056" t="s">
        <v>15</v>
      </c>
      <c r="AF78" s="1855">
        <v>84</v>
      </c>
      <c r="AG78" s="2548"/>
      <c r="AH78" s="2549"/>
      <c r="AI78" s="1480">
        <f>ROUND(SUM(+AC78-AF78),1)</f>
        <v>-7.7</v>
      </c>
      <c r="AJ78" s="2538"/>
      <c r="AK78" s="1475">
        <f>ROUND(IF(AF78=0,1,AI78/ABS(AF78)),3)</f>
        <v>-9.1999999999999998E-2</v>
      </c>
    </row>
    <row r="79" spans="1:37" ht="15" customHeight="1">
      <c r="A79" s="2512"/>
      <c r="B79" s="2547" t="s">
        <v>1052</v>
      </c>
      <c r="C79" s="2547"/>
      <c r="D79" s="1839">
        <v>0.1</v>
      </c>
      <c r="E79" s="2546"/>
      <c r="F79" s="1839">
        <v>0</v>
      </c>
      <c r="G79" s="2546"/>
      <c r="H79" s="1839">
        <v>0</v>
      </c>
      <c r="I79" s="1480"/>
      <c r="J79" s="1839">
        <v>0</v>
      </c>
      <c r="K79" s="2052"/>
      <c r="L79" s="1839">
        <v>0</v>
      </c>
      <c r="M79" s="2052"/>
      <c r="N79" s="1839">
        <v>24.999999999999996</v>
      </c>
      <c r="O79" s="2052"/>
      <c r="P79" s="1839">
        <v>0.10000000000000142</v>
      </c>
      <c r="Q79" s="2052"/>
      <c r="R79" s="1839">
        <v>0</v>
      </c>
      <c r="S79" s="2052"/>
      <c r="T79" s="1839">
        <v>0</v>
      </c>
      <c r="U79" s="2052"/>
      <c r="V79" s="1839">
        <f t="shared" si="10"/>
        <v>0</v>
      </c>
      <c r="W79" s="2052"/>
      <c r="X79" s="1839"/>
      <c r="Y79" s="2052"/>
      <c r="Z79" s="1839"/>
      <c r="AA79" s="2053"/>
      <c r="AB79" s="2056"/>
      <c r="AC79" s="1855">
        <v>25.2</v>
      </c>
      <c r="AD79" s="2095"/>
      <c r="AE79" s="2056" t="s">
        <v>15</v>
      </c>
      <c r="AF79" s="1855">
        <v>24.2</v>
      </c>
      <c r="AG79" s="2548"/>
      <c r="AH79" s="2549"/>
      <c r="AI79" s="1480">
        <f>ROUND(SUM(+AC79-AF79),1)</f>
        <v>1</v>
      </c>
      <c r="AJ79" s="2538"/>
      <c r="AK79" s="1518">
        <f>ROUND(IF(AF79=0,1,AI79/ABS(AF79)),3)</f>
        <v>4.1000000000000002E-2</v>
      </c>
    </row>
    <row r="80" spans="1:37" ht="15" customHeight="1">
      <c r="A80" s="2512"/>
      <c r="B80" s="2547" t="s">
        <v>1053</v>
      </c>
      <c r="C80" s="2547"/>
      <c r="D80" s="1839">
        <v>16.7</v>
      </c>
      <c r="E80" s="2546"/>
      <c r="F80" s="1839">
        <v>0</v>
      </c>
      <c r="G80" s="2546"/>
      <c r="H80" s="1839">
        <v>0</v>
      </c>
      <c r="I80" s="1480"/>
      <c r="J80" s="1839">
        <v>0</v>
      </c>
      <c r="K80" s="2052"/>
      <c r="L80" s="1839">
        <v>0</v>
      </c>
      <c r="M80" s="2052"/>
      <c r="N80" s="1839">
        <v>0</v>
      </c>
      <c r="O80" s="2052"/>
      <c r="P80" s="1839">
        <v>0.10000000000000142</v>
      </c>
      <c r="Q80" s="2052"/>
      <c r="R80" s="1839">
        <v>0</v>
      </c>
      <c r="S80" s="2052"/>
      <c r="T80" s="1839">
        <v>0</v>
      </c>
      <c r="U80" s="2052"/>
      <c r="V80" s="1839">
        <f t="shared" si="10"/>
        <v>0</v>
      </c>
      <c r="W80" s="2052"/>
      <c r="X80" s="1839"/>
      <c r="Y80" s="2052"/>
      <c r="Z80" s="1839"/>
      <c r="AA80" s="2053"/>
      <c r="AB80" s="2056"/>
      <c r="AC80" s="1855">
        <v>16.8</v>
      </c>
      <c r="AD80" s="2095"/>
      <c r="AE80" s="2056" t="s">
        <v>15</v>
      </c>
      <c r="AF80" s="1855">
        <v>166.7</v>
      </c>
      <c r="AG80" s="2548"/>
      <c r="AH80" s="2549"/>
      <c r="AI80" s="1480">
        <f>ROUND(SUM(+AC80-AF80),1)</f>
        <v>-149.9</v>
      </c>
      <c r="AJ80" s="2538"/>
      <c r="AK80" s="1475">
        <f>ROUND(IF(AF80=0,1,AI80/ABS(AF80)),3)</f>
        <v>-0.89900000000000002</v>
      </c>
    </row>
    <row r="81" spans="1:38" ht="15" customHeight="1">
      <c r="A81" s="2512"/>
      <c r="B81" s="2547" t="s">
        <v>1054</v>
      </c>
      <c r="C81" s="2547"/>
      <c r="D81" s="1839">
        <v>0.3</v>
      </c>
      <c r="E81" s="2546"/>
      <c r="F81" s="1839">
        <v>0.10000000000000003</v>
      </c>
      <c r="G81" s="2546"/>
      <c r="H81" s="1839">
        <v>0.19999999999999996</v>
      </c>
      <c r="I81" s="1480"/>
      <c r="J81" s="1839">
        <v>0.30000000000000004</v>
      </c>
      <c r="K81" s="2052"/>
      <c r="L81" s="1839">
        <v>9.9999999999999867E-2</v>
      </c>
      <c r="M81" s="2052"/>
      <c r="N81" s="1839">
        <v>0.19999999999999996</v>
      </c>
      <c r="O81" s="2052"/>
      <c r="P81" s="1839">
        <v>0.19999999999999996</v>
      </c>
      <c r="Q81" s="2052"/>
      <c r="R81" s="1839">
        <v>-0.39999999999999991</v>
      </c>
      <c r="S81" s="2052"/>
      <c r="T81" s="1839">
        <v>0.7</v>
      </c>
      <c r="U81" s="2052"/>
      <c r="V81" s="1839">
        <f t="shared" si="10"/>
        <v>0.10000000000000009</v>
      </c>
      <c r="W81" s="2052"/>
      <c r="X81" s="1839"/>
      <c r="Y81" s="2052"/>
      <c r="Z81" s="1839"/>
      <c r="AA81" s="2053"/>
      <c r="AB81" s="2056"/>
      <c r="AC81" s="1855">
        <v>1.8</v>
      </c>
      <c r="AD81" s="2095"/>
      <c r="AE81" s="2056" t="s">
        <v>15</v>
      </c>
      <c r="AF81" s="1855">
        <v>5.4</v>
      </c>
      <c r="AG81" s="2548"/>
      <c r="AH81" s="2549"/>
      <c r="AI81" s="1480">
        <f>ROUND(SUM(+AC81-AF81),1)</f>
        <v>-3.6</v>
      </c>
      <c r="AJ81" s="2538"/>
      <c r="AK81" s="1518">
        <f>ROUND(IF(AF81=0,0,AI81/ABS(AF81)),3)</f>
        <v>-0.66700000000000004</v>
      </c>
    </row>
    <row r="82" spans="1:38" ht="15" customHeight="1">
      <c r="A82" s="2512"/>
      <c r="B82" s="2547" t="s">
        <v>1159</v>
      </c>
      <c r="C82" s="2547"/>
      <c r="D82" s="1839" t="s">
        <v>15</v>
      </c>
      <c r="E82" s="2546"/>
      <c r="F82" s="1839"/>
      <c r="G82" s="2546"/>
      <c r="H82" s="1839"/>
      <c r="I82" s="1480"/>
      <c r="J82" s="1839"/>
      <c r="K82" s="2049"/>
      <c r="L82" s="1839"/>
      <c r="M82" s="2049"/>
      <c r="N82" s="1839"/>
      <c r="O82" s="2049"/>
      <c r="P82" s="1839"/>
      <c r="Q82" s="2049"/>
      <c r="R82" s="1839"/>
      <c r="S82" s="2049"/>
      <c r="T82" s="1839"/>
      <c r="U82" s="2049"/>
      <c r="V82" s="1839"/>
      <c r="W82" s="2049"/>
      <c r="X82" s="1839"/>
      <c r="Y82" s="2049"/>
      <c r="Z82" s="1839"/>
      <c r="AA82" s="2045"/>
      <c r="AB82" s="2101"/>
      <c r="AC82" s="3286"/>
      <c r="AD82" s="2030"/>
      <c r="AE82" s="2056" t="s">
        <v>15</v>
      </c>
      <c r="AF82" s="3286"/>
      <c r="AG82" s="2061"/>
      <c r="AH82" s="2537"/>
      <c r="AI82" s="1480"/>
      <c r="AJ82" s="2538"/>
      <c r="AK82" s="1468"/>
    </row>
    <row r="83" spans="1:38" ht="15" customHeight="1">
      <c r="A83" s="2512"/>
      <c r="B83" s="2547" t="s">
        <v>1055</v>
      </c>
      <c r="C83" s="2547"/>
      <c r="D83" s="1839">
        <v>0.5</v>
      </c>
      <c r="E83" s="2546"/>
      <c r="F83" s="1839">
        <v>1</v>
      </c>
      <c r="G83" s="2546"/>
      <c r="H83" s="1839">
        <v>20.100000000000001</v>
      </c>
      <c r="I83" s="1480"/>
      <c r="J83" s="1839">
        <v>9.9999999999997868E-2</v>
      </c>
      <c r="K83" s="2052"/>
      <c r="L83" s="1839">
        <v>0.30000000000000071</v>
      </c>
      <c r="M83" s="2052"/>
      <c r="N83" s="1839">
        <v>18.200000000000003</v>
      </c>
      <c r="O83" s="2052"/>
      <c r="P83" s="1839">
        <v>0.5</v>
      </c>
      <c r="Q83" s="2052"/>
      <c r="R83" s="1839">
        <v>0.29999999999999716</v>
      </c>
      <c r="S83" s="2052"/>
      <c r="T83" s="1839">
        <v>16.100000000000009</v>
      </c>
      <c r="U83" s="2052"/>
      <c r="V83" s="1839">
        <f t="shared" si="10"/>
        <v>9.9999999999994316E-2</v>
      </c>
      <c r="W83" s="2052"/>
      <c r="X83" s="1839"/>
      <c r="Y83" s="2052"/>
      <c r="Z83" s="1839"/>
      <c r="AA83" s="2053"/>
      <c r="AB83" s="2056"/>
      <c r="AC83" s="1855">
        <v>57.2</v>
      </c>
      <c r="AD83" s="2095"/>
      <c r="AE83" s="2056" t="s">
        <v>15</v>
      </c>
      <c r="AF83" s="1855">
        <v>54.9</v>
      </c>
      <c r="AG83" s="2548"/>
      <c r="AH83" s="2549"/>
      <c r="AI83" s="1480">
        <f t="shared" ref="AI83:AI92" si="12">ROUND(SUM(+AC83-AF83),1)</f>
        <v>2.2999999999999998</v>
      </c>
      <c r="AJ83" s="2538"/>
      <c r="AK83" s="1475">
        <f t="shared" ref="AK83" si="13">ROUND(IF(AF83=0,1,AI83/ABS(AF83)),3)</f>
        <v>4.2000000000000003E-2</v>
      </c>
    </row>
    <row r="84" spans="1:38" ht="15" customHeight="1">
      <c r="A84" s="2512"/>
      <c r="B84" s="2547" t="s">
        <v>1056</v>
      </c>
      <c r="C84" s="2547"/>
      <c r="D84" s="1839">
        <v>0.1</v>
      </c>
      <c r="E84" s="2546"/>
      <c r="F84" s="1839">
        <v>0.19999999999999998</v>
      </c>
      <c r="G84" s="2546"/>
      <c r="H84" s="1839">
        <v>0</v>
      </c>
      <c r="I84" s="1480"/>
      <c r="J84" s="1839">
        <v>0.20000000000000004</v>
      </c>
      <c r="K84" s="2052"/>
      <c r="L84" s="1839">
        <v>-0.20000000000000004</v>
      </c>
      <c r="M84" s="2052"/>
      <c r="N84" s="1839">
        <v>0</v>
      </c>
      <c r="O84" s="2052"/>
      <c r="P84" s="1839">
        <v>0</v>
      </c>
      <c r="Q84" s="2052"/>
      <c r="R84" s="1839">
        <v>0.10000000000000006</v>
      </c>
      <c r="S84" s="2052"/>
      <c r="T84" s="1839">
        <v>0</v>
      </c>
      <c r="U84" s="2052"/>
      <c r="V84" s="1839">
        <f t="shared" si="10"/>
        <v>0.5</v>
      </c>
      <c r="W84" s="2052"/>
      <c r="X84" s="1839"/>
      <c r="Y84" s="2052"/>
      <c r="Z84" s="1839"/>
      <c r="AA84" s="2053"/>
      <c r="AB84" s="2102"/>
      <c r="AC84" s="1855">
        <v>0.9</v>
      </c>
      <c r="AD84" s="2095"/>
      <c r="AE84" s="2056" t="s">
        <v>15</v>
      </c>
      <c r="AF84" s="1855">
        <v>0</v>
      </c>
      <c r="AG84" s="2548"/>
      <c r="AH84" s="2549"/>
      <c r="AI84" s="1480">
        <f t="shared" ref="AI84" si="14">ROUND(SUM(+AC84-AF84),1)</f>
        <v>0.9</v>
      </c>
      <c r="AJ84" s="2538"/>
      <c r="AK84" s="1518">
        <f>ROUND(IF(AF84=0,1,AI84/ABS(AF84)),3)</f>
        <v>1</v>
      </c>
    </row>
    <row r="85" spans="1:38" ht="15" customHeight="1">
      <c r="A85" s="2512"/>
      <c r="B85" s="2547" t="s">
        <v>1057</v>
      </c>
      <c r="C85" s="2547"/>
      <c r="D85" s="1839">
        <v>0</v>
      </c>
      <c r="E85" s="2546"/>
      <c r="F85" s="1839">
        <v>0</v>
      </c>
      <c r="G85" s="2546"/>
      <c r="H85" s="1839">
        <v>0</v>
      </c>
      <c r="I85" s="1480"/>
      <c r="J85" s="1839">
        <v>0</v>
      </c>
      <c r="K85" s="2052"/>
      <c r="L85" s="1839">
        <v>0</v>
      </c>
      <c r="M85" s="2052"/>
      <c r="N85" s="1839">
        <v>0</v>
      </c>
      <c r="O85" s="2052"/>
      <c r="P85" s="1839">
        <v>0</v>
      </c>
      <c r="Q85" s="2052"/>
      <c r="R85" s="1839">
        <v>0</v>
      </c>
      <c r="S85" s="2052"/>
      <c r="T85" s="1839">
        <v>0</v>
      </c>
      <c r="U85" s="2052"/>
      <c r="V85" s="1839">
        <f t="shared" si="10"/>
        <v>0</v>
      </c>
      <c r="W85" s="2052"/>
      <c r="X85" s="1839"/>
      <c r="Y85" s="2052"/>
      <c r="Z85" s="1839"/>
      <c r="AA85" s="2053"/>
      <c r="AB85" s="2056"/>
      <c r="AC85" s="1855">
        <v>0</v>
      </c>
      <c r="AD85" s="2095"/>
      <c r="AE85" s="2056" t="s">
        <v>15</v>
      </c>
      <c r="AF85" s="1855">
        <v>0.2</v>
      </c>
      <c r="AG85" s="2548"/>
      <c r="AH85" s="2549"/>
      <c r="AI85" s="1480">
        <f t="shared" si="12"/>
        <v>-0.2</v>
      </c>
      <c r="AJ85" s="2538"/>
      <c r="AK85" s="1475">
        <f>ROUND(IF(AF85=0,0,AI85/ABS(AF85)),3)</f>
        <v>-1</v>
      </c>
    </row>
    <row r="86" spans="1:38" ht="15" customHeight="1">
      <c r="A86" s="2512"/>
      <c r="B86" s="2547" t="s">
        <v>1058</v>
      </c>
      <c r="C86" s="2547"/>
      <c r="D86" s="1839">
        <v>5.6</v>
      </c>
      <c r="E86" s="2546"/>
      <c r="F86" s="1839">
        <v>5.2000000000000011</v>
      </c>
      <c r="G86" s="2546"/>
      <c r="H86" s="1839">
        <v>8.6999999999999993</v>
      </c>
      <c r="I86" s="1480"/>
      <c r="J86" s="1839">
        <v>8.3000000000000007</v>
      </c>
      <c r="K86" s="2052"/>
      <c r="L86" s="1839">
        <v>7.1999999999999957</v>
      </c>
      <c r="M86" s="2052"/>
      <c r="N86" s="1839">
        <v>5.7999999999999972</v>
      </c>
      <c r="O86" s="2052"/>
      <c r="P86" s="1839">
        <v>7</v>
      </c>
      <c r="Q86" s="2052"/>
      <c r="R86" s="1839">
        <v>6.2000000000000064</v>
      </c>
      <c r="S86" s="2052"/>
      <c r="T86" s="1839">
        <v>6.5999999999999979</v>
      </c>
      <c r="U86" s="2052"/>
      <c r="V86" s="1839">
        <f t="shared" si="10"/>
        <v>9.9000000000000057</v>
      </c>
      <c r="W86" s="2052"/>
      <c r="X86" s="1839"/>
      <c r="Y86" s="2052"/>
      <c r="Z86" s="1839"/>
      <c r="AA86" s="2053"/>
      <c r="AB86" s="2056"/>
      <c r="AC86" s="1855">
        <v>70.5</v>
      </c>
      <c r="AD86" s="2095"/>
      <c r="AE86" s="2056" t="s">
        <v>15</v>
      </c>
      <c r="AF86" s="1855">
        <v>80.5</v>
      </c>
      <c r="AG86" s="2548"/>
      <c r="AH86" s="2549"/>
      <c r="AI86" s="1480">
        <f t="shared" si="12"/>
        <v>-10</v>
      </c>
      <c r="AJ86" s="2538"/>
      <c r="AK86" s="1475">
        <f>ROUND(IF(AF86=0,1,AI86/ABS(AF86)),3)</f>
        <v>-0.124</v>
      </c>
    </row>
    <row r="87" spans="1:38" ht="15" customHeight="1">
      <c r="A87" s="2512"/>
      <c r="B87" s="2547" t="s">
        <v>1059</v>
      </c>
      <c r="C87" s="2547"/>
      <c r="D87" s="1839">
        <v>-7.3</v>
      </c>
      <c r="E87" s="2546"/>
      <c r="F87" s="1839">
        <v>2.7</v>
      </c>
      <c r="G87" s="2546"/>
      <c r="H87" s="1839">
        <v>5.7</v>
      </c>
      <c r="I87" s="1480"/>
      <c r="J87" s="1839">
        <v>-70.7</v>
      </c>
      <c r="K87" s="2052"/>
      <c r="L87" s="1839">
        <v>59.900000000000006</v>
      </c>
      <c r="M87" s="2052"/>
      <c r="N87" s="1839">
        <v>5.5999999999999943</v>
      </c>
      <c r="O87" s="2052"/>
      <c r="P87" s="1839">
        <v>-16.799999999999997</v>
      </c>
      <c r="Q87" s="2052"/>
      <c r="R87" s="1839">
        <v>2.7000000000000028</v>
      </c>
      <c r="S87" s="2052"/>
      <c r="T87" s="1839">
        <v>7.8999999999999915</v>
      </c>
      <c r="U87" s="2052"/>
      <c r="V87" s="1839">
        <f t="shared" si="10"/>
        <v>-102.60000000000001</v>
      </c>
      <c r="W87" s="2052"/>
      <c r="X87" s="1839"/>
      <c r="Y87" s="2052"/>
      <c r="Z87" s="1839"/>
      <c r="AA87" s="2053"/>
      <c r="AB87" s="2102"/>
      <c r="AC87" s="1855">
        <v>-112.9</v>
      </c>
      <c r="AD87" s="2095"/>
      <c r="AE87" s="2102" t="s">
        <v>15</v>
      </c>
      <c r="AF87" s="1855">
        <v>-65.400000000000006</v>
      </c>
      <c r="AG87" s="2548"/>
      <c r="AH87" s="2549"/>
      <c r="AI87" s="1480">
        <f>ROUND(SUM(+AC87-AF87),1)</f>
        <v>-47.5</v>
      </c>
      <c r="AJ87" s="2538"/>
      <c r="AK87" s="1518">
        <f>ROUND(IF(AF87=0,1,AI87/ABS(AF87)),3)</f>
        <v>-0.72599999999999998</v>
      </c>
    </row>
    <row r="88" spans="1:38" ht="15" customHeight="1">
      <c r="A88" s="2512"/>
      <c r="B88" s="2547" t="s">
        <v>1060</v>
      </c>
      <c r="C88" s="2547"/>
      <c r="D88" s="1839">
        <v>-0.6</v>
      </c>
      <c r="E88" s="2546"/>
      <c r="F88" s="1839">
        <v>1.7000000000000002</v>
      </c>
      <c r="G88" s="2546"/>
      <c r="H88" s="1839">
        <v>-0.60000000000000009</v>
      </c>
      <c r="I88" s="1480"/>
      <c r="J88" s="1839">
        <v>-0.20000000000000018</v>
      </c>
      <c r="K88" s="2052"/>
      <c r="L88" s="1839">
        <v>2.5</v>
      </c>
      <c r="M88" s="2052"/>
      <c r="N88" s="1839">
        <v>0</v>
      </c>
      <c r="O88" s="2052"/>
      <c r="P88" s="1839">
        <v>0</v>
      </c>
      <c r="Q88" s="2052"/>
      <c r="R88" s="1839">
        <v>2.6000000000000005</v>
      </c>
      <c r="S88" s="2052"/>
      <c r="T88" s="1839">
        <v>-0.90000000000000124</v>
      </c>
      <c r="U88" s="2052"/>
      <c r="V88" s="1839">
        <f t="shared" si="10"/>
        <v>-9.9999999999999645E-2</v>
      </c>
      <c r="W88" s="2052"/>
      <c r="X88" s="1839"/>
      <c r="Y88" s="2052"/>
      <c r="Z88" s="1839"/>
      <c r="AA88" s="2053"/>
      <c r="AB88" s="2056"/>
      <c r="AC88" s="1855">
        <v>4.4000000000000004</v>
      </c>
      <c r="AD88" s="2095"/>
      <c r="AE88" s="2056" t="s">
        <v>15</v>
      </c>
      <c r="AF88" s="1855">
        <v>1.3</v>
      </c>
      <c r="AG88" s="2548"/>
      <c r="AH88" s="2549"/>
      <c r="AI88" s="1480">
        <f t="shared" si="12"/>
        <v>3.1</v>
      </c>
      <c r="AJ88" s="2538"/>
      <c r="AK88" s="1518">
        <f>ROUND(IF(AF88=0,1,AI88/ABS(AF88)),3)</f>
        <v>2.3849999999999998</v>
      </c>
    </row>
    <row r="89" spans="1:38" ht="15" customHeight="1">
      <c r="A89" s="2512"/>
      <c r="B89" s="2547" t="s">
        <v>1061</v>
      </c>
      <c r="C89" s="2547"/>
      <c r="D89" s="1839">
        <v>0</v>
      </c>
      <c r="E89" s="2546"/>
      <c r="F89" s="1839">
        <v>0</v>
      </c>
      <c r="G89" s="2546"/>
      <c r="H89" s="1839">
        <v>0.2</v>
      </c>
      <c r="I89" s="1480"/>
      <c r="J89" s="1839">
        <v>0</v>
      </c>
      <c r="K89" s="2052"/>
      <c r="L89" s="1839">
        <v>0</v>
      </c>
      <c r="M89" s="2052"/>
      <c r="N89" s="1839">
        <v>9.9999999999999978E-2</v>
      </c>
      <c r="O89" s="2052"/>
      <c r="P89" s="1839">
        <v>0.10000000000000003</v>
      </c>
      <c r="Q89" s="2052"/>
      <c r="R89" s="1839">
        <v>0.19999999999999996</v>
      </c>
      <c r="S89" s="2052"/>
      <c r="T89" s="1839">
        <v>5.3000000000000007</v>
      </c>
      <c r="U89" s="2052"/>
      <c r="V89" s="1839">
        <f t="shared" si="10"/>
        <v>9.9999999999999645E-2</v>
      </c>
      <c r="W89" s="2052"/>
      <c r="X89" s="1839"/>
      <c r="Y89" s="2052"/>
      <c r="Z89" s="1839"/>
      <c r="AA89" s="2053"/>
      <c r="AB89" s="2056"/>
      <c r="AC89" s="1855">
        <v>6</v>
      </c>
      <c r="AD89" s="2095"/>
      <c r="AE89" s="2056" t="s">
        <v>15</v>
      </c>
      <c r="AF89" s="1855">
        <v>110.9</v>
      </c>
      <c r="AG89" s="2548"/>
      <c r="AH89" s="2549"/>
      <c r="AI89" s="1480">
        <f t="shared" si="12"/>
        <v>-104.9</v>
      </c>
      <c r="AJ89" s="2538"/>
      <c r="AK89" s="1518">
        <f>ROUND(IF(AF89=0,1,AI89/ABS(AF89)),3)</f>
        <v>-0.94599999999999995</v>
      </c>
    </row>
    <row r="90" spans="1:38" ht="15" customHeight="1">
      <c r="A90" s="2512"/>
      <c r="B90" s="2547" t="s">
        <v>1062</v>
      </c>
      <c r="C90" s="2547"/>
      <c r="D90" s="1839">
        <v>0</v>
      </c>
      <c r="E90" s="2546"/>
      <c r="F90" s="1839">
        <v>0</v>
      </c>
      <c r="G90" s="2546"/>
      <c r="H90" s="1839">
        <v>0</v>
      </c>
      <c r="I90" s="1480"/>
      <c r="J90" s="1839">
        <v>0</v>
      </c>
      <c r="K90" s="2052"/>
      <c r="L90" s="1839">
        <v>0</v>
      </c>
      <c r="M90" s="2052"/>
      <c r="N90" s="1839">
        <v>0</v>
      </c>
      <c r="O90" s="2052"/>
      <c r="P90" s="1839">
        <v>0</v>
      </c>
      <c r="Q90" s="2052"/>
      <c r="R90" s="1839">
        <v>0</v>
      </c>
      <c r="S90" s="2052"/>
      <c r="T90" s="1839">
        <v>0</v>
      </c>
      <c r="U90" s="2052"/>
      <c r="V90" s="1839">
        <f t="shared" si="10"/>
        <v>0</v>
      </c>
      <c r="W90" s="2052"/>
      <c r="X90" s="1839"/>
      <c r="Y90" s="2052"/>
      <c r="Z90" s="1839"/>
      <c r="AA90" s="2053"/>
      <c r="AB90" s="2056"/>
      <c r="AC90" s="1855">
        <v>0</v>
      </c>
      <c r="AD90" s="2095"/>
      <c r="AE90" s="2056" t="s">
        <v>15</v>
      </c>
      <c r="AF90" s="1855">
        <v>0</v>
      </c>
      <c r="AG90" s="2548"/>
      <c r="AH90" s="2549"/>
      <c r="AI90" s="1480">
        <f t="shared" si="12"/>
        <v>0</v>
      </c>
      <c r="AJ90" s="2538"/>
      <c r="AK90" s="1475">
        <f>ROUND(IF(AF90=0,0,AI90/ABS(AF90)),3)</f>
        <v>0</v>
      </c>
    </row>
    <row r="91" spans="1:38" ht="15" customHeight="1">
      <c r="A91" s="2512"/>
      <c r="B91" s="2547" t="s">
        <v>1063</v>
      </c>
      <c r="C91" s="2547"/>
      <c r="D91" s="1839">
        <v>8.1</v>
      </c>
      <c r="E91" s="2546"/>
      <c r="F91" s="1839">
        <v>18.299999999999997</v>
      </c>
      <c r="G91" s="2546"/>
      <c r="H91" s="1839">
        <v>-11.599999999999996</v>
      </c>
      <c r="I91" s="1480"/>
      <c r="J91" s="1839">
        <v>4.0999999999999979</v>
      </c>
      <c r="K91" s="2052"/>
      <c r="L91" s="1839">
        <v>0.60000000000000142</v>
      </c>
      <c r="M91" s="2052"/>
      <c r="N91" s="1839">
        <v>10.1</v>
      </c>
      <c r="O91" s="2052"/>
      <c r="P91" s="1839">
        <v>19.5</v>
      </c>
      <c r="Q91" s="2052"/>
      <c r="R91" s="1839">
        <v>7.5</v>
      </c>
      <c r="S91" s="2052"/>
      <c r="T91" s="1839">
        <v>6.8999999999999915</v>
      </c>
      <c r="U91" s="2052"/>
      <c r="V91" s="1839">
        <f t="shared" si="10"/>
        <v>8.2999999999999972</v>
      </c>
      <c r="W91" s="2052"/>
      <c r="X91" s="1839"/>
      <c r="Y91" s="2052"/>
      <c r="Z91" s="1839"/>
      <c r="AA91" s="2053"/>
      <c r="AB91" s="2056"/>
      <c r="AC91" s="1839">
        <v>71.8</v>
      </c>
      <c r="AD91" s="2095"/>
      <c r="AE91" s="2056" t="s">
        <v>15</v>
      </c>
      <c r="AF91" s="1839">
        <v>30.5</v>
      </c>
      <c r="AG91" s="2095"/>
      <c r="AH91" s="2549"/>
      <c r="AI91" s="1480">
        <f t="shared" si="12"/>
        <v>41.3</v>
      </c>
      <c r="AJ91" s="2538"/>
      <c r="AK91" s="1518">
        <f>ROUND(IF(AF91=0,0,AI91/ABS(AF91)),3)</f>
        <v>1.3540000000000001</v>
      </c>
    </row>
    <row r="92" spans="1:38" ht="15" customHeight="1">
      <c r="A92" s="2512"/>
      <c r="B92" s="2547" t="s">
        <v>1064</v>
      </c>
      <c r="C92" s="2547"/>
      <c r="D92" s="1839">
        <v>0.1</v>
      </c>
      <c r="E92" s="2546"/>
      <c r="F92" s="1839">
        <v>0</v>
      </c>
      <c r="G92" s="2546"/>
      <c r="H92" s="1839">
        <v>-0.30000000000000004</v>
      </c>
      <c r="I92" s="1480"/>
      <c r="J92" s="1839">
        <v>0.20000000000000004</v>
      </c>
      <c r="K92" s="2052"/>
      <c r="L92" s="1839">
        <v>0</v>
      </c>
      <c r="M92" s="2052"/>
      <c r="N92" s="1839">
        <v>0</v>
      </c>
      <c r="O92" s="2052"/>
      <c r="P92" s="1839">
        <v>0</v>
      </c>
      <c r="Q92" s="2052"/>
      <c r="R92" s="1839">
        <v>0</v>
      </c>
      <c r="S92" s="2052"/>
      <c r="T92" s="1839">
        <v>0</v>
      </c>
      <c r="U92" s="2052"/>
      <c r="V92" s="1839">
        <f t="shared" si="10"/>
        <v>0</v>
      </c>
      <c r="W92" s="2052"/>
      <c r="X92" s="1839"/>
      <c r="Y92" s="2052"/>
      <c r="Z92" s="1839"/>
      <c r="AA92" s="2053"/>
      <c r="AB92" s="2056"/>
      <c r="AC92" s="1855">
        <v>0</v>
      </c>
      <c r="AD92" s="2095"/>
      <c r="AE92" s="2056" t="s">
        <v>15</v>
      </c>
      <c r="AF92" s="1855">
        <v>0.2</v>
      </c>
      <c r="AG92" s="2095"/>
      <c r="AH92" s="2549"/>
      <c r="AI92" s="1480">
        <f t="shared" si="12"/>
        <v>-0.2</v>
      </c>
      <c r="AJ92" s="2538"/>
      <c r="AK92" s="2550">
        <f>ROUND(IF(AF92=0,1,AI92/ABS(AF92)),3)</f>
        <v>-1</v>
      </c>
    </row>
    <row r="93" spans="1:38" s="2543" customFormat="1" ht="15" customHeight="1">
      <c r="A93" s="2541"/>
      <c r="B93" s="2534" t="s">
        <v>1099</v>
      </c>
      <c r="C93" s="2489"/>
      <c r="D93" s="2536">
        <f>ROUND(SUM(D59:D92),1)</f>
        <v>741</v>
      </c>
      <c r="E93" s="2551"/>
      <c r="F93" s="2535">
        <f>ROUND(SUM(F59:F92),1)</f>
        <v>279.3</v>
      </c>
      <c r="G93" s="2551"/>
      <c r="H93" s="2535">
        <f>ROUND(SUM(H59:H92),1)</f>
        <v>158.80000000000001</v>
      </c>
      <c r="I93" s="1498"/>
      <c r="J93" s="2536">
        <f>ROUND(SUM(J59:J92),1)</f>
        <v>87.4</v>
      </c>
      <c r="K93" s="1498"/>
      <c r="L93" s="2096">
        <f>ROUND(SUM(L59:L92),1)</f>
        <v>168.1</v>
      </c>
      <c r="M93" s="1498"/>
      <c r="N93" s="2096">
        <f>ROUND(SUM(N59:N92),1)</f>
        <v>278.7</v>
      </c>
      <c r="O93" s="1498"/>
      <c r="P93" s="1497">
        <f>ROUND(SUM(P59:P92),1)</f>
        <v>245.8</v>
      </c>
      <c r="Q93" s="1498"/>
      <c r="R93" s="2096">
        <f>ROUND(SUM(R59:R92),1)</f>
        <v>330.5</v>
      </c>
      <c r="S93" s="1498"/>
      <c r="T93" s="2096">
        <f>ROUND(SUM(T59:T92),1)</f>
        <v>227.2</v>
      </c>
      <c r="U93" s="1498"/>
      <c r="V93" s="2096">
        <f>ROUND(SUM(V59:V92),1)</f>
        <v>77</v>
      </c>
      <c r="W93" s="1498"/>
      <c r="X93" s="2096">
        <f>ROUND(SUM(X59:X92),1)</f>
        <v>0</v>
      </c>
      <c r="Y93" s="1498"/>
      <c r="Z93" s="2096">
        <f>ROUND(SUM(Z59:Z92),1)</f>
        <v>0</v>
      </c>
      <c r="AA93" s="2064"/>
      <c r="AB93" s="2103"/>
      <c r="AC93" s="3283">
        <f>ROUND(SUM(AC59:AC92),1)</f>
        <v>2593.8000000000002</v>
      </c>
      <c r="AD93" s="2104"/>
      <c r="AE93" s="3287" t="s">
        <v>15</v>
      </c>
      <c r="AF93" s="3651">
        <f>ROUND(SUM(AF59:AF92),1)</f>
        <v>2888.5</v>
      </c>
      <c r="AG93" s="1498"/>
      <c r="AH93" s="2542"/>
      <c r="AI93" s="2096">
        <f>ROUND(SUM(AI59:AI92),1)</f>
        <v>-294.7</v>
      </c>
      <c r="AJ93" s="1481"/>
      <c r="AK93" s="1482">
        <f>ROUND(SUM(+AI93/AF93),3)</f>
        <v>-0.10199999999999999</v>
      </c>
      <c r="AL93" s="2478"/>
    </row>
    <row r="94" spans="1:38" s="2543" customFormat="1" ht="8.25" customHeight="1">
      <c r="A94" s="2541"/>
      <c r="B94" s="2488"/>
      <c r="C94" s="2489"/>
      <c r="D94" s="1498"/>
      <c r="E94" s="2551"/>
      <c r="F94" s="1498"/>
      <c r="G94" s="2551"/>
      <c r="H94" s="1498"/>
      <c r="I94" s="1498"/>
      <c r="J94" s="2104"/>
      <c r="K94" s="1498"/>
      <c r="L94" s="1498"/>
      <c r="M94" s="1498"/>
      <c r="N94" s="1498"/>
      <c r="O94" s="1498"/>
      <c r="P94" s="2104"/>
      <c r="Q94" s="1498"/>
      <c r="R94" s="1498"/>
      <c r="S94" s="1498"/>
      <c r="T94" s="1498"/>
      <c r="U94" s="1498"/>
      <c r="V94" s="1498"/>
      <c r="W94" s="1498"/>
      <c r="X94" s="1498"/>
      <c r="Y94" s="1498"/>
      <c r="Z94" s="1498"/>
      <c r="AA94" s="2064"/>
      <c r="AB94" s="2103"/>
      <c r="AC94" s="2104"/>
      <c r="AD94" s="2104"/>
      <c r="AE94" s="3287"/>
      <c r="AF94" s="2104"/>
      <c r="AG94" s="1498"/>
      <c r="AH94" s="2542"/>
      <c r="AI94" s="1498"/>
      <c r="AJ94" s="1481"/>
      <c r="AK94" s="2552"/>
      <c r="AL94" s="2478"/>
    </row>
    <row r="95" spans="1:38" ht="15" customHeight="1">
      <c r="A95" s="2512"/>
      <c r="B95" s="2530" t="s">
        <v>1252</v>
      </c>
      <c r="C95" s="2076"/>
      <c r="D95" s="1839">
        <v>0</v>
      </c>
      <c r="E95" s="1480"/>
      <c r="F95" s="1839">
        <v>0</v>
      </c>
      <c r="G95" s="1480"/>
      <c r="H95" s="1839">
        <v>0</v>
      </c>
      <c r="I95" s="1480"/>
      <c r="J95" s="1839">
        <v>0</v>
      </c>
      <c r="K95" s="2052"/>
      <c r="L95" s="1839">
        <v>0.1</v>
      </c>
      <c r="M95" s="2052"/>
      <c r="N95" s="1839">
        <v>0.19999999999999998</v>
      </c>
      <c r="O95" s="2052"/>
      <c r="P95" s="1839">
        <v>0.10000000000000006</v>
      </c>
      <c r="Q95" s="2052"/>
      <c r="R95" s="1839">
        <v>9.9999999999999978E-2</v>
      </c>
      <c r="S95" s="2052"/>
      <c r="T95" s="1839">
        <v>0</v>
      </c>
      <c r="U95" s="2052"/>
      <c r="V95" s="1839">
        <f t="shared" ref="V95" si="15">$AC95-$D95-$F95-$H95-$J95-$L95-$N95-$P95-$R95-$T95</f>
        <v>-0.20000000000000004</v>
      </c>
      <c r="W95" s="2052"/>
      <c r="X95" s="1839"/>
      <c r="Y95" s="2052"/>
      <c r="Z95" s="1839"/>
      <c r="AA95" s="2053"/>
      <c r="AB95" s="2056"/>
      <c r="AC95" s="1855">
        <v>0.3</v>
      </c>
      <c r="AD95" s="2095"/>
      <c r="AE95" s="2056" t="s">
        <v>15</v>
      </c>
      <c r="AF95" s="1855">
        <v>0.1</v>
      </c>
      <c r="AG95" s="2061"/>
      <c r="AH95" s="2537"/>
      <c r="AI95" s="2553">
        <f>ROUND(SUM(+AC95-AF95),1)</f>
        <v>0.2</v>
      </c>
      <c r="AJ95" s="2538"/>
      <c r="AK95" s="2554">
        <f>ROUND(IF(AF95=0,0,AI95/ABS(AF95)),3)</f>
        <v>2</v>
      </c>
    </row>
    <row r="96" spans="1:38" ht="4.3499999999999996" customHeight="1">
      <c r="A96" s="2512"/>
      <c r="B96" s="2098"/>
      <c r="C96" s="2076"/>
      <c r="D96" s="2555"/>
      <c r="E96" s="1480"/>
      <c r="F96" s="2555"/>
      <c r="G96" s="1480"/>
      <c r="H96" s="2555"/>
      <c r="I96" s="1480"/>
      <c r="J96" s="2556"/>
      <c r="K96" s="2060"/>
      <c r="L96" s="2059"/>
      <c r="M96" s="2060"/>
      <c r="N96" s="2059"/>
      <c r="O96" s="2060"/>
      <c r="P96" s="3765"/>
      <c r="Q96" s="2060"/>
      <c r="R96" s="2059"/>
      <c r="S96" s="2060"/>
      <c r="T96" s="2059"/>
      <c r="U96" s="2060"/>
      <c r="V96" s="2059"/>
      <c r="W96" s="2060"/>
      <c r="X96" s="2059"/>
      <c r="Y96" s="2060"/>
      <c r="Z96" s="2059"/>
      <c r="AA96" s="2075"/>
      <c r="AB96" s="2100"/>
      <c r="AC96" s="3288"/>
      <c r="AD96" s="2049"/>
      <c r="AE96" s="2056" t="s">
        <v>15</v>
      </c>
      <c r="AF96" s="2105"/>
      <c r="AG96" s="2061"/>
      <c r="AH96" s="2537"/>
      <c r="AI96" s="1480"/>
      <c r="AJ96" s="2538"/>
      <c r="AK96" s="1468"/>
    </row>
    <row r="97" spans="1:37" ht="15" customHeight="1">
      <c r="A97" s="2512"/>
      <c r="B97" s="2488" t="s">
        <v>151</v>
      </c>
      <c r="C97" s="2076"/>
      <c r="D97" s="2074">
        <f>ROUND(SUM(D95+D93+D55),1)</f>
        <v>6558.1</v>
      </c>
      <c r="E97" s="1498"/>
      <c r="F97" s="2074">
        <f>ROUND(SUM(F95+F93+F55),1)</f>
        <v>1996.7</v>
      </c>
      <c r="G97" s="1498"/>
      <c r="H97" s="2074">
        <f>ROUND(SUM(H95+H93+H55),1)</f>
        <v>4767</v>
      </c>
      <c r="I97" s="1498"/>
      <c r="J97" s="1606">
        <f>ROUND(SUM(J95+J93+J55),1)</f>
        <v>2676.4</v>
      </c>
      <c r="K97" s="1498"/>
      <c r="L97" s="1498">
        <f>ROUND(SUM(L95+L93+L55),1)</f>
        <v>2276.1</v>
      </c>
      <c r="M97" s="1498"/>
      <c r="N97" s="1498">
        <f>ROUND(SUM(N95+N93+N55),1)</f>
        <v>4847.8</v>
      </c>
      <c r="O97" s="1498"/>
      <c r="P97" s="2108">
        <f>ROUND(SUM(P95+P93+P55),1)</f>
        <v>2399.3000000000002</v>
      </c>
      <c r="Q97" s="1498"/>
      <c r="R97" s="2106">
        <f>ROUND(SUM(R95+R93+R55),1)</f>
        <v>2343.4</v>
      </c>
      <c r="S97" s="1498"/>
      <c r="T97" s="2106">
        <f>ROUND(SUM(T95+T93+T55),1)</f>
        <v>4619.2</v>
      </c>
      <c r="U97" s="1498"/>
      <c r="V97" s="2106">
        <f>ROUND(SUM(V95+V93+V55),1)</f>
        <v>3347.8</v>
      </c>
      <c r="W97" s="1498"/>
      <c r="X97" s="2106">
        <f>ROUND(SUM(X95+X93+X55),1)</f>
        <v>0</v>
      </c>
      <c r="Y97" s="1498"/>
      <c r="Z97" s="2106">
        <f>ROUND(SUM(Z95+Z93+Z55),1)</f>
        <v>0</v>
      </c>
      <c r="AA97" s="2107"/>
      <c r="AB97" s="2103"/>
      <c r="AC97" s="2108">
        <f>ROUND(SUM(AC95+AC93+AC55),1)</f>
        <v>35831.800000000003</v>
      </c>
      <c r="AD97" s="2104"/>
      <c r="AE97" s="3287"/>
      <c r="AF97" s="2108">
        <f>ROUND(SUM(AF95+AF93+AF55),1)</f>
        <v>32444.6</v>
      </c>
      <c r="AG97" s="1481"/>
      <c r="AH97" s="2542"/>
      <c r="AI97" s="2106">
        <f>ROUND(SUM(AI95+AI93+AI55),1)</f>
        <v>3387.2</v>
      </c>
      <c r="AJ97" s="1481"/>
      <c r="AK97" s="1472">
        <f>ROUND(SUM(+AI97/AF97),3)</f>
        <v>0.104</v>
      </c>
    </row>
    <row r="98" spans="1:37" ht="15" customHeight="1">
      <c r="A98" s="2512"/>
      <c r="B98" s="2098"/>
      <c r="C98" s="2076"/>
      <c r="D98" s="2538"/>
      <c r="E98" s="1480"/>
      <c r="F98" s="2538"/>
      <c r="G98" s="1480"/>
      <c r="H98" s="2538"/>
      <c r="I98" s="1480"/>
      <c r="J98" s="2095"/>
      <c r="K98" s="2060"/>
      <c r="L98" s="2059"/>
      <c r="M98" s="2060"/>
      <c r="N98" s="2059"/>
      <c r="O98" s="2060"/>
      <c r="P98" s="2030"/>
      <c r="Q98" s="2060"/>
      <c r="R98" s="2061"/>
      <c r="S98" s="2060"/>
      <c r="T98" s="2061"/>
      <c r="U98" s="2060"/>
      <c r="V98" s="2061"/>
      <c r="W98" s="2060"/>
      <c r="X98" s="2061"/>
      <c r="Y98" s="2060"/>
      <c r="Z98" s="2061"/>
      <c r="AA98" s="2067"/>
      <c r="AB98" s="2100"/>
      <c r="AC98" s="2095"/>
      <c r="AD98" s="2049"/>
      <c r="AE98" s="2051"/>
      <c r="AF98" s="2030"/>
      <c r="AG98" s="2061"/>
      <c r="AH98" s="2537"/>
      <c r="AI98" s="1480"/>
      <c r="AJ98" s="2538"/>
      <c r="AK98" s="1468"/>
    </row>
    <row r="99" spans="1:37" ht="15" customHeight="1">
      <c r="A99" s="2512"/>
      <c r="B99" s="2488" t="s">
        <v>23</v>
      </c>
      <c r="C99" s="2076"/>
      <c r="D99" s="1480"/>
      <c r="E99" s="1480"/>
      <c r="F99" s="1480"/>
      <c r="G99" s="1480"/>
      <c r="H99" s="1480"/>
      <c r="I99" s="1480"/>
      <c r="J99" s="2054"/>
      <c r="K99" s="2060"/>
      <c r="L99" s="2060"/>
      <c r="M99" s="2060"/>
      <c r="N99" s="2060"/>
      <c r="O99" s="2060"/>
      <c r="P99" s="2049"/>
      <c r="Q99" s="2060"/>
      <c r="R99" s="2060"/>
      <c r="S99" s="2060"/>
      <c r="T99" s="2060"/>
      <c r="U99" s="2060"/>
      <c r="V99" s="2060"/>
      <c r="W99" s="2060"/>
      <c r="X99" s="2060"/>
      <c r="Y99" s="2060"/>
      <c r="Z99" s="2060"/>
      <c r="AA99" s="1500"/>
      <c r="AB99" s="2100"/>
      <c r="AC99" s="2054"/>
      <c r="AD99" s="2049"/>
      <c r="AE99" s="2051"/>
      <c r="AF99" s="2049"/>
      <c r="AG99" s="2060"/>
      <c r="AH99" s="2537"/>
      <c r="AI99" s="1480"/>
      <c r="AJ99" s="2538"/>
      <c r="AK99" s="1468"/>
    </row>
    <row r="100" spans="1:37" ht="15" customHeight="1">
      <c r="A100" s="2512"/>
      <c r="B100" s="2098" t="s">
        <v>152</v>
      </c>
      <c r="C100" s="2076"/>
      <c r="D100" s="2538"/>
      <c r="E100" s="2538"/>
      <c r="F100" s="2538"/>
      <c r="G100" s="2538"/>
      <c r="H100" s="2538"/>
      <c r="I100" s="2538"/>
      <c r="J100" s="2095"/>
      <c r="K100" s="2061"/>
      <c r="L100" s="2061"/>
      <c r="M100" s="2061"/>
      <c r="N100" s="2061"/>
      <c r="O100" s="2061"/>
      <c r="P100" s="2030"/>
      <c r="Q100" s="2061"/>
      <c r="R100" s="2061"/>
      <c r="S100" s="2061"/>
      <c r="T100" s="2061"/>
      <c r="U100" s="2061"/>
      <c r="V100" s="2061"/>
      <c r="W100" s="2061"/>
      <c r="X100" s="2061"/>
      <c r="Y100" s="2061"/>
      <c r="Z100" s="2061"/>
      <c r="AA100" s="1500"/>
      <c r="AB100" s="2100"/>
      <c r="AC100" s="3289"/>
      <c r="AD100" s="2049"/>
      <c r="AE100" s="2051"/>
      <c r="AF100" s="3652"/>
      <c r="AG100" s="2557"/>
      <c r="AH100" s="2537"/>
      <c r="AI100" s="1480"/>
      <c r="AJ100" s="2538"/>
      <c r="AK100" s="1468"/>
    </row>
    <row r="101" spans="1:37" ht="15" customHeight="1">
      <c r="A101" s="2512"/>
      <c r="B101" s="2521" t="s">
        <v>25</v>
      </c>
      <c r="C101" s="2076"/>
      <c r="D101" s="1839">
        <v>917</v>
      </c>
      <c r="E101" s="2538"/>
      <c r="F101" s="1839">
        <v>3979.7</v>
      </c>
      <c r="G101" s="2538"/>
      <c r="H101" s="1839">
        <v>2189.8000000000002</v>
      </c>
      <c r="I101" s="2538"/>
      <c r="J101" s="1839">
        <v>1611.3999999999996</v>
      </c>
      <c r="K101" s="2052"/>
      <c r="L101" s="1839">
        <v>679.30000000000109</v>
      </c>
      <c r="M101" s="2052"/>
      <c r="N101" s="1839">
        <v>2342.8999999999996</v>
      </c>
      <c r="O101" s="2052"/>
      <c r="P101" s="1839">
        <v>1082.2999999999993</v>
      </c>
      <c r="Q101" s="2052"/>
      <c r="R101" s="1839">
        <v>1741.3999999999987</v>
      </c>
      <c r="S101" s="2052"/>
      <c r="T101" s="1839">
        <v>2250.1000000000031</v>
      </c>
      <c r="U101" s="2052"/>
      <c r="V101" s="1839">
        <f t="shared" ref="V101:V110" si="16">$AC101-$D101-$F101-$H101-$J101-$L101-$N101-$P101-$R101-$T101</f>
        <v>790.99999999999636</v>
      </c>
      <c r="W101" s="2052"/>
      <c r="X101" s="1839"/>
      <c r="Y101" s="2052"/>
      <c r="Z101" s="1839"/>
      <c r="AA101" s="2053"/>
      <c r="AB101" s="2056"/>
      <c r="AC101" s="1855">
        <v>17584.899999999998</v>
      </c>
      <c r="AD101" s="2095"/>
      <c r="AE101" s="2056" t="s">
        <v>15</v>
      </c>
      <c r="AF101" s="1855">
        <v>17384</v>
      </c>
      <c r="AG101" s="2557"/>
      <c r="AH101" s="2537"/>
      <c r="AI101" s="1480">
        <f>ROUND(SUM(+AC101-AF101),1)</f>
        <v>200.9</v>
      </c>
      <c r="AJ101" s="2538"/>
      <c r="AK101" s="1475">
        <f>ROUND(IF(AF101=0,0,AI101/ABS(AF101)),3)</f>
        <v>1.2E-2</v>
      </c>
    </row>
    <row r="102" spans="1:37" ht="15" customHeight="1">
      <c r="A102" s="2512"/>
      <c r="B102" s="2521" t="s">
        <v>26</v>
      </c>
      <c r="C102" s="2076"/>
      <c r="D102" s="1839">
        <v>0.1</v>
      </c>
      <c r="E102" s="1480"/>
      <c r="F102" s="1839">
        <v>0.1</v>
      </c>
      <c r="G102" s="1480"/>
      <c r="H102" s="1839">
        <v>9.9999999999999978E-2</v>
      </c>
      <c r="I102" s="1480"/>
      <c r="J102" s="1839">
        <v>0</v>
      </c>
      <c r="K102" s="2052"/>
      <c r="L102" s="1839">
        <v>0.20000000000000007</v>
      </c>
      <c r="M102" s="2052"/>
      <c r="N102" s="1839">
        <v>0.79999999999999982</v>
      </c>
      <c r="O102" s="2052"/>
      <c r="P102" s="1839">
        <v>0.69999999999999973</v>
      </c>
      <c r="Q102" s="2052"/>
      <c r="R102" s="1839">
        <v>0.10000000000000009</v>
      </c>
      <c r="S102" s="2052"/>
      <c r="T102" s="1839">
        <v>0.19999999999999973</v>
      </c>
      <c r="U102" s="2052"/>
      <c r="V102" s="1839">
        <f t="shared" si="16"/>
        <v>0.20000000000000018</v>
      </c>
      <c r="W102" s="2052"/>
      <c r="X102" s="1839"/>
      <c r="Y102" s="2052"/>
      <c r="Z102" s="1839"/>
      <c r="AA102" s="2053"/>
      <c r="AB102" s="2056"/>
      <c r="AC102" s="1855">
        <v>2.5</v>
      </c>
      <c r="AD102" s="2095"/>
      <c r="AE102" s="2056" t="s">
        <v>15</v>
      </c>
      <c r="AF102" s="1855">
        <v>2.6</v>
      </c>
      <c r="AG102" s="2060"/>
      <c r="AH102" s="2537"/>
      <c r="AI102" s="1480">
        <f t="shared" ref="AI102:AI110" si="17">ROUND(SUM(+AC102-AF102),1)</f>
        <v>-0.1</v>
      </c>
      <c r="AJ102" s="2538"/>
      <c r="AK102" s="1475">
        <f>ROUND(IF(AF102=0,1,AI102/ABS(AF102)),3)</f>
        <v>-3.7999999999999999E-2</v>
      </c>
    </row>
    <row r="103" spans="1:37" ht="15" customHeight="1">
      <c r="A103" s="2512"/>
      <c r="B103" s="2521" t="s">
        <v>27</v>
      </c>
      <c r="C103" s="2076"/>
      <c r="D103" s="1839">
        <v>1.7</v>
      </c>
      <c r="E103" s="1480"/>
      <c r="F103" s="1839">
        <v>15.7</v>
      </c>
      <c r="G103" s="1480"/>
      <c r="H103" s="1839">
        <v>574.89999999999986</v>
      </c>
      <c r="I103" s="1480"/>
      <c r="J103" s="1839">
        <v>2.2000000000000455</v>
      </c>
      <c r="K103" s="2052"/>
      <c r="L103" s="1839">
        <v>45.5</v>
      </c>
      <c r="M103" s="2052"/>
      <c r="N103" s="1839">
        <v>48.299999999999955</v>
      </c>
      <c r="O103" s="2052"/>
      <c r="P103" s="1839">
        <v>19.100000000000023</v>
      </c>
      <c r="Q103" s="2052"/>
      <c r="R103" s="1839">
        <v>30.899999999999977</v>
      </c>
      <c r="S103" s="2052"/>
      <c r="T103" s="1839">
        <v>205.30000000000007</v>
      </c>
      <c r="U103" s="2052"/>
      <c r="V103" s="1839">
        <f t="shared" si="16"/>
        <v>10.399999999999977</v>
      </c>
      <c r="W103" s="2052"/>
      <c r="X103" s="1839"/>
      <c r="Y103" s="2052"/>
      <c r="Z103" s="1839"/>
      <c r="AA103" s="2053"/>
      <c r="AB103" s="2056"/>
      <c r="AC103" s="1855">
        <v>954</v>
      </c>
      <c r="AD103" s="2095"/>
      <c r="AE103" s="2056" t="s">
        <v>15</v>
      </c>
      <c r="AF103" s="1855">
        <v>936.7</v>
      </c>
      <c r="AG103" s="2060"/>
      <c r="AH103" s="2537"/>
      <c r="AI103" s="1480">
        <f t="shared" si="17"/>
        <v>17.3</v>
      </c>
      <c r="AJ103" s="2538"/>
      <c r="AK103" s="1475">
        <f>ROUND(IF(AF103=0,0,AI103/ABS(AF103)),3)</f>
        <v>1.7999999999999999E-2</v>
      </c>
    </row>
    <row r="104" spans="1:37" ht="15" customHeight="1">
      <c r="A104" s="2512"/>
      <c r="B104" s="2521" t="s">
        <v>28</v>
      </c>
      <c r="C104" s="2076"/>
      <c r="D104" s="1839"/>
      <c r="E104" s="1480"/>
      <c r="F104" s="1839"/>
      <c r="G104" s="1480"/>
      <c r="H104" s="1839"/>
      <c r="I104" s="1480"/>
      <c r="J104" s="1839"/>
      <c r="K104" s="2052"/>
      <c r="L104" s="1839"/>
      <c r="M104" s="2052"/>
      <c r="N104" s="1839"/>
      <c r="O104" s="2052"/>
      <c r="P104" s="1839"/>
      <c r="Q104" s="2052"/>
      <c r="R104" s="1839"/>
      <c r="S104" s="2052"/>
      <c r="T104" s="1839"/>
      <c r="U104" s="2052"/>
      <c r="V104" s="1839">
        <f t="shared" si="16"/>
        <v>0</v>
      </c>
      <c r="W104" s="2052"/>
      <c r="X104" s="1839"/>
      <c r="Y104" s="2052"/>
      <c r="Z104" s="1839"/>
      <c r="AA104" s="2053"/>
      <c r="AB104" s="2056"/>
      <c r="AC104" s="1855"/>
      <c r="AD104" s="2095"/>
      <c r="AE104" s="2056" t="s">
        <v>15</v>
      </c>
      <c r="AF104" s="1855"/>
      <c r="AG104" s="2060"/>
      <c r="AH104" s="2537"/>
      <c r="AI104" s="1480" t="s">
        <v>15</v>
      </c>
      <c r="AJ104" s="2538"/>
      <c r="AK104" s="1468" t="s">
        <v>15</v>
      </c>
    </row>
    <row r="105" spans="1:37" ht="15" customHeight="1">
      <c r="A105" s="2512"/>
      <c r="B105" s="2558" t="s">
        <v>29</v>
      </c>
      <c r="C105" s="2076"/>
      <c r="D105" s="1839">
        <v>3296.6</v>
      </c>
      <c r="E105" s="1480"/>
      <c r="F105" s="1839">
        <v>1588.6</v>
      </c>
      <c r="G105" s="1480"/>
      <c r="H105" s="1839">
        <v>1393.9000000000005</v>
      </c>
      <c r="I105" s="1480"/>
      <c r="J105" s="1839">
        <v>1320.2000000000003</v>
      </c>
      <c r="K105" s="2052"/>
      <c r="L105" s="1839">
        <v>1073.2999999999993</v>
      </c>
      <c r="M105" s="2052"/>
      <c r="N105" s="1839">
        <v>1308.2999999999988</v>
      </c>
      <c r="O105" s="2052"/>
      <c r="P105" s="1839">
        <v>1650.5</v>
      </c>
      <c r="Q105" s="2052"/>
      <c r="R105" s="1839">
        <v>1933.4</v>
      </c>
      <c r="S105" s="2052"/>
      <c r="T105" s="1839">
        <v>1300.0999999999999</v>
      </c>
      <c r="U105" s="2052"/>
      <c r="V105" s="1839">
        <f t="shared" si="16"/>
        <v>1662</v>
      </c>
      <c r="W105" s="2052"/>
      <c r="X105" s="1839"/>
      <c r="Y105" s="2052"/>
      <c r="Z105" s="1839"/>
      <c r="AA105" s="2053"/>
      <c r="AB105" s="2056"/>
      <c r="AC105" s="1855">
        <v>16526.900000000001</v>
      </c>
      <c r="AD105" s="2095"/>
      <c r="AE105" s="2056" t="s">
        <v>15</v>
      </c>
      <c r="AF105" s="1855">
        <v>14435.900000000001</v>
      </c>
      <c r="AG105" s="2060"/>
      <c r="AH105" s="2537"/>
      <c r="AI105" s="1480">
        <f t="shared" si="17"/>
        <v>2091</v>
      </c>
      <c r="AJ105" s="2538"/>
      <c r="AK105" s="1475">
        <f t="shared" ref="AK105:AK109" si="18">ROUND(IF(AF105=0,0,AI105/ABS(AF105)),3)</f>
        <v>0.14499999999999999</v>
      </c>
    </row>
    <row r="106" spans="1:37" ht="15" customHeight="1">
      <c r="A106" s="2512"/>
      <c r="B106" s="2521" t="s">
        <v>30</v>
      </c>
      <c r="C106" s="2076"/>
      <c r="D106" s="1839">
        <v>150.20000000000002</v>
      </c>
      <c r="E106" s="1480"/>
      <c r="F106" s="1839">
        <v>120.29999999999998</v>
      </c>
      <c r="G106" s="1480"/>
      <c r="H106" s="1839">
        <v>336</v>
      </c>
      <c r="I106" s="1480"/>
      <c r="J106" s="1839">
        <v>217.70000000000016</v>
      </c>
      <c r="K106" s="2052"/>
      <c r="L106" s="1839">
        <v>111.79999999999984</v>
      </c>
      <c r="M106" s="2052"/>
      <c r="N106" s="1839">
        <v>213</v>
      </c>
      <c r="O106" s="2052"/>
      <c r="P106" s="1839">
        <v>220.90000000000009</v>
      </c>
      <c r="Q106" s="2052"/>
      <c r="R106" s="1839">
        <v>101.49999999999977</v>
      </c>
      <c r="S106" s="2052"/>
      <c r="T106" s="1839">
        <v>282.59999999999991</v>
      </c>
      <c r="U106" s="2052"/>
      <c r="V106" s="1839">
        <f t="shared" si="16"/>
        <v>119.8000000000003</v>
      </c>
      <c r="W106" s="2052"/>
      <c r="X106" s="1839"/>
      <c r="Y106" s="2052"/>
      <c r="Z106" s="1839"/>
      <c r="AA106" s="2053"/>
      <c r="AB106" s="2056"/>
      <c r="AC106" s="1855">
        <v>1873.8000000000002</v>
      </c>
      <c r="AD106" s="2095"/>
      <c r="AE106" s="2056" t="s">
        <v>15</v>
      </c>
      <c r="AF106" s="1855">
        <v>1993.7</v>
      </c>
      <c r="AG106" s="2060"/>
      <c r="AH106" s="2537"/>
      <c r="AI106" s="1480">
        <f t="shared" si="17"/>
        <v>-119.9</v>
      </c>
      <c r="AJ106" s="2538"/>
      <c r="AK106" s="1475">
        <f t="shared" si="18"/>
        <v>-0.06</v>
      </c>
    </row>
    <row r="107" spans="1:37" ht="15" customHeight="1">
      <c r="A107" s="2512"/>
      <c r="B107" s="2521" t="s">
        <v>31</v>
      </c>
      <c r="C107" s="2076"/>
      <c r="D107" s="1839">
        <v>10.6</v>
      </c>
      <c r="E107" s="1480"/>
      <c r="F107" s="1839">
        <v>13.4</v>
      </c>
      <c r="G107" s="1480"/>
      <c r="H107" s="1839">
        <v>12.499999999999998</v>
      </c>
      <c r="I107" s="1480"/>
      <c r="J107" s="1839">
        <v>18.5</v>
      </c>
      <c r="K107" s="2052"/>
      <c r="L107" s="1839">
        <v>12.900000000000006</v>
      </c>
      <c r="M107" s="2052"/>
      <c r="N107" s="1839">
        <v>24.799999999999997</v>
      </c>
      <c r="O107" s="2052"/>
      <c r="P107" s="1839">
        <v>12.200000000000003</v>
      </c>
      <c r="Q107" s="2052"/>
      <c r="R107" s="1839">
        <v>10.199999999999989</v>
      </c>
      <c r="S107" s="2052"/>
      <c r="T107" s="1839">
        <v>21.800000000000011</v>
      </c>
      <c r="U107" s="2052"/>
      <c r="V107" s="1839">
        <f t="shared" si="16"/>
        <v>6.1999999999999886</v>
      </c>
      <c r="W107" s="2052"/>
      <c r="X107" s="1839"/>
      <c r="Y107" s="2052"/>
      <c r="Z107" s="1839"/>
      <c r="AA107" s="2053"/>
      <c r="AB107" s="2056"/>
      <c r="AC107" s="1855">
        <v>143.1</v>
      </c>
      <c r="AD107" s="2095"/>
      <c r="AE107" s="2056" t="s">
        <v>15</v>
      </c>
      <c r="AF107" s="1855">
        <v>151.69999999999999</v>
      </c>
      <c r="AG107" s="2060"/>
      <c r="AH107" s="2537" t="s">
        <v>15</v>
      </c>
      <c r="AI107" s="1480">
        <f t="shared" si="17"/>
        <v>-8.6</v>
      </c>
      <c r="AJ107" s="2538"/>
      <c r="AK107" s="1475">
        <f t="shared" si="18"/>
        <v>-5.7000000000000002E-2</v>
      </c>
    </row>
    <row r="108" spans="1:37" ht="15" customHeight="1">
      <c r="A108" s="2512"/>
      <c r="B108" s="2521" t="s">
        <v>32</v>
      </c>
      <c r="C108" s="2076"/>
      <c r="D108" s="1839">
        <v>87.800000000000011</v>
      </c>
      <c r="E108" s="1480"/>
      <c r="F108" s="1839">
        <v>84.899999999999977</v>
      </c>
      <c r="G108" s="1480"/>
      <c r="H108" s="1839">
        <v>180.5</v>
      </c>
      <c r="I108" s="1480"/>
      <c r="J108" s="1839">
        <v>128.40000000000003</v>
      </c>
      <c r="K108" s="2052"/>
      <c r="L108" s="1839">
        <v>179.7999999999999</v>
      </c>
      <c r="M108" s="2052"/>
      <c r="N108" s="1839">
        <v>170.70000000000005</v>
      </c>
      <c r="O108" s="2052"/>
      <c r="P108" s="1839">
        <v>424.40000000000009</v>
      </c>
      <c r="Q108" s="2052"/>
      <c r="R108" s="1839">
        <v>459.69999999999982</v>
      </c>
      <c r="S108" s="2052"/>
      <c r="T108" s="1839">
        <v>119.59999999999991</v>
      </c>
      <c r="U108" s="2052"/>
      <c r="V108" s="1839">
        <f t="shared" si="16"/>
        <v>171.5</v>
      </c>
      <c r="W108" s="2052"/>
      <c r="X108" s="1839"/>
      <c r="Y108" s="2052"/>
      <c r="Z108" s="1839"/>
      <c r="AA108" s="2053"/>
      <c r="AB108" s="2056"/>
      <c r="AC108" s="1855">
        <v>2007.3</v>
      </c>
      <c r="AD108" s="2095"/>
      <c r="AE108" s="2056" t="s">
        <v>15</v>
      </c>
      <c r="AF108" s="1855">
        <v>1945.6</v>
      </c>
      <c r="AG108" s="2060"/>
      <c r="AH108" s="2537"/>
      <c r="AI108" s="1480">
        <f t="shared" si="17"/>
        <v>61.7</v>
      </c>
      <c r="AJ108" s="2538"/>
      <c r="AK108" s="1475">
        <f t="shared" si="18"/>
        <v>3.2000000000000001E-2</v>
      </c>
    </row>
    <row r="109" spans="1:37" ht="15" customHeight="1">
      <c r="A109" s="2512"/>
      <c r="B109" s="2521" t="s">
        <v>33</v>
      </c>
      <c r="C109" s="2076"/>
      <c r="D109" s="1839">
        <v>6</v>
      </c>
      <c r="E109" s="1480"/>
      <c r="F109" s="1839">
        <v>7.6999999999999993</v>
      </c>
      <c r="G109" s="1480"/>
      <c r="H109" s="1839">
        <v>5.6999999999999993</v>
      </c>
      <c r="I109" s="1480"/>
      <c r="J109" s="1839">
        <v>22</v>
      </c>
      <c r="K109" s="2052"/>
      <c r="L109" s="1839">
        <v>21.099999999999994</v>
      </c>
      <c r="M109" s="2052"/>
      <c r="N109" s="1839">
        <v>7.2999999999999972</v>
      </c>
      <c r="O109" s="2052"/>
      <c r="P109" s="1839">
        <v>20.900000000000006</v>
      </c>
      <c r="Q109" s="2052"/>
      <c r="R109" s="1839">
        <v>7.0999999999999943</v>
      </c>
      <c r="S109" s="2052"/>
      <c r="T109" s="1839">
        <v>13.000000000000014</v>
      </c>
      <c r="U109" s="2052"/>
      <c r="V109" s="1839">
        <f t="shared" si="16"/>
        <v>3.4999999999999858</v>
      </c>
      <c r="W109" s="2052"/>
      <c r="X109" s="1839"/>
      <c r="Y109" s="2052"/>
      <c r="Z109" s="1839"/>
      <c r="AA109" s="2053"/>
      <c r="AB109" s="2056"/>
      <c r="AC109" s="1855">
        <v>114.3</v>
      </c>
      <c r="AD109" s="2095"/>
      <c r="AE109" s="2056" t="s">
        <v>15</v>
      </c>
      <c r="AF109" s="1855">
        <v>120</v>
      </c>
      <c r="AG109" s="2060"/>
      <c r="AH109" s="2537"/>
      <c r="AI109" s="1480">
        <f t="shared" si="17"/>
        <v>-5.7</v>
      </c>
      <c r="AJ109" s="2538"/>
      <c r="AK109" s="1475">
        <f t="shared" si="18"/>
        <v>-4.8000000000000001E-2</v>
      </c>
    </row>
    <row r="110" spans="1:37" ht="15" customHeight="1">
      <c r="A110" s="2512"/>
      <c r="B110" s="2521" t="s">
        <v>34</v>
      </c>
      <c r="C110" s="2076"/>
      <c r="D110" s="1839">
        <v>0</v>
      </c>
      <c r="E110" s="1480"/>
      <c r="F110" s="1839">
        <v>23.9</v>
      </c>
      <c r="G110" s="1480"/>
      <c r="H110" s="1839">
        <v>14.100000000000001</v>
      </c>
      <c r="I110" s="1480"/>
      <c r="J110" s="1839">
        <v>0.20000000000000284</v>
      </c>
      <c r="K110" s="2052"/>
      <c r="L110" s="1839">
        <v>23.9</v>
      </c>
      <c r="M110" s="2052"/>
      <c r="N110" s="1839">
        <v>-0.10000000000000142</v>
      </c>
      <c r="O110" s="2052"/>
      <c r="P110" s="1839">
        <v>0</v>
      </c>
      <c r="Q110" s="2052"/>
      <c r="R110" s="1839">
        <v>24.099999999999994</v>
      </c>
      <c r="S110" s="2052"/>
      <c r="T110" s="1839">
        <v>11.399999999999999</v>
      </c>
      <c r="U110" s="2052"/>
      <c r="V110" s="1839">
        <f t="shared" si="16"/>
        <v>0</v>
      </c>
      <c r="W110" s="2052"/>
      <c r="X110" s="1839"/>
      <c r="Y110" s="2052"/>
      <c r="Z110" s="1839"/>
      <c r="AA110" s="2053"/>
      <c r="AB110" s="2056"/>
      <c r="AC110" s="1855">
        <v>97.5</v>
      </c>
      <c r="AD110" s="2095"/>
      <c r="AE110" s="2056" t="s">
        <v>15</v>
      </c>
      <c r="AF110" s="1855">
        <v>290.89999999999998</v>
      </c>
      <c r="AG110" s="2092"/>
      <c r="AH110" s="2559"/>
      <c r="AI110" s="1480">
        <f t="shared" si="17"/>
        <v>-193.4</v>
      </c>
      <c r="AJ110" s="2560"/>
      <c r="AK110" s="1475">
        <f>ROUND(IF(AF110=0,1,AI110/ABS(AF110)),3)</f>
        <v>-0.66500000000000004</v>
      </c>
    </row>
    <row r="111" spans="1:37" ht="15" customHeight="1">
      <c r="A111" s="2512"/>
      <c r="B111" s="2530" t="s">
        <v>991</v>
      </c>
      <c r="C111" s="2076"/>
      <c r="D111" s="2096">
        <f>ROUND(SUM(D101:D110),1)</f>
        <v>4470</v>
      </c>
      <c r="E111" s="1498"/>
      <c r="F111" s="2096">
        <f>ROUND(SUM(F101:F110),1)</f>
        <v>5834.3</v>
      </c>
      <c r="G111" s="1498"/>
      <c r="H111" s="2096">
        <f>ROUND(SUM(H101:H110),1)</f>
        <v>4707.5</v>
      </c>
      <c r="I111" s="1481" t="s">
        <v>15</v>
      </c>
      <c r="J111" s="1497">
        <f>ROUND(SUM(J101:J110),1)</f>
        <v>3320.6</v>
      </c>
      <c r="K111" s="1481" t="s">
        <v>15</v>
      </c>
      <c r="L111" s="2096">
        <f>ROUND(SUM(L101:L110),1)</f>
        <v>2147.8000000000002</v>
      </c>
      <c r="M111" s="1481" t="s">
        <v>15</v>
      </c>
      <c r="N111" s="2096">
        <f>ROUND(SUM(N101:N110),1)</f>
        <v>4116</v>
      </c>
      <c r="O111" s="1481" t="s">
        <v>15</v>
      </c>
      <c r="P111" s="1497">
        <f>ROUND(SUM(P101:P110),1)</f>
        <v>3431</v>
      </c>
      <c r="Q111" s="1481" t="s">
        <v>15</v>
      </c>
      <c r="R111" s="2096">
        <f>ROUND(SUM(R101:R110),1)</f>
        <v>4308.3999999999996</v>
      </c>
      <c r="S111" s="1481" t="s">
        <v>15</v>
      </c>
      <c r="T111" s="2096">
        <f>ROUND(SUM(T101:T110),1)</f>
        <v>4204.1000000000004</v>
      </c>
      <c r="U111" s="1481" t="s">
        <v>15</v>
      </c>
      <c r="V111" s="2096">
        <f>ROUND(SUM(V101:V110),1)</f>
        <v>2764.6</v>
      </c>
      <c r="W111" s="1481" t="s">
        <v>15</v>
      </c>
      <c r="X111" s="2096">
        <f>ROUND(SUM(X101:X110),1)</f>
        <v>0</v>
      </c>
      <c r="Y111" s="1481" t="s">
        <v>15</v>
      </c>
      <c r="Z111" s="2096">
        <f>ROUND(SUM(Z101:Z110),1)</f>
        <v>0</v>
      </c>
      <c r="AA111" s="2107" t="s">
        <v>15</v>
      </c>
      <c r="AB111" s="2103"/>
      <c r="AC111" s="1497">
        <f>SUM(AC101:AC110)</f>
        <v>39304.30000000001</v>
      </c>
      <c r="AD111" s="2104"/>
      <c r="AE111" s="3287" t="s">
        <v>15</v>
      </c>
      <c r="AF111" s="1497">
        <f>ROUND(SUM(AF101:AF110),1)</f>
        <v>37261.1</v>
      </c>
      <c r="AG111" s="1481"/>
      <c r="AH111" s="2542"/>
      <c r="AI111" s="2096">
        <f>ROUND(SUM(+AC111-AF111),1)</f>
        <v>2043.2</v>
      </c>
      <c r="AJ111" s="1481"/>
      <c r="AK111" s="2561">
        <f>ROUND(SUM(AI111/AF111),3)</f>
        <v>5.5E-2</v>
      </c>
    </row>
    <row r="112" spans="1:37" ht="15" customHeight="1">
      <c r="A112" s="2512"/>
      <c r="B112" s="2098" t="s">
        <v>153</v>
      </c>
      <c r="C112" s="2076"/>
      <c r="D112" s="1480"/>
      <c r="E112" s="1480"/>
      <c r="F112" s="1480"/>
      <c r="G112" s="1480"/>
      <c r="H112" s="1480"/>
      <c r="I112" s="1480"/>
      <c r="J112" s="2054"/>
      <c r="K112" s="2060"/>
      <c r="L112" s="2060"/>
      <c r="M112" s="2060"/>
      <c r="N112" s="2060"/>
      <c r="O112" s="2060"/>
      <c r="P112" s="2049"/>
      <c r="Q112" s="2060"/>
      <c r="R112" s="2060"/>
      <c r="S112" s="2060"/>
      <c r="T112" s="2060"/>
      <c r="U112" s="2060"/>
      <c r="V112" s="2060"/>
      <c r="W112" s="2060"/>
      <c r="X112" s="2060"/>
      <c r="Y112" s="2060"/>
      <c r="Z112" s="2060"/>
      <c r="AA112" s="1500"/>
      <c r="AB112" s="2100"/>
      <c r="AC112" s="2054"/>
      <c r="AD112" s="2049"/>
      <c r="AE112" s="2051"/>
      <c r="AF112" s="2049"/>
      <c r="AG112" s="2060"/>
      <c r="AH112" s="2537"/>
      <c r="AI112" s="1480"/>
      <c r="AJ112" s="2538"/>
      <c r="AK112" s="1468"/>
    </row>
    <row r="113" spans="1:38" ht="15" customHeight="1">
      <c r="A113" s="2512"/>
      <c r="B113" s="2098" t="s">
        <v>154</v>
      </c>
      <c r="C113" s="2076"/>
      <c r="D113" s="1839">
        <v>688.8</v>
      </c>
      <c r="E113" s="1480"/>
      <c r="F113" s="1839">
        <v>1071.8</v>
      </c>
      <c r="G113" s="1480"/>
      <c r="H113" s="1839">
        <v>679</v>
      </c>
      <c r="I113" s="1480"/>
      <c r="J113" s="1839">
        <v>697.30000000000041</v>
      </c>
      <c r="K113" s="2052"/>
      <c r="L113" s="1839">
        <v>853.19999999999959</v>
      </c>
      <c r="M113" s="2052"/>
      <c r="N113" s="1839">
        <v>676</v>
      </c>
      <c r="O113" s="2052"/>
      <c r="P113" s="1839">
        <v>805.2</v>
      </c>
      <c r="Q113" s="2052"/>
      <c r="R113" s="1839">
        <v>684.59999999999923</v>
      </c>
      <c r="S113" s="2052"/>
      <c r="T113" s="1839">
        <v>684.20000000000073</v>
      </c>
      <c r="U113" s="2052"/>
      <c r="V113" s="1839">
        <f t="shared" ref="V113:V115" si="19">$AC113-$D113-$F113-$H113-$J113-$L113-$N113-$P113-$R113-$T113</f>
        <v>794.00000000000023</v>
      </c>
      <c r="W113" s="2052"/>
      <c r="X113" s="1839"/>
      <c r="Y113" s="2052"/>
      <c r="Z113" s="1839"/>
      <c r="AA113" s="2053"/>
      <c r="AB113" s="2056"/>
      <c r="AC113" s="1855">
        <v>7634.1</v>
      </c>
      <c r="AD113" s="2095"/>
      <c r="AE113" s="2056" t="s">
        <v>15</v>
      </c>
      <c r="AF113" s="1855">
        <v>7405.8</v>
      </c>
      <c r="AG113" s="2060"/>
      <c r="AH113" s="2537"/>
      <c r="AI113" s="1480">
        <f>ROUND(SUM(+AC113-AF113),1)</f>
        <v>228.3</v>
      </c>
      <c r="AJ113" s="2538"/>
      <c r="AK113" s="1475">
        <f>ROUND(IF(AF113=0,0,AI113/ABS(AF113)),3)</f>
        <v>3.1E-2</v>
      </c>
    </row>
    <row r="114" spans="1:38" ht="15" customHeight="1">
      <c r="A114" s="2512"/>
      <c r="B114" s="2562" t="s">
        <v>155</v>
      </c>
      <c r="C114" s="2076"/>
      <c r="D114" s="1839">
        <v>159</v>
      </c>
      <c r="E114" s="1480"/>
      <c r="F114" s="1839">
        <v>249.2</v>
      </c>
      <c r="G114" s="1480"/>
      <c r="H114" s="1839">
        <v>218.90000000000003</v>
      </c>
      <c r="I114" s="1480"/>
      <c r="J114" s="1839">
        <v>200.89999999999998</v>
      </c>
      <c r="K114" s="2052"/>
      <c r="L114" s="1839">
        <v>211.2999999999999</v>
      </c>
      <c r="M114" s="2052"/>
      <c r="N114" s="1839">
        <v>188.90000000000003</v>
      </c>
      <c r="O114" s="2052"/>
      <c r="P114" s="1839">
        <v>256.5</v>
      </c>
      <c r="Q114" s="2052"/>
      <c r="R114" s="1839">
        <v>147.59999999999997</v>
      </c>
      <c r="S114" s="2052"/>
      <c r="T114" s="1839">
        <v>178.7999999999999</v>
      </c>
      <c r="U114" s="2052"/>
      <c r="V114" s="1839">
        <f t="shared" si="19"/>
        <v>233.59999999999991</v>
      </c>
      <c r="W114" s="2052"/>
      <c r="X114" s="1839"/>
      <c r="Y114" s="2052"/>
      <c r="Z114" s="1839"/>
      <c r="AA114" s="2053"/>
      <c r="AB114" s="2056"/>
      <c r="AC114" s="1855">
        <v>2044.7</v>
      </c>
      <c r="AD114" s="2095"/>
      <c r="AE114" s="2056" t="s">
        <v>15</v>
      </c>
      <c r="AF114" s="1855">
        <v>2090.6999999999998</v>
      </c>
      <c r="AG114" s="2060"/>
      <c r="AH114" s="2537"/>
      <c r="AI114" s="1480">
        <f>ROUND(SUM(+AC114-AF114),1)</f>
        <v>-46</v>
      </c>
      <c r="AJ114" s="2538"/>
      <c r="AK114" s="1475">
        <f>ROUND(IF(AF114=0,0,AI114/ABS(AF114)),3)</f>
        <v>-2.1999999999999999E-2</v>
      </c>
    </row>
    <row r="115" spans="1:38" ht="15" customHeight="1">
      <c r="A115" s="2512"/>
      <c r="B115" s="2562" t="s">
        <v>156</v>
      </c>
      <c r="C115" s="2076"/>
      <c r="D115" s="1839">
        <v>728.2</v>
      </c>
      <c r="E115" s="2546"/>
      <c r="F115" s="1839">
        <v>2349.3000000000002</v>
      </c>
      <c r="G115" s="2546"/>
      <c r="H115" s="1839">
        <v>364.89999999999964</v>
      </c>
      <c r="I115" s="1480"/>
      <c r="J115" s="1839">
        <v>384.80000000000018</v>
      </c>
      <c r="K115" s="2052"/>
      <c r="L115" s="1839">
        <v>422.60000000000036</v>
      </c>
      <c r="M115" s="2052"/>
      <c r="N115" s="1839">
        <v>477</v>
      </c>
      <c r="O115" s="2052"/>
      <c r="P115" s="1839">
        <v>573.39999999999964</v>
      </c>
      <c r="Q115" s="2052"/>
      <c r="R115" s="1839">
        <v>409.80000000000018</v>
      </c>
      <c r="S115" s="2052"/>
      <c r="T115" s="1839">
        <v>408.69999999999982</v>
      </c>
      <c r="U115" s="2052"/>
      <c r="V115" s="1839">
        <f t="shared" si="19"/>
        <v>447.40000000000055</v>
      </c>
      <c r="W115" s="2052"/>
      <c r="X115" s="1839"/>
      <c r="Y115" s="2052"/>
      <c r="Z115" s="1839"/>
      <c r="AA115" s="2053"/>
      <c r="AB115" s="2056"/>
      <c r="AC115" s="1855">
        <v>6566.1</v>
      </c>
      <c r="AD115" s="2095"/>
      <c r="AE115" s="2056" t="s">
        <v>15</v>
      </c>
      <c r="AF115" s="1855">
        <v>6314.8</v>
      </c>
      <c r="AG115" s="2061"/>
      <c r="AH115" s="2537"/>
      <c r="AI115" s="2553">
        <f>ROUND(SUM(+AC115-AF115),1)</f>
        <v>251.3</v>
      </c>
      <c r="AJ115" s="2538"/>
      <c r="AK115" s="1478">
        <f>ROUND(IF(AF115=0,0,AI115/ABS(AF115)),3)</f>
        <v>0.04</v>
      </c>
    </row>
    <row r="116" spans="1:38" ht="7.5" customHeight="1">
      <c r="A116" s="2512"/>
      <c r="B116" s="2098"/>
      <c r="C116" s="2076"/>
      <c r="D116" s="2555"/>
      <c r="E116" s="1480"/>
      <c r="F116" s="2555"/>
      <c r="G116" s="1480"/>
      <c r="H116" s="2555"/>
      <c r="I116" s="1480"/>
      <c r="J116" s="2556"/>
      <c r="K116" s="2060"/>
      <c r="L116" s="2059"/>
      <c r="M116" s="2060"/>
      <c r="N116" s="2059"/>
      <c r="O116" s="2060"/>
      <c r="P116" s="2105"/>
      <c r="Q116" s="2060"/>
      <c r="R116" s="2206"/>
      <c r="S116" s="2060"/>
      <c r="T116" s="2059"/>
      <c r="U116" s="2060"/>
      <c r="V116" s="2059"/>
      <c r="W116" s="2060"/>
      <c r="X116" s="2059"/>
      <c r="Y116" s="2060"/>
      <c r="Z116" s="2059"/>
      <c r="AA116" s="2067"/>
      <c r="AB116" s="2100"/>
      <c r="AC116" s="3288"/>
      <c r="AD116" s="2049"/>
      <c r="AE116" s="2051"/>
      <c r="AF116" s="2105"/>
      <c r="AG116" s="2061"/>
      <c r="AH116" s="2537"/>
      <c r="AI116" s="1480"/>
      <c r="AJ116" s="2538"/>
      <c r="AK116" s="1468"/>
    </row>
    <row r="117" spans="1:38" ht="15" customHeight="1">
      <c r="A117" s="2512"/>
      <c r="B117" s="2488" t="s">
        <v>157</v>
      </c>
      <c r="C117" s="2076"/>
      <c r="D117" s="1498">
        <f>ROUND(SUM(D113:D115)+D111,1)</f>
        <v>6046</v>
      </c>
      <c r="E117" s="1498"/>
      <c r="F117" s="1498">
        <f>ROUND(SUM(F111:F115),1)</f>
        <v>9504.6</v>
      </c>
      <c r="G117" s="1498"/>
      <c r="H117" s="1498">
        <f>ROUND(SUM(H111:H115),1)</f>
        <v>5970.3</v>
      </c>
      <c r="I117" s="1498"/>
      <c r="J117" s="2104">
        <f>ROUND(SUM(J111:J115),1)</f>
        <v>4603.6000000000004</v>
      </c>
      <c r="K117" s="1498"/>
      <c r="L117" s="1498">
        <f>ROUND(SUM(L111:L115),1)</f>
        <v>3634.9</v>
      </c>
      <c r="M117" s="1498"/>
      <c r="N117" s="1498">
        <f>ROUND(SUM(N111:N115),1)</f>
        <v>5457.9</v>
      </c>
      <c r="O117" s="1498"/>
      <c r="P117" s="2104">
        <f>ROUND(SUM(P111:P115),1)</f>
        <v>5066.1000000000004</v>
      </c>
      <c r="Q117" s="1498"/>
      <c r="R117" s="1498">
        <f>ROUND(SUM(R111:R115),1)</f>
        <v>5550.4</v>
      </c>
      <c r="S117" s="1498"/>
      <c r="T117" s="1498">
        <f>ROUND(SUM(T111:T115),1)</f>
        <v>5475.8</v>
      </c>
      <c r="U117" s="1498"/>
      <c r="V117" s="1498">
        <f>ROUND(SUM(V111:V115),1)</f>
        <v>4239.6000000000004</v>
      </c>
      <c r="W117" s="1498"/>
      <c r="X117" s="1498">
        <f>ROUND(SUM(X111:X115),1)</f>
        <v>0</v>
      </c>
      <c r="Y117" s="1498"/>
      <c r="Z117" s="1498">
        <f>ROUND(SUM(Z111:Z115),1)</f>
        <v>0</v>
      </c>
      <c r="AA117" s="2107"/>
      <c r="AB117" s="2103"/>
      <c r="AC117" s="2104">
        <f>ROUND(SUM(AC111:AC115),1)</f>
        <v>55549.2</v>
      </c>
      <c r="AD117" s="2104"/>
      <c r="AE117" s="3287"/>
      <c r="AF117" s="2104">
        <f>ROUND(SUM(AF111:AF115),1)</f>
        <v>53072.4</v>
      </c>
      <c r="AG117" s="1481"/>
      <c r="AH117" s="2542"/>
      <c r="AI117" s="1606">
        <f>ROUND(SUM(AI111:AI115),1)</f>
        <v>2476.8000000000002</v>
      </c>
      <c r="AJ117" s="1481"/>
      <c r="AK117" s="2563">
        <f>ROUND(SUM(AI117/AF117),3)</f>
        <v>4.7E-2</v>
      </c>
    </row>
    <row r="118" spans="1:38" ht="15" customHeight="1">
      <c r="A118" s="2512"/>
      <c r="B118" s="2098"/>
      <c r="C118" s="2076"/>
      <c r="D118" s="2555"/>
      <c r="E118" s="1480"/>
      <c r="F118" s="2555"/>
      <c r="G118" s="1480"/>
      <c r="H118" s="2555"/>
      <c r="I118" s="1480"/>
      <c r="J118" s="2556"/>
      <c r="K118" s="2060"/>
      <c r="L118" s="2059"/>
      <c r="M118" s="2060"/>
      <c r="N118" s="2059"/>
      <c r="O118" s="2060"/>
      <c r="P118" s="2105"/>
      <c r="Q118" s="2060"/>
      <c r="R118" s="2059"/>
      <c r="S118" s="2060"/>
      <c r="T118" s="2059"/>
      <c r="U118" s="2060"/>
      <c r="V118" s="2059"/>
      <c r="W118" s="2060"/>
      <c r="X118" s="2059"/>
      <c r="Y118" s="2060"/>
      <c r="Z118" s="2059"/>
      <c r="AA118" s="2067"/>
      <c r="AB118" s="2100"/>
      <c r="AC118" s="3288"/>
      <c r="AD118" s="2049"/>
      <c r="AE118" s="2051"/>
      <c r="AF118" s="2105"/>
      <c r="AG118" s="2061"/>
      <c r="AH118" s="2537"/>
      <c r="AI118" s="1480"/>
      <c r="AJ118" s="2538"/>
      <c r="AK118" s="1468"/>
    </row>
    <row r="119" spans="1:38" ht="15" customHeight="1">
      <c r="A119" s="2512"/>
      <c r="B119" s="2488" t="s">
        <v>158</v>
      </c>
      <c r="C119" s="2076"/>
      <c r="D119" s="1480"/>
      <c r="E119" s="1480"/>
      <c r="F119" s="1480"/>
      <c r="G119" s="1480"/>
      <c r="H119" s="1480"/>
      <c r="I119" s="1480"/>
      <c r="J119" s="2054"/>
      <c r="K119" s="2060"/>
      <c r="L119" s="2060"/>
      <c r="M119" s="2060"/>
      <c r="N119" s="2060"/>
      <c r="O119" s="2060"/>
      <c r="P119" s="2049"/>
      <c r="Q119" s="2060"/>
      <c r="R119" s="2060"/>
      <c r="S119" s="2060"/>
      <c r="T119" s="2060"/>
      <c r="U119" s="2060"/>
      <c r="V119" s="2060"/>
      <c r="W119" s="2060"/>
      <c r="X119" s="2060"/>
      <c r="Y119" s="2060"/>
      <c r="Z119" s="2060"/>
      <c r="AA119" s="1500"/>
      <c r="AB119" s="2100"/>
      <c r="AC119" s="2054"/>
      <c r="AD119" s="2049"/>
      <c r="AE119" s="2051"/>
      <c r="AF119" s="2049"/>
      <c r="AG119" s="2060"/>
      <c r="AH119" s="2537"/>
      <c r="AI119" s="1480"/>
      <c r="AJ119" s="2538"/>
      <c r="AK119" s="1468"/>
    </row>
    <row r="120" spans="1:38" ht="15" customHeight="1">
      <c r="A120" s="2512"/>
      <c r="B120" s="2488" t="s">
        <v>45</v>
      </c>
      <c r="C120" s="2076"/>
      <c r="D120" s="1498">
        <f>ROUND(SUM(D97-D117),1)</f>
        <v>512.1</v>
      </c>
      <c r="E120" s="1498"/>
      <c r="F120" s="1498">
        <f>ROUND(SUM(F97-F117),1)</f>
        <v>-7507.9</v>
      </c>
      <c r="G120" s="1498"/>
      <c r="H120" s="1498">
        <f>ROUND(SUM(H97-H117),1)</f>
        <v>-1203.3</v>
      </c>
      <c r="I120" s="1498"/>
      <c r="J120" s="2104">
        <f>ROUND(SUM(J97-J117),1)</f>
        <v>-1927.2</v>
      </c>
      <c r="K120" s="1498"/>
      <c r="L120" s="1498">
        <f>ROUND(SUM(L97-L117),1)</f>
        <v>-1358.8</v>
      </c>
      <c r="M120" s="1498"/>
      <c r="N120" s="1498">
        <f>ROUND(SUM(N97-N117),1)</f>
        <v>-610.1</v>
      </c>
      <c r="O120" s="1498"/>
      <c r="P120" s="2104">
        <f>ROUND(SUM(P97-P117),1)</f>
        <v>-2666.8</v>
      </c>
      <c r="Q120" s="1498"/>
      <c r="R120" s="1498">
        <f>ROUND(SUM(R97-R117),1)</f>
        <v>-3207</v>
      </c>
      <c r="S120" s="1498"/>
      <c r="T120" s="1498">
        <f>ROUND(SUM(T97-T117),1)</f>
        <v>-856.6</v>
      </c>
      <c r="U120" s="1498"/>
      <c r="V120" s="1498">
        <f>ROUND(SUM(V97-V117),1)</f>
        <v>-891.8</v>
      </c>
      <c r="W120" s="1498"/>
      <c r="X120" s="1498">
        <f>ROUND(SUM(X97-X117),1)</f>
        <v>0</v>
      </c>
      <c r="Y120" s="1498"/>
      <c r="Z120" s="1498">
        <f>ROUND(SUM(Z97-Z117),1)</f>
        <v>0</v>
      </c>
      <c r="AA120" s="2107"/>
      <c r="AB120" s="2103"/>
      <c r="AC120" s="2104">
        <f>ROUND(SUM(AC97-AC117),1)</f>
        <v>-19717.400000000001</v>
      </c>
      <c r="AD120" s="2104"/>
      <c r="AE120" s="3287"/>
      <c r="AF120" s="2104">
        <f>ROUND(SUM(AF97-AF117),1)</f>
        <v>-20627.8</v>
      </c>
      <c r="AG120" s="1498"/>
      <c r="AH120" s="2542"/>
      <c r="AI120" s="2106">
        <f>ROUND(SUM(+AC120-AF120),1)</f>
        <v>910.4</v>
      </c>
      <c r="AJ120" s="1481"/>
      <c r="AK120" s="2569">
        <f>-ROUND(AI120/AF120,3)</f>
        <v>4.3999999999999997E-2</v>
      </c>
    </row>
    <row r="121" spans="1:38" ht="15" customHeight="1">
      <c r="A121" s="2512"/>
      <c r="B121" s="2098"/>
      <c r="C121" s="2076"/>
      <c r="D121" s="2555"/>
      <c r="E121" s="1480"/>
      <c r="F121" s="2555"/>
      <c r="G121" s="1480"/>
      <c r="H121" s="2555"/>
      <c r="I121" s="1480"/>
      <c r="J121" s="2556"/>
      <c r="K121" s="2060"/>
      <c r="L121" s="2059"/>
      <c r="M121" s="2060"/>
      <c r="N121" s="2059"/>
      <c r="O121" s="2060"/>
      <c r="P121" s="2105"/>
      <c r="Q121" s="2060"/>
      <c r="R121" s="2059"/>
      <c r="S121" s="2060"/>
      <c r="T121" s="2059"/>
      <c r="U121" s="2060"/>
      <c r="V121" s="2059"/>
      <c r="W121" s="2060"/>
      <c r="X121" s="2059"/>
      <c r="Y121" s="2060"/>
      <c r="Z121" s="2059"/>
      <c r="AA121" s="2067"/>
      <c r="AB121" s="2100"/>
      <c r="AC121" s="3288"/>
      <c r="AD121" s="2049"/>
      <c r="AE121" s="2051"/>
      <c r="AF121" s="2105"/>
      <c r="AG121" s="2059"/>
      <c r="AH121" s="2537"/>
      <c r="AI121" s="1480"/>
      <c r="AJ121" s="2538"/>
      <c r="AK121" s="1468"/>
    </row>
    <row r="122" spans="1:38" ht="15" customHeight="1">
      <c r="A122" s="2512"/>
      <c r="B122" s="2488" t="s">
        <v>46</v>
      </c>
      <c r="C122" s="2076"/>
      <c r="D122" s="1480"/>
      <c r="E122" s="1480"/>
      <c r="F122" s="1480"/>
      <c r="G122" s="1480"/>
      <c r="H122" s="1480"/>
      <c r="I122" s="1480"/>
      <c r="J122" s="2054"/>
      <c r="K122" s="2060"/>
      <c r="L122" s="2060"/>
      <c r="M122" s="2060"/>
      <c r="N122" s="2060"/>
      <c r="O122" s="2060"/>
      <c r="P122" s="2049"/>
      <c r="Q122" s="2060"/>
      <c r="R122" s="2060"/>
      <c r="S122" s="2060"/>
      <c r="T122" s="2060"/>
      <c r="U122" s="2060"/>
      <c r="V122" s="2060"/>
      <c r="W122" s="2060"/>
      <c r="X122" s="2060"/>
      <c r="Y122" s="2060"/>
      <c r="Z122" s="2060"/>
      <c r="AA122" s="1500"/>
      <c r="AB122" s="2100"/>
      <c r="AC122" s="2054"/>
      <c r="AD122" s="2049"/>
      <c r="AE122" s="2051"/>
      <c r="AF122" s="2049"/>
      <c r="AG122" s="2060"/>
      <c r="AH122" s="2537"/>
      <c r="AI122" s="1480"/>
      <c r="AJ122" s="2538"/>
      <c r="AK122" s="1468"/>
    </row>
    <row r="123" spans="1:38" ht="15" customHeight="1">
      <c r="A123" s="2512"/>
      <c r="B123" s="2488"/>
      <c r="C123" s="2076"/>
      <c r="D123" s="1480"/>
      <c r="E123" s="1480"/>
      <c r="F123" s="1480"/>
      <c r="G123" s="1480"/>
      <c r="H123" s="1480"/>
      <c r="I123" s="1480"/>
      <c r="J123" s="2054"/>
      <c r="K123" s="2060"/>
      <c r="L123" s="2060"/>
      <c r="M123" s="2060"/>
      <c r="N123" s="2060"/>
      <c r="O123" s="2060"/>
      <c r="P123" s="2049"/>
      <c r="Q123" s="2060"/>
      <c r="R123" s="2060"/>
      <c r="S123" s="2060"/>
      <c r="T123" s="2060"/>
      <c r="U123" s="2060"/>
      <c r="V123" s="2060"/>
      <c r="W123" s="2060"/>
      <c r="X123" s="2060"/>
      <c r="Y123" s="2060"/>
      <c r="Z123" s="2060"/>
      <c r="AA123" s="1500"/>
      <c r="AB123" s="2100"/>
      <c r="AC123" s="2054"/>
      <c r="AD123" s="2049"/>
      <c r="AE123" s="2051"/>
      <c r="AF123" s="2049"/>
      <c r="AG123" s="2060"/>
      <c r="AH123" s="2537"/>
      <c r="AI123" s="1480"/>
      <c r="AJ123" s="2538"/>
      <c r="AK123" s="1468"/>
    </row>
    <row r="124" spans="1:38" ht="15" customHeight="1">
      <c r="A124" s="2512"/>
      <c r="B124" s="2564" t="s">
        <v>1002</v>
      </c>
      <c r="C124" s="2244"/>
      <c r="D124" s="1839">
        <v>4607.3</v>
      </c>
      <c r="E124" s="2054"/>
      <c r="F124" s="1839">
        <v>1126.1999999999998</v>
      </c>
      <c r="G124" s="2054"/>
      <c r="H124" s="1839">
        <v>2606</v>
      </c>
      <c r="I124" s="2054"/>
      <c r="J124" s="1839">
        <v>1658.2999999999993</v>
      </c>
      <c r="K124" s="2052"/>
      <c r="L124" s="1839">
        <v>1476.3000000000011</v>
      </c>
      <c r="M124" s="2052"/>
      <c r="N124" s="1839">
        <v>2682.7999999999975</v>
      </c>
      <c r="O124" s="2052"/>
      <c r="P124" s="1839">
        <v>1288.8000000000029</v>
      </c>
      <c r="Q124" s="2052"/>
      <c r="R124" s="1839">
        <v>960.29999999999927</v>
      </c>
      <c r="S124" s="2052"/>
      <c r="T124" s="1839">
        <v>2147.2999999999993</v>
      </c>
      <c r="U124" s="2052"/>
      <c r="V124" s="1839">
        <f t="shared" ref="V124:V131" si="20">$AC124-$D124-$F124-$H124-$J124-$L124-$N124-$P124-$R124-$T124</f>
        <v>2950.2999999999993</v>
      </c>
      <c r="W124" s="2052"/>
      <c r="X124" s="1839"/>
      <c r="Y124" s="2052"/>
      <c r="Z124" s="1839"/>
      <c r="AA124" s="2053"/>
      <c r="AB124" s="2056"/>
      <c r="AC124" s="1855">
        <v>21503.599999999999</v>
      </c>
      <c r="AD124" s="2095"/>
      <c r="AE124" s="2056" t="s">
        <v>15</v>
      </c>
      <c r="AF124" s="1855">
        <v>18654.400000000001</v>
      </c>
      <c r="AG124" s="2049"/>
      <c r="AH124" s="2537"/>
      <c r="AI124" s="1480">
        <f>ROUND(SUM(+AC124-AF124),1)</f>
        <v>2849.2</v>
      </c>
      <c r="AJ124" s="2538"/>
      <c r="AK124" s="1475">
        <f t="shared" ref="AK124:AK128" si="21">ROUND(IF(AF124=0,0,AI124/ABS(AF124)),3)</f>
        <v>0.153</v>
      </c>
    </row>
    <row r="125" spans="1:38" s="2480" customFormat="1" ht="15" customHeight="1">
      <c r="A125" s="2525"/>
      <c r="B125" s="2564" t="s">
        <v>1022</v>
      </c>
      <c r="C125" s="2244"/>
      <c r="D125" s="1839">
        <v>452</v>
      </c>
      <c r="E125" s="2054"/>
      <c r="F125" s="1839">
        <v>302.70000000000005</v>
      </c>
      <c r="G125" s="2054"/>
      <c r="H125" s="1839">
        <v>835.59999999999991</v>
      </c>
      <c r="I125" s="2054"/>
      <c r="J125" s="1839">
        <v>501.50000000000023</v>
      </c>
      <c r="K125" s="2052"/>
      <c r="L125" s="1839">
        <v>490.19999999999982</v>
      </c>
      <c r="M125" s="2052"/>
      <c r="N125" s="1839">
        <v>747.80000000000041</v>
      </c>
      <c r="O125" s="2052"/>
      <c r="P125" s="1839">
        <v>493.89999999999964</v>
      </c>
      <c r="Q125" s="2052"/>
      <c r="R125" s="1839">
        <v>494.10000000000014</v>
      </c>
      <c r="S125" s="2052"/>
      <c r="T125" s="1839">
        <v>654.19999999999982</v>
      </c>
      <c r="U125" s="2052"/>
      <c r="V125" s="1839">
        <f t="shared" si="20"/>
        <v>572.40000000000077</v>
      </c>
      <c r="W125" s="2052"/>
      <c r="X125" s="1839"/>
      <c r="Y125" s="2052"/>
      <c r="Z125" s="1839"/>
      <c r="AA125" s="2053"/>
      <c r="AB125" s="2056"/>
      <c r="AC125" s="1855">
        <v>5544.4000000000005</v>
      </c>
      <c r="AD125" s="2095"/>
      <c r="AE125" s="2056" t="s">
        <v>15</v>
      </c>
      <c r="AF125" s="1855">
        <v>5116.6000000000004</v>
      </c>
      <c r="AG125" s="2049"/>
      <c r="AH125" s="2565"/>
      <c r="AI125" s="2054">
        <f>ROUND(SUM(+AC125-AF125),1)</f>
        <v>427.8</v>
      </c>
      <c r="AJ125" s="2095"/>
      <c r="AK125" s="1774">
        <f t="shared" si="21"/>
        <v>8.4000000000000005E-2</v>
      </c>
      <c r="AL125" s="2478"/>
    </row>
    <row r="126" spans="1:38" s="2480" customFormat="1" ht="15" customHeight="1">
      <c r="A126" s="2525"/>
      <c r="B126" s="2564" t="s">
        <v>1003</v>
      </c>
      <c r="C126" s="2244"/>
      <c r="D126" s="1839">
        <v>70.3</v>
      </c>
      <c r="E126" s="2054"/>
      <c r="F126" s="1839">
        <v>86.000000000000014</v>
      </c>
      <c r="G126" s="2054"/>
      <c r="H126" s="1839">
        <v>85.399999999999963</v>
      </c>
      <c r="I126" s="2054"/>
      <c r="J126" s="1839">
        <v>114.30000000000003</v>
      </c>
      <c r="K126" s="2052"/>
      <c r="L126" s="1839">
        <v>74.100000000000009</v>
      </c>
      <c r="M126" s="2052"/>
      <c r="N126" s="1839">
        <v>80.7</v>
      </c>
      <c r="O126" s="2052"/>
      <c r="P126" s="1839">
        <v>68.599999999999952</v>
      </c>
      <c r="Q126" s="2052"/>
      <c r="R126" s="1839">
        <v>83.100000000000094</v>
      </c>
      <c r="S126" s="2052"/>
      <c r="T126" s="1839">
        <v>69.600000000000009</v>
      </c>
      <c r="U126" s="2052"/>
      <c r="V126" s="1839">
        <f t="shared" si="20"/>
        <v>78.199999999999946</v>
      </c>
      <c r="W126" s="2052"/>
      <c r="X126" s="1839"/>
      <c r="Y126" s="2052"/>
      <c r="Z126" s="1839"/>
      <c r="AA126" s="2053"/>
      <c r="AB126" s="2056"/>
      <c r="AC126" s="1855">
        <v>810.3</v>
      </c>
      <c r="AD126" s="2095"/>
      <c r="AE126" s="2056" t="s">
        <v>15</v>
      </c>
      <c r="AF126" s="1855">
        <v>832.9</v>
      </c>
      <c r="AG126" s="2049"/>
      <c r="AH126" s="2565"/>
      <c r="AI126" s="2054">
        <f>ROUND(SUM(+AC126-AF126),1)</f>
        <v>-22.6</v>
      </c>
      <c r="AJ126" s="2095"/>
      <c r="AK126" s="1774">
        <f t="shared" si="21"/>
        <v>-2.7E-2</v>
      </c>
      <c r="AL126" s="2478"/>
    </row>
    <row r="127" spans="1:38" s="2480" customFormat="1" ht="15" customHeight="1">
      <c r="A127" s="2525"/>
      <c r="B127" s="2566" t="s">
        <v>160</v>
      </c>
      <c r="C127" s="2244"/>
      <c r="D127" s="1839">
        <v>49.400000000000183</v>
      </c>
      <c r="E127" s="2054"/>
      <c r="F127" s="1839">
        <v>110.19999999999959</v>
      </c>
      <c r="G127" s="2054"/>
      <c r="H127" s="1839">
        <v>118.6</v>
      </c>
      <c r="I127" s="2054"/>
      <c r="J127" s="1839">
        <v>248.40000000000148</v>
      </c>
      <c r="K127" s="2052"/>
      <c r="L127" s="1839">
        <v>118.39999999999904</v>
      </c>
      <c r="M127" s="2052"/>
      <c r="N127" s="1839">
        <v>70.299999999999159</v>
      </c>
      <c r="O127" s="2052"/>
      <c r="P127" s="1839">
        <v>84.199999999999278</v>
      </c>
      <c r="Q127" s="2052"/>
      <c r="R127" s="1839">
        <v>67.100000000002524</v>
      </c>
      <c r="S127" s="2052"/>
      <c r="T127" s="1839">
        <v>154.59999999999795</v>
      </c>
      <c r="U127" s="2052"/>
      <c r="V127" s="1839">
        <f t="shared" si="20"/>
        <v>520.30000000000121</v>
      </c>
      <c r="W127" s="2052"/>
      <c r="X127" s="1839"/>
      <c r="Y127" s="2052"/>
      <c r="Z127" s="1839"/>
      <c r="AA127" s="2053"/>
      <c r="AB127" s="2056"/>
      <c r="AC127" s="1855">
        <v>1541.5000000000002</v>
      </c>
      <c r="AD127" s="2095"/>
      <c r="AE127" s="2056" t="s">
        <v>15</v>
      </c>
      <c r="AF127" s="1855">
        <v>1165.1999999999966</v>
      </c>
      <c r="AG127" s="2049"/>
      <c r="AH127" s="2565"/>
      <c r="AI127" s="2054">
        <f>ROUND(SUM(+AC127-AF127),1)</f>
        <v>376.3</v>
      </c>
      <c r="AJ127" s="2095"/>
      <c r="AK127" s="1779">
        <f t="shared" si="21"/>
        <v>0.32300000000000001</v>
      </c>
      <c r="AL127" s="2478"/>
    </row>
    <row r="128" spans="1:38" ht="15" customHeight="1">
      <c r="A128" s="2512" t="s">
        <v>15</v>
      </c>
      <c r="B128" s="2098" t="s">
        <v>161</v>
      </c>
      <c r="C128" s="2076"/>
      <c r="D128" s="1839">
        <v>-248.8</v>
      </c>
      <c r="E128" s="1480"/>
      <c r="F128" s="1839">
        <v>-406.3</v>
      </c>
      <c r="G128" s="1480"/>
      <c r="H128" s="1839">
        <v>-393.80000000000013</v>
      </c>
      <c r="I128" s="1480"/>
      <c r="J128" s="1839">
        <v>-201.8</v>
      </c>
      <c r="K128" s="2052"/>
      <c r="L128" s="1839">
        <v>-402.7999999999999</v>
      </c>
      <c r="M128" s="2052"/>
      <c r="N128" s="1839">
        <v>-586.90000000000009</v>
      </c>
      <c r="O128" s="2052"/>
      <c r="P128" s="1839">
        <v>812.10000000000014</v>
      </c>
      <c r="Q128" s="2052"/>
      <c r="R128" s="1839">
        <v>-394.2000000000001</v>
      </c>
      <c r="S128" s="2052"/>
      <c r="T128" s="1839">
        <v>-285.99999999999994</v>
      </c>
      <c r="U128" s="2052"/>
      <c r="V128" s="1839">
        <f t="shared" si="20"/>
        <v>-208.59999999999968</v>
      </c>
      <c r="W128" s="2052"/>
      <c r="X128" s="1839"/>
      <c r="Y128" s="2052"/>
      <c r="Z128" s="1839"/>
      <c r="AA128" s="2053"/>
      <c r="AB128" s="2056"/>
      <c r="AC128" s="1855">
        <v>-2317.1</v>
      </c>
      <c r="AD128" s="2095"/>
      <c r="AE128" s="2056" t="s">
        <v>15</v>
      </c>
      <c r="AF128" s="1855">
        <v>-1447.8</v>
      </c>
      <c r="AG128" s="2060"/>
      <c r="AH128" s="2537"/>
      <c r="AI128" s="1480">
        <f>ROUND(SUM(+AC128-AF128)*-1,1)</f>
        <v>869.3</v>
      </c>
      <c r="AJ128" s="2538"/>
      <c r="AK128" s="1518">
        <f t="shared" si="21"/>
        <v>0.6</v>
      </c>
    </row>
    <row r="129" spans="1:38" s="2480" customFormat="1" ht="15" customHeight="1">
      <c r="A129" s="2525"/>
      <c r="B129" s="2567" t="s">
        <v>1249</v>
      </c>
      <c r="C129" s="2244"/>
      <c r="D129" s="1839">
        <v>-250</v>
      </c>
      <c r="E129" s="2054"/>
      <c r="F129" s="1839">
        <v>0</v>
      </c>
      <c r="G129" s="2054"/>
      <c r="H129" s="1839">
        <v>-216.5</v>
      </c>
      <c r="I129" s="2054"/>
      <c r="J129" s="1839">
        <v>-50</v>
      </c>
      <c r="K129" s="2052"/>
      <c r="L129" s="1839">
        <v>-70</v>
      </c>
      <c r="M129" s="2052"/>
      <c r="N129" s="1839">
        <v>-116.5</v>
      </c>
      <c r="O129" s="2052"/>
      <c r="P129" s="1839">
        <v>-100</v>
      </c>
      <c r="Q129" s="2052"/>
      <c r="R129" s="1839">
        <v>-98</v>
      </c>
      <c r="S129" s="2052"/>
      <c r="T129" s="1839">
        <v>-186.5</v>
      </c>
      <c r="U129" s="2052"/>
      <c r="V129" s="1839">
        <f t="shared" si="20"/>
        <v>-100</v>
      </c>
      <c r="W129" s="2052"/>
      <c r="X129" s="1839"/>
      <c r="Y129" s="2052"/>
      <c r="Z129" s="1839"/>
      <c r="AA129" s="2053"/>
      <c r="AB129" s="2056"/>
      <c r="AC129" s="1855">
        <v>-1187.5</v>
      </c>
      <c r="AD129" s="2095"/>
      <c r="AE129" s="2056" t="s">
        <v>15</v>
      </c>
      <c r="AF129" s="1855">
        <v>-1154.5</v>
      </c>
      <c r="AG129" s="2049"/>
      <c r="AH129" s="2565"/>
      <c r="AI129" s="2054">
        <f>ROUND(SUM(+AC129-AF129)*-1,1)</f>
        <v>33</v>
      </c>
      <c r="AJ129" s="2095"/>
      <c r="AK129" s="1779">
        <f>ROUND(IF(AF129=0,1,AI129/ABS(AF129)),3)</f>
        <v>2.9000000000000001E-2</v>
      </c>
      <c r="AL129" s="2478"/>
    </row>
    <row r="130" spans="1:38" s="2480" customFormat="1" ht="15" customHeight="1">
      <c r="A130" s="2525"/>
      <c r="B130" s="2526" t="s">
        <v>162</v>
      </c>
      <c r="C130" s="2244"/>
      <c r="D130" s="1839">
        <v>-134.69999999999999</v>
      </c>
      <c r="E130" s="1480"/>
      <c r="F130" s="1839">
        <v>-10.700000000000017</v>
      </c>
      <c r="G130" s="1480"/>
      <c r="H130" s="1839">
        <v>7</v>
      </c>
      <c r="I130" s="1480"/>
      <c r="J130" s="1839">
        <v>-132.1</v>
      </c>
      <c r="K130" s="2052"/>
      <c r="L130" s="1839">
        <v>16.599999999999994</v>
      </c>
      <c r="M130" s="2052"/>
      <c r="N130" s="1839">
        <v>28.200000000000017</v>
      </c>
      <c r="O130" s="2052"/>
      <c r="P130" s="1839">
        <v>-129.90000000000003</v>
      </c>
      <c r="Q130" s="2052"/>
      <c r="R130" s="1839">
        <v>20.200000000000045</v>
      </c>
      <c r="S130" s="2052"/>
      <c r="T130" s="1839">
        <v>-5.2000000000000455</v>
      </c>
      <c r="U130" s="2052"/>
      <c r="V130" s="1839">
        <f t="shared" si="20"/>
        <v>-213.40000000000003</v>
      </c>
      <c r="W130" s="2052"/>
      <c r="X130" s="1839"/>
      <c r="Y130" s="2052"/>
      <c r="Z130" s="1839"/>
      <c r="AA130" s="2053"/>
      <c r="AB130" s="2056"/>
      <c r="AC130" s="1855">
        <v>-554</v>
      </c>
      <c r="AD130" s="2095"/>
      <c r="AE130" s="2056" t="s">
        <v>15</v>
      </c>
      <c r="AF130" s="1855">
        <v>-796.59999999999991</v>
      </c>
      <c r="AG130" s="2049"/>
      <c r="AH130" s="2565"/>
      <c r="AI130" s="2054">
        <f>ROUND(SUM(+AC130-AF130)*-1,1)</f>
        <v>-242.6</v>
      </c>
      <c r="AJ130" s="2095"/>
      <c r="AK130" s="1774">
        <f>ROUND(IF(AF130=0,0,AI130/ABS(AF130)),3)</f>
        <v>-0.30499999999999999</v>
      </c>
      <c r="AL130" s="2478"/>
    </row>
    <row r="131" spans="1:38" s="2480" customFormat="1" ht="15" customHeight="1">
      <c r="A131" s="2525"/>
      <c r="B131" s="2526" t="s">
        <v>163</v>
      </c>
      <c r="C131" s="2244"/>
      <c r="D131" s="1839">
        <v>-294.60000000000002</v>
      </c>
      <c r="E131" s="2054"/>
      <c r="F131" s="1839">
        <v>-447.30000000000007</v>
      </c>
      <c r="G131" s="2054"/>
      <c r="H131" s="1839">
        <v>-467.59999999999991</v>
      </c>
      <c r="I131" s="2054"/>
      <c r="J131" s="1839">
        <v>-190.10000000000002</v>
      </c>
      <c r="K131" s="2052"/>
      <c r="L131" s="1839">
        <v>-71.900000000000091</v>
      </c>
      <c r="M131" s="2052"/>
      <c r="N131" s="1839">
        <v>-132.90000000000055</v>
      </c>
      <c r="O131" s="2052"/>
      <c r="P131" s="1839">
        <v>-85.499999999999545</v>
      </c>
      <c r="Q131" s="2052"/>
      <c r="R131" s="1839">
        <v>-169.39999999999952</v>
      </c>
      <c r="S131" s="2052"/>
      <c r="T131" s="1839">
        <v>-83.100000000000364</v>
      </c>
      <c r="U131" s="2052"/>
      <c r="V131" s="1839">
        <f t="shared" si="20"/>
        <v>-69.100000000000364</v>
      </c>
      <c r="W131" s="2052"/>
      <c r="X131" s="1839"/>
      <c r="Y131" s="2052"/>
      <c r="Z131" s="1839"/>
      <c r="AA131" s="2053"/>
      <c r="AB131" s="2056"/>
      <c r="AC131" s="1855">
        <v>-2011.5000000000005</v>
      </c>
      <c r="AD131" s="2095"/>
      <c r="AE131" s="2056" t="s">
        <v>15</v>
      </c>
      <c r="AF131" s="1855">
        <v>-1719.9</v>
      </c>
      <c r="AG131" s="2030"/>
      <c r="AH131" s="2565"/>
      <c r="AI131" s="2568">
        <f>ROUND(SUM(+AC131-AF131)*-1,1)</f>
        <v>291.60000000000002</v>
      </c>
      <c r="AJ131" s="2095"/>
      <c r="AK131" s="1862">
        <f>ROUND(IF(AF131=0,0,AI131/ABS(AF131)),3)</f>
        <v>0.17</v>
      </c>
      <c r="AL131" s="2478"/>
    </row>
    <row r="132" spans="1:38" ht="5.0999999999999996" customHeight="1">
      <c r="A132" s="2512"/>
      <c r="B132" s="2526"/>
      <c r="C132" s="2244"/>
      <c r="D132" s="2105"/>
      <c r="E132" s="2049"/>
      <c r="F132" s="2105"/>
      <c r="G132" s="2049"/>
      <c r="H132" s="2105" t="s">
        <v>15</v>
      </c>
      <c r="I132" s="2049"/>
      <c r="J132" s="2105"/>
      <c r="K132" s="2049"/>
      <c r="L132" s="2105"/>
      <c r="M132" s="2049"/>
      <c r="N132" s="2105"/>
      <c r="O132" s="2049"/>
      <c r="P132" s="2105"/>
      <c r="Q132" s="2049"/>
      <c r="R132" s="2105"/>
      <c r="S132" s="2049"/>
      <c r="T132" s="2105"/>
      <c r="U132" s="2049"/>
      <c r="V132" s="2105"/>
      <c r="W132" s="2049"/>
      <c r="X132" s="2105"/>
      <c r="Y132" s="2049"/>
      <c r="Z132" s="2105"/>
      <c r="AA132" s="2072"/>
      <c r="AB132" s="2101"/>
      <c r="AC132" s="3288"/>
      <c r="AD132" s="2049"/>
      <c r="AE132" s="2051"/>
      <c r="AF132" s="2105"/>
      <c r="AG132" s="2030"/>
      <c r="AH132" s="2537"/>
      <c r="AI132" s="1480"/>
      <c r="AJ132" s="2538"/>
      <c r="AK132" s="1468"/>
    </row>
    <row r="133" spans="1:38" ht="15" customHeight="1">
      <c r="A133" s="2512"/>
      <c r="B133" s="2488" t="s">
        <v>164</v>
      </c>
      <c r="C133" s="2076"/>
      <c r="D133" s="2060"/>
      <c r="E133" s="2060"/>
      <c r="F133" s="2060"/>
      <c r="G133" s="2060"/>
      <c r="H133" s="2060"/>
      <c r="I133" s="2060"/>
      <c r="J133" s="2049"/>
      <c r="K133" s="2060"/>
      <c r="L133" s="2060"/>
      <c r="M133" s="2060"/>
      <c r="N133" s="2060"/>
      <c r="O133" s="2060"/>
      <c r="P133" s="2049"/>
      <c r="Q133" s="2060"/>
      <c r="R133" s="2060"/>
      <c r="S133" s="2060"/>
      <c r="T133" s="2060"/>
      <c r="U133" s="2060"/>
      <c r="V133" s="2060"/>
      <c r="W133" s="2060"/>
      <c r="X133" s="2060"/>
      <c r="Y133" s="1500"/>
      <c r="Z133" s="1500"/>
      <c r="AA133" s="1500"/>
      <c r="AB133" s="2100"/>
      <c r="AC133" s="2054"/>
      <c r="AD133" s="2049"/>
      <c r="AE133" s="2051"/>
      <c r="AF133" s="2049"/>
      <c r="AG133" s="2060"/>
      <c r="AH133" s="2537"/>
      <c r="AI133" s="1480"/>
      <c r="AJ133" s="2538"/>
      <c r="AK133" s="1468"/>
    </row>
    <row r="134" spans="1:38" ht="15" customHeight="1">
      <c r="A134" s="2512"/>
      <c r="B134" s="2488" t="s">
        <v>165</v>
      </c>
      <c r="C134" s="2076"/>
      <c r="D134" s="1498">
        <f>ROUND(SUM(D124:D132),1)</f>
        <v>4250.8999999999996</v>
      </c>
      <c r="E134" s="1498"/>
      <c r="F134" s="1498">
        <f>ROUND(SUM(F124:F132),1)</f>
        <v>760.8</v>
      </c>
      <c r="G134" s="1498"/>
      <c r="H134" s="1498">
        <f>ROUND(SUM(H124:H132),1)</f>
        <v>2574.6999999999998</v>
      </c>
      <c r="I134" s="1498"/>
      <c r="J134" s="2104">
        <f>ROUND(SUM(J124:J131),1)</f>
        <v>1948.5</v>
      </c>
      <c r="K134" s="1498"/>
      <c r="L134" s="1498">
        <f>ROUND(SUM(L124:L131),1)</f>
        <v>1630.9</v>
      </c>
      <c r="M134" s="1498"/>
      <c r="N134" s="1498">
        <f>ROUND(SUM(N124:N131),1)</f>
        <v>2773.5</v>
      </c>
      <c r="O134" s="1498"/>
      <c r="P134" s="2104">
        <f>ROUND(SUM(P124:P131),1)</f>
        <v>2432.1999999999998</v>
      </c>
      <c r="Q134" s="1498"/>
      <c r="R134" s="1498">
        <f>ROUND(SUM(R124:R131),1)</f>
        <v>963.2</v>
      </c>
      <c r="S134" s="1498"/>
      <c r="T134" s="1498">
        <f>ROUND(SUM(T124:T131),1)</f>
        <v>2464.9</v>
      </c>
      <c r="U134" s="1498"/>
      <c r="V134" s="1498">
        <f>ROUND(SUM(V124:V131),1)</f>
        <v>3530.1</v>
      </c>
      <c r="W134" s="1498"/>
      <c r="X134" s="1498">
        <f>ROUND(SUM(X124:X131),1)</f>
        <v>0</v>
      </c>
      <c r="Y134" s="2064"/>
      <c r="Z134" s="1498">
        <f>ROUND(SUM(Z124:Z131),1)</f>
        <v>0</v>
      </c>
      <c r="AA134" s="2107"/>
      <c r="AB134" s="2103"/>
      <c r="AC134" s="2104">
        <f>ROUND(SUM(AC124:AC131),1)</f>
        <v>23329.7</v>
      </c>
      <c r="AD134" s="2104"/>
      <c r="AE134" s="3287"/>
      <c r="AF134" s="2104">
        <f>ROUND(SUM(AF124:AF131),1)</f>
        <v>20650.3</v>
      </c>
      <c r="AG134" s="1481"/>
      <c r="AH134" s="2542"/>
      <c r="AI134" s="2106">
        <f>ROUND(SUM(+AC134-AF134),1)</f>
        <v>2679.4</v>
      </c>
      <c r="AJ134" s="1481"/>
      <c r="AK134" s="2569">
        <f>ROUND(SUM(+AI134/AF134),3)</f>
        <v>0.13</v>
      </c>
    </row>
    <row r="135" spans="1:38" ht="15" customHeight="1">
      <c r="A135" s="2512"/>
      <c r="B135" s="2098"/>
      <c r="C135" s="2076"/>
      <c r="D135" s="2059"/>
      <c r="E135" s="2060"/>
      <c r="F135" s="2059"/>
      <c r="G135" s="2060"/>
      <c r="H135" s="2059"/>
      <c r="I135" s="2060"/>
      <c r="J135" s="2105"/>
      <c r="K135" s="2060"/>
      <c r="L135" s="2059"/>
      <c r="M135" s="2060"/>
      <c r="N135" s="2059"/>
      <c r="O135" s="2060"/>
      <c r="P135" s="2105"/>
      <c r="Q135" s="2060"/>
      <c r="R135" s="2059"/>
      <c r="S135" s="2060"/>
      <c r="T135" s="2059"/>
      <c r="U135" s="2060"/>
      <c r="V135" s="2059"/>
      <c r="W135" s="2060"/>
      <c r="X135" s="2059"/>
      <c r="Y135" s="1500"/>
      <c r="Z135" s="1505"/>
      <c r="AA135" s="2067"/>
      <c r="AB135" s="2100"/>
      <c r="AC135" s="3288"/>
      <c r="AD135" s="2049"/>
      <c r="AE135" s="2051"/>
      <c r="AF135" s="2105"/>
      <c r="AG135" s="2061"/>
      <c r="AH135" s="2537"/>
      <c r="AI135" s="2570"/>
      <c r="AJ135" s="2571"/>
      <c r="AK135" s="1486"/>
    </row>
    <row r="136" spans="1:38" ht="15" customHeight="1">
      <c r="A136" s="2512"/>
      <c r="B136" s="2488" t="s">
        <v>166</v>
      </c>
      <c r="C136" s="2076"/>
      <c r="D136" s="2060"/>
      <c r="E136" s="2060"/>
      <c r="F136" s="2060"/>
      <c r="G136" s="2060"/>
      <c r="H136" s="2060"/>
      <c r="I136" s="2060"/>
      <c r="J136" s="2049"/>
      <c r="K136" s="2060"/>
      <c r="L136" s="2060"/>
      <c r="M136" s="2060"/>
      <c r="N136" s="2060"/>
      <c r="O136" s="2060"/>
      <c r="P136" s="2049"/>
      <c r="Q136" s="2060"/>
      <c r="R136" s="2060"/>
      <c r="S136" s="2060"/>
      <c r="T136" s="2060"/>
      <c r="U136" s="2060"/>
      <c r="V136" s="2060"/>
      <c r="W136" s="2060"/>
      <c r="X136" s="2060"/>
      <c r="Y136" s="1500"/>
      <c r="Z136" s="1500"/>
      <c r="AA136" s="1500"/>
      <c r="AB136" s="2100"/>
      <c r="AC136" s="2054"/>
      <c r="AD136" s="2049"/>
      <c r="AE136" s="2051"/>
      <c r="AF136" s="2049"/>
      <c r="AG136" s="2060"/>
      <c r="AH136" s="2537"/>
      <c r="AI136" s="2570"/>
      <c r="AJ136" s="2571"/>
      <c r="AK136" s="1486"/>
    </row>
    <row r="137" spans="1:38" ht="15" customHeight="1">
      <c r="A137" s="2512"/>
      <c r="B137" s="2488" t="s">
        <v>167</v>
      </c>
      <c r="C137" s="2076"/>
      <c r="D137" s="2060"/>
      <c r="E137" s="2060"/>
      <c r="F137" s="2060"/>
      <c r="G137" s="2060"/>
      <c r="H137" s="2060"/>
      <c r="I137" s="2060"/>
      <c r="J137" s="2049"/>
      <c r="K137" s="2060"/>
      <c r="L137" s="2060"/>
      <c r="M137" s="2060"/>
      <c r="N137" s="2060"/>
      <c r="O137" s="2060"/>
      <c r="P137" s="2049"/>
      <c r="Q137" s="2060"/>
      <c r="R137" s="2060"/>
      <c r="S137" s="2060"/>
      <c r="T137" s="2060"/>
      <c r="U137" s="2060"/>
      <c r="V137" s="2060"/>
      <c r="W137" s="2060"/>
      <c r="X137" s="2060"/>
      <c r="Y137" s="1500"/>
      <c r="Z137" s="1500"/>
      <c r="AA137" s="1500"/>
      <c r="AB137" s="2100"/>
      <c r="AC137" s="2054"/>
      <c r="AD137" s="2049"/>
      <c r="AE137" s="2051"/>
      <c r="AF137" s="2049"/>
      <c r="AG137" s="2060"/>
      <c r="AH137" s="2537"/>
      <c r="AI137" s="2570"/>
      <c r="AJ137" s="2571"/>
      <c r="AK137" s="1486"/>
    </row>
    <row r="138" spans="1:38" ht="15" customHeight="1">
      <c r="A138" s="2512"/>
      <c r="B138" s="2488" t="s">
        <v>168</v>
      </c>
      <c r="C138" s="2076"/>
      <c r="D138" s="1498">
        <f>ROUND(SUM(D120+D134),1)</f>
        <v>4763</v>
      </c>
      <c r="E138" s="1498"/>
      <c r="F138" s="1498">
        <f>ROUND(SUM(F120+F134),1)</f>
        <v>-6747.1</v>
      </c>
      <c r="G138" s="1498"/>
      <c r="H138" s="1498">
        <f>ROUND(SUM(H120+H134),1)</f>
        <v>1371.4</v>
      </c>
      <c r="I138" s="1498"/>
      <c r="J138" s="2104">
        <f>ROUND(SUM(J120+J134),1)</f>
        <v>21.3</v>
      </c>
      <c r="K138" s="1498"/>
      <c r="L138" s="1498">
        <f>ROUND(SUM(L120+L134),1)</f>
        <v>272.10000000000002</v>
      </c>
      <c r="M138" s="1498"/>
      <c r="N138" s="1498">
        <f>ROUND(SUM(N120+N134),1)</f>
        <v>2163.4</v>
      </c>
      <c r="O138" s="1498"/>
      <c r="P138" s="2104">
        <f>ROUND(SUM(P120+P134),1)</f>
        <v>-234.6</v>
      </c>
      <c r="Q138" s="1498"/>
      <c r="R138" s="1498">
        <f>ROUND(SUM(R120+R134),1)</f>
        <v>-2243.8000000000002</v>
      </c>
      <c r="S138" s="2060"/>
      <c r="T138" s="1498">
        <f>ROUND(SUM(T120+T134),1)</f>
        <v>1608.3</v>
      </c>
      <c r="U138" s="2060"/>
      <c r="V138" s="1498">
        <f>ROUND(SUM(V120+V134),1)</f>
        <v>2638.3</v>
      </c>
      <c r="W138" s="2060"/>
      <c r="X138" s="1498">
        <f>ROUND(SUM(X120+X134),1)</f>
        <v>0</v>
      </c>
      <c r="Y138" s="1500"/>
      <c r="Z138" s="2106">
        <f>ROUND(SUM(Z120+Z134),1)</f>
        <v>0</v>
      </c>
      <c r="AA138" s="2067"/>
      <c r="AB138" s="2100"/>
      <c r="AC138" s="2104">
        <f>ROUND(SUM(AC120+AC134),1)</f>
        <v>3612.3</v>
      </c>
      <c r="AD138" s="2104"/>
      <c r="AE138" s="3287"/>
      <c r="AF138" s="2104">
        <f>ROUND(SUM(AF120+AF134),1)</f>
        <v>22.5</v>
      </c>
      <c r="AG138" s="1481"/>
      <c r="AH138" s="2542"/>
      <c r="AI138" s="2106">
        <f>ROUND(SUM(+AC138-AF138),1)</f>
        <v>3589.8</v>
      </c>
      <c r="AJ138" s="2572"/>
      <c r="AK138" s="2573">
        <f>ROUND(SUM(AI138/AF138),3)</f>
        <v>159.547</v>
      </c>
    </row>
    <row r="139" spans="1:38" ht="9" customHeight="1">
      <c r="A139" s="2512"/>
      <c r="B139" s="2098"/>
      <c r="C139" s="2076"/>
      <c r="D139" s="1505"/>
      <c r="E139" s="2098"/>
      <c r="F139" s="2510"/>
      <c r="G139" s="2098"/>
      <c r="H139" s="2509"/>
      <c r="I139" s="2098"/>
      <c r="J139" s="2105"/>
      <c r="K139" s="2098"/>
      <c r="L139" s="2509"/>
      <c r="M139" s="2098"/>
      <c r="N139" s="2509"/>
      <c r="O139" s="2098"/>
      <c r="P139" s="3183"/>
      <c r="Q139" s="2098"/>
      <c r="R139" s="2509"/>
      <c r="S139" s="2098"/>
      <c r="T139" s="2509"/>
      <c r="U139" s="2098"/>
      <c r="V139" s="2509"/>
      <c r="W139" s="2098"/>
      <c r="X139" s="2509"/>
      <c r="Y139" s="2098"/>
      <c r="Z139" s="2075"/>
      <c r="AA139" s="2075"/>
      <c r="AB139" s="2100"/>
      <c r="AC139" s="3288"/>
      <c r="AD139" s="2049"/>
      <c r="AE139" s="2051"/>
      <c r="AF139" s="2105"/>
      <c r="AG139" s="2061"/>
      <c r="AH139" s="2537"/>
      <c r="AI139" s="2555"/>
      <c r="AJ139" s="2571"/>
      <c r="AK139" s="2574"/>
    </row>
    <row r="140" spans="1:38" ht="15" customHeight="1" thickBot="1">
      <c r="A140" s="2512"/>
      <c r="B140" s="2523" t="s">
        <v>142</v>
      </c>
      <c r="C140" s="2244"/>
      <c r="D140" s="2575">
        <f>ROUND(SUM(D12+D138),1)</f>
        <v>11968.7</v>
      </c>
      <c r="E140" s="2576"/>
      <c r="F140" s="2575">
        <f>ROUND(SUM(F12+F138),1)</f>
        <v>5221.6000000000004</v>
      </c>
      <c r="G140" s="2518"/>
      <c r="H140" s="2575">
        <f>ROUND(SUM(H12+H138),1)</f>
        <v>6593</v>
      </c>
      <c r="I140" s="2518"/>
      <c r="J140" s="2575">
        <f>ROUND(SUM(J12+J138),1)</f>
        <v>6614.3</v>
      </c>
      <c r="K140" s="2518"/>
      <c r="L140" s="2575">
        <f>ROUND(SUM(L12+L138),1)</f>
        <v>6886.4</v>
      </c>
      <c r="M140" s="2518"/>
      <c r="N140" s="2575">
        <f>ROUND(SUM(N12+N138),1)</f>
        <v>9049.7999999999993</v>
      </c>
      <c r="O140" s="2518"/>
      <c r="P140" s="2575">
        <f>ROUND(SUM(P12+P138),1)</f>
        <v>8815.2000000000007</v>
      </c>
      <c r="Q140" s="2518"/>
      <c r="R140" s="2575">
        <f>ROUND(SUM(R12+R138),1)</f>
        <v>6571.4</v>
      </c>
      <c r="S140" s="2518"/>
      <c r="T140" s="2575">
        <f>ROUND(SUM(T12+T138),1)</f>
        <v>8179.7</v>
      </c>
      <c r="U140" s="2518"/>
      <c r="V140" s="2575">
        <f>ROUND(SUM(V12+V138),1)</f>
        <v>10818</v>
      </c>
      <c r="W140" s="2518"/>
      <c r="X140" s="2575">
        <f>ROUND(SUM(X12+X138),1)</f>
        <v>0</v>
      </c>
      <c r="Y140" s="2518"/>
      <c r="Z140" s="2575">
        <f>ROUND(SUM(Z12+Z138),1)</f>
        <v>0</v>
      </c>
      <c r="AA140" s="2576"/>
      <c r="AB140" s="2577"/>
      <c r="AC140" s="2248">
        <f>ROUND(SUM(AC12+AC138),1)</f>
        <v>10818</v>
      </c>
      <c r="AD140" s="2104"/>
      <c r="AE140" s="3287"/>
      <c r="AF140" s="2575">
        <f>ROUND(SUM(AF12+AF138),1)</f>
        <v>9467.5</v>
      </c>
      <c r="AG140" s="2578"/>
      <c r="AH140" s="2519"/>
      <c r="AI140" s="2579">
        <f>ROUND(SUM(+AC140-AF140),1)</f>
        <v>1350.5</v>
      </c>
      <c r="AJ140" s="2572"/>
      <c r="AK140" s="2580">
        <f>ROUND(SUM(+AI140/AF140),3)</f>
        <v>0.14299999999999999</v>
      </c>
    </row>
    <row r="141" spans="1:38" ht="15" customHeight="1" thickTop="1">
      <c r="A141" s="2512"/>
      <c r="B141" s="2098"/>
      <c r="C141" s="2076"/>
      <c r="D141" s="2075"/>
      <c r="E141" s="2581"/>
      <c r="F141" s="2582"/>
      <c r="G141" s="2581"/>
      <c r="H141" s="2075"/>
      <c r="I141" s="2581"/>
      <c r="J141" s="2030"/>
      <c r="K141" s="2581"/>
      <c r="L141" s="2075"/>
      <c r="M141" s="2581"/>
      <c r="N141" s="2075"/>
      <c r="O141" s="2581"/>
      <c r="P141" s="2243"/>
      <c r="Q141" s="2581"/>
      <c r="R141" s="2075"/>
      <c r="S141" s="2581"/>
      <c r="T141" s="2075"/>
      <c r="U141" s="2581"/>
      <c r="V141" s="2075"/>
      <c r="W141" s="2581"/>
      <c r="X141" s="2075"/>
      <c r="Y141" s="2581"/>
      <c r="Z141" s="2075"/>
      <c r="AA141" s="2075"/>
      <c r="AB141" s="2581"/>
      <c r="AC141" s="2030"/>
      <c r="AD141" s="2030"/>
      <c r="AE141" s="2030"/>
      <c r="AF141" s="2030"/>
      <c r="AG141" s="2061"/>
      <c r="AH141" s="2583"/>
      <c r="AI141" s="2570"/>
      <c r="AJ141" s="2571"/>
      <c r="AK141" s="1486"/>
    </row>
    <row r="142" spans="1:38" ht="15" customHeight="1">
      <c r="A142" s="2512"/>
      <c r="B142" s="2098" t="s">
        <v>15</v>
      </c>
      <c r="C142" s="2076"/>
      <c r="D142" s="2075"/>
      <c r="E142" s="2098"/>
      <c r="F142" s="2582"/>
      <c r="G142" s="2098"/>
      <c r="H142" s="2075"/>
      <c r="I142" s="2098"/>
      <c r="J142" s="2030"/>
      <c r="K142" s="2098"/>
      <c r="L142" s="2075"/>
      <c r="M142" s="2098"/>
      <c r="N142" s="2075"/>
      <c r="O142" s="2098"/>
      <c r="P142" s="2243"/>
      <c r="Q142" s="2098"/>
      <c r="R142" s="2075"/>
      <c r="S142" s="2098"/>
      <c r="T142" s="2075"/>
      <c r="U142" s="2098"/>
      <c r="V142" s="2075"/>
      <c r="W142" s="2098"/>
      <c r="X142" s="2075"/>
      <c r="Y142" s="2098"/>
      <c r="Z142" s="2075"/>
      <c r="AA142" s="2075"/>
      <c r="AB142" s="2098"/>
      <c r="AC142" s="2030"/>
      <c r="AD142" s="2049"/>
      <c r="AE142" s="2049"/>
      <c r="AF142" s="2030"/>
      <c r="AG142" s="2061"/>
      <c r="AH142" s="2584"/>
      <c r="AI142" s="2570"/>
      <c r="AJ142" s="2571"/>
      <c r="AK142" s="1486"/>
    </row>
    <row r="143" spans="1:38" ht="15" customHeight="1">
      <c r="A143" s="2512"/>
      <c r="B143" s="2098"/>
      <c r="C143" s="2076"/>
      <c r="D143" s="2075"/>
      <c r="E143" s="2098"/>
      <c r="F143" s="2582"/>
      <c r="G143" s="2098"/>
      <c r="H143" s="2075"/>
      <c r="I143" s="2098"/>
      <c r="J143" s="2030"/>
      <c r="K143" s="2098"/>
      <c r="L143" s="2075"/>
      <c r="M143" s="2098"/>
      <c r="N143" s="2075"/>
      <c r="O143" s="2098"/>
      <c r="P143" s="2243"/>
      <c r="Q143" s="2098"/>
      <c r="R143" s="2075"/>
      <c r="S143" s="2098"/>
      <c r="T143" s="2075"/>
      <c r="U143" s="2098"/>
      <c r="V143" s="2075"/>
      <c r="W143" s="2098"/>
      <c r="X143" s="2075"/>
      <c r="Y143" s="2098"/>
      <c r="Z143" s="2075"/>
      <c r="AA143" s="2075"/>
      <c r="AB143" s="2098"/>
      <c r="AC143" s="22"/>
      <c r="AD143" s="2049"/>
      <c r="AE143" s="2049"/>
      <c r="AF143" s="2030"/>
      <c r="AG143" s="2061"/>
      <c r="AH143" s="2584"/>
      <c r="AI143" s="2570"/>
      <c r="AJ143" s="2571"/>
      <c r="AK143" s="1486"/>
    </row>
    <row r="144" spans="1:38" ht="15" customHeight="1">
      <c r="A144" s="2483"/>
      <c r="B144" s="2585"/>
      <c r="C144" s="2586"/>
      <c r="D144" s="2586"/>
      <c r="E144" s="2587"/>
      <c r="F144" s="2587"/>
      <c r="G144" s="2587"/>
      <c r="H144" s="2076"/>
      <c r="I144" s="2076"/>
      <c r="J144" s="2049"/>
      <c r="K144" s="2076"/>
      <c r="L144" s="2076"/>
      <c r="M144" s="2076"/>
      <c r="N144" s="2076"/>
      <c r="O144" s="2076"/>
      <c r="P144" s="2244"/>
      <c r="Q144" s="2076"/>
      <c r="R144" s="2076"/>
      <c r="S144" s="2076"/>
      <c r="T144" s="2076"/>
      <c r="U144" s="2076"/>
      <c r="V144" s="2076"/>
      <c r="W144" s="2076"/>
      <c r="X144" s="2076"/>
      <c r="Y144" s="2076"/>
      <c r="Z144" s="2076"/>
      <c r="AA144" s="2076"/>
      <c r="AB144" s="2076"/>
      <c r="AC144" s="2049"/>
      <c r="AD144" s="2049"/>
      <c r="AE144" s="2049"/>
      <c r="AF144" s="2049"/>
      <c r="AG144" s="2060"/>
      <c r="AH144" s="2588"/>
      <c r="AI144" s="1480"/>
      <c r="AJ144" s="2538"/>
      <c r="AK144" s="1468"/>
    </row>
    <row r="145" spans="1:37" ht="14.1" customHeight="1">
      <c r="A145" s="2483"/>
      <c r="B145" s="2585"/>
      <c r="C145" s="2586"/>
      <c r="D145" s="2586"/>
      <c r="E145" s="2587"/>
      <c r="F145" s="2587"/>
      <c r="G145" s="2587"/>
      <c r="H145" s="2076"/>
      <c r="I145" s="2076"/>
      <c r="J145" s="2049"/>
      <c r="K145" s="2076"/>
      <c r="L145" s="2076"/>
      <c r="M145" s="2076"/>
      <c r="N145" s="2076"/>
      <c r="O145" s="2076"/>
      <c r="P145" s="2244"/>
      <c r="Q145" s="2076"/>
      <c r="R145" s="2076"/>
      <c r="S145" s="2076"/>
      <c r="T145" s="2076"/>
      <c r="U145" s="2076"/>
      <c r="V145" s="2076"/>
      <c r="W145" s="2076"/>
      <c r="X145" s="2076"/>
      <c r="Y145" s="2076"/>
      <c r="Z145" s="2076"/>
      <c r="AA145" s="2076"/>
      <c r="AB145" s="2076"/>
      <c r="AC145" s="2049"/>
      <c r="AD145" s="2049"/>
      <c r="AE145" s="2049"/>
      <c r="AF145" s="2049"/>
      <c r="AG145" s="2060"/>
      <c r="AH145" s="2588"/>
      <c r="AI145" s="1480"/>
      <c r="AJ145" s="2538"/>
      <c r="AK145" s="1468"/>
    </row>
    <row r="146" spans="1:37" ht="15" customHeight="1">
      <c r="A146" s="2483"/>
      <c r="B146" s="2585"/>
      <c r="C146" s="2586"/>
      <c r="D146" s="2586"/>
      <c r="E146" s="2587"/>
      <c r="F146" s="2587"/>
      <c r="G146" s="2587"/>
      <c r="H146" s="2076"/>
      <c r="I146" s="2076"/>
      <c r="J146" s="2049"/>
      <c r="K146" s="2076"/>
      <c r="L146" s="2076"/>
      <c r="M146" s="2076"/>
      <c r="N146" s="2076"/>
      <c r="O146" s="2076"/>
      <c r="P146" s="2244"/>
      <c r="Q146" s="2076"/>
      <c r="R146" s="2076"/>
      <c r="S146" s="2076"/>
      <c r="T146" s="2076"/>
      <c r="U146" s="2076"/>
      <c r="V146" s="2076"/>
      <c r="W146" s="2076"/>
      <c r="X146" s="2076"/>
      <c r="Y146" s="2076"/>
      <c r="Z146" s="2076"/>
      <c r="AA146" s="2076"/>
      <c r="AB146" s="2076"/>
      <c r="AC146" s="2049"/>
      <c r="AD146" s="2049"/>
      <c r="AE146" s="2049"/>
      <c r="AF146" s="2049"/>
      <c r="AG146" s="2060"/>
      <c r="AH146" s="2588"/>
      <c r="AI146" s="1480"/>
      <c r="AJ146" s="2538"/>
      <c r="AK146" s="1468"/>
    </row>
    <row r="147" spans="1:37" ht="15.75" customHeight="1">
      <c r="A147" s="2483"/>
      <c r="B147" s="2585"/>
      <c r="C147" s="2586"/>
      <c r="D147" s="2586"/>
      <c r="E147" s="2587"/>
      <c r="F147" s="2587"/>
      <c r="G147" s="2587"/>
      <c r="H147" s="2076"/>
      <c r="I147" s="2076"/>
      <c r="J147" s="2049"/>
      <c r="K147" s="2076"/>
      <c r="L147" s="2076"/>
      <c r="M147" s="2076"/>
      <c r="N147" s="2076"/>
      <c r="O147" s="2076"/>
      <c r="P147" s="2244"/>
      <c r="Q147" s="2076"/>
      <c r="R147" s="2076"/>
      <c r="S147" s="2076"/>
      <c r="T147" s="2076"/>
      <c r="U147" s="2076"/>
      <c r="V147" s="2076"/>
      <c r="W147" s="2076"/>
      <c r="X147" s="2076"/>
      <c r="Y147" s="2076"/>
      <c r="Z147" s="2076"/>
      <c r="AA147" s="2076"/>
      <c r="AB147" s="2076"/>
      <c r="AC147" s="2049"/>
      <c r="AD147" s="2049"/>
      <c r="AE147" s="2049"/>
      <c r="AF147" s="2049"/>
      <c r="AG147" s="2060"/>
      <c r="AH147" s="2588"/>
      <c r="AI147" s="1480"/>
      <c r="AJ147" s="2538"/>
      <c r="AK147" s="1468"/>
    </row>
    <row r="148" spans="1:37" ht="14.25" customHeight="1">
      <c r="A148" s="2483"/>
      <c r="B148" s="2585"/>
      <c r="C148" s="2586"/>
      <c r="D148" s="2586"/>
      <c r="E148" s="2587"/>
      <c r="F148" s="2587"/>
      <c r="G148" s="2587"/>
      <c r="H148" s="2076"/>
      <c r="I148" s="2076"/>
      <c r="J148" s="2049"/>
      <c r="K148" s="2076"/>
      <c r="L148" s="2076"/>
      <c r="M148" s="2076"/>
      <c r="N148" s="2076"/>
      <c r="O148" s="2076"/>
      <c r="P148" s="2244"/>
      <c r="Q148" s="2076"/>
      <c r="R148" s="2076"/>
      <c r="S148" s="2076"/>
      <c r="T148" s="2076"/>
      <c r="U148" s="2076"/>
      <c r="V148" s="2076"/>
      <c r="W148" s="2076"/>
      <c r="X148" s="2076"/>
      <c r="Y148" s="2076"/>
      <c r="Z148" s="2076"/>
      <c r="AA148" s="2076"/>
      <c r="AB148" s="2076"/>
      <c r="AC148" s="2049"/>
      <c r="AD148" s="2049"/>
      <c r="AE148" s="2049"/>
      <c r="AF148" s="2049"/>
      <c r="AG148" s="2060"/>
      <c r="AH148" s="2588"/>
      <c r="AI148" s="1480"/>
      <c r="AJ148" s="2538"/>
      <c r="AK148" s="1468"/>
    </row>
    <row r="149" spans="1:37" ht="14.25" customHeight="1">
      <c r="A149" s="2483"/>
      <c r="B149" s="2585"/>
      <c r="C149" s="2586"/>
      <c r="D149" s="2586"/>
      <c r="E149" s="2587"/>
      <c r="F149" s="2587"/>
      <c r="G149" s="2587"/>
      <c r="H149" s="2076"/>
      <c r="I149" s="2076"/>
      <c r="J149" s="2049"/>
      <c r="K149" s="2076"/>
      <c r="L149" s="2076"/>
      <c r="M149" s="2076"/>
      <c r="N149" s="2076"/>
      <c r="O149" s="2076"/>
      <c r="P149" s="2244"/>
      <c r="Q149" s="2076"/>
      <c r="R149" s="2076"/>
      <c r="S149" s="2076"/>
      <c r="T149" s="2076"/>
      <c r="U149" s="2076"/>
      <c r="V149" s="2076"/>
      <c r="W149" s="2076"/>
      <c r="X149" s="2076"/>
      <c r="Y149" s="2076"/>
      <c r="Z149" s="2076"/>
      <c r="AA149" s="2076"/>
      <c r="AB149" s="2076"/>
      <c r="AC149" s="2049"/>
      <c r="AD149" s="2049"/>
      <c r="AE149" s="2049"/>
      <c r="AF149" s="2049"/>
      <c r="AG149" s="2060"/>
      <c r="AH149" s="2588"/>
      <c r="AI149" s="1480"/>
      <c r="AJ149" s="2538"/>
      <c r="AK149" s="1468"/>
    </row>
    <row r="150" spans="1:37" ht="14.25" customHeight="1">
      <c r="A150" s="2483"/>
      <c r="B150" s="2585"/>
      <c r="C150" s="2586"/>
      <c r="D150" s="2586"/>
      <c r="E150" s="2587"/>
      <c r="F150" s="2587"/>
      <c r="G150" s="2587"/>
      <c r="H150" s="2076"/>
      <c r="I150" s="2076"/>
      <c r="J150" s="2049"/>
      <c r="K150" s="2076"/>
      <c r="L150" s="2076"/>
      <c r="M150" s="2076"/>
      <c r="N150" s="2076"/>
      <c r="O150" s="2076"/>
      <c r="P150" s="2244"/>
      <c r="Q150" s="2076"/>
      <c r="R150" s="2076"/>
      <c r="S150" s="2076"/>
      <c r="T150" s="2076"/>
      <c r="U150" s="2076"/>
      <c r="V150" s="2076"/>
      <c r="W150" s="2076"/>
      <c r="X150" s="2076"/>
      <c r="Y150" s="2076"/>
      <c r="Z150" s="2076"/>
      <c r="AA150" s="2076"/>
      <c r="AB150" s="2076"/>
      <c r="AC150" s="2049"/>
      <c r="AD150" s="2049"/>
      <c r="AE150" s="2049"/>
      <c r="AF150" s="2049"/>
      <c r="AG150" s="2060"/>
      <c r="AH150" s="2588"/>
      <c r="AI150" s="1480"/>
      <c r="AJ150" s="2538"/>
      <c r="AK150" s="1468"/>
    </row>
    <row r="151" spans="1:37" ht="14.25" customHeight="1">
      <c r="A151" s="2483"/>
      <c r="B151" s="2585"/>
      <c r="C151" s="2586"/>
      <c r="D151" s="2586"/>
      <c r="E151" s="2587"/>
      <c r="F151" s="2587"/>
      <c r="G151" s="2587"/>
      <c r="H151" s="2076"/>
      <c r="I151" s="2076"/>
      <c r="J151" s="2049"/>
      <c r="K151" s="2076"/>
      <c r="L151" s="2076"/>
      <c r="M151" s="2076"/>
      <c r="N151" s="2076"/>
      <c r="O151" s="2076"/>
      <c r="P151" s="2244"/>
      <c r="Q151" s="2076"/>
      <c r="R151" s="2076"/>
      <c r="S151" s="2076"/>
      <c r="T151" s="2076"/>
      <c r="U151" s="2076"/>
      <c r="V151" s="2076"/>
      <c r="W151" s="2076"/>
      <c r="X151" s="2076"/>
      <c r="Y151" s="2076"/>
      <c r="Z151" s="2076"/>
      <c r="AA151" s="2076"/>
      <c r="AB151" s="2076"/>
      <c r="AC151" s="2049"/>
      <c r="AD151" s="2049"/>
      <c r="AE151" s="2049"/>
      <c r="AF151" s="2049"/>
      <c r="AG151" s="2060"/>
      <c r="AH151" s="2588"/>
      <c r="AI151" s="1480"/>
      <c r="AJ151" s="2538"/>
      <c r="AK151" s="1468"/>
    </row>
    <row r="152" spans="1:37" ht="14.25" customHeight="1">
      <c r="A152" s="2483"/>
      <c r="B152" s="2585"/>
      <c r="C152" s="2586"/>
      <c r="D152" s="2586"/>
      <c r="E152" s="2587"/>
      <c r="F152" s="2587"/>
      <c r="G152" s="2587"/>
      <c r="H152" s="2076"/>
      <c r="I152" s="2076"/>
      <c r="J152" s="2049"/>
      <c r="K152" s="2076"/>
      <c r="L152" s="2076"/>
      <c r="M152" s="2076"/>
      <c r="N152" s="2076"/>
      <c r="O152" s="2076"/>
      <c r="P152" s="2244"/>
      <c r="Q152" s="2076"/>
      <c r="R152" s="2076"/>
      <c r="S152" s="2076"/>
      <c r="T152" s="2076"/>
      <c r="U152" s="2076"/>
      <c r="V152" s="2076"/>
      <c r="W152" s="2076"/>
      <c r="X152" s="2076"/>
      <c r="Y152" s="2076"/>
      <c r="Z152" s="2076"/>
      <c r="AA152" s="2076"/>
      <c r="AB152" s="2076"/>
      <c r="AC152" s="2049"/>
      <c r="AD152" s="2049"/>
      <c r="AE152" s="2049"/>
      <c r="AF152" s="2049"/>
      <c r="AG152" s="2060"/>
      <c r="AH152" s="2588"/>
      <c r="AI152" s="1480"/>
      <c r="AJ152" s="2538"/>
      <c r="AK152" s="1468"/>
    </row>
    <row r="153" spans="1:37" ht="14.25" customHeight="1">
      <c r="A153" s="2483"/>
      <c r="B153" s="2585"/>
      <c r="C153" s="2586"/>
      <c r="D153" s="2586"/>
      <c r="E153" s="2587"/>
      <c r="F153" s="2587"/>
      <c r="G153" s="2587"/>
      <c r="H153" s="2076"/>
      <c r="I153" s="2076"/>
      <c r="J153" s="2049"/>
      <c r="K153" s="2076"/>
      <c r="L153" s="2076"/>
      <c r="M153" s="2076"/>
      <c r="N153" s="2076"/>
      <c r="O153" s="2076"/>
      <c r="P153" s="2244"/>
      <c r="Q153" s="2076"/>
      <c r="R153" s="2076"/>
      <c r="S153" s="2076"/>
      <c r="T153" s="2076"/>
      <c r="U153" s="2076"/>
      <c r="V153" s="2076"/>
      <c r="W153" s="2076"/>
      <c r="X153" s="2076"/>
      <c r="Y153" s="2076"/>
      <c r="Z153" s="2076"/>
      <c r="AA153" s="2076"/>
      <c r="AB153" s="2076"/>
      <c r="AC153" s="2049"/>
      <c r="AD153" s="2049"/>
      <c r="AE153" s="2049"/>
      <c r="AF153" s="2049"/>
      <c r="AG153" s="2060"/>
      <c r="AH153" s="2588"/>
      <c r="AI153" s="1480"/>
      <c r="AJ153" s="2538"/>
      <c r="AK153" s="1468"/>
    </row>
    <row r="154" spans="1:37" ht="14.25" customHeight="1">
      <c r="A154" s="2483"/>
      <c r="B154" s="2585"/>
      <c r="C154" s="2586"/>
      <c r="D154" s="2586"/>
      <c r="E154" s="2587"/>
      <c r="F154" s="2587"/>
      <c r="G154" s="2587"/>
      <c r="H154" s="2076"/>
      <c r="I154" s="2076"/>
      <c r="J154" s="2049"/>
      <c r="K154" s="2076"/>
      <c r="L154" s="2076"/>
      <c r="M154" s="2076"/>
      <c r="N154" s="2076"/>
      <c r="O154" s="2076"/>
      <c r="P154" s="2244"/>
      <c r="Q154" s="2076"/>
      <c r="R154" s="2076"/>
      <c r="S154" s="2076"/>
      <c r="T154" s="2076"/>
      <c r="U154" s="2076"/>
      <c r="V154" s="2076"/>
      <c r="W154" s="2076"/>
      <c r="X154" s="2076"/>
      <c r="Y154" s="2076"/>
      <c r="Z154" s="2076"/>
      <c r="AA154" s="2076"/>
      <c r="AB154" s="2076"/>
      <c r="AC154" s="2049"/>
      <c r="AD154" s="2049"/>
      <c r="AE154" s="2049"/>
      <c r="AF154" s="2049"/>
      <c r="AG154" s="2060"/>
      <c r="AH154" s="2588"/>
      <c r="AI154" s="1480"/>
      <c r="AJ154" s="2538"/>
      <c r="AK154" s="1468"/>
    </row>
    <row r="155" spans="1:37" ht="14.25" customHeight="1">
      <c r="A155" s="2483"/>
      <c r="B155" s="2585"/>
      <c r="C155" s="2586"/>
      <c r="D155" s="2586"/>
      <c r="E155" s="2587"/>
      <c r="F155" s="2587"/>
      <c r="G155" s="2587"/>
      <c r="H155" s="2076"/>
      <c r="I155" s="2076"/>
      <c r="J155" s="2049"/>
      <c r="K155" s="2076"/>
      <c r="L155" s="2076"/>
      <c r="M155" s="2076"/>
      <c r="N155" s="2076"/>
      <c r="O155" s="2076"/>
      <c r="P155" s="2244"/>
      <c r="Q155" s="2076"/>
      <c r="R155" s="2076"/>
      <c r="S155" s="2076"/>
      <c r="T155" s="2076"/>
      <c r="U155" s="2076"/>
      <c r="V155" s="2076"/>
      <c r="W155" s="2076"/>
      <c r="X155" s="2076"/>
      <c r="Y155" s="2076"/>
      <c r="Z155" s="2076"/>
      <c r="AA155" s="2076"/>
      <c r="AB155" s="2076"/>
      <c r="AC155" s="2244"/>
      <c r="AD155" s="2244"/>
      <c r="AE155" s="2244"/>
      <c r="AF155" s="2244"/>
      <c r="AG155" s="2076"/>
      <c r="AH155" s="2589"/>
      <c r="AI155" s="1470"/>
      <c r="AJ155" s="2590"/>
      <c r="AK155" s="1468"/>
    </row>
    <row r="156" spans="1:37" ht="14.25" customHeight="1">
      <c r="A156" s="2483"/>
      <c r="B156" s="2585"/>
      <c r="C156" s="2586"/>
      <c r="D156" s="2586"/>
      <c r="E156" s="2587"/>
      <c r="F156" s="2587"/>
      <c r="G156" s="2587"/>
      <c r="H156" s="2076"/>
      <c r="I156" s="2076"/>
      <c r="J156" s="2049"/>
      <c r="K156" s="2076"/>
      <c r="L156" s="2076"/>
      <c r="M156" s="2076"/>
      <c r="N156" s="2076"/>
      <c r="O156" s="2076"/>
      <c r="P156" s="2244"/>
      <c r="Q156" s="2076"/>
      <c r="R156" s="2076"/>
      <c r="S156" s="2076"/>
      <c r="T156" s="2076"/>
      <c r="U156" s="2076"/>
      <c r="V156" s="2076"/>
      <c r="W156" s="2076"/>
      <c r="X156" s="2076"/>
      <c r="Y156" s="2076"/>
      <c r="Z156" s="2076"/>
      <c r="AA156" s="2076"/>
      <c r="AB156" s="2076"/>
      <c r="AC156" s="2244"/>
      <c r="AD156" s="2244"/>
      <c r="AE156" s="2244"/>
      <c r="AF156" s="2244"/>
      <c r="AG156" s="2076"/>
      <c r="AH156" s="2589"/>
      <c r="AI156" s="1470"/>
      <c r="AJ156" s="2590"/>
      <c r="AK156" s="1468"/>
    </row>
    <row r="157" spans="1:37" ht="14.25" customHeight="1">
      <c r="A157" s="2483"/>
      <c r="B157" s="2585"/>
      <c r="C157" s="2586"/>
      <c r="D157" s="2586"/>
      <c r="E157" s="2587"/>
      <c r="F157" s="2587"/>
      <c r="G157" s="2587"/>
      <c r="H157" s="2076"/>
      <c r="I157" s="2076"/>
      <c r="J157" s="2049"/>
      <c r="K157" s="2076"/>
      <c r="L157" s="2076"/>
      <c r="M157" s="2076"/>
      <c r="N157" s="2076"/>
      <c r="O157" s="2076"/>
      <c r="P157" s="2244"/>
      <c r="Q157" s="2076"/>
      <c r="R157" s="2076"/>
      <c r="S157" s="2076"/>
      <c r="T157" s="2076"/>
      <c r="U157" s="2076"/>
      <c r="V157" s="2076"/>
      <c r="W157" s="2076"/>
      <c r="X157" s="2076"/>
      <c r="Y157" s="2076"/>
      <c r="Z157" s="2076"/>
      <c r="AA157" s="2076"/>
      <c r="AB157" s="2076"/>
      <c r="AC157" s="2244"/>
      <c r="AD157" s="2244"/>
      <c r="AE157" s="2244"/>
      <c r="AF157" s="2244"/>
      <c r="AG157" s="2076"/>
      <c r="AH157" s="2589"/>
      <c r="AI157" s="1470"/>
      <c r="AJ157" s="2590"/>
      <c r="AK157" s="1468"/>
    </row>
    <row r="158" spans="1:37" ht="14.25" customHeight="1">
      <c r="A158" s="2483"/>
      <c r="B158" s="2585"/>
      <c r="C158" s="2586"/>
      <c r="D158" s="2586"/>
      <c r="E158" s="2587"/>
      <c r="F158" s="2587"/>
      <c r="G158" s="2587"/>
      <c r="H158" s="2076"/>
      <c r="I158" s="2076"/>
      <c r="J158" s="2049"/>
      <c r="K158" s="2076"/>
      <c r="L158" s="2076"/>
      <c r="M158" s="2076"/>
      <c r="N158" s="2076"/>
      <c r="O158" s="2076"/>
      <c r="P158" s="2244"/>
      <c r="Q158" s="2076"/>
      <c r="R158" s="2076"/>
      <c r="S158" s="2076"/>
      <c r="T158" s="2076"/>
      <c r="U158" s="2076"/>
      <c r="V158" s="2076"/>
      <c r="W158" s="2076"/>
      <c r="X158" s="2076"/>
      <c r="Y158" s="2076"/>
      <c r="Z158" s="2076"/>
      <c r="AA158" s="2076"/>
      <c r="AB158" s="2076"/>
      <c r="AC158" s="2244"/>
      <c r="AD158" s="2244"/>
      <c r="AE158" s="2244"/>
      <c r="AF158" s="2244"/>
      <c r="AG158" s="2076"/>
      <c r="AH158" s="2589"/>
      <c r="AI158" s="1470"/>
      <c r="AJ158" s="2590"/>
      <c r="AK158" s="1468"/>
    </row>
    <row r="159" spans="1:37" ht="14.25" customHeight="1">
      <c r="A159" s="2483"/>
      <c r="B159" s="2585"/>
      <c r="C159" s="2586"/>
      <c r="D159" s="2586"/>
      <c r="E159" s="2587"/>
      <c r="F159" s="2587"/>
      <c r="G159" s="2587"/>
      <c r="H159" s="2076"/>
      <c r="I159" s="2076"/>
      <c r="J159" s="2049"/>
      <c r="K159" s="2076"/>
      <c r="L159" s="2076"/>
      <c r="M159" s="2076"/>
      <c r="N159" s="2076"/>
      <c r="O159" s="2076"/>
      <c r="P159" s="2244"/>
      <c r="Q159" s="2076"/>
      <c r="R159" s="2076"/>
      <c r="S159" s="2076"/>
      <c r="T159" s="2076"/>
      <c r="U159" s="2076"/>
      <c r="V159" s="2076"/>
      <c r="W159" s="2076"/>
      <c r="X159" s="2076"/>
      <c r="Y159" s="2076"/>
      <c r="Z159" s="2076"/>
      <c r="AA159" s="2076"/>
      <c r="AB159" s="2076"/>
      <c r="AC159" s="2244"/>
      <c r="AD159" s="2244"/>
      <c r="AE159" s="2244"/>
      <c r="AF159" s="2244"/>
      <c r="AG159" s="2076"/>
      <c r="AH159" s="2589"/>
      <c r="AI159" s="1470"/>
      <c r="AJ159" s="2590"/>
      <c r="AK159" s="1468"/>
    </row>
    <row r="160" spans="1:37" ht="14.25" customHeight="1">
      <c r="A160" s="2483"/>
      <c r="B160" s="2585"/>
      <c r="C160" s="2586"/>
      <c r="D160" s="2586"/>
      <c r="E160" s="2587"/>
      <c r="F160" s="2587"/>
      <c r="G160" s="2587"/>
      <c r="H160" s="2076"/>
      <c r="I160" s="2076"/>
      <c r="J160" s="2049"/>
      <c r="K160" s="2076"/>
      <c r="L160" s="2076"/>
      <c r="M160" s="2076"/>
      <c r="N160" s="2076"/>
      <c r="O160" s="2076"/>
      <c r="P160" s="2244"/>
      <c r="Q160" s="2076"/>
      <c r="R160" s="2076"/>
      <c r="S160" s="2076"/>
      <c r="T160" s="2076"/>
      <c r="U160" s="2076"/>
      <c r="V160" s="2076"/>
      <c r="W160" s="2076"/>
      <c r="X160" s="2076"/>
      <c r="Y160" s="2076"/>
      <c r="Z160" s="2076"/>
      <c r="AA160" s="2076"/>
      <c r="AB160" s="2076"/>
      <c r="AC160" s="2244"/>
      <c r="AD160" s="2244"/>
      <c r="AE160" s="2244"/>
      <c r="AF160" s="2244"/>
      <c r="AG160" s="2076"/>
      <c r="AH160" s="2589"/>
      <c r="AI160" s="1470"/>
      <c r="AJ160" s="2590"/>
      <c r="AK160" s="1468"/>
    </row>
    <row r="161" spans="1:38" ht="14.25" customHeight="1">
      <c r="A161" s="2483"/>
      <c r="B161" s="2585"/>
      <c r="C161" s="2586"/>
      <c r="D161" s="2586"/>
      <c r="E161" s="2587"/>
      <c r="F161" s="2587"/>
      <c r="G161" s="2587"/>
      <c r="H161" s="2076"/>
      <c r="I161" s="2076"/>
      <c r="J161" s="2049"/>
      <c r="K161" s="2076"/>
      <c r="L161" s="2076"/>
      <c r="M161" s="2076"/>
      <c r="N161" s="2076"/>
      <c r="O161" s="2076"/>
      <c r="P161" s="2244"/>
      <c r="Q161" s="2076"/>
      <c r="R161" s="2076"/>
      <c r="S161" s="2076"/>
      <c r="T161" s="2076"/>
      <c r="U161" s="2076"/>
      <c r="V161" s="2076"/>
      <c r="W161" s="2076"/>
      <c r="X161" s="2076"/>
      <c r="Y161" s="2076"/>
      <c r="Z161" s="2076"/>
      <c r="AA161" s="2076"/>
      <c r="AB161" s="2076"/>
      <c r="AC161" s="2244"/>
      <c r="AD161" s="2244"/>
      <c r="AE161" s="2244"/>
      <c r="AF161" s="2244"/>
      <c r="AG161" s="2076"/>
      <c r="AH161" s="2589"/>
      <c r="AI161" s="1470"/>
      <c r="AJ161" s="2590"/>
      <c r="AK161" s="1468"/>
    </row>
    <row r="162" spans="1:38" ht="14.25" customHeight="1">
      <c r="A162" s="2483"/>
      <c r="B162" s="2585"/>
      <c r="C162" s="2586"/>
      <c r="D162" s="2586"/>
      <c r="E162" s="2587"/>
      <c r="F162" s="2587"/>
      <c r="G162" s="2587"/>
      <c r="H162" s="2076"/>
      <c r="I162" s="2076"/>
      <c r="J162" s="2049"/>
      <c r="K162" s="2076"/>
      <c r="L162" s="2076"/>
      <c r="M162" s="2076"/>
      <c r="N162" s="2076"/>
      <c r="O162" s="2076"/>
      <c r="P162" s="2244"/>
      <c r="Q162" s="2076"/>
      <c r="R162" s="2076"/>
      <c r="S162" s="2076"/>
      <c r="T162" s="2076"/>
      <c r="U162" s="2076"/>
      <c r="V162" s="2076"/>
      <c r="W162" s="2076"/>
      <c r="X162" s="2076"/>
      <c r="Y162" s="2076"/>
      <c r="Z162" s="2076"/>
      <c r="AA162" s="2076"/>
      <c r="AB162" s="2076"/>
      <c r="AC162" s="2244"/>
      <c r="AD162" s="2244"/>
      <c r="AE162" s="2244"/>
      <c r="AF162" s="2244"/>
      <c r="AG162" s="2076"/>
      <c r="AH162" s="2589"/>
      <c r="AI162" s="1470"/>
      <c r="AJ162" s="2590"/>
      <c r="AK162" s="1468"/>
    </row>
    <row r="163" spans="1:38" ht="14.25" customHeight="1">
      <c r="A163" s="2483"/>
      <c r="B163" s="2585"/>
      <c r="C163" s="2586"/>
      <c r="D163" s="2586"/>
      <c r="E163" s="2587"/>
      <c r="F163" s="2587"/>
      <c r="G163" s="2587"/>
      <c r="H163" s="2076"/>
      <c r="I163" s="2076"/>
      <c r="J163" s="2049"/>
      <c r="K163" s="2076"/>
      <c r="L163" s="2076"/>
      <c r="M163" s="2076"/>
      <c r="N163" s="2076"/>
      <c r="O163" s="2076"/>
      <c r="P163" s="2244"/>
      <c r="Q163" s="2076"/>
      <c r="R163" s="2076"/>
      <c r="S163" s="2076"/>
      <c r="T163" s="2076"/>
      <c r="U163" s="2076"/>
      <c r="V163" s="2076"/>
      <c r="W163" s="2076"/>
      <c r="X163" s="2076"/>
      <c r="Y163" s="2076"/>
      <c r="Z163" s="2076"/>
      <c r="AA163" s="2076"/>
      <c r="AB163" s="2076"/>
      <c r="AC163" s="2244"/>
      <c r="AD163" s="2244"/>
      <c r="AE163" s="2244"/>
      <c r="AF163" s="2244"/>
      <c r="AG163" s="2076"/>
      <c r="AH163" s="2589"/>
      <c r="AI163" s="1470"/>
      <c r="AJ163" s="2590"/>
      <c r="AK163" s="1468"/>
    </row>
    <row r="164" spans="1:38" ht="20.100000000000001" customHeight="1">
      <c r="A164" s="2483"/>
      <c r="B164" s="2562"/>
      <c r="C164" s="2076"/>
      <c r="D164" s="2076"/>
      <c r="E164" s="2076"/>
      <c r="F164" s="2076"/>
      <c r="G164" s="2076"/>
      <c r="H164" s="2076"/>
      <c r="I164" s="2076"/>
      <c r="J164" s="2049"/>
      <c r="K164" s="2076"/>
      <c r="L164" s="2076"/>
      <c r="M164" s="2076"/>
      <c r="N164" s="2076"/>
      <c r="O164" s="2076"/>
      <c r="P164" s="2244"/>
      <c r="Q164" s="2076"/>
      <c r="R164" s="2076"/>
      <c r="S164" s="2076"/>
      <c r="T164" s="2076"/>
      <c r="U164" s="2076"/>
      <c r="V164" s="2076"/>
      <c r="W164" s="2076"/>
      <c r="X164" s="2076"/>
      <c r="Y164" s="2076"/>
      <c r="Z164" s="2076"/>
      <c r="AA164" s="2076"/>
      <c r="AB164" s="2076"/>
      <c r="AC164" s="2244"/>
      <c r="AD164" s="2244"/>
      <c r="AE164" s="2244"/>
      <c r="AF164" s="2244"/>
      <c r="AG164" s="2076"/>
      <c r="AH164" s="2589"/>
      <c r="AI164" s="1470"/>
      <c r="AJ164" s="2590"/>
      <c r="AK164" s="1468"/>
    </row>
    <row r="165" spans="1:38" ht="20.100000000000001" customHeight="1">
      <c r="A165" s="2483"/>
      <c r="B165" s="2562"/>
      <c r="C165" s="2076"/>
      <c r="D165" s="2076"/>
      <c r="E165" s="2076"/>
      <c r="F165" s="2076"/>
      <c r="G165" s="2076"/>
      <c r="H165" s="2076"/>
      <c r="I165" s="2076"/>
      <c r="J165" s="2049"/>
      <c r="K165" s="2076"/>
      <c r="L165" s="2076"/>
      <c r="M165" s="2076"/>
      <c r="N165" s="2076"/>
      <c r="O165" s="2076"/>
      <c r="P165" s="2244"/>
      <c r="Q165" s="2076"/>
      <c r="R165" s="2076"/>
      <c r="S165" s="2076"/>
      <c r="T165" s="2076"/>
      <c r="U165" s="2076"/>
      <c r="V165" s="2076"/>
      <c r="W165" s="2076"/>
      <c r="X165" s="2076"/>
      <c r="Y165" s="2076"/>
      <c r="Z165" s="2076"/>
      <c r="AA165" s="2076"/>
      <c r="AB165" s="2076"/>
      <c r="AC165" s="2244"/>
      <c r="AD165" s="2244"/>
      <c r="AE165" s="2244"/>
      <c r="AF165" s="2244"/>
      <c r="AG165" s="2076"/>
      <c r="AH165" s="2589"/>
      <c r="AI165" s="1470"/>
      <c r="AJ165" s="2590"/>
      <c r="AK165" s="1468"/>
      <c r="AL165" s="2076"/>
    </row>
    <row r="166" spans="1:38" ht="20.100000000000001" customHeight="1">
      <c r="A166" s="2483"/>
      <c r="B166" s="2562"/>
      <c r="C166" s="2076"/>
      <c r="D166" s="2076"/>
      <c r="E166" s="2076"/>
      <c r="F166" s="2076"/>
      <c r="G166" s="2076"/>
      <c r="H166" s="2076"/>
      <c r="I166" s="2076"/>
      <c r="J166" s="2049"/>
      <c r="K166" s="2076"/>
      <c r="L166" s="2076"/>
      <c r="M166" s="2076"/>
      <c r="N166" s="2076"/>
      <c r="O166" s="2076"/>
      <c r="P166" s="2244"/>
      <c r="Q166" s="2076"/>
      <c r="R166" s="2076"/>
      <c r="S166" s="2076"/>
      <c r="T166" s="2076"/>
      <c r="U166" s="2076"/>
      <c r="V166" s="2076"/>
      <c r="W166" s="2076"/>
      <c r="X166" s="2076"/>
      <c r="Y166" s="2076"/>
      <c r="Z166" s="2076"/>
      <c r="AA166" s="2076"/>
      <c r="AB166" s="2076"/>
      <c r="AC166" s="2244"/>
      <c r="AD166" s="2244"/>
      <c r="AE166" s="2244"/>
      <c r="AF166" s="2244"/>
      <c r="AG166" s="2076"/>
      <c r="AH166" s="2589"/>
      <c r="AI166" s="1470"/>
      <c r="AJ166" s="2590"/>
      <c r="AK166" s="1468"/>
      <c r="AL166" s="2076"/>
    </row>
    <row r="167" spans="1:38" ht="20.100000000000001" customHeight="1">
      <c r="B167" s="2562"/>
      <c r="C167" s="2076"/>
      <c r="D167" s="2076"/>
      <c r="E167" s="2076"/>
      <c r="F167" s="2076"/>
      <c r="G167" s="2076"/>
      <c r="H167" s="2076"/>
      <c r="I167" s="2076"/>
      <c r="J167" s="2049"/>
      <c r="K167" s="2076"/>
      <c r="L167" s="2076"/>
      <c r="M167" s="2076"/>
      <c r="N167" s="2076"/>
      <c r="O167" s="2076"/>
      <c r="P167" s="2244"/>
      <c r="Q167" s="2076"/>
      <c r="R167" s="2076"/>
      <c r="S167" s="2076"/>
      <c r="T167" s="2076"/>
      <c r="U167" s="2076"/>
      <c r="V167" s="2076"/>
      <c r="W167" s="2076"/>
      <c r="X167" s="2076"/>
      <c r="Y167" s="2076"/>
      <c r="Z167" s="2076"/>
      <c r="AA167" s="2076"/>
      <c r="AB167" s="2076"/>
      <c r="AC167" s="2244"/>
      <c r="AD167" s="2244"/>
      <c r="AE167" s="2244"/>
      <c r="AF167" s="2244"/>
      <c r="AG167" s="2076"/>
      <c r="AH167" s="2076"/>
      <c r="AI167" s="1470"/>
      <c r="AJ167" s="2590"/>
      <c r="AK167" s="1468"/>
      <c r="AL167" s="2076"/>
    </row>
    <row r="168" spans="1:38" ht="20.100000000000001" customHeight="1">
      <c r="B168" s="2076"/>
      <c r="C168" s="2076"/>
      <c r="D168" s="2076"/>
      <c r="E168" s="2076"/>
      <c r="F168" s="2076"/>
      <c r="G168" s="2076"/>
      <c r="H168" s="2076"/>
      <c r="I168" s="2076"/>
      <c r="J168" s="2049"/>
      <c r="K168" s="2076"/>
      <c r="L168" s="2076"/>
      <c r="M168" s="2076"/>
      <c r="N168" s="2076"/>
      <c r="O168" s="2076"/>
      <c r="P168" s="2244"/>
      <c r="Q168" s="2076"/>
      <c r="R168" s="2076"/>
      <c r="S168" s="2076"/>
      <c r="T168" s="2076"/>
      <c r="U168" s="2076"/>
      <c r="V168" s="2076"/>
      <c r="W168" s="2076"/>
      <c r="X168" s="2076"/>
      <c r="Y168" s="2076"/>
      <c r="Z168" s="2076"/>
      <c r="AA168" s="2076"/>
      <c r="AB168" s="2076"/>
      <c r="AC168" s="2244"/>
      <c r="AD168" s="2244"/>
      <c r="AE168" s="2244"/>
      <c r="AF168" s="2244"/>
      <c r="AG168" s="2076"/>
      <c r="AH168" s="2076"/>
      <c r="AI168" s="1470"/>
      <c r="AJ168" s="2590"/>
      <c r="AK168" s="1468"/>
      <c r="AL168" s="2076"/>
    </row>
    <row r="169" spans="1:38" ht="20.100000000000001" customHeight="1">
      <c r="B169" s="2591"/>
      <c r="C169" s="2076"/>
      <c r="D169" s="2076"/>
      <c r="E169" s="2076"/>
      <c r="F169" s="2076"/>
      <c r="G169" s="2076"/>
      <c r="H169" s="2076"/>
      <c r="I169" s="2076"/>
      <c r="J169" s="2049"/>
      <c r="K169" s="2076"/>
      <c r="L169" s="2076"/>
      <c r="M169" s="2076"/>
      <c r="N169" s="2076"/>
      <c r="O169" s="2076"/>
      <c r="P169" s="2244"/>
      <c r="Q169" s="2076"/>
      <c r="R169" s="2076"/>
      <c r="S169" s="2076"/>
      <c r="T169" s="2076"/>
      <c r="U169" s="2076"/>
      <c r="V169" s="2076"/>
      <c r="W169" s="2076"/>
      <c r="X169" s="2076"/>
      <c r="Y169" s="2076"/>
      <c r="Z169" s="2076"/>
      <c r="AA169" s="2076"/>
      <c r="AB169" s="2076"/>
      <c r="AC169" s="2244"/>
      <c r="AD169" s="2244"/>
      <c r="AE169" s="2244"/>
      <c r="AF169" s="2244"/>
      <c r="AG169" s="2076"/>
      <c r="AI169" s="2079"/>
      <c r="AJ169" s="2522"/>
      <c r="AK169" s="1486"/>
      <c r="AL169" s="2076"/>
    </row>
    <row r="170" spans="1:38" ht="20.100000000000001" customHeight="1">
      <c r="B170" s="2076"/>
      <c r="C170" s="2076"/>
      <c r="D170" s="2076"/>
      <c r="E170" s="2076"/>
      <c r="F170" s="2076"/>
      <c r="G170" s="2076"/>
      <c r="H170" s="2076"/>
      <c r="I170" s="2076"/>
      <c r="J170" s="2049"/>
      <c r="K170" s="2076"/>
      <c r="L170" s="2076"/>
      <c r="M170" s="2076"/>
      <c r="N170" s="2076"/>
      <c r="O170" s="2076"/>
      <c r="P170" s="2244"/>
      <c r="Q170" s="2076"/>
      <c r="R170" s="2076"/>
      <c r="S170" s="2076"/>
      <c r="T170" s="2076"/>
      <c r="U170" s="2076"/>
      <c r="V170" s="2076"/>
      <c r="W170" s="2076"/>
      <c r="X170" s="2076"/>
      <c r="Y170" s="2076"/>
      <c r="Z170" s="2076"/>
      <c r="AA170" s="2076"/>
      <c r="AB170" s="2076"/>
      <c r="AC170" s="2244"/>
      <c r="AD170" s="2244"/>
      <c r="AE170" s="2244"/>
      <c r="AF170" s="2244"/>
      <c r="AG170" s="2076"/>
      <c r="AI170" s="2079"/>
      <c r="AJ170" s="2522"/>
      <c r="AK170" s="1486"/>
      <c r="AL170" s="2076"/>
    </row>
    <row r="171" spans="1:38" ht="20.100000000000001" customHeight="1">
      <c r="B171" s="2076"/>
      <c r="C171" s="2076"/>
      <c r="D171" s="2076"/>
      <c r="E171" s="2076"/>
      <c r="F171" s="2076"/>
      <c r="G171" s="2076"/>
      <c r="H171" s="2076"/>
      <c r="I171" s="2076"/>
      <c r="J171" s="2049"/>
      <c r="K171" s="2076"/>
      <c r="L171" s="2076"/>
      <c r="M171" s="2076"/>
      <c r="N171" s="2076"/>
      <c r="O171" s="2076"/>
      <c r="P171" s="2244"/>
      <c r="Q171" s="2076"/>
      <c r="R171" s="2076"/>
      <c r="S171" s="2076"/>
      <c r="T171" s="2076"/>
      <c r="U171" s="2076"/>
      <c r="V171" s="2076"/>
      <c r="W171" s="2076"/>
      <c r="X171" s="2076"/>
      <c r="Y171" s="2076"/>
      <c r="Z171" s="2076"/>
      <c r="AA171" s="2076"/>
      <c r="AB171" s="2076"/>
      <c r="AC171" s="2244"/>
      <c r="AD171" s="2244"/>
      <c r="AE171" s="2244"/>
      <c r="AF171" s="2244"/>
      <c r="AG171" s="2076"/>
      <c r="AI171" s="2079"/>
      <c r="AJ171" s="2522"/>
      <c r="AK171" s="1486"/>
      <c r="AL171" s="2076"/>
    </row>
    <row r="172" spans="1:38" ht="20.100000000000001" customHeight="1">
      <c r="B172" s="2079"/>
      <c r="C172" s="2079"/>
      <c r="D172" s="2079"/>
      <c r="E172" s="2079"/>
      <c r="F172" s="2079"/>
      <c r="G172" s="2079"/>
      <c r="H172" s="2079"/>
      <c r="I172" s="2079"/>
      <c r="J172" s="2484"/>
      <c r="K172" s="2079"/>
      <c r="L172" s="2079"/>
      <c r="M172" s="2079"/>
      <c r="N172" s="2079"/>
      <c r="O172" s="2079"/>
      <c r="P172" s="2251"/>
      <c r="Q172" s="2079"/>
      <c r="R172" s="2079"/>
      <c r="S172" s="2079"/>
      <c r="T172" s="2079"/>
      <c r="U172" s="2079"/>
      <c r="V172" s="2079"/>
      <c r="W172" s="2079"/>
      <c r="X172" s="2079"/>
      <c r="Y172" s="2079"/>
      <c r="Z172" s="2079"/>
      <c r="AA172" s="2079"/>
      <c r="AB172" s="2079"/>
      <c r="AC172" s="2251"/>
      <c r="AD172" s="2251"/>
      <c r="AE172" s="2251"/>
      <c r="AF172" s="2251"/>
      <c r="AG172" s="2079"/>
      <c r="AI172" s="2079"/>
      <c r="AJ172" s="2522"/>
      <c r="AK172" s="1486"/>
      <c r="AL172" s="2076"/>
    </row>
    <row r="173" spans="1:38" ht="20.100000000000001" customHeight="1">
      <c r="B173" s="2079"/>
      <c r="C173" s="2079"/>
      <c r="D173" s="2079"/>
      <c r="E173" s="2079"/>
      <c r="F173" s="2079"/>
      <c r="G173" s="2079"/>
      <c r="H173" s="2079"/>
      <c r="I173" s="2079"/>
      <c r="J173" s="2484"/>
      <c r="K173" s="2079"/>
      <c r="L173" s="2079"/>
      <c r="M173" s="2079"/>
      <c r="N173" s="2079"/>
      <c r="O173" s="2079"/>
      <c r="P173" s="2251"/>
      <c r="Q173" s="2079"/>
      <c r="R173" s="2079"/>
      <c r="S173" s="2079"/>
      <c r="T173" s="2079"/>
      <c r="U173" s="2079"/>
      <c r="V173" s="2079"/>
      <c r="W173" s="2079"/>
      <c r="X173" s="2079"/>
      <c r="Y173" s="2079"/>
      <c r="Z173" s="2079"/>
      <c r="AA173" s="2079"/>
      <c r="AB173" s="2079"/>
      <c r="AC173" s="2251"/>
      <c r="AD173" s="2251"/>
      <c r="AE173" s="2251"/>
      <c r="AF173" s="2251"/>
      <c r="AG173" s="2079"/>
    </row>
    <row r="174" spans="1:38" ht="20.100000000000001" customHeight="1">
      <c r="B174" s="2079"/>
      <c r="C174" s="2079"/>
      <c r="D174" s="2079"/>
      <c r="E174" s="2079"/>
      <c r="F174" s="2079"/>
      <c r="G174" s="2079"/>
      <c r="H174" s="2079"/>
      <c r="I174" s="2079"/>
      <c r="J174" s="2484"/>
      <c r="K174" s="2079"/>
      <c r="L174" s="2079"/>
      <c r="M174" s="2079"/>
      <c r="N174" s="2079"/>
      <c r="O174" s="2079"/>
      <c r="P174" s="2251"/>
      <c r="Q174" s="2079"/>
      <c r="R174" s="2079"/>
      <c r="S174" s="2079"/>
      <c r="T174" s="2079"/>
      <c r="U174" s="2079"/>
      <c r="V174" s="2079"/>
      <c r="W174" s="2079"/>
      <c r="X174" s="2079"/>
      <c r="Y174" s="2079"/>
      <c r="Z174" s="2079"/>
      <c r="AA174" s="2079"/>
      <c r="AB174" s="2079"/>
      <c r="AC174" s="2251"/>
      <c r="AD174" s="2251"/>
      <c r="AE174" s="2251"/>
      <c r="AF174" s="2251"/>
      <c r="AG174" s="2079"/>
    </row>
    <row r="175" spans="1:38" ht="20.100000000000001" customHeight="1">
      <c r="B175" s="2079"/>
      <c r="C175" s="2079"/>
      <c r="D175" s="2079"/>
      <c r="E175" s="2079"/>
      <c r="F175" s="2079"/>
      <c r="G175" s="2079"/>
      <c r="H175" s="2079"/>
      <c r="I175" s="2079"/>
      <c r="J175" s="2484"/>
      <c r="K175" s="2079"/>
      <c r="L175" s="2079"/>
      <c r="M175" s="2079"/>
      <c r="N175" s="2079"/>
      <c r="O175" s="2079"/>
      <c r="P175" s="2251"/>
      <c r="Q175" s="2079"/>
      <c r="R175" s="2079"/>
      <c r="S175" s="2079"/>
      <c r="T175" s="2079"/>
      <c r="U175" s="2079"/>
      <c r="V175" s="2079"/>
      <c r="W175" s="2079"/>
      <c r="X175" s="2079"/>
      <c r="Y175" s="2079"/>
      <c r="Z175" s="2079"/>
      <c r="AA175" s="2079"/>
      <c r="AB175" s="2079"/>
      <c r="AC175" s="2251"/>
      <c r="AD175" s="2251"/>
      <c r="AE175" s="2251"/>
      <c r="AF175" s="2251"/>
      <c r="AG175" s="2079"/>
    </row>
    <row r="176" spans="1:38" ht="20.100000000000001" customHeight="1">
      <c r="B176" s="2079"/>
      <c r="C176" s="2079"/>
      <c r="D176" s="2079"/>
      <c r="E176" s="2079"/>
      <c r="F176" s="2079"/>
      <c r="G176" s="2079"/>
      <c r="H176" s="2079"/>
      <c r="I176" s="2079"/>
      <c r="J176" s="2484"/>
      <c r="K176" s="2079"/>
      <c r="L176" s="2079"/>
      <c r="M176" s="2079"/>
      <c r="N176" s="2079"/>
      <c r="O176" s="2079"/>
      <c r="P176" s="2251"/>
      <c r="Q176" s="2079"/>
      <c r="R176" s="2079"/>
      <c r="S176" s="2079"/>
      <c r="T176" s="2079"/>
      <c r="U176" s="2079"/>
      <c r="V176" s="2079"/>
      <c r="W176" s="2079"/>
      <c r="X176" s="2079"/>
      <c r="Y176" s="2079"/>
      <c r="Z176" s="2079"/>
      <c r="AA176" s="2079"/>
      <c r="AB176" s="2079"/>
      <c r="AC176" s="2251"/>
      <c r="AD176" s="2251"/>
      <c r="AE176" s="2251"/>
      <c r="AF176" s="2251"/>
      <c r="AG176" s="2079"/>
    </row>
    <row r="177" spans="2:33">
      <c r="B177" s="2079"/>
      <c r="C177" s="2079"/>
      <c r="D177" s="2079"/>
      <c r="E177" s="2079"/>
      <c r="F177" s="2079"/>
      <c r="G177" s="2079"/>
      <c r="H177" s="2079"/>
      <c r="I177" s="2079"/>
      <c r="J177" s="2484"/>
      <c r="K177" s="2079"/>
      <c r="L177" s="2079"/>
      <c r="M177" s="2079"/>
      <c r="N177" s="2079"/>
      <c r="O177" s="2079"/>
      <c r="P177" s="2251"/>
      <c r="Q177" s="2079"/>
      <c r="R177" s="2079"/>
      <c r="S177" s="2079"/>
      <c r="T177" s="2079"/>
      <c r="U177" s="2079"/>
      <c r="V177" s="2079"/>
      <c r="W177" s="2079"/>
      <c r="X177" s="2079"/>
      <c r="Y177" s="2079"/>
      <c r="Z177" s="2079"/>
      <c r="AA177" s="2079"/>
      <c r="AB177" s="2079"/>
      <c r="AC177" s="2251"/>
      <c r="AD177" s="2251"/>
      <c r="AE177" s="2251"/>
      <c r="AF177" s="2251"/>
      <c r="AG177" s="2079"/>
    </row>
    <row r="178" spans="2:33">
      <c r="B178" s="2079"/>
      <c r="C178" s="2079"/>
      <c r="D178" s="2079"/>
      <c r="E178" s="2079"/>
      <c r="F178" s="2079"/>
      <c r="G178" s="2079"/>
      <c r="H178" s="2079"/>
      <c r="I178" s="2079"/>
      <c r="J178" s="2484"/>
      <c r="K178" s="2079"/>
      <c r="L178" s="2079"/>
      <c r="M178" s="2079"/>
      <c r="N178" s="2079"/>
      <c r="O178" s="2079"/>
      <c r="P178" s="2251"/>
      <c r="Q178" s="2079"/>
      <c r="R178" s="2079"/>
      <c r="S178" s="2079"/>
      <c r="T178" s="2079"/>
      <c r="U178" s="2079"/>
      <c r="V178" s="2079"/>
      <c r="W178" s="2079"/>
      <c r="X178" s="2079"/>
      <c r="Y178" s="2079"/>
      <c r="Z178" s="2079"/>
      <c r="AA178" s="2079"/>
      <c r="AB178" s="2079"/>
      <c r="AC178" s="2251"/>
      <c r="AD178" s="2251"/>
      <c r="AE178" s="2251"/>
      <c r="AF178" s="2251"/>
      <c r="AG178" s="2079"/>
    </row>
    <row r="179" spans="2:33">
      <c r="B179" s="2079"/>
      <c r="C179" s="2079"/>
      <c r="D179" s="2079"/>
      <c r="E179" s="2079"/>
      <c r="F179" s="2079"/>
      <c r="G179" s="2079"/>
      <c r="H179" s="2079"/>
      <c r="I179" s="2079"/>
      <c r="J179" s="2484"/>
      <c r="K179" s="2079"/>
      <c r="L179" s="2079"/>
      <c r="M179" s="2079"/>
      <c r="N179" s="2079"/>
      <c r="O179" s="2079"/>
      <c r="P179" s="2251"/>
      <c r="Q179" s="2079"/>
      <c r="R179" s="2079"/>
      <c r="S179" s="2079"/>
      <c r="T179" s="2079"/>
      <c r="U179" s="2079"/>
      <c r="V179" s="2079"/>
      <c r="W179" s="2079"/>
      <c r="X179" s="2079"/>
      <c r="Y179" s="2079"/>
      <c r="Z179" s="2079"/>
      <c r="AA179" s="2079"/>
      <c r="AB179" s="2079"/>
      <c r="AC179" s="2251"/>
      <c r="AD179" s="2251"/>
      <c r="AE179" s="2251"/>
      <c r="AF179" s="2251"/>
      <c r="AG179" s="2079"/>
    </row>
    <row r="180" spans="2:33">
      <c r="B180" s="2079"/>
      <c r="C180" s="2079"/>
      <c r="D180" s="2079"/>
      <c r="E180" s="2079"/>
      <c r="F180" s="2079"/>
      <c r="G180" s="2079"/>
      <c r="H180" s="2079"/>
      <c r="I180" s="2079"/>
      <c r="J180" s="2484"/>
      <c r="K180" s="2079"/>
      <c r="L180" s="2079"/>
      <c r="M180" s="2079"/>
      <c r="N180" s="2079"/>
      <c r="O180" s="2079"/>
      <c r="P180" s="2251"/>
      <c r="Q180" s="2079"/>
      <c r="R180" s="2079"/>
      <c r="S180" s="2079"/>
      <c r="T180" s="2079"/>
      <c r="U180" s="2079"/>
      <c r="V180" s="2079"/>
      <c r="W180" s="2079"/>
      <c r="X180" s="2079"/>
      <c r="Y180" s="2079"/>
      <c r="Z180" s="2079"/>
      <c r="AA180" s="2079"/>
      <c r="AB180" s="2079"/>
      <c r="AC180" s="2251"/>
      <c r="AD180" s="2251"/>
      <c r="AE180" s="2251"/>
      <c r="AF180" s="2251"/>
      <c r="AG180" s="2079"/>
    </row>
    <row r="181" spans="2:33">
      <c r="B181" s="2079"/>
      <c r="C181" s="2079"/>
      <c r="D181" s="2079"/>
      <c r="E181" s="2079"/>
      <c r="F181" s="2079"/>
      <c r="G181" s="2079"/>
      <c r="H181" s="2079"/>
      <c r="I181" s="2079"/>
      <c r="J181" s="2484"/>
      <c r="K181" s="2079"/>
      <c r="L181" s="2079"/>
      <c r="M181" s="2079"/>
      <c r="N181" s="2079"/>
      <c r="O181" s="2079"/>
      <c r="P181" s="2251"/>
      <c r="Q181" s="2079"/>
      <c r="R181" s="2079"/>
      <c r="S181" s="2079"/>
      <c r="T181" s="2079"/>
      <c r="U181" s="2079"/>
      <c r="V181" s="2079"/>
      <c r="W181" s="2079"/>
      <c r="X181" s="2079"/>
      <c r="Y181" s="2079"/>
      <c r="Z181" s="2079"/>
      <c r="AA181" s="2079"/>
      <c r="AB181" s="2079"/>
      <c r="AC181" s="2251"/>
      <c r="AD181" s="2251"/>
      <c r="AE181" s="2251"/>
      <c r="AF181" s="2251"/>
      <c r="AG181" s="2079"/>
    </row>
    <row r="182" spans="2:33">
      <c r="B182" s="2079"/>
      <c r="C182" s="2079"/>
      <c r="D182" s="2079"/>
      <c r="E182" s="2079"/>
      <c r="F182" s="2079"/>
      <c r="G182" s="2079"/>
      <c r="H182" s="2079"/>
      <c r="I182" s="2079"/>
      <c r="J182" s="2484"/>
      <c r="K182" s="2079"/>
      <c r="L182" s="2079"/>
      <c r="M182" s="2079"/>
      <c r="N182" s="2079"/>
      <c r="O182" s="2079"/>
      <c r="P182" s="2251"/>
      <c r="Q182" s="2079"/>
      <c r="R182" s="2079"/>
      <c r="S182" s="2079"/>
      <c r="T182" s="2079"/>
      <c r="U182" s="2079"/>
      <c r="V182" s="2079"/>
      <c r="W182" s="2079"/>
      <c r="X182" s="2079"/>
      <c r="Y182" s="2079"/>
      <c r="Z182" s="2079"/>
      <c r="AA182" s="2079"/>
      <c r="AB182" s="2079"/>
      <c r="AC182" s="2251"/>
      <c r="AD182" s="2251"/>
      <c r="AE182" s="2251"/>
      <c r="AF182" s="2251"/>
      <c r="AG182" s="2079"/>
    </row>
    <row r="183" spans="2:33">
      <c r="B183" s="2079"/>
      <c r="C183" s="2079"/>
      <c r="D183" s="2079"/>
      <c r="E183" s="2079"/>
      <c r="F183" s="2079"/>
      <c r="G183" s="2079"/>
      <c r="H183" s="2079"/>
      <c r="I183" s="2079"/>
      <c r="J183" s="2484"/>
      <c r="K183" s="2079"/>
      <c r="L183" s="2079"/>
      <c r="M183" s="2079"/>
      <c r="N183" s="2079"/>
      <c r="O183" s="2079"/>
      <c r="P183" s="2251"/>
      <c r="Q183" s="2079"/>
      <c r="R183" s="2079"/>
      <c r="S183" s="2079"/>
      <c r="T183" s="2079"/>
      <c r="U183" s="2079"/>
      <c r="V183" s="2079"/>
      <c r="W183" s="2079"/>
      <c r="X183" s="2079"/>
      <c r="Y183" s="2079"/>
      <c r="Z183" s="2079"/>
      <c r="AA183" s="2079"/>
      <c r="AB183" s="2079"/>
      <c r="AC183" s="2251"/>
      <c r="AD183" s="2251"/>
      <c r="AE183" s="2251"/>
      <c r="AF183" s="2251"/>
      <c r="AG183" s="2079"/>
    </row>
    <row r="184" spans="2:33">
      <c r="B184" s="2079"/>
      <c r="C184" s="2079"/>
      <c r="D184" s="2079"/>
      <c r="E184" s="2079"/>
      <c r="F184" s="2079"/>
      <c r="G184" s="2079"/>
      <c r="H184" s="2079"/>
      <c r="I184" s="2079"/>
      <c r="J184" s="2484"/>
      <c r="K184" s="2079"/>
      <c r="L184" s="2079"/>
      <c r="M184" s="2079"/>
      <c r="N184" s="2079"/>
      <c r="O184" s="2079"/>
      <c r="P184" s="2251"/>
      <c r="Q184" s="2079"/>
      <c r="R184" s="2079"/>
      <c r="S184" s="2079"/>
      <c r="T184" s="2079"/>
      <c r="U184" s="2079"/>
      <c r="V184" s="2079"/>
      <c r="W184" s="2079"/>
      <c r="X184" s="2079"/>
      <c r="Y184" s="2079"/>
      <c r="Z184" s="2079"/>
      <c r="AA184" s="2079"/>
      <c r="AB184" s="2079"/>
      <c r="AC184" s="2251"/>
      <c r="AD184" s="2251"/>
      <c r="AE184" s="2251"/>
      <c r="AF184" s="2251"/>
      <c r="AG184" s="2079"/>
    </row>
    <row r="185" spans="2:33">
      <c r="B185" s="2079"/>
      <c r="C185" s="2079"/>
      <c r="D185" s="2079"/>
      <c r="E185" s="2079"/>
      <c r="F185" s="2079"/>
      <c r="G185" s="2079"/>
      <c r="H185" s="2079"/>
      <c r="I185" s="2079"/>
      <c r="J185" s="2484"/>
      <c r="K185" s="2079"/>
      <c r="L185" s="2079"/>
      <c r="M185" s="2079"/>
      <c r="N185" s="2079"/>
      <c r="O185" s="2079"/>
      <c r="P185" s="2251"/>
      <c r="Q185" s="2079"/>
      <c r="R185" s="2079"/>
      <c r="S185" s="2079"/>
      <c r="T185" s="2079"/>
      <c r="U185" s="2079"/>
      <c r="V185" s="2079"/>
      <c r="W185" s="2079"/>
      <c r="X185" s="2079"/>
      <c r="Y185" s="2079"/>
      <c r="Z185" s="2079"/>
      <c r="AA185" s="2079"/>
      <c r="AB185" s="2079"/>
      <c r="AC185" s="2251"/>
      <c r="AD185" s="2251"/>
      <c r="AE185" s="2251"/>
      <c r="AF185" s="2251"/>
      <c r="AG185" s="2079"/>
    </row>
    <row r="186" spans="2:33">
      <c r="B186" s="2079"/>
      <c r="C186" s="2079"/>
      <c r="D186" s="2079"/>
      <c r="E186" s="2079"/>
      <c r="F186" s="2079"/>
      <c r="G186" s="2079"/>
      <c r="H186" s="2079"/>
      <c r="I186" s="2079"/>
      <c r="J186" s="2484"/>
      <c r="K186" s="2079"/>
      <c r="L186" s="2079"/>
      <c r="M186" s="2079"/>
      <c r="N186" s="2079"/>
      <c r="O186" s="2079"/>
      <c r="P186" s="2251"/>
      <c r="Q186" s="2079"/>
      <c r="R186" s="2079"/>
      <c r="S186" s="2079"/>
      <c r="T186" s="2079"/>
      <c r="U186" s="2079"/>
      <c r="V186" s="2079"/>
      <c r="W186" s="2079"/>
      <c r="X186" s="2079"/>
      <c r="Y186" s="2079"/>
      <c r="Z186" s="2079"/>
      <c r="AA186" s="2079"/>
      <c r="AB186" s="2079"/>
      <c r="AC186" s="2251"/>
      <c r="AD186" s="2251"/>
      <c r="AE186" s="2251"/>
      <c r="AF186" s="2251"/>
      <c r="AG186" s="2079"/>
    </row>
    <row r="187" spans="2:33">
      <c r="B187" s="2079"/>
      <c r="C187" s="2079"/>
      <c r="D187" s="2079"/>
      <c r="E187" s="2079"/>
      <c r="F187" s="2079"/>
      <c r="G187" s="2079"/>
      <c r="H187" s="2079"/>
      <c r="I187" s="2079"/>
      <c r="J187" s="2484"/>
      <c r="K187" s="2079"/>
      <c r="L187" s="2079"/>
      <c r="M187" s="2079"/>
      <c r="N187" s="2079"/>
      <c r="O187" s="2079"/>
      <c r="P187" s="2251"/>
      <c r="Q187" s="2079"/>
      <c r="R187" s="2079"/>
      <c r="S187" s="2079"/>
      <c r="T187" s="2079"/>
      <c r="U187" s="2079"/>
      <c r="V187" s="2079"/>
      <c r="W187" s="2079"/>
      <c r="X187" s="2079"/>
      <c r="Y187" s="2079"/>
      <c r="Z187" s="2079"/>
      <c r="AA187" s="2079"/>
      <c r="AB187" s="2079"/>
      <c r="AC187" s="2251"/>
      <c r="AD187" s="2251"/>
      <c r="AE187" s="2251"/>
      <c r="AF187" s="2251"/>
      <c r="AG187" s="2079"/>
    </row>
    <row r="188" spans="2:33">
      <c r="B188" s="2079"/>
      <c r="C188" s="2079"/>
      <c r="D188" s="2079"/>
      <c r="E188" s="2079"/>
      <c r="F188" s="2079"/>
      <c r="G188" s="2079"/>
      <c r="H188" s="2079"/>
      <c r="I188" s="2079"/>
      <c r="J188" s="2484"/>
      <c r="K188" s="2079"/>
      <c r="L188" s="2079"/>
      <c r="M188" s="2079"/>
      <c r="N188" s="2079"/>
      <c r="O188" s="2079"/>
      <c r="P188" s="2251"/>
      <c r="Q188" s="2079"/>
      <c r="R188" s="2079"/>
      <c r="S188" s="2079"/>
      <c r="T188" s="2079"/>
      <c r="U188" s="2079"/>
      <c r="V188" s="2079"/>
      <c r="W188" s="2079"/>
      <c r="X188" s="2079"/>
      <c r="Y188" s="2079"/>
      <c r="Z188" s="2079"/>
      <c r="AA188" s="2079"/>
      <c r="AB188" s="2079"/>
      <c r="AC188" s="2251"/>
      <c r="AD188" s="2251"/>
      <c r="AE188" s="2251"/>
      <c r="AF188" s="2251"/>
      <c r="AG188" s="2079"/>
    </row>
    <row r="189" spans="2:33">
      <c r="B189" s="2079"/>
      <c r="C189" s="2079"/>
      <c r="D189" s="2079"/>
      <c r="E189" s="2079"/>
      <c r="F189" s="2079"/>
      <c r="G189" s="2079"/>
      <c r="H189" s="2079"/>
      <c r="I189" s="2079"/>
      <c r="J189" s="2484"/>
      <c r="K189" s="2079"/>
      <c r="L189" s="2079"/>
      <c r="M189" s="2079"/>
      <c r="N189" s="2079"/>
      <c r="O189" s="2079"/>
      <c r="P189" s="2251"/>
      <c r="Q189" s="2079"/>
      <c r="R189" s="2079"/>
      <c r="S189" s="2079"/>
      <c r="T189" s="2079"/>
      <c r="U189" s="2079"/>
      <c r="V189" s="2079"/>
      <c r="W189" s="2079"/>
      <c r="X189" s="2079"/>
      <c r="Y189" s="2079"/>
      <c r="Z189" s="2079"/>
      <c r="AA189" s="2079"/>
      <c r="AB189" s="2079"/>
      <c r="AC189" s="2251"/>
      <c r="AD189" s="2251"/>
      <c r="AE189" s="2251"/>
      <c r="AF189" s="2251"/>
      <c r="AG189" s="2079"/>
    </row>
    <row r="190" spans="2:33">
      <c r="B190" s="2079"/>
      <c r="C190" s="2079"/>
      <c r="D190" s="2079"/>
      <c r="E190" s="2079"/>
      <c r="F190" s="2079"/>
      <c r="G190" s="2079"/>
      <c r="H190" s="2079"/>
      <c r="I190" s="2079"/>
      <c r="J190" s="2484"/>
      <c r="K190" s="2079"/>
      <c r="L190" s="2079"/>
      <c r="M190" s="2079"/>
      <c r="N190" s="2079"/>
      <c r="O190" s="2079"/>
      <c r="P190" s="2251"/>
      <c r="Q190" s="2079"/>
      <c r="R190" s="2079"/>
      <c r="S190" s="2079"/>
      <c r="T190" s="2079"/>
      <c r="U190" s="2079"/>
      <c r="V190" s="2079"/>
      <c r="W190" s="2079"/>
      <c r="X190" s="2079"/>
      <c r="Y190" s="2079"/>
      <c r="Z190" s="2079"/>
      <c r="AA190" s="2079"/>
      <c r="AB190" s="2079"/>
      <c r="AC190" s="2251"/>
      <c r="AD190" s="2251"/>
      <c r="AE190" s="2251"/>
      <c r="AF190" s="2251"/>
      <c r="AG190" s="2079"/>
    </row>
    <row r="191" spans="2:33">
      <c r="B191" s="2079"/>
      <c r="C191" s="2079"/>
      <c r="D191" s="2079"/>
      <c r="E191" s="2079"/>
      <c r="F191" s="2079"/>
      <c r="G191" s="2079"/>
      <c r="H191" s="2079"/>
      <c r="I191" s="2079"/>
      <c r="J191" s="2484"/>
      <c r="K191" s="2079"/>
      <c r="L191" s="2079"/>
      <c r="M191" s="2079"/>
      <c r="N191" s="2079"/>
      <c r="O191" s="2079"/>
      <c r="P191" s="2251"/>
      <c r="Q191" s="2079"/>
      <c r="R191" s="2079"/>
      <c r="S191" s="2079"/>
      <c r="T191" s="2079"/>
      <c r="U191" s="2079"/>
      <c r="V191" s="2079"/>
      <c r="W191" s="2079"/>
      <c r="X191" s="2079"/>
      <c r="Y191" s="2079"/>
      <c r="Z191" s="2079"/>
      <c r="AA191" s="2079"/>
      <c r="AB191" s="2079"/>
      <c r="AC191" s="2251"/>
      <c r="AD191" s="2251"/>
      <c r="AE191" s="2251"/>
      <c r="AF191" s="2251"/>
      <c r="AG191" s="2079"/>
    </row>
    <row r="192" spans="2:33">
      <c r="B192" s="2079"/>
      <c r="C192" s="2079"/>
      <c r="D192" s="2079"/>
      <c r="E192" s="2079"/>
      <c r="F192" s="2079"/>
      <c r="G192" s="2079"/>
      <c r="H192" s="2079"/>
      <c r="I192" s="2079"/>
      <c r="J192" s="2484"/>
      <c r="K192" s="2079"/>
      <c r="L192" s="2079"/>
      <c r="M192" s="2079"/>
      <c r="N192" s="2079"/>
      <c r="O192" s="2079"/>
      <c r="P192" s="2251"/>
      <c r="Q192" s="2079"/>
      <c r="R192" s="2079"/>
      <c r="S192" s="2079"/>
      <c r="T192" s="2079"/>
      <c r="U192" s="2079"/>
      <c r="V192" s="2079"/>
      <c r="W192" s="2079"/>
      <c r="X192" s="2079"/>
      <c r="Y192" s="2079"/>
      <c r="Z192" s="2079"/>
      <c r="AA192" s="2079"/>
      <c r="AB192" s="2079"/>
      <c r="AC192" s="2251"/>
      <c r="AD192" s="2251"/>
      <c r="AE192" s="2251"/>
      <c r="AF192" s="2251"/>
      <c r="AG192" s="2079"/>
    </row>
    <row r="193" spans="2:33">
      <c r="B193" s="2079"/>
      <c r="C193" s="2079"/>
      <c r="D193" s="2079"/>
      <c r="E193" s="2079"/>
      <c r="F193" s="2079"/>
      <c r="G193" s="2079"/>
      <c r="H193" s="2079"/>
      <c r="I193" s="2079"/>
      <c r="J193" s="2484"/>
      <c r="K193" s="2079"/>
      <c r="L193" s="2079"/>
      <c r="M193" s="2079"/>
      <c r="N193" s="2079"/>
      <c r="O193" s="2079"/>
      <c r="P193" s="2251"/>
      <c r="Q193" s="2079"/>
      <c r="R193" s="2079"/>
      <c r="S193" s="2079"/>
      <c r="T193" s="2079"/>
      <c r="U193" s="2079"/>
      <c r="V193" s="2079"/>
      <c r="W193" s="2079"/>
      <c r="X193" s="2079"/>
      <c r="Y193" s="2079"/>
      <c r="Z193" s="2079"/>
      <c r="AA193" s="2079"/>
      <c r="AB193" s="2079"/>
      <c r="AC193" s="2251"/>
      <c r="AD193" s="2251"/>
      <c r="AE193" s="2251"/>
      <c r="AF193" s="2251"/>
      <c r="AG193" s="2079"/>
    </row>
    <row r="194" spans="2:33">
      <c r="B194" s="2079"/>
      <c r="C194" s="2079"/>
      <c r="D194" s="2079"/>
      <c r="E194" s="2079"/>
      <c r="F194" s="2079"/>
      <c r="G194" s="2079"/>
      <c r="H194" s="2079"/>
      <c r="I194" s="2079"/>
      <c r="J194" s="2484"/>
      <c r="K194" s="2079"/>
      <c r="L194" s="2079"/>
      <c r="M194" s="2079"/>
      <c r="N194" s="2079"/>
      <c r="O194" s="2079"/>
      <c r="P194" s="2251"/>
      <c r="Q194" s="2079"/>
      <c r="R194" s="2079"/>
      <c r="S194" s="2079"/>
      <c r="T194" s="2079"/>
      <c r="U194" s="2079"/>
      <c r="V194" s="2079"/>
      <c r="W194" s="2079"/>
      <c r="X194" s="2079"/>
      <c r="Y194" s="2079"/>
      <c r="Z194" s="2079"/>
      <c r="AA194" s="2079"/>
      <c r="AB194" s="2079"/>
      <c r="AC194" s="2251"/>
      <c r="AD194" s="2251"/>
      <c r="AE194" s="2251"/>
      <c r="AF194" s="2251"/>
      <c r="AG194" s="2079"/>
    </row>
    <row r="195" spans="2:33">
      <c r="B195" s="2079"/>
      <c r="C195" s="2079"/>
      <c r="D195" s="2079"/>
      <c r="E195" s="2079"/>
      <c r="F195" s="2079"/>
      <c r="G195" s="2079"/>
      <c r="H195" s="2079"/>
      <c r="I195" s="2079"/>
      <c r="J195" s="2484"/>
      <c r="K195" s="2079"/>
      <c r="L195" s="2079"/>
      <c r="M195" s="2079"/>
      <c r="N195" s="2079"/>
      <c r="O195" s="2079"/>
      <c r="P195" s="2251"/>
      <c r="Q195" s="2079"/>
      <c r="R195" s="2079"/>
      <c r="S195" s="2079"/>
      <c r="T195" s="2079"/>
      <c r="U195" s="2079"/>
      <c r="V195" s="2079"/>
      <c r="W195" s="2079"/>
      <c r="X195" s="2079"/>
      <c r="Y195" s="2079"/>
      <c r="Z195" s="2079"/>
      <c r="AA195" s="2079"/>
      <c r="AB195" s="2079"/>
      <c r="AC195" s="2251"/>
      <c r="AD195" s="2251"/>
      <c r="AE195" s="2251"/>
      <c r="AF195" s="2251"/>
      <c r="AG195" s="2079"/>
    </row>
    <row r="196" spans="2:33">
      <c r="B196" s="2079"/>
      <c r="C196" s="2079"/>
      <c r="D196" s="2079"/>
      <c r="E196" s="2079"/>
      <c r="F196" s="2079"/>
      <c r="G196" s="2079"/>
      <c r="H196" s="2079"/>
      <c r="I196" s="2079"/>
      <c r="J196" s="2484"/>
      <c r="K196" s="2079"/>
      <c r="L196" s="2079"/>
      <c r="M196" s="2079"/>
      <c r="N196" s="2079"/>
      <c r="O196" s="2079"/>
      <c r="P196" s="2251"/>
      <c r="Q196" s="2079"/>
      <c r="R196" s="2079"/>
      <c r="S196" s="2079"/>
      <c r="T196" s="2079"/>
      <c r="U196" s="2079"/>
      <c r="V196" s="2079"/>
      <c r="W196" s="2079"/>
      <c r="X196" s="2079"/>
      <c r="Y196" s="2079"/>
      <c r="Z196" s="2079"/>
      <c r="AA196" s="2079"/>
      <c r="AB196" s="2079"/>
      <c r="AC196" s="2251"/>
      <c r="AD196" s="2251"/>
      <c r="AE196" s="2251"/>
      <c r="AF196" s="2251"/>
      <c r="AG196" s="2079"/>
    </row>
    <row r="197" spans="2:33">
      <c r="B197" s="2079"/>
      <c r="C197" s="2079"/>
      <c r="D197" s="2079"/>
      <c r="E197" s="2079"/>
      <c r="F197" s="2079"/>
      <c r="G197" s="2079"/>
      <c r="H197" s="2079"/>
      <c r="I197" s="2079"/>
      <c r="J197" s="2484"/>
      <c r="K197" s="2079"/>
      <c r="L197" s="2079"/>
      <c r="M197" s="2079"/>
      <c r="N197" s="2079"/>
      <c r="O197" s="2079"/>
      <c r="P197" s="2251"/>
      <c r="Q197" s="2079"/>
      <c r="R197" s="2079"/>
      <c r="S197" s="2079"/>
      <c r="T197" s="2079"/>
      <c r="U197" s="2079"/>
      <c r="V197" s="2079"/>
      <c r="W197" s="2079"/>
      <c r="X197" s="2079"/>
      <c r="Y197" s="2079"/>
      <c r="Z197" s="2079"/>
      <c r="AA197" s="2079"/>
      <c r="AB197" s="2079"/>
      <c r="AC197" s="2251"/>
      <c r="AD197" s="2251"/>
      <c r="AE197" s="2251"/>
      <c r="AF197" s="2251"/>
      <c r="AG197" s="2079"/>
    </row>
    <row r="198" spans="2:33">
      <c r="B198" s="2079"/>
      <c r="C198" s="2079"/>
      <c r="D198" s="2079"/>
      <c r="E198" s="2079"/>
      <c r="F198" s="2079"/>
      <c r="G198" s="2079"/>
      <c r="H198" s="2079"/>
      <c r="I198" s="2079"/>
      <c r="J198" s="2484"/>
      <c r="K198" s="2079"/>
      <c r="L198" s="2079"/>
      <c r="M198" s="2079"/>
      <c r="N198" s="2079"/>
      <c r="O198" s="2079"/>
      <c r="P198" s="2251"/>
      <c r="Q198" s="2079"/>
      <c r="R198" s="2079"/>
      <c r="S198" s="2079"/>
      <c r="T198" s="2079"/>
      <c r="U198" s="2079"/>
      <c r="V198" s="2079"/>
      <c r="W198" s="2079"/>
      <c r="X198" s="2079"/>
      <c r="Y198" s="2079"/>
      <c r="Z198" s="2079"/>
      <c r="AA198" s="2079"/>
      <c r="AB198" s="2079"/>
      <c r="AC198" s="2251"/>
      <c r="AD198" s="2251"/>
      <c r="AE198" s="2251"/>
      <c r="AF198" s="2251"/>
      <c r="AG198" s="2079"/>
    </row>
    <row r="199" spans="2:33">
      <c r="B199" s="2079"/>
      <c r="C199" s="2079"/>
      <c r="D199" s="2079"/>
      <c r="E199" s="2079"/>
      <c r="F199" s="2079"/>
      <c r="G199" s="2079"/>
      <c r="H199" s="2079"/>
      <c r="I199" s="2079"/>
      <c r="J199" s="2484"/>
      <c r="K199" s="2079"/>
      <c r="L199" s="2079"/>
      <c r="M199" s="2079"/>
      <c r="N199" s="2079"/>
      <c r="O199" s="2079"/>
      <c r="P199" s="2251"/>
      <c r="Q199" s="2079"/>
      <c r="R199" s="2079"/>
      <c r="S199" s="2079"/>
      <c r="T199" s="2079"/>
      <c r="U199" s="2079"/>
      <c r="V199" s="2079"/>
      <c r="W199" s="2079"/>
      <c r="X199" s="2079"/>
      <c r="Y199" s="2079"/>
      <c r="Z199" s="2079"/>
      <c r="AA199" s="2079"/>
      <c r="AB199" s="2079"/>
      <c r="AC199" s="2251"/>
      <c r="AD199" s="2251"/>
      <c r="AE199" s="2251"/>
      <c r="AF199" s="2251"/>
      <c r="AG199" s="2079"/>
    </row>
    <row r="200" spans="2:33">
      <c r="B200" s="2079"/>
      <c r="C200" s="2079"/>
      <c r="D200" s="2079"/>
      <c r="E200" s="2079"/>
      <c r="F200" s="2079"/>
      <c r="G200" s="2079"/>
      <c r="H200" s="2079"/>
      <c r="I200" s="2079"/>
      <c r="J200" s="2484"/>
      <c r="K200" s="2079"/>
      <c r="L200" s="2079"/>
      <c r="M200" s="2079"/>
      <c r="N200" s="2079"/>
      <c r="O200" s="2079"/>
      <c r="P200" s="2251"/>
      <c r="Q200" s="2079"/>
      <c r="R200" s="2079"/>
      <c r="S200" s="2079"/>
      <c r="T200" s="2079"/>
      <c r="U200" s="2079"/>
      <c r="V200" s="2079"/>
      <c r="W200" s="2079"/>
      <c r="X200" s="2079"/>
      <c r="Y200" s="2079"/>
      <c r="Z200" s="2079"/>
      <c r="AA200" s="2079"/>
      <c r="AB200" s="2079"/>
      <c r="AC200" s="2251"/>
      <c r="AD200" s="2251"/>
      <c r="AE200" s="2251"/>
      <c r="AF200" s="2251"/>
      <c r="AG200" s="2079"/>
    </row>
    <row r="201" spans="2:33">
      <c r="B201" s="2079"/>
      <c r="C201" s="2079"/>
      <c r="D201" s="2079"/>
      <c r="E201" s="2079"/>
      <c r="F201" s="2079"/>
      <c r="G201" s="2079"/>
      <c r="H201" s="2079"/>
      <c r="I201" s="2079"/>
      <c r="J201" s="2484"/>
      <c r="K201" s="2079"/>
      <c r="L201" s="2079"/>
      <c r="M201" s="2079"/>
      <c r="N201" s="2079"/>
      <c r="O201" s="2079"/>
      <c r="P201" s="2251"/>
      <c r="Q201" s="2079"/>
      <c r="R201" s="2079"/>
      <c r="S201" s="2079"/>
      <c r="T201" s="2079"/>
      <c r="U201" s="2079"/>
      <c r="V201" s="2079"/>
      <c r="W201" s="2079"/>
      <c r="X201" s="2079"/>
      <c r="Y201" s="2079"/>
      <c r="Z201" s="2079"/>
      <c r="AA201" s="2079"/>
      <c r="AB201" s="2079"/>
      <c r="AC201" s="2251"/>
      <c r="AD201" s="2251"/>
      <c r="AE201" s="2251"/>
      <c r="AF201" s="2251"/>
      <c r="AG201" s="2079"/>
    </row>
    <row r="202" spans="2:33">
      <c r="B202" s="2079"/>
      <c r="C202" s="2079"/>
      <c r="D202" s="2079"/>
      <c r="E202" s="2079"/>
      <c r="F202" s="2079"/>
      <c r="G202" s="2079"/>
      <c r="H202" s="2079"/>
      <c r="I202" s="2079"/>
      <c r="J202" s="2484"/>
      <c r="K202" s="2079"/>
      <c r="L202" s="2079"/>
      <c r="M202" s="2079"/>
      <c r="N202" s="2079"/>
      <c r="O202" s="2079"/>
      <c r="P202" s="2251"/>
      <c r="Q202" s="2079"/>
      <c r="R202" s="2079"/>
      <c r="S202" s="2079"/>
      <c r="T202" s="2079"/>
      <c r="U202" s="2079"/>
      <c r="V202" s="2079"/>
      <c r="W202" s="2079"/>
      <c r="X202" s="2079"/>
      <c r="Y202" s="2079"/>
      <c r="Z202" s="2079"/>
      <c r="AA202" s="2079"/>
      <c r="AB202" s="2079"/>
      <c r="AC202" s="2251"/>
      <c r="AD202" s="2251"/>
      <c r="AE202" s="2251"/>
      <c r="AF202" s="2251"/>
      <c r="AG202" s="2079"/>
    </row>
    <row r="203" spans="2:33">
      <c r="B203" s="2079"/>
      <c r="C203" s="2079"/>
      <c r="D203" s="2079"/>
      <c r="E203" s="2079"/>
      <c r="F203" s="2079"/>
      <c r="G203" s="2079"/>
      <c r="H203" s="2079"/>
      <c r="I203" s="2079"/>
      <c r="J203" s="2484"/>
      <c r="K203" s="2079"/>
      <c r="L203" s="2079"/>
      <c r="M203" s="2079"/>
      <c r="N203" s="2079"/>
      <c r="O203" s="2079"/>
      <c r="P203" s="2251"/>
      <c r="Q203" s="2079"/>
      <c r="R203" s="2079"/>
      <c r="S203" s="2079"/>
      <c r="T203" s="2079"/>
      <c r="U203" s="2079"/>
      <c r="V203" s="2079"/>
      <c r="W203" s="2079"/>
      <c r="X203" s="2079"/>
      <c r="Y203" s="2079"/>
      <c r="Z203" s="2079"/>
      <c r="AA203" s="2079"/>
      <c r="AB203" s="2079"/>
      <c r="AC203" s="2251"/>
      <c r="AD203" s="2251"/>
      <c r="AE203" s="2251"/>
      <c r="AF203" s="2251"/>
      <c r="AG203" s="2079"/>
    </row>
    <row r="204" spans="2:33">
      <c r="B204" s="2079"/>
      <c r="C204" s="2079"/>
      <c r="D204" s="2079"/>
      <c r="E204" s="2079"/>
      <c r="F204" s="2079"/>
      <c r="G204" s="2079"/>
      <c r="H204" s="2079"/>
      <c r="I204" s="2079"/>
      <c r="J204" s="2484"/>
      <c r="K204" s="2079"/>
      <c r="L204" s="2079"/>
      <c r="M204" s="2079"/>
      <c r="N204" s="2079"/>
      <c r="O204" s="2079"/>
      <c r="P204" s="2251"/>
      <c r="Q204" s="2079"/>
      <c r="R204" s="2079"/>
      <c r="S204" s="2079"/>
      <c r="T204" s="2079"/>
      <c r="U204" s="2079"/>
      <c r="V204" s="2079"/>
      <c r="W204" s="2079"/>
      <c r="X204" s="2079"/>
      <c r="Y204" s="2079"/>
      <c r="Z204" s="2079"/>
      <c r="AA204" s="2079"/>
      <c r="AB204" s="2079"/>
      <c r="AC204" s="2251"/>
      <c r="AD204" s="2251"/>
      <c r="AE204" s="2251"/>
      <c r="AF204" s="2251"/>
      <c r="AG204" s="2079"/>
    </row>
    <row r="205" spans="2:33">
      <c r="B205" s="2079"/>
      <c r="C205" s="2079"/>
      <c r="D205" s="2079"/>
      <c r="E205" s="2079"/>
      <c r="F205" s="2079"/>
      <c r="G205" s="2079"/>
      <c r="H205" s="2079"/>
      <c r="I205" s="2079"/>
      <c r="J205" s="2484"/>
      <c r="K205" s="2079"/>
      <c r="L205" s="2079"/>
      <c r="M205" s="2079"/>
      <c r="N205" s="2079"/>
      <c r="O205" s="2079"/>
      <c r="P205" s="2251"/>
      <c r="Q205" s="2079"/>
      <c r="R205" s="2079"/>
      <c r="S205" s="2079"/>
      <c r="T205" s="2079"/>
      <c r="U205" s="2079"/>
      <c r="V205" s="2079"/>
      <c r="W205" s="2079"/>
      <c r="X205" s="2079"/>
      <c r="Y205" s="2079"/>
      <c r="Z205" s="2079"/>
      <c r="AA205" s="2079"/>
      <c r="AB205" s="2079"/>
      <c r="AC205" s="2251"/>
      <c r="AD205" s="2251"/>
      <c r="AE205" s="2251"/>
      <c r="AF205" s="2251"/>
      <c r="AG205" s="2079"/>
    </row>
    <row r="206" spans="2:33">
      <c r="B206" s="2079"/>
      <c r="C206" s="2079"/>
      <c r="D206" s="2079"/>
      <c r="E206" s="2079"/>
      <c r="F206" s="2079"/>
      <c r="G206" s="2079"/>
      <c r="H206" s="2079"/>
      <c r="I206" s="2079"/>
      <c r="J206" s="2484"/>
      <c r="K206" s="2079"/>
      <c r="L206" s="2079"/>
      <c r="M206" s="2079"/>
      <c r="N206" s="2079"/>
      <c r="O206" s="2079"/>
      <c r="P206" s="2251"/>
      <c r="Q206" s="2079"/>
      <c r="R206" s="2079"/>
      <c r="S206" s="2079"/>
      <c r="T206" s="2079"/>
      <c r="U206" s="2079"/>
      <c r="V206" s="2079"/>
      <c r="W206" s="2079"/>
      <c r="X206" s="2079"/>
      <c r="Y206" s="2079"/>
      <c r="Z206" s="2079"/>
      <c r="AA206" s="2079"/>
      <c r="AB206" s="2079"/>
      <c r="AC206" s="2251"/>
      <c r="AD206" s="2251"/>
      <c r="AE206" s="2251"/>
      <c r="AF206" s="2251"/>
      <c r="AG206" s="2079"/>
    </row>
    <row r="207" spans="2:33">
      <c r="B207" s="2079"/>
      <c r="C207" s="2079"/>
      <c r="D207" s="2079"/>
      <c r="E207" s="2079"/>
      <c r="F207" s="2079"/>
      <c r="G207" s="2079"/>
      <c r="H207" s="2079"/>
      <c r="I207" s="2079"/>
      <c r="J207" s="2484"/>
      <c r="K207" s="2079"/>
      <c r="L207" s="2079"/>
      <c r="M207" s="2079"/>
      <c r="N207" s="2079"/>
      <c r="O207" s="2079"/>
      <c r="P207" s="2251"/>
      <c r="Q207" s="2079"/>
      <c r="R207" s="2079"/>
      <c r="S207" s="2079"/>
      <c r="T207" s="2079"/>
      <c r="U207" s="2079"/>
      <c r="V207" s="2079"/>
      <c r="W207" s="2079"/>
      <c r="X207" s="2079"/>
      <c r="Y207" s="2079"/>
      <c r="Z207" s="2079"/>
      <c r="AA207" s="2079"/>
      <c r="AB207" s="2079"/>
      <c r="AC207" s="2251"/>
      <c r="AD207" s="2251"/>
      <c r="AE207" s="2251"/>
      <c r="AF207" s="2251"/>
      <c r="AG207" s="2079"/>
    </row>
    <row r="208" spans="2:33">
      <c r="B208" s="2079"/>
      <c r="C208" s="2079"/>
      <c r="D208" s="2079"/>
      <c r="E208" s="2079"/>
      <c r="F208" s="2079"/>
      <c r="G208" s="2079"/>
      <c r="H208" s="2079"/>
      <c r="I208" s="2079"/>
      <c r="J208" s="2484"/>
      <c r="K208" s="2079"/>
      <c r="L208" s="2079"/>
      <c r="M208" s="2079"/>
      <c r="N208" s="2079"/>
      <c r="O208" s="2079"/>
      <c r="P208" s="2251"/>
      <c r="Q208" s="2079"/>
      <c r="R208" s="2079"/>
      <c r="S208" s="2079"/>
      <c r="T208" s="2079"/>
      <c r="U208" s="2079"/>
      <c r="V208" s="2079"/>
      <c r="W208" s="2079"/>
      <c r="X208" s="2079"/>
      <c r="Y208" s="2079"/>
      <c r="Z208" s="2079"/>
      <c r="AA208" s="2079"/>
      <c r="AB208" s="2079"/>
      <c r="AC208" s="2251"/>
      <c r="AD208" s="2251"/>
      <c r="AE208" s="2251"/>
      <c r="AF208" s="2251"/>
      <c r="AG208" s="2079"/>
    </row>
    <row r="209" spans="2:33">
      <c r="B209" s="2079"/>
      <c r="C209" s="2079"/>
      <c r="D209" s="2079"/>
      <c r="E209" s="2079"/>
      <c r="F209" s="2079"/>
      <c r="G209" s="2079"/>
      <c r="H209" s="2079"/>
      <c r="I209" s="2079"/>
      <c r="J209" s="2484"/>
      <c r="K209" s="2079"/>
      <c r="L209" s="2079"/>
      <c r="M209" s="2079"/>
      <c r="N209" s="2079"/>
      <c r="O209" s="2079"/>
      <c r="P209" s="2251"/>
      <c r="Q209" s="2079"/>
      <c r="R209" s="2079"/>
      <c r="S209" s="2079"/>
      <c r="T209" s="2079"/>
      <c r="U209" s="2079"/>
      <c r="V209" s="2079"/>
      <c r="W209" s="2079"/>
      <c r="X209" s="2079"/>
      <c r="Y209" s="2079"/>
      <c r="Z209" s="2079"/>
      <c r="AA209" s="2079"/>
      <c r="AB209" s="2079"/>
      <c r="AC209" s="2251"/>
      <c r="AD209" s="2251"/>
      <c r="AE209" s="2251"/>
      <c r="AF209" s="2251"/>
      <c r="AG209" s="2079"/>
    </row>
    <row r="210" spans="2:33">
      <c r="B210" s="2079"/>
      <c r="C210" s="2079"/>
      <c r="D210" s="2079"/>
      <c r="E210" s="2079"/>
      <c r="F210" s="2079"/>
      <c r="G210" s="2079"/>
      <c r="H210" s="2079"/>
      <c r="I210" s="2079"/>
      <c r="J210" s="2484"/>
      <c r="K210" s="2079"/>
      <c r="L210" s="2079"/>
      <c r="M210" s="2079"/>
      <c r="N210" s="2079"/>
      <c r="O210" s="2079"/>
      <c r="P210" s="2251"/>
      <c r="Q210" s="2079"/>
      <c r="R210" s="2079"/>
      <c r="S210" s="2079"/>
      <c r="T210" s="2079"/>
      <c r="U210" s="2079"/>
      <c r="V210" s="2079"/>
      <c r="W210" s="2079"/>
      <c r="X210" s="2079"/>
      <c r="Y210" s="2079"/>
      <c r="Z210" s="2079"/>
      <c r="AA210" s="2079"/>
      <c r="AB210" s="2079"/>
      <c r="AC210" s="2251"/>
      <c r="AD210" s="2251"/>
      <c r="AE210" s="2251"/>
      <c r="AF210" s="2251"/>
      <c r="AG210" s="2079"/>
    </row>
    <row r="211" spans="2:33">
      <c r="B211" s="2079"/>
      <c r="C211" s="2079"/>
      <c r="D211" s="2079"/>
      <c r="E211" s="2079"/>
      <c r="F211" s="2079"/>
      <c r="G211" s="2079"/>
      <c r="H211" s="2079"/>
      <c r="I211" s="2079"/>
      <c r="J211" s="2484"/>
      <c r="K211" s="2079"/>
      <c r="L211" s="2079"/>
      <c r="M211" s="2079"/>
      <c r="N211" s="2079"/>
      <c r="O211" s="2079"/>
      <c r="P211" s="2251"/>
      <c r="Q211" s="2079"/>
      <c r="R211" s="2079"/>
      <c r="S211" s="2079"/>
      <c r="T211" s="2079"/>
      <c r="U211" s="2079"/>
      <c r="V211" s="2079"/>
      <c r="W211" s="2079"/>
      <c r="X211" s="2079"/>
      <c r="Y211" s="2079"/>
      <c r="Z211" s="2079"/>
      <c r="AA211" s="2079"/>
      <c r="AB211" s="2079"/>
      <c r="AC211" s="2251"/>
      <c r="AD211" s="2251"/>
      <c r="AE211" s="2251"/>
      <c r="AF211" s="2251"/>
      <c r="AG211" s="2079"/>
    </row>
    <row r="212" spans="2:33">
      <c r="B212" s="2079"/>
      <c r="C212" s="2079"/>
      <c r="D212" s="2079"/>
      <c r="E212" s="2079"/>
      <c r="F212" s="2079"/>
      <c r="G212" s="2079"/>
      <c r="H212" s="2079"/>
      <c r="I212" s="2079"/>
      <c r="J212" s="2484"/>
      <c r="K212" s="2079"/>
      <c r="L212" s="2079"/>
      <c r="M212" s="2079"/>
      <c r="N212" s="2079"/>
      <c r="O212" s="2079"/>
      <c r="P212" s="2251"/>
      <c r="Q212" s="2079"/>
      <c r="R212" s="2079"/>
      <c r="S212" s="2079"/>
      <c r="T212" s="2079"/>
      <c r="U212" s="2079"/>
      <c r="V212" s="2079"/>
      <c r="W212" s="2079"/>
      <c r="X212" s="2079"/>
      <c r="Y212" s="2079"/>
      <c r="Z212" s="2079"/>
      <c r="AA212" s="2079"/>
      <c r="AB212" s="2079"/>
      <c r="AC212" s="2251"/>
      <c r="AD212" s="2251"/>
      <c r="AE212" s="2251"/>
      <c r="AF212" s="2251"/>
      <c r="AG212" s="2079"/>
    </row>
    <row r="213" spans="2:33">
      <c r="B213" s="2079"/>
      <c r="C213" s="2079"/>
      <c r="D213" s="2079"/>
      <c r="E213" s="2079"/>
      <c r="F213" s="2079"/>
      <c r="G213" s="2079"/>
      <c r="H213" s="2079"/>
      <c r="I213" s="2079"/>
      <c r="J213" s="2484"/>
      <c r="K213" s="2079"/>
      <c r="L213" s="2079"/>
      <c r="M213" s="2079"/>
      <c r="N213" s="2079"/>
      <c r="O213" s="2079"/>
      <c r="P213" s="2251"/>
      <c r="Q213" s="2079"/>
      <c r="R213" s="2079"/>
      <c r="S213" s="2079"/>
      <c r="T213" s="2079"/>
      <c r="U213" s="2079"/>
      <c r="V213" s="2079"/>
      <c r="W213" s="2079"/>
      <c r="X213" s="2079"/>
      <c r="Y213" s="2079"/>
      <c r="Z213" s="2079"/>
      <c r="AA213" s="2079"/>
      <c r="AB213" s="2079"/>
      <c r="AC213" s="2251"/>
      <c r="AD213" s="2251"/>
      <c r="AE213" s="2251"/>
      <c r="AF213" s="2251"/>
      <c r="AG213" s="2079"/>
    </row>
    <row r="214" spans="2:33">
      <c r="B214" s="2079"/>
      <c r="C214" s="2079"/>
      <c r="D214" s="2079"/>
      <c r="E214" s="2079"/>
      <c r="F214" s="2079"/>
      <c r="G214" s="2079"/>
      <c r="H214" s="2079"/>
      <c r="I214" s="2079"/>
      <c r="J214" s="2484"/>
      <c r="K214" s="2079"/>
      <c r="L214" s="2079"/>
      <c r="M214" s="2079"/>
      <c r="N214" s="2079"/>
      <c r="O214" s="2079"/>
      <c r="P214" s="2251"/>
      <c r="Q214" s="2079"/>
      <c r="R214" s="2079"/>
      <c r="S214" s="2079"/>
      <c r="T214" s="2079"/>
      <c r="U214" s="2079"/>
      <c r="V214" s="2079"/>
      <c r="W214" s="2079"/>
      <c r="X214" s="2079"/>
      <c r="Y214" s="2079"/>
      <c r="Z214" s="2079"/>
      <c r="AA214" s="2079"/>
      <c r="AB214" s="2079"/>
      <c r="AC214" s="2251"/>
      <c r="AD214" s="2251"/>
      <c r="AE214" s="2251"/>
      <c r="AF214" s="2251"/>
      <c r="AG214" s="2079"/>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8" min="1" max="36" man="1"/>
  </rowBreaks>
  <ignoredErrors>
    <ignoredError sqref="AK86 AK130:AK131 AK118:AK119 AK121:AK128 AK17:AK21 AK89:AK91 AK103:AK109 AK69:AK71 AK81:AK82 AK93:AK94 AK54:AK58 AK60:AK64 AK32:AK33 AK37:AK49 AK66:AK67 AK111:AK116 AK24:AK30 AK96:AK101" unlockedFormula="1"/>
    <ignoredError sqref="AI20 AK80 AK50 D22 AK85 AK35 AK22 V22" formula="1"/>
    <ignoredError sqref="AK72:AK76 AK129 AK102 AK78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workbookViewId="0"/>
  </sheetViews>
  <sheetFormatPr defaultColWidth="8.88671875" defaultRowHeight="15"/>
  <cols>
    <col min="1" max="1" width="1.88671875" style="2076" customWidth="1"/>
    <col min="2" max="2" width="45.44140625" style="2076" customWidth="1"/>
    <col min="3" max="3" width="1.88671875" style="2076" customWidth="1"/>
    <col min="4" max="4" width="12.44140625" style="2076" bestFit="1" customWidth="1"/>
    <col min="5" max="5" width="1.88671875" style="2592" customWidth="1"/>
    <col min="6" max="6" width="12.109375" style="2076" bestFit="1" customWidth="1"/>
    <col min="7" max="7" width="1.88671875" style="2592" customWidth="1"/>
    <col min="8" max="8" width="12.109375" style="2076" customWidth="1"/>
    <col min="9" max="9" width="1.88671875" style="2592" customWidth="1"/>
    <col min="10" max="10" width="9.5546875" style="2076" customWidth="1"/>
    <col min="11" max="11" width="1.88671875" style="2592" customWidth="1"/>
    <col min="12" max="12" width="13.44140625" style="2076" customWidth="1"/>
    <col min="13" max="13" width="1.88671875" style="2592" customWidth="1"/>
    <col min="14" max="14" width="14.109375" style="2076" customWidth="1"/>
    <col min="15" max="15" width="1.88671875" style="2592" customWidth="1"/>
    <col min="16" max="16" width="14.109375" style="2076" customWidth="1"/>
    <col min="17" max="17" width="1.88671875" style="2592" customWidth="1"/>
    <col min="18" max="18" width="14.109375" style="2076" customWidth="1"/>
    <col min="19" max="19" width="1.88671875" style="2592" customWidth="1"/>
    <col min="20" max="20" width="14.109375" style="2244" customWidth="1"/>
    <col min="21" max="21" width="1.88671875" style="2592" customWidth="1"/>
    <col min="22" max="22" width="14.109375" style="2076" customWidth="1"/>
    <col min="23" max="23" width="1.88671875" style="2592" customWidth="1"/>
    <col min="24" max="24" width="14.109375" style="2076" customWidth="1"/>
    <col min="25" max="25" width="1.88671875" style="2592" customWidth="1"/>
    <col min="26" max="26" width="14.109375" style="2076" customWidth="1"/>
    <col min="27" max="27" width="1.88671875" style="2076" customWidth="1"/>
    <col min="28" max="28" width="14.109375" style="2076" bestFit="1" customWidth="1"/>
    <col min="29" max="29" width="1.88671875" style="2076" customWidth="1"/>
    <col min="30" max="30" width="12.5546875" style="2244" bestFit="1" customWidth="1"/>
    <col min="31" max="31" width="1.44140625" style="2244" customWidth="1"/>
    <col min="32" max="32" width="1.109375" style="2244" customWidth="1"/>
    <col min="33" max="33" width="12.5546875" style="2244" bestFit="1" customWidth="1"/>
    <col min="34" max="34" width="0.88671875" style="2244" customWidth="1"/>
    <col min="35" max="35" width="0.88671875" style="2076" customWidth="1"/>
    <col min="36" max="36" width="12.88671875" style="2076" customWidth="1"/>
    <col min="37" max="37" width="0.88671875" style="2076" customWidth="1"/>
    <col min="38" max="38" width="10.88671875" style="1470" customWidth="1"/>
    <col min="39" max="16384" width="8.88671875" style="2076"/>
  </cols>
  <sheetData>
    <row r="1" spans="1:43">
      <c r="B1" s="2294" t="s">
        <v>979</v>
      </c>
    </row>
    <row r="2" spans="1:43" ht="15.75">
      <c r="A2" s="2589"/>
      <c r="N2" s="2488"/>
    </row>
    <row r="3" spans="1:43" s="2244" customFormat="1" ht="18">
      <c r="A3" s="3236"/>
      <c r="B3" s="3237" t="s">
        <v>0</v>
      </c>
      <c r="E3" s="2605"/>
      <c r="G3" s="2605"/>
      <c r="I3" s="2605"/>
      <c r="K3" s="2605"/>
      <c r="M3" s="2605"/>
      <c r="N3" s="2617"/>
      <c r="O3" s="2605"/>
      <c r="Q3" s="2605"/>
      <c r="S3" s="2605"/>
      <c r="U3" s="2605"/>
      <c r="W3" s="2605"/>
      <c r="Y3" s="2605"/>
      <c r="AE3" s="3238"/>
      <c r="AF3" s="3238"/>
      <c r="AG3" s="3238"/>
      <c r="AH3" s="3238"/>
      <c r="AI3" s="3238"/>
      <c r="AJ3" s="3238"/>
      <c r="AK3" s="3238"/>
      <c r="AL3" s="3239" t="s">
        <v>169</v>
      </c>
    </row>
    <row r="4" spans="1:43" s="2244" customFormat="1" ht="18">
      <c r="A4" s="3236"/>
      <c r="B4" s="3237" t="s">
        <v>1189</v>
      </c>
      <c r="E4" s="2605"/>
      <c r="G4" s="2605"/>
      <c r="I4" s="2605"/>
      <c r="K4" s="2605"/>
      <c r="L4" s="2617"/>
      <c r="M4" s="2605"/>
      <c r="O4" s="2605"/>
      <c r="Q4" s="2605"/>
      <c r="S4" s="2605"/>
      <c r="U4" s="2605"/>
      <c r="W4" s="2605"/>
      <c r="Y4" s="2605"/>
      <c r="AL4" s="3240"/>
    </row>
    <row r="5" spans="1:43" s="2244" customFormat="1" ht="18">
      <c r="A5" s="3236"/>
      <c r="B5" s="1513" t="s">
        <v>149</v>
      </c>
      <c r="E5" s="2605"/>
      <c r="G5" s="2605"/>
      <c r="I5" s="2605"/>
      <c r="K5" s="2605"/>
      <c r="L5" s="2526"/>
      <c r="M5" s="2605"/>
      <c r="O5" s="2605"/>
      <c r="Q5" s="2605"/>
      <c r="S5" s="2605"/>
      <c r="U5" s="2605"/>
      <c r="W5" s="2605"/>
      <c r="X5" s="2250"/>
      <c r="Y5" s="2605"/>
      <c r="AL5" s="3240"/>
    </row>
    <row r="6" spans="1:43" s="2244" customFormat="1" ht="20.25">
      <c r="A6" s="3236"/>
      <c r="B6" s="1513" t="str">
        <f>'Cashflow Governmental'!A6</f>
        <v xml:space="preserve">FISCAL YEAR 2019-2020   </v>
      </c>
      <c r="E6" s="2605"/>
      <c r="G6" s="2605"/>
      <c r="I6" s="2605"/>
      <c r="K6" s="2605"/>
      <c r="L6" s="2526"/>
      <c r="M6" s="2605"/>
      <c r="O6" s="2605"/>
      <c r="Q6" s="2605"/>
      <c r="S6" s="2605"/>
      <c r="U6" s="2605"/>
      <c r="W6" s="2605"/>
      <c r="Y6" s="2605"/>
      <c r="AL6" s="3241"/>
    </row>
    <row r="7" spans="1:43" s="2244" customFormat="1" ht="18">
      <c r="A7" s="3236"/>
      <c r="B7" s="3237" t="s">
        <v>1418</v>
      </c>
      <c r="E7" s="2605"/>
      <c r="G7" s="2605"/>
      <c r="I7" s="2605"/>
      <c r="K7" s="2605"/>
      <c r="M7" s="2605"/>
      <c r="O7" s="2605"/>
      <c r="Q7" s="2605"/>
      <c r="S7" s="2605"/>
      <c r="U7" s="2605"/>
      <c r="W7" s="2605"/>
      <c r="Y7" s="2605"/>
      <c r="AI7" s="2526"/>
      <c r="AJ7" s="2526"/>
      <c r="AK7" s="2526"/>
      <c r="AL7" s="2567"/>
    </row>
    <row r="8" spans="1:43">
      <c r="A8" s="2589"/>
      <c r="L8" s="2098"/>
      <c r="N8" s="2098"/>
      <c r="AC8" s="2098"/>
      <c r="AD8" s="2526"/>
      <c r="AE8" s="2526"/>
      <c r="AF8" s="2526"/>
      <c r="AG8" s="2526"/>
      <c r="AH8" s="2526"/>
      <c r="AI8" s="2098"/>
      <c r="AJ8" s="2098"/>
      <c r="AK8" s="2098"/>
      <c r="AL8" s="2530"/>
    </row>
    <row r="9" spans="1:43" s="2079" customFormat="1" ht="19.5" customHeight="1">
      <c r="A9" s="2483"/>
      <c r="E9" s="2592"/>
      <c r="G9" s="2592"/>
      <c r="I9" s="2592"/>
      <c r="K9" s="2592"/>
      <c r="L9" s="2594"/>
      <c r="M9" s="2592"/>
      <c r="N9" s="2594"/>
      <c r="O9" s="2592"/>
      <c r="Q9" s="2592"/>
      <c r="S9" s="2592"/>
      <c r="T9" s="2251"/>
      <c r="U9" s="2592"/>
      <c r="W9" s="2592"/>
      <c r="Y9" s="2592"/>
      <c r="AB9" s="2502" t="s">
        <v>1285</v>
      </c>
      <c r="AC9" s="3912" t="s">
        <v>1566</v>
      </c>
      <c r="AD9" s="3912"/>
      <c r="AE9" s="3912"/>
      <c r="AF9" s="3912"/>
      <c r="AG9" s="3912"/>
      <c r="AH9" s="3912"/>
      <c r="AI9" s="3912"/>
      <c r="AJ9" s="3912"/>
      <c r="AK9" s="3912"/>
      <c r="AL9" s="3912"/>
    </row>
    <row r="10" spans="1:43" ht="15.75">
      <c r="A10" s="2589"/>
      <c r="D10" s="2595" t="str">
        <f>'Cashflow Governmental'!C13</f>
        <v>2019</v>
      </c>
      <c r="F10" s="2488"/>
      <c r="H10" s="2488"/>
      <c r="J10" s="2488"/>
      <c r="L10" s="2488"/>
      <c r="N10" s="2488"/>
      <c r="P10" s="2488"/>
      <c r="R10" s="2488"/>
      <c r="T10" s="2617"/>
      <c r="V10" s="2595" t="str">
        <f>'Cashflow Governmental'!U13</f>
        <v>2020</v>
      </c>
      <c r="X10" s="2488"/>
      <c r="Z10" s="2488"/>
      <c r="AA10" s="2488"/>
      <c r="AB10" s="2502" t="s">
        <v>1286</v>
      </c>
      <c r="AC10" s="2488"/>
      <c r="AD10" s="2498"/>
      <c r="AE10" s="2498"/>
      <c r="AF10" s="2498"/>
      <c r="AG10" s="2498"/>
      <c r="AH10" s="2498"/>
      <c r="AI10" s="2489"/>
      <c r="AJ10" s="2500" t="s">
        <v>8</v>
      </c>
      <c r="AK10" s="2496"/>
      <c r="AL10" s="2501" t="s">
        <v>9</v>
      </c>
      <c r="AM10" s="2489"/>
      <c r="AN10" s="2489"/>
      <c r="AO10" s="2489"/>
      <c r="AP10" s="2489"/>
      <c r="AQ10" s="2489"/>
    </row>
    <row r="11" spans="1:43" ht="15.75">
      <c r="A11" s="2589"/>
      <c r="D11" s="2502" t="s">
        <v>125</v>
      </c>
      <c r="F11" s="2502" t="s">
        <v>126</v>
      </c>
      <c r="H11" s="2502" t="s">
        <v>127</v>
      </c>
      <c r="J11" s="2502" t="s">
        <v>128</v>
      </c>
      <c r="L11" s="2596" t="s">
        <v>129</v>
      </c>
      <c r="N11" s="2502" t="s">
        <v>144</v>
      </c>
      <c r="P11" s="2502" t="s">
        <v>145</v>
      </c>
      <c r="R11" s="2502" t="s">
        <v>132</v>
      </c>
      <c r="T11" s="3543" t="s">
        <v>133</v>
      </c>
      <c r="V11" s="2502" t="s">
        <v>134</v>
      </c>
      <c r="X11" s="2502" t="s">
        <v>135</v>
      </c>
      <c r="Z11" s="2502" t="s">
        <v>186</v>
      </c>
      <c r="AA11" s="2502"/>
      <c r="AB11" s="2596" t="s">
        <v>1287</v>
      </c>
      <c r="AC11" s="2488"/>
      <c r="AD11" s="2659">
        <f>'Cashflow Governmental'!AB14</f>
        <v>2020</v>
      </c>
      <c r="AE11" s="2617" t="s">
        <v>15</v>
      </c>
      <c r="AF11" s="2620"/>
      <c r="AG11" s="2659">
        <f>'Cashflow Governmental'!AE14</f>
        <v>2019</v>
      </c>
      <c r="AH11" s="3641"/>
      <c r="AI11" s="2489"/>
      <c r="AJ11" s="2507" t="s">
        <v>12</v>
      </c>
      <c r="AK11" s="2489"/>
      <c r="AL11" s="2507" t="s">
        <v>13</v>
      </c>
      <c r="AM11" s="2489"/>
      <c r="AN11" s="2489"/>
      <c r="AO11" s="2489"/>
      <c r="AP11" s="2489"/>
      <c r="AQ11" s="2489"/>
    </row>
    <row r="12" spans="1:43" ht="5.25" customHeight="1">
      <c r="A12" s="2589"/>
      <c r="D12" s="2509"/>
      <c r="F12" s="2509"/>
      <c r="H12" s="2509"/>
      <c r="J12" s="2509"/>
      <c r="L12" s="2509"/>
      <c r="N12" s="2597"/>
      <c r="P12" s="2509"/>
      <c r="R12" s="2509"/>
      <c r="T12" s="3183"/>
      <c r="V12" s="2509"/>
      <c r="X12" s="2509"/>
      <c r="Z12" s="2509"/>
      <c r="AA12" s="2075"/>
      <c r="AD12" s="3183"/>
      <c r="AG12" s="3183"/>
      <c r="AH12" s="2243"/>
      <c r="AI12" s="2598"/>
    </row>
    <row r="13" spans="1:43" ht="15" customHeight="1">
      <c r="A13" s="2098"/>
      <c r="B13" s="2599" t="s">
        <v>1245</v>
      </c>
      <c r="C13" s="2098"/>
      <c r="D13" s="2083">
        <f>'Exhibit G State'!D13+'Exhibit G Federal'!D13</f>
        <v>3842.4000000000005</v>
      </c>
      <c r="F13" s="2516">
        <f>D120</f>
        <v>7002.4</v>
      </c>
      <c r="H13" s="2516">
        <f>F120</f>
        <v>6268.9</v>
      </c>
      <c r="J13" s="2516">
        <f>H120</f>
        <v>7986.6</v>
      </c>
      <c r="L13" s="2516">
        <f>J120</f>
        <v>6880.6</v>
      </c>
      <c r="N13" s="2516">
        <f>L120</f>
        <v>7461.3</v>
      </c>
      <c r="P13" s="2516">
        <f>N120</f>
        <v>6241.5</v>
      </c>
      <c r="R13" s="2516">
        <f>P120</f>
        <v>5866.6</v>
      </c>
      <c r="T13" s="2083">
        <f>R120</f>
        <v>5599.5</v>
      </c>
      <c r="V13" s="2516">
        <f>T120</f>
        <v>6862.8</v>
      </c>
      <c r="X13" s="2516"/>
      <c r="Z13" s="2516"/>
      <c r="AA13" s="2516"/>
      <c r="AB13" s="2516">
        <v>0</v>
      </c>
      <c r="AC13" s="2600"/>
      <c r="AD13" s="2083">
        <f>D13</f>
        <v>3842.4000000000005</v>
      </c>
      <c r="AE13" s="2083"/>
      <c r="AF13" s="3615"/>
      <c r="AG13" s="2514">
        <f>'Exhibit G State'!AG13+'Exhibit G Federal'!AG13</f>
        <v>4302.1000000000004</v>
      </c>
      <c r="AH13" s="3642"/>
      <c r="AI13" s="2073"/>
      <c r="AJ13" s="2601">
        <f>AD13-AG13</f>
        <v>-459.69999999999982</v>
      </c>
      <c r="AK13" s="2602"/>
      <c r="AL13" s="2552">
        <f>(AD13-AG13)/AG13</f>
        <v>-0.10685479184584268</v>
      </c>
      <c r="AM13" s="2078"/>
      <c r="AN13" s="2078"/>
      <c r="AO13" s="2078"/>
      <c r="AP13" s="2078"/>
      <c r="AQ13" s="2078"/>
    </row>
    <row r="14" spans="1:43" ht="15" customHeight="1">
      <c r="A14" s="2098"/>
      <c r="B14" s="2098"/>
      <c r="C14" s="2098"/>
      <c r="AC14" s="2603"/>
      <c r="AF14" s="3616"/>
      <c r="AH14" s="3643"/>
      <c r="AI14" s="2075"/>
      <c r="AL14" s="1468"/>
    </row>
    <row r="15" spans="1:43" ht="15" customHeight="1">
      <c r="A15" s="2098"/>
      <c r="B15" s="2488" t="s">
        <v>14</v>
      </c>
      <c r="C15" s="2098"/>
      <c r="D15" s="2060"/>
      <c r="F15" s="2060"/>
      <c r="H15" s="2060"/>
      <c r="J15" s="2060"/>
      <c r="L15" s="2060"/>
      <c r="N15" s="2060"/>
      <c r="P15" s="2060"/>
      <c r="R15" s="2060"/>
      <c r="T15" s="2049"/>
      <c r="V15" s="2060"/>
      <c r="X15" s="2060"/>
      <c r="Z15" s="2060"/>
      <c r="AA15" s="2060"/>
      <c r="AB15" s="2060"/>
      <c r="AC15" s="2091"/>
      <c r="AD15" s="2049"/>
      <c r="AE15" s="2049"/>
      <c r="AF15" s="2093"/>
      <c r="AG15" s="2049"/>
      <c r="AH15" s="3644"/>
      <c r="AI15" s="2061"/>
      <c r="AJ15" s="2060"/>
      <c r="AL15" s="1468"/>
    </row>
    <row r="16" spans="1:43" ht="15" customHeight="1">
      <c r="A16" s="2098"/>
      <c r="B16" s="2523" t="s">
        <v>1097</v>
      </c>
      <c r="C16" s="2098"/>
      <c r="D16" s="2060"/>
      <c r="F16" s="2060"/>
      <c r="H16" s="2060"/>
      <c r="J16" s="2060"/>
      <c r="L16" s="2060"/>
      <c r="N16" s="2060"/>
      <c r="P16" s="2060"/>
      <c r="R16" s="2060"/>
      <c r="T16" s="2049"/>
      <c r="V16" s="2060"/>
      <c r="X16" s="2060"/>
      <c r="Z16" s="2060"/>
      <c r="AA16" s="2060"/>
      <c r="AB16" s="2060"/>
      <c r="AC16" s="2091"/>
      <c r="AD16" s="2049"/>
      <c r="AE16" s="2049"/>
      <c r="AF16" s="2093"/>
      <c r="AG16" s="2049"/>
      <c r="AH16" s="3644"/>
      <c r="AI16" s="2061"/>
      <c r="AJ16" s="2060"/>
      <c r="AL16" s="1468"/>
    </row>
    <row r="17" spans="1:38" s="2489" customFormat="1" ht="15" customHeight="1">
      <c r="A17" s="2488"/>
      <c r="B17" s="2604" t="s">
        <v>1100</v>
      </c>
      <c r="C17" s="2488"/>
      <c r="D17" s="2054">
        <f>'Exhibit G State'!D17</f>
        <v>0</v>
      </c>
      <c r="E17" s="1480"/>
      <c r="F17" s="2054">
        <f>'Exhibit G State'!F17</f>
        <v>0</v>
      </c>
      <c r="G17" s="1480"/>
      <c r="H17" s="2054">
        <f>'Exhibit G State'!H17</f>
        <v>0</v>
      </c>
      <c r="I17" s="2592"/>
      <c r="J17" s="2054">
        <f>'Exhibit G State'!J17</f>
        <v>0</v>
      </c>
      <c r="K17" s="2605"/>
      <c r="L17" s="2054">
        <f>'Exhibit G State'!L17</f>
        <v>0</v>
      </c>
      <c r="M17" s="2605"/>
      <c r="N17" s="2054">
        <f>'Exhibit G State'!N17</f>
        <v>0</v>
      </c>
      <c r="O17" s="2605"/>
      <c r="P17" s="2054">
        <f>'Exhibit G State'!P17</f>
        <v>0.2</v>
      </c>
      <c r="Q17" s="2605"/>
      <c r="R17" s="2054">
        <f>'Exhibit G State'!R17</f>
        <v>3</v>
      </c>
      <c r="S17" s="2605"/>
      <c r="T17" s="2054">
        <f>'Exhibit G State'!T17</f>
        <v>38.5</v>
      </c>
      <c r="U17" s="2605"/>
      <c r="V17" s="2054">
        <f>'Exhibit G State'!V17</f>
        <v>2107.4</v>
      </c>
      <c r="W17" s="2605"/>
      <c r="X17" s="2054"/>
      <c r="Y17" s="2605"/>
      <c r="Z17" s="2054"/>
      <c r="AA17" s="2054"/>
      <c r="AB17" s="1480">
        <v>0</v>
      </c>
      <c r="AC17" s="2600"/>
      <c r="AD17" s="2054">
        <f>ROUND(SUM(D17:Z17),1)</f>
        <v>2149.1</v>
      </c>
      <c r="AE17" s="2054"/>
      <c r="AF17" s="2055"/>
      <c r="AG17" s="2086">
        <f>'Exhibit G State'!AG17</f>
        <v>2410</v>
      </c>
      <c r="AH17" s="3645"/>
      <c r="AI17" s="2538"/>
      <c r="AJ17" s="1480">
        <f>ROUND(SUM(+AD17-AG17),1)</f>
        <v>-260.89999999999998</v>
      </c>
      <c r="AK17" s="2606"/>
      <c r="AL17" s="1475">
        <f>ROUND(IF(AG17=0,0,AJ17/ABS(AG17)),3)</f>
        <v>-0.108</v>
      </c>
    </row>
    <row r="18" spans="1:38" s="2489" customFormat="1" ht="6" customHeight="1">
      <c r="A18" s="2488"/>
      <c r="B18" s="2604"/>
      <c r="C18" s="2488"/>
      <c r="D18" s="2607"/>
      <c r="E18" s="2592"/>
      <c r="F18" s="2607"/>
      <c r="G18" s="2592"/>
      <c r="H18" s="2607"/>
      <c r="I18" s="2592"/>
      <c r="J18" s="2607"/>
      <c r="K18" s="2605"/>
      <c r="L18" s="2607"/>
      <c r="M18" s="2605"/>
      <c r="N18" s="2607"/>
      <c r="O18" s="2605"/>
      <c r="P18" s="2607"/>
      <c r="Q18" s="2605"/>
      <c r="R18" s="2607"/>
      <c r="S18" s="2605"/>
      <c r="T18" s="2607"/>
      <c r="U18" s="2605"/>
      <c r="V18" s="2607"/>
      <c r="W18" s="2605"/>
      <c r="X18" s="2607"/>
      <c r="Y18" s="2605"/>
      <c r="Z18" s="2607"/>
      <c r="AA18" s="2607"/>
      <c r="AB18" s="2516"/>
      <c r="AC18" s="2600"/>
      <c r="AD18" s="2080"/>
      <c r="AE18" s="2080"/>
      <c r="AF18" s="3617"/>
      <c r="AG18" s="2082"/>
      <c r="AH18" s="3646"/>
      <c r="AI18" s="2609"/>
      <c r="AJ18" s="2608"/>
      <c r="AK18" s="2606"/>
      <c r="AL18" s="1475"/>
    </row>
    <row r="19" spans="1:38" ht="15" customHeight="1">
      <c r="A19" s="2098"/>
      <c r="B19" s="2604" t="s">
        <v>1161</v>
      </c>
      <c r="C19" s="2098"/>
      <c r="D19" s="2049"/>
      <c r="F19" s="2049"/>
      <c r="H19" s="2049"/>
      <c r="J19" s="2049"/>
      <c r="K19" s="2605"/>
      <c r="L19" s="2049"/>
      <c r="M19" s="2605"/>
      <c r="N19" s="2049"/>
      <c r="O19" s="2605"/>
      <c r="P19" s="2049"/>
      <c r="Q19" s="2605"/>
      <c r="R19" s="2049"/>
      <c r="S19" s="2605"/>
      <c r="T19" s="2049"/>
      <c r="U19" s="2605"/>
      <c r="V19" s="2049"/>
      <c r="W19" s="2605"/>
      <c r="X19" s="2049"/>
      <c r="Y19" s="2605"/>
      <c r="Z19" s="2049"/>
      <c r="AA19" s="2049"/>
      <c r="AB19" s="2060"/>
      <c r="AC19" s="2091"/>
      <c r="AD19" s="2104"/>
      <c r="AE19" s="2104"/>
      <c r="AF19" s="2618"/>
      <c r="AG19" s="2104"/>
      <c r="AH19" s="3647"/>
      <c r="AI19" s="1481"/>
      <c r="AJ19" s="1498"/>
      <c r="AK19" s="2489"/>
      <c r="AL19" s="2552"/>
    </row>
    <row r="20" spans="1:38" ht="15" customHeight="1">
      <c r="A20" s="2098"/>
      <c r="B20" s="2610" t="s">
        <v>1112</v>
      </c>
      <c r="C20" s="2098"/>
      <c r="D20" s="2054">
        <f>'Exhibit G State'!D20</f>
        <v>124.1</v>
      </c>
      <c r="E20" s="1480"/>
      <c r="F20" s="2054">
        <f>'Exhibit G State'!F20</f>
        <v>76.400000000000006</v>
      </c>
      <c r="G20" s="1480"/>
      <c r="H20" s="2054">
        <f>'Exhibit G State'!H20</f>
        <v>102.80000000000001</v>
      </c>
      <c r="J20" s="2054">
        <f>'Exhibit G State'!J20</f>
        <v>79.099999999999937</v>
      </c>
      <c r="K20" s="2605"/>
      <c r="L20" s="2054">
        <f>'Exhibit G State'!L20</f>
        <v>80.300000000000097</v>
      </c>
      <c r="M20" s="2605"/>
      <c r="N20" s="2054">
        <f>'Exhibit G State'!N20</f>
        <v>104.79999999999995</v>
      </c>
      <c r="O20" s="2605"/>
      <c r="P20" s="2054">
        <f>'Exhibit G State'!P20</f>
        <v>80.999999999999972</v>
      </c>
      <c r="Q20" s="2605"/>
      <c r="R20" s="2054">
        <f>'Exhibit G State'!R20</f>
        <v>82.100000000000051</v>
      </c>
      <c r="S20" s="2605"/>
      <c r="T20" s="2054">
        <f>'Exhibit G State'!T20</f>
        <v>102.90000000000009</v>
      </c>
      <c r="U20" s="2605"/>
      <c r="V20" s="2054">
        <f>'Exhibit G State'!V20</f>
        <v>90.399999999999835</v>
      </c>
      <c r="W20" s="2605"/>
      <c r="X20" s="2054"/>
      <c r="Y20" s="2605"/>
      <c r="Z20" s="2054"/>
      <c r="AA20" s="2054"/>
      <c r="AB20" s="2060">
        <v>0</v>
      </c>
      <c r="AC20" s="2091"/>
      <c r="AD20" s="2049">
        <f>ROUND(SUM(D20:Z20),1)</f>
        <v>923.9</v>
      </c>
      <c r="AE20" s="2049"/>
      <c r="AF20" s="2093"/>
      <c r="AG20" s="2086">
        <f>'Exhibit G State'!AG20</f>
        <v>852.8</v>
      </c>
      <c r="AH20" s="3644"/>
      <c r="AI20" s="2061"/>
      <c r="AJ20" s="1480">
        <f t="shared" ref="AJ20:AJ27" si="0">ROUND(SUM(+AD20-AG20),1)</f>
        <v>71.099999999999994</v>
      </c>
      <c r="AK20" s="2606"/>
      <c r="AL20" s="1475">
        <f t="shared" ref="AL20:AL27" si="1">ROUND(IF(AG20=0,0,AJ20/ABS(AG20)),3)</f>
        <v>8.3000000000000004E-2</v>
      </c>
    </row>
    <row r="21" spans="1:38" ht="15" customHeight="1">
      <c r="A21" s="2098"/>
      <c r="B21" s="2610" t="s">
        <v>1113</v>
      </c>
      <c r="C21" s="2098"/>
      <c r="D21" s="2054">
        <f>'Exhibit G State'!D21</f>
        <v>0</v>
      </c>
      <c r="E21" s="1480"/>
      <c r="F21" s="2054">
        <f>'Exhibit G State'!F21</f>
        <v>0</v>
      </c>
      <c r="G21" s="1480"/>
      <c r="H21" s="2054">
        <f>'Exhibit G State'!H21</f>
        <v>0</v>
      </c>
      <c r="J21" s="2054">
        <f>'Exhibit G State'!J21</f>
        <v>0</v>
      </c>
      <c r="K21" s="2605"/>
      <c r="L21" s="2054">
        <f>'Exhibit G State'!L21</f>
        <v>0</v>
      </c>
      <c r="M21" s="2605"/>
      <c r="N21" s="2054">
        <f>'Exhibit G State'!N21</f>
        <v>7.3</v>
      </c>
      <c r="O21" s="2605"/>
      <c r="P21" s="2054">
        <f>'Exhibit G State'!P21</f>
        <v>0</v>
      </c>
      <c r="Q21" s="2605"/>
      <c r="R21" s="2054">
        <f>'Exhibit G State'!R21</f>
        <v>0</v>
      </c>
      <c r="S21" s="2605"/>
      <c r="T21" s="2054">
        <f>'Exhibit G State'!T21</f>
        <v>5.6000000000000005</v>
      </c>
      <c r="U21" s="2605"/>
      <c r="V21" s="2054">
        <f>'Exhibit G State'!V21</f>
        <v>0</v>
      </c>
      <c r="W21" s="2605"/>
      <c r="X21" s="2054"/>
      <c r="Y21" s="2605"/>
      <c r="Z21" s="2054"/>
      <c r="AA21" s="2054"/>
      <c r="AB21" s="2060">
        <v>0</v>
      </c>
      <c r="AC21" s="2091"/>
      <c r="AD21" s="2049">
        <f>ROUND(SUM(D21:Z21),1)</f>
        <v>12.9</v>
      </c>
      <c r="AE21" s="2049"/>
      <c r="AF21" s="2093"/>
      <c r="AG21" s="2086">
        <f>'Exhibit G State'!AG21</f>
        <v>40.799999999999997</v>
      </c>
      <c r="AH21" s="3644"/>
      <c r="AI21" s="2061"/>
      <c r="AJ21" s="1480">
        <f t="shared" si="0"/>
        <v>-27.9</v>
      </c>
      <c r="AK21" s="2606"/>
      <c r="AL21" s="1475">
        <f t="shared" si="1"/>
        <v>-0.68400000000000005</v>
      </c>
    </row>
    <row r="22" spans="1:38" ht="15" customHeight="1">
      <c r="A22" s="2098"/>
      <c r="B22" s="2610" t="s">
        <v>1114</v>
      </c>
      <c r="C22" s="2098"/>
      <c r="D22" s="2054">
        <f>'Exhibit G State'!D22</f>
        <v>63.2</v>
      </c>
      <c r="E22" s="1480"/>
      <c r="F22" s="2054">
        <f>'Exhibit G State'!F22</f>
        <v>59.399999999999991</v>
      </c>
      <c r="G22" s="1480"/>
      <c r="H22" s="2054">
        <f>'Exhibit G State'!H22</f>
        <v>57.300000000000011</v>
      </c>
      <c r="J22" s="2054">
        <f>'Exhibit G State'!J22</f>
        <v>75.400000000000034</v>
      </c>
      <c r="K22" s="2605"/>
      <c r="L22" s="2054">
        <f>'Exhibit G State'!L22</f>
        <v>63.899999999999977</v>
      </c>
      <c r="M22" s="2605"/>
      <c r="N22" s="2054">
        <f>'Exhibit G State'!N22</f>
        <v>59.400000000000034</v>
      </c>
      <c r="O22" s="2605"/>
      <c r="P22" s="2054">
        <f>'Exhibit G State'!P22</f>
        <v>65.5</v>
      </c>
      <c r="Q22" s="2605"/>
      <c r="R22" s="2054">
        <f>'Exhibit G State'!R22</f>
        <v>57.799999999999955</v>
      </c>
      <c r="S22" s="2605"/>
      <c r="T22" s="2054">
        <f>'Exhibit G State'!T22</f>
        <v>68.899999999999977</v>
      </c>
      <c r="U22" s="2605"/>
      <c r="V22" s="2054">
        <f>'Exhibit G State'!V22</f>
        <v>55.300000000000011</v>
      </c>
      <c r="W22" s="2605"/>
      <c r="X22" s="2054"/>
      <c r="Y22" s="2605"/>
      <c r="Z22" s="2054"/>
      <c r="AA22" s="2054"/>
      <c r="AB22" s="2060">
        <v>0</v>
      </c>
      <c r="AC22" s="2091"/>
      <c r="AD22" s="2049">
        <f t="shared" ref="AD22:AD27" si="2">ROUND(SUM(D22:Z22),1)</f>
        <v>626.1</v>
      </c>
      <c r="AE22" s="2049"/>
      <c r="AF22" s="2093"/>
      <c r="AG22" s="2086">
        <f>'Exhibit G State'!AG22</f>
        <v>681.2</v>
      </c>
      <c r="AH22" s="3644"/>
      <c r="AI22" s="2061"/>
      <c r="AJ22" s="1480">
        <f t="shared" si="0"/>
        <v>-55.1</v>
      </c>
      <c r="AK22" s="2606"/>
      <c r="AL22" s="1475">
        <f t="shared" si="1"/>
        <v>-8.1000000000000003E-2</v>
      </c>
    </row>
    <row r="23" spans="1:38" ht="15" customHeight="1">
      <c r="A23" s="2098"/>
      <c r="B23" s="2294" t="s">
        <v>1262</v>
      </c>
      <c r="C23" s="2098"/>
      <c r="D23" s="2054">
        <f>'Exhibit G State'!D23</f>
        <v>0.5</v>
      </c>
      <c r="E23" s="1480"/>
      <c r="F23" s="2054">
        <f>'Exhibit G State'!F23</f>
        <v>0.4</v>
      </c>
      <c r="G23" s="1480"/>
      <c r="H23" s="2054">
        <f>'Exhibit G State'!H23</f>
        <v>0.49999999999999989</v>
      </c>
      <c r="J23" s="2054">
        <f>'Exhibit G State'!J23</f>
        <v>0.5</v>
      </c>
      <c r="K23" s="2605"/>
      <c r="L23" s="2054">
        <f>'Exhibit G State'!L23</f>
        <v>0.4</v>
      </c>
      <c r="M23" s="2605"/>
      <c r="N23" s="2054">
        <f>'Exhibit G State'!N23</f>
        <v>0.49999999999999989</v>
      </c>
      <c r="O23" s="2605"/>
      <c r="P23" s="2054">
        <f>'Exhibit G State'!P23</f>
        <v>0.40000000000000036</v>
      </c>
      <c r="Q23" s="2605"/>
      <c r="R23" s="2054">
        <f>'Exhibit G State'!R23</f>
        <v>0.50000000000000011</v>
      </c>
      <c r="S23" s="2605"/>
      <c r="T23" s="2054">
        <f>'Exhibit G State'!T23</f>
        <v>0.59999999999999953</v>
      </c>
      <c r="U23" s="2605"/>
      <c r="V23" s="2054">
        <f>'Exhibit G State'!V23</f>
        <v>0.50000000000000011</v>
      </c>
      <c r="W23" s="2605"/>
      <c r="X23" s="2054"/>
      <c r="Y23" s="2605"/>
      <c r="Z23" s="2054"/>
      <c r="AA23" s="2054"/>
      <c r="AB23" s="2060">
        <v>0</v>
      </c>
      <c r="AC23" s="2091"/>
      <c r="AD23" s="2049">
        <f t="shared" si="2"/>
        <v>4.8</v>
      </c>
      <c r="AE23" s="2049"/>
      <c r="AF23" s="2093"/>
      <c r="AG23" s="2086">
        <f>'Exhibit G State'!AG23</f>
        <v>3.1</v>
      </c>
      <c r="AH23" s="3644"/>
      <c r="AI23" s="2061"/>
      <c r="AJ23" s="1480">
        <f>ROUND(SUM(+AD23-AG23),1)</f>
        <v>1.7</v>
      </c>
      <c r="AK23" s="2606"/>
      <c r="AL23" s="1475">
        <f>ROUND(IF(AG23=0,1,AJ23/ABS(AG23)),3)</f>
        <v>0.54800000000000004</v>
      </c>
    </row>
    <row r="24" spans="1:38" ht="15" customHeight="1">
      <c r="A24" s="2098"/>
      <c r="B24" s="2610" t="s">
        <v>1115</v>
      </c>
      <c r="C24" s="2098"/>
      <c r="D24" s="2054">
        <f>'Exhibit G State'!D24</f>
        <v>9.6</v>
      </c>
      <c r="E24" s="1480"/>
      <c r="F24" s="2054">
        <f>'Exhibit G State'!F24</f>
        <v>9.4</v>
      </c>
      <c r="G24" s="1480"/>
      <c r="H24" s="2054">
        <f>'Exhibit G State'!H24</f>
        <v>9.4999999999999982</v>
      </c>
      <c r="J24" s="2054">
        <f>'Exhibit G State'!J24</f>
        <v>8.7999999999999989</v>
      </c>
      <c r="K24" s="2605"/>
      <c r="L24" s="2054">
        <f>'Exhibit G State'!L24</f>
        <v>10.1</v>
      </c>
      <c r="M24" s="2605"/>
      <c r="N24" s="2054">
        <f>'Exhibit G State'!N24</f>
        <v>9.1000000000000032</v>
      </c>
      <c r="O24" s="2605"/>
      <c r="P24" s="2054">
        <f>'Exhibit G State'!P24</f>
        <v>9.9999999999999982</v>
      </c>
      <c r="Q24" s="2605"/>
      <c r="R24" s="2054">
        <f>'Exhibit G State'!R24</f>
        <v>8.6000000000000032</v>
      </c>
      <c r="S24" s="2605"/>
      <c r="T24" s="2054">
        <f>'Exhibit G State'!T24</f>
        <v>8.4999999999999911</v>
      </c>
      <c r="U24" s="2605"/>
      <c r="V24" s="2054">
        <f>'Exhibit G State'!V24</f>
        <v>8.9000000000000075</v>
      </c>
      <c r="W24" s="2605"/>
      <c r="X24" s="2054"/>
      <c r="Y24" s="2605"/>
      <c r="Z24" s="2054"/>
      <c r="AA24" s="2054"/>
      <c r="AB24" s="2060">
        <v>0</v>
      </c>
      <c r="AC24" s="2091"/>
      <c r="AD24" s="2049">
        <f t="shared" si="2"/>
        <v>92.5</v>
      </c>
      <c r="AE24" s="2049"/>
      <c r="AF24" s="2093"/>
      <c r="AG24" s="2086">
        <f>'Exhibit G State'!AG24</f>
        <v>93.5</v>
      </c>
      <c r="AH24" s="3644"/>
      <c r="AI24" s="2061"/>
      <c r="AJ24" s="1480">
        <f t="shared" si="0"/>
        <v>-1</v>
      </c>
      <c r="AK24" s="2606"/>
      <c r="AL24" s="1475">
        <f t="shared" si="1"/>
        <v>-1.0999999999999999E-2</v>
      </c>
    </row>
    <row r="25" spans="1:38" ht="15" customHeight="1">
      <c r="A25" s="2098"/>
      <c r="B25" s="2610" t="s">
        <v>1116</v>
      </c>
      <c r="C25" s="2098"/>
      <c r="D25" s="2054">
        <f>'Exhibit G State'!D25</f>
        <v>0</v>
      </c>
      <c r="E25" s="1480"/>
      <c r="F25" s="2054">
        <f>'Exhibit G State'!F25</f>
        <v>0</v>
      </c>
      <c r="G25" s="1480"/>
      <c r="H25" s="2054">
        <f>'Exhibit G State'!H25</f>
        <v>0</v>
      </c>
      <c r="J25" s="2054">
        <f>'Exhibit G State'!J25</f>
        <v>0</v>
      </c>
      <c r="K25" s="2605"/>
      <c r="L25" s="2054">
        <f>'Exhibit G State'!L25</f>
        <v>0</v>
      </c>
      <c r="M25" s="2605"/>
      <c r="N25" s="2054">
        <f>'Exhibit G State'!N25</f>
        <v>0</v>
      </c>
      <c r="O25" s="2605"/>
      <c r="P25" s="2054">
        <f>'Exhibit G State'!P25</f>
        <v>0</v>
      </c>
      <c r="Q25" s="2605"/>
      <c r="R25" s="2054">
        <f>'Exhibit G State'!R25</f>
        <v>0</v>
      </c>
      <c r="S25" s="2605"/>
      <c r="T25" s="2054">
        <f>'Exhibit G State'!T25</f>
        <v>0</v>
      </c>
      <c r="U25" s="2605"/>
      <c r="V25" s="2054">
        <f>'Exhibit G State'!V25</f>
        <v>0</v>
      </c>
      <c r="W25" s="2605"/>
      <c r="X25" s="2054"/>
      <c r="Y25" s="2605"/>
      <c r="Z25" s="2054"/>
      <c r="AA25" s="2054"/>
      <c r="AB25" s="2060">
        <v>0</v>
      </c>
      <c r="AC25" s="2091"/>
      <c r="AD25" s="2049">
        <f t="shared" si="2"/>
        <v>0</v>
      </c>
      <c r="AE25" s="2049"/>
      <c r="AF25" s="2093"/>
      <c r="AG25" s="2086">
        <f>'Exhibit G State'!AG25</f>
        <v>0</v>
      </c>
      <c r="AH25" s="3644"/>
      <c r="AI25" s="2061"/>
      <c r="AJ25" s="1480">
        <f t="shared" si="0"/>
        <v>0</v>
      </c>
      <c r="AK25" s="2606"/>
      <c r="AL25" s="1475">
        <f t="shared" si="1"/>
        <v>0</v>
      </c>
    </row>
    <row r="26" spans="1:38" ht="15" customHeight="1">
      <c r="A26" s="2098"/>
      <c r="B26" s="2610" t="s">
        <v>1117</v>
      </c>
      <c r="C26" s="2098"/>
      <c r="D26" s="2054">
        <f>'Exhibit G State'!D26</f>
        <v>0</v>
      </c>
      <c r="E26" s="1480"/>
      <c r="F26" s="2054">
        <f>'Exhibit G State'!F26</f>
        <v>0.1</v>
      </c>
      <c r="G26" s="1480"/>
      <c r="H26" s="2054">
        <f>'Exhibit G State'!H26</f>
        <v>0.1</v>
      </c>
      <c r="J26" s="2054">
        <f>'Exhibit G State'!J26</f>
        <v>0</v>
      </c>
      <c r="K26" s="2605"/>
      <c r="L26" s="2054">
        <f>'Exhibit G State'!L26</f>
        <v>0</v>
      </c>
      <c r="M26" s="2605"/>
      <c r="N26" s="2054">
        <f>'Exhibit G State'!N26</f>
        <v>9.9999999999999978E-2</v>
      </c>
      <c r="O26" s="2605"/>
      <c r="P26" s="2054">
        <f>'Exhibit G State'!P26</f>
        <v>0</v>
      </c>
      <c r="Q26" s="2605"/>
      <c r="R26" s="2054">
        <f>'Exhibit G State'!R26</f>
        <v>0.10000000000000006</v>
      </c>
      <c r="S26" s="2605"/>
      <c r="T26" s="2054">
        <f>'Exhibit G State'!T26</f>
        <v>0</v>
      </c>
      <c r="U26" s="2605"/>
      <c r="V26" s="2054">
        <f>'Exhibit G State'!V26</f>
        <v>0</v>
      </c>
      <c r="W26" s="2605"/>
      <c r="X26" s="2054"/>
      <c r="Y26" s="2605"/>
      <c r="Z26" s="2054"/>
      <c r="AA26" s="2054"/>
      <c r="AB26" s="2060">
        <v>0</v>
      </c>
      <c r="AC26" s="2091"/>
      <c r="AD26" s="2049">
        <f t="shared" si="2"/>
        <v>0.4</v>
      </c>
      <c r="AE26" s="2049"/>
      <c r="AF26" s="2093"/>
      <c r="AG26" s="2086">
        <f>'Exhibit G State'!AG26</f>
        <v>-1.7</v>
      </c>
      <c r="AH26" s="3644"/>
      <c r="AI26" s="2061"/>
      <c r="AJ26" s="1480">
        <f t="shared" si="0"/>
        <v>2.1</v>
      </c>
      <c r="AK26" s="2606"/>
      <c r="AL26" s="1518">
        <f>ROUND(IF(AG26=0,1,AJ26/ABS(AG26)),3)</f>
        <v>1.2350000000000001</v>
      </c>
    </row>
    <row r="27" spans="1:38" ht="15" customHeight="1">
      <c r="A27" s="2098"/>
      <c r="B27" s="2611" t="s">
        <v>1118</v>
      </c>
      <c r="C27" s="2098"/>
      <c r="D27" s="2054">
        <f>'Exhibit G State'!D27</f>
        <v>0</v>
      </c>
      <c r="E27" s="1480"/>
      <c r="F27" s="2054">
        <f>'Exhibit G State'!F27</f>
        <v>0</v>
      </c>
      <c r="G27" s="1480"/>
      <c r="H27" s="2054">
        <f>'Exhibit G State'!H27</f>
        <v>0</v>
      </c>
      <c r="J27" s="2054">
        <f>'Exhibit G State'!J27</f>
        <v>0</v>
      </c>
      <c r="K27" s="2605"/>
      <c r="L27" s="2054">
        <f>'Exhibit G State'!L27</f>
        <v>0</v>
      </c>
      <c r="M27" s="2605"/>
      <c r="N27" s="2054">
        <f>'Exhibit G State'!N27</f>
        <v>0</v>
      </c>
      <c r="O27" s="2605"/>
      <c r="P27" s="2054">
        <f>'Exhibit G State'!P27</f>
        <v>0</v>
      </c>
      <c r="Q27" s="2605"/>
      <c r="R27" s="2054">
        <f>'Exhibit G State'!R27</f>
        <v>0</v>
      </c>
      <c r="S27" s="2605"/>
      <c r="T27" s="2054">
        <f>'Exhibit G State'!T27</f>
        <v>0</v>
      </c>
      <c r="U27" s="2605"/>
      <c r="V27" s="2054">
        <f>'Exhibit G State'!V27</f>
        <v>0</v>
      </c>
      <c r="W27" s="2605"/>
      <c r="X27" s="2054"/>
      <c r="Y27" s="2605"/>
      <c r="Z27" s="2054"/>
      <c r="AA27" s="2054"/>
      <c r="AB27" s="2060">
        <v>0</v>
      </c>
      <c r="AC27" s="2091"/>
      <c r="AD27" s="2049">
        <f t="shared" si="2"/>
        <v>0</v>
      </c>
      <c r="AE27" s="2049"/>
      <c r="AF27" s="2093"/>
      <c r="AG27" s="2086">
        <f>'Exhibit G State'!AG27</f>
        <v>49.7</v>
      </c>
      <c r="AH27" s="3644"/>
      <c r="AI27" s="2061"/>
      <c r="AJ27" s="1480">
        <f t="shared" si="0"/>
        <v>-49.7</v>
      </c>
      <c r="AK27" s="2606"/>
      <c r="AL27" s="1475">
        <f t="shared" si="1"/>
        <v>-1</v>
      </c>
    </row>
    <row r="28" spans="1:38" s="2489" customFormat="1" ht="15" customHeight="1">
      <c r="A28" s="2488"/>
      <c r="B28" s="2612" t="s">
        <v>1233</v>
      </c>
      <c r="C28" s="2488"/>
      <c r="D28" s="2087">
        <f t="shared" ref="D28:F28" si="3">ROUND(SUM(D20:D27),1)</f>
        <v>197.4</v>
      </c>
      <c r="E28" s="2592"/>
      <c r="F28" s="2087">
        <f t="shared" si="3"/>
        <v>145.69999999999999</v>
      </c>
      <c r="G28" s="2592"/>
      <c r="H28" s="2535">
        <f>ROUND(SUM(H20:H27),1)</f>
        <v>170.2</v>
      </c>
      <c r="I28" s="2592"/>
      <c r="J28" s="2535">
        <f>ROUND(SUM(J20:J27),1)</f>
        <v>163.80000000000001</v>
      </c>
      <c r="K28" s="2592"/>
      <c r="L28" s="2087">
        <f t="shared" ref="L28:AB28" si="4">ROUND(SUM(L20:L27),1)</f>
        <v>154.69999999999999</v>
      </c>
      <c r="M28" s="2592"/>
      <c r="N28" s="2087">
        <f>ROUND(SUM(N20:N27),1)</f>
        <v>181.2</v>
      </c>
      <c r="O28" s="2592"/>
      <c r="P28" s="2087">
        <f>ROUND(SUM(P20:P27),1)</f>
        <v>156.9</v>
      </c>
      <c r="Q28" s="2592"/>
      <c r="R28" s="2087">
        <f t="shared" ref="R28" si="5">ROUND(SUM(R20:R27),1)</f>
        <v>149.1</v>
      </c>
      <c r="S28" s="2592"/>
      <c r="T28" s="2071">
        <f t="shared" si="4"/>
        <v>186.5</v>
      </c>
      <c r="U28" s="2592"/>
      <c r="V28" s="2087">
        <f t="shared" si="4"/>
        <v>155.1</v>
      </c>
      <c r="W28" s="2592"/>
      <c r="X28" s="2087">
        <f t="shared" ref="X28:Z28" si="6">ROUND(SUM(X20:X27),1)</f>
        <v>0</v>
      </c>
      <c r="Y28" s="2592"/>
      <c r="Z28" s="2087">
        <f t="shared" si="6"/>
        <v>0</v>
      </c>
      <c r="AA28" s="1481"/>
      <c r="AB28" s="2087">
        <f t="shared" si="4"/>
        <v>0</v>
      </c>
      <c r="AC28" s="2094"/>
      <c r="AD28" s="2071">
        <f>ROUND(SUM(AD20:AD27),1)</f>
        <v>1660.6</v>
      </c>
      <c r="AE28" s="2104"/>
      <c r="AF28" s="2618"/>
      <c r="AG28" s="2071">
        <f>ROUND(SUM(AG20:AG27),1)</f>
        <v>1719.4</v>
      </c>
      <c r="AH28" s="3647"/>
      <c r="AI28" s="1481"/>
      <c r="AJ28" s="2087">
        <f>ROUND(SUM(AJ20:AJ27),1)</f>
        <v>-58.8</v>
      </c>
      <c r="AL28" s="2613">
        <f>ROUND(SUM(+AJ28/AG28),3)</f>
        <v>-3.4000000000000002E-2</v>
      </c>
    </row>
    <row r="29" spans="1:38" ht="15" customHeight="1">
      <c r="A29" s="2098"/>
      <c r="B29" s="2604" t="s">
        <v>1162</v>
      </c>
      <c r="C29" s="2098"/>
      <c r="D29" s="2060"/>
      <c r="F29" s="2060"/>
      <c r="H29" s="1480"/>
      <c r="J29" s="1480"/>
      <c r="L29" s="2060"/>
      <c r="N29" s="2060"/>
      <c r="P29" s="2060"/>
      <c r="R29" s="2060"/>
      <c r="T29" s="2049"/>
      <c r="V29" s="2060"/>
      <c r="X29" s="2060"/>
      <c r="Z29" s="2060"/>
      <c r="AA29" s="2060"/>
      <c r="AB29" s="2060"/>
      <c r="AC29" s="2091"/>
      <c r="AD29" s="2049"/>
      <c r="AE29" s="2049"/>
      <c r="AF29" s="2093"/>
      <c r="AG29" s="2049"/>
      <c r="AH29" s="3644"/>
      <c r="AI29" s="2061"/>
      <c r="AJ29" s="1480"/>
      <c r="AL29" s="1468"/>
    </row>
    <row r="30" spans="1:38" s="2244" customFormat="1" ht="15" customHeight="1">
      <c r="A30" s="2526"/>
      <c r="B30" s="2610" t="s">
        <v>1120</v>
      </c>
      <c r="C30" s="2526"/>
      <c r="D30" s="2049">
        <f>'Exhibit G State'!D30</f>
        <v>102.60000000000001</v>
      </c>
      <c r="E30" s="1480"/>
      <c r="F30" s="2049">
        <f>'Exhibit G State'!F30</f>
        <v>6</v>
      </c>
      <c r="G30" s="1480"/>
      <c r="H30" s="2049">
        <f>'Exhibit G State'!H30</f>
        <v>175.39999999999998</v>
      </c>
      <c r="I30" s="2592"/>
      <c r="J30" s="2049">
        <f>'Exhibit G State'!J30</f>
        <v>36.899999999999977</v>
      </c>
      <c r="K30" s="2605"/>
      <c r="L30" s="2049">
        <f>'Exhibit G State'!L30</f>
        <v>21.4</v>
      </c>
      <c r="M30" s="2605"/>
      <c r="N30" s="2049">
        <f>'Exhibit G State'!N30</f>
        <v>150.00000000000003</v>
      </c>
      <c r="O30" s="2605"/>
      <c r="P30" s="2049">
        <f>'Exhibit G State'!P30</f>
        <v>27.300000000000011</v>
      </c>
      <c r="Q30" s="2605"/>
      <c r="R30" s="2049">
        <f>'Exhibit G State'!R30</f>
        <v>39.199999999999932</v>
      </c>
      <c r="S30" s="2605"/>
      <c r="T30" s="2049">
        <f>'Exhibit G State'!T30</f>
        <v>174.90000000000012</v>
      </c>
      <c r="U30" s="2605"/>
      <c r="V30" s="2049">
        <f>'Exhibit G State'!V30</f>
        <v>31.099999999999937</v>
      </c>
      <c r="W30" s="2605"/>
      <c r="X30" s="2049"/>
      <c r="Y30" s="2605"/>
      <c r="Z30" s="2049"/>
      <c r="AA30" s="2049"/>
      <c r="AB30" s="2049">
        <v>0</v>
      </c>
      <c r="AC30" s="2093"/>
      <c r="AD30" s="2049">
        <f>ROUND(SUM(D30:Z30),1)</f>
        <v>764.8</v>
      </c>
      <c r="AE30" s="2049"/>
      <c r="AF30" s="2093"/>
      <c r="AG30" s="2049">
        <f>'Exhibit G State'!AG30</f>
        <v>673.1</v>
      </c>
      <c r="AH30" s="3644"/>
      <c r="AI30" s="2030"/>
      <c r="AJ30" s="2054">
        <f>ROUND(SUM(+AD30-AG30),1)</f>
        <v>91.7</v>
      </c>
      <c r="AK30" s="2614"/>
      <c r="AL30" s="1774">
        <f>ROUND(IF(AG30=0,0,AJ30/ABS(AG30)),3)</f>
        <v>0.13600000000000001</v>
      </c>
    </row>
    <row r="31" spans="1:38" s="2244" customFormat="1" ht="15" customHeight="1">
      <c r="A31" s="2526"/>
      <c r="B31" s="2610" t="s">
        <v>1121</v>
      </c>
      <c r="C31" s="2526"/>
      <c r="D31" s="2049">
        <f>'Exhibit G State'!D31</f>
        <v>23.4</v>
      </c>
      <c r="E31" s="1480"/>
      <c r="F31" s="2049">
        <f>'Exhibit G State'!F31</f>
        <v>-0.5</v>
      </c>
      <c r="G31" s="1480"/>
      <c r="H31" s="2049">
        <f>'Exhibit G State'!H31</f>
        <v>23.5</v>
      </c>
      <c r="I31" s="2592"/>
      <c r="J31" s="2049">
        <f>'Exhibit G State'!J31</f>
        <v>0.20000000000000284</v>
      </c>
      <c r="K31" s="2605"/>
      <c r="L31" s="2049">
        <f>'Exhibit G State'!L31</f>
        <v>-0.89999999999999858</v>
      </c>
      <c r="M31" s="2605"/>
      <c r="N31" s="2049">
        <f>'Exhibit G State'!N31</f>
        <v>32.399999999999991</v>
      </c>
      <c r="O31" s="2605"/>
      <c r="P31" s="2049">
        <f>'Exhibit G State'!P31</f>
        <v>0.80000000000001137</v>
      </c>
      <c r="Q31" s="2605"/>
      <c r="R31" s="2049">
        <f>'Exhibit G State'!R31</f>
        <v>1.1999999999999886</v>
      </c>
      <c r="S31" s="2605"/>
      <c r="T31" s="2049">
        <f>'Exhibit G State'!T31</f>
        <v>29.600000000000009</v>
      </c>
      <c r="U31" s="2605"/>
      <c r="V31" s="2049">
        <f>'Exhibit G State'!V31</f>
        <v>-0.30000000000000426</v>
      </c>
      <c r="W31" s="2605"/>
      <c r="X31" s="2049"/>
      <c r="Y31" s="2605"/>
      <c r="Z31" s="2049"/>
      <c r="AA31" s="2049"/>
      <c r="AB31" s="2049">
        <v>0</v>
      </c>
      <c r="AC31" s="2093"/>
      <c r="AD31" s="2049">
        <f>ROUND(SUM(D31:Z31),1)</f>
        <v>109.4</v>
      </c>
      <c r="AE31" s="2049"/>
      <c r="AF31" s="2093"/>
      <c r="AG31" s="2049">
        <f>'Exhibit G State'!AG31</f>
        <v>106.2</v>
      </c>
      <c r="AH31" s="3644"/>
      <c r="AI31" s="2030"/>
      <c r="AJ31" s="2054">
        <f>ROUND(SUM(+AD31-AG31),1)</f>
        <v>3.2</v>
      </c>
      <c r="AK31" s="2614"/>
      <c r="AL31" s="1774">
        <f>ROUND(IF(AG31=0,0,AJ31/ABS(AG31)),3)</f>
        <v>0.03</v>
      </c>
    </row>
    <row r="32" spans="1:38" s="2244" customFormat="1" ht="15" customHeight="1">
      <c r="A32" s="2526"/>
      <c r="B32" s="2610" t="s">
        <v>1122</v>
      </c>
      <c r="C32" s="2526"/>
      <c r="D32" s="2049">
        <f>'Exhibit G State'!D32</f>
        <v>14.4</v>
      </c>
      <c r="E32" s="1480"/>
      <c r="F32" s="2049">
        <f>'Exhibit G State'!F32</f>
        <v>8.6</v>
      </c>
      <c r="G32" s="1480"/>
      <c r="H32" s="2049">
        <f>'Exhibit G State'!H32</f>
        <v>48.5</v>
      </c>
      <c r="I32" s="2592"/>
      <c r="J32" s="2049">
        <f>'Exhibit G State'!J32</f>
        <v>5.9000000000000057</v>
      </c>
      <c r="K32" s="2605"/>
      <c r="L32" s="2049">
        <f>'Exhibit G State'!L32</f>
        <v>-3.8000000000000114</v>
      </c>
      <c r="M32" s="2605"/>
      <c r="N32" s="2049">
        <f>'Exhibit G State'!N32</f>
        <v>49</v>
      </c>
      <c r="O32" s="2605"/>
      <c r="P32" s="2049">
        <f>'Exhibit G State'!P32</f>
        <v>-1.2999999999999972</v>
      </c>
      <c r="Q32" s="2605"/>
      <c r="R32" s="2049">
        <f>'Exhibit G State'!R32</f>
        <v>-0.29999999999999716</v>
      </c>
      <c r="S32" s="2605"/>
      <c r="T32" s="2049">
        <f>'Exhibit G State'!T32</f>
        <v>62.699999999999989</v>
      </c>
      <c r="U32" s="2605"/>
      <c r="V32" s="2049">
        <f>'Exhibit G State'!V32</f>
        <v>-0.89999999999997726</v>
      </c>
      <c r="W32" s="2605"/>
      <c r="X32" s="2049"/>
      <c r="Y32" s="2605"/>
      <c r="Z32" s="2049"/>
      <c r="AA32" s="2049"/>
      <c r="AB32" s="2049">
        <v>0</v>
      </c>
      <c r="AC32" s="2093"/>
      <c r="AD32" s="2049">
        <f>ROUND(SUM(D32:Z32),1)</f>
        <v>182.8</v>
      </c>
      <c r="AE32" s="2049"/>
      <c r="AF32" s="2093"/>
      <c r="AG32" s="2049">
        <f>'Exhibit G State'!AG32</f>
        <v>128.6</v>
      </c>
      <c r="AH32" s="3644"/>
      <c r="AI32" s="2030"/>
      <c r="AJ32" s="2054">
        <f>ROUND(SUM(+AD32-AG32),1)</f>
        <v>54.2</v>
      </c>
      <c r="AK32" s="2614"/>
      <c r="AL32" s="1779">
        <f>ROUND(IF(AG32=0,0,AJ32/ABS(AG32)),3)</f>
        <v>0.42099999999999999</v>
      </c>
    </row>
    <row r="33" spans="1:38" s="2244" customFormat="1" ht="15" customHeight="1">
      <c r="A33" s="2526"/>
      <c r="B33" s="2610" t="s">
        <v>1123</v>
      </c>
      <c r="C33" s="2526"/>
      <c r="D33" s="2049">
        <f>'Exhibit G State'!D33</f>
        <v>19.899999999999999</v>
      </c>
      <c r="E33" s="1480"/>
      <c r="F33" s="2049">
        <f>'Exhibit G State'!F33</f>
        <v>-16.399999999999999</v>
      </c>
      <c r="G33" s="1480"/>
      <c r="H33" s="2049">
        <f>'Exhibit G State'!H33</f>
        <v>0.40000000000000036</v>
      </c>
      <c r="I33" s="2592"/>
      <c r="J33" s="2049">
        <f>'Exhibit G State'!J33</f>
        <v>9.9999999999999645E-2</v>
      </c>
      <c r="K33" s="2605"/>
      <c r="L33" s="2049">
        <f>'Exhibit G State'!L33</f>
        <v>-9.9999999999999645E-2</v>
      </c>
      <c r="M33" s="2605"/>
      <c r="N33" s="2049">
        <f>'Exhibit G State'!N33</f>
        <v>-0.40000000000000036</v>
      </c>
      <c r="O33" s="2605"/>
      <c r="P33" s="2049">
        <f>'Exhibit G State'!P33</f>
        <v>-0.19999999999999929</v>
      </c>
      <c r="Q33" s="2605"/>
      <c r="R33" s="2049">
        <f>'Exhibit G State'!R33</f>
        <v>-5.1999999999999993</v>
      </c>
      <c r="S33" s="2605"/>
      <c r="T33" s="2049">
        <f>'Exhibit G State'!T33</f>
        <v>-0.10000000000000142</v>
      </c>
      <c r="U33" s="2605"/>
      <c r="V33" s="2049">
        <f>'Exhibit G State'!V33</f>
        <v>0.10000000000000142</v>
      </c>
      <c r="W33" s="2605"/>
      <c r="X33" s="2049"/>
      <c r="Y33" s="2605"/>
      <c r="Z33" s="2049"/>
      <c r="AA33" s="2049"/>
      <c r="AB33" s="2049">
        <v>0</v>
      </c>
      <c r="AC33" s="2093"/>
      <c r="AD33" s="2049">
        <f>ROUND(SUM(D33:Z33),1)</f>
        <v>-1.9</v>
      </c>
      <c r="AE33" s="2049"/>
      <c r="AF33" s="2093"/>
      <c r="AG33" s="2049">
        <f>'Exhibit G State'!AG33</f>
        <v>4.8</v>
      </c>
      <c r="AH33" s="3644"/>
      <c r="AI33" s="2030"/>
      <c r="AJ33" s="2054">
        <f>ROUND(SUM(+AD33-AG33),1)</f>
        <v>-6.7</v>
      </c>
      <c r="AK33" s="2614"/>
      <c r="AL33" s="1779">
        <f>ROUND(IF(AG33=0,0,AJ33/ABS(AG33)),3)</f>
        <v>-1.3959999999999999</v>
      </c>
    </row>
    <row r="34" spans="1:38" s="2244" customFormat="1" ht="15" customHeight="1">
      <c r="A34" s="2526"/>
      <c r="B34" s="2610" t="s">
        <v>1124</v>
      </c>
      <c r="C34" s="2526"/>
      <c r="D34" s="2049">
        <f>'Exhibit G State'!D34</f>
        <v>44.1</v>
      </c>
      <c r="E34" s="1480"/>
      <c r="F34" s="2049">
        <f>'Exhibit G State'!F34</f>
        <v>43.9</v>
      </c>
      <c r="G34" s="1480"/>
      <c r="H34" s="2049">
        <f>'Exhibit G State'!H34</f>
        <v>45.400000000000013</v>
      </c>
      <c r="I34" s="2592"/>
      <c r="J34" s="2049">
        <f>'Exhibit G State'!J34</f>
        <v>41.299999999999976</v>
      </c>
      <c r="K34" s="2605"/>
      <c r="L34" s="2049">
        <f>'Exhibit G State'!L34</f>
        <v>47.000000000000007</v>
      </c>
      <c r="M34" s="2605"/>
      <c r="N34" s="2049">
        <f>'Exhibit G State'!N34</f>
        <v>43.900000000000027</v>
      </c>
      <c r="O34" s="2605"/>
      <c r="P34" s="2049">
        <f>'Exhibit G State'!P34</f>
        <v>47.199999999999967</v>
      </c>
      <c r="Q34" s="2605"/>
      <c r="R34" s="2049">
        <f>'Exhibit G State'!R34</f>
        <v>40.800000000000033</v>
      </c>
      <c r="S34" s="2605"/>
      <c r="T34" s="2049">
        <f>'Exhibit G State'!T34</f>
        <v>39.799999999999933</v>
      </c>
      <c r="U34" s="2605"/>
      <c r="V34" s="2049">
        <f>'Exhibit G State'!V34</f>
        <v>43.100000000000044</v>
      </c>
      <c r="W34" s="2605"/>
      <c r="X34" s="2049"/>
      <c r="Y34" s="2605"/>
      <c r="Z34" s="2049"/>
      <c r="AA34" s="2049"/>
      <c r="AB34" s="2049">
        <v>0</v>
      </c>
      <c r="AC34" s="2093"/>
      <c r="AD34" s="2049">
        <f>ROUND(SUM(D34:Z34),1)</f>
        <v>436.5</v>
      </c>
      <c r="AE34" s="2049"/>
      <c r="AF34" s="2093"/>
      <c r="AG34" s="2049">
        <f>'Exhibit G State'!AG34</f>
        <v>426</v>
      </c>
      <c r="AH34" s="3644"/>
      <c r="AI34" s="2030"/>
      <c r="AJ34" s="2054">
        <f>ROUND(SUM(+AD34-AG34),1)</f>
        <v>10.5</v>
      </c>
      <c r="AK34" s="2614"/>
      <c r="AL34" s="1774">
        <f>ROUND(IF(AG34=0,0,AJ34/ABS(AG34)),3)</f>
        <v>2.5000000000000001E-2</v>
      </c>
    </row>
    <row r="35" spans="1:38" s="2489" customFormat="1" ht="15" customHeight="1">
      <c r="A35" s="2488"/>
      <c r="B35" s="2612" t="s">
        <v>1234</v>
      </c>
      <c r="C35" s="2488"/>
      <c r="D35" s="2087">
        <f t="shared" ref="D35:F35" si="7">ROUND(SUM(D30:D34),1)</f>
        <v>204.4</v>
      </c>
      <c r="E35" s="2592"/>
      <c r="F35" s="2087">
        <f t="shared" si="7"/>
        <v>41.6</v>
      </c>
      <c r="G35" s="2592"/>
      <c r="H35" s="2535">
        <f>ROUND(SUM(H30:H34),1)</f>
        <v>293.2</v>
      </c>
      <c r="I35" s="2592"/>
      <c r="J35" s="2535">
        <f>ROUND(SUM(J30:J34),1)</f>
        <v>84.4</v>
      </c>
      <c r="K35" s="2592"/>
      <c r="L35" s="2087">
        <f t="shared" ref="L35:V35" si="8">ROUND(SUM(L30:L34),1)</f>
        <v>63.6</v>
      </c>
      <c r="M35" s="2592"/>
      <c r="N35" s="2087">
        <f t="shared" ref="N35:P35" si="9">ROUND(SUM(N30:N34),1)</f>
        <v>274.89999999999998</v>
      </c>
      <c r="O35" s="2592"/>
      <c r="P35" s="2087">
        <f t="shared" si="9"/>
        <v>73.8</v>
      </c>
      <c r="Q35" s="2592"/>
      <c r="R35" s="2087">
        <f t="shared" ref="R35" si="10">ROUND(SUM(R30:R34),1)</f>
        <v>75.7</v>
      </c>
      <c r="S35" s="2592"/>
      <c r="T35" s="2071">
        <f t="shared" si="8"/>
        <v>306.89999999999998</v>
      </c>
      <c r="U35" s="2592"/>
      <c r="V35" s="2087">
        <f t="shared" si="8"/>
        <v>73.099999999999994</v>
      </c>
      <c r="W35" s="2592"/>
      <c r="X35" s="2087">
        <f t="shared" ref="X35:Z35" si="11">ROUND(SUM(X30:X34),1)</f>
        <v>0</v>
      </c>
      <c r="Y35" s="2592"/>
      <c r="Z35" s="2087">
        <f t="shared" si="11"/>
        <v>0</v>
      </c>
      <c r="AA35" s="1481"/>
      <c r="AB35" s="2087">
        <f>SUM(AB30:AB34)</f>
        <v>0</v>
      </c>
      <c r="AC35" s="2094"/>
      <c r="AD35" s="2071">
        <f>ROUND(SUM(AD30:AD34),1)</f>
        <v>1491.6</v>
      </c>
      <c r="AE35" s="2104"/>
      <c r="AF35" s="2618"/>
      <c r="AG35" s="2071">
        <f>ROUND(SUM(AG30:AG34),1)</f>
        <v>1338.7</v>
      </c>
      <c r="AH35" s="3647"/>
      <c r="AI35" s="1481"/>
      <c r="AJ35" s="2087">
        <f>ROUND(SUM(AJ30:AJ34),1)</f>
        <v>152.9</v>
      </c>
      <c r="AL35" s="1471">
        <f>ROUND(SUM(+AJ35/AG35),3)</f>
        <v>0.114</v>
      </c>
    </row>
    <row r="36" spans="1:38" ht="15" customHeight="1">
      <c r="A36" s="2098"/>
      <c r="B36" s="2615"/>
      <c r="C36" s="2098"/>
      <c r="D36" s="2061"/>
      <c r="F36" s="2061"/>
      <c r="H36" s="2538"/>
      <c r="J36" s="2538"/>
      <c r="L36" s="2061"/>
      <c r="N36" s="2061"/>
      <c r="P36" s="2061"/>
      <c r="R36" s="2061"/>
      <c r="T36" s="2030"/>
      <c r="V36" s="2061"/>
      <c r="X36" s="2061"/>
      <c r="Z36" s="2061"/>
      <c r="AA36" s="2061"/>
      <c r="AB36" s="2060"/>
      <c r="AC36" s="2091"/>
      <c r="AD36" s="2030"/>
      <c r="AE36" s="2049"/>
      <c r="AF36" s="2093"/>
      <c r="AG36" s="2030"/>
      <c r="AH36" s="3644"/>
      <c r="AI36" s="2061"/>
      <c r="AJ36" s="2538"/>
      <c r="AK36" s="2075"/>
      <c r="AL36" s="1484"/>
    </row>
    <row r="37" spans="1:38" ht="15" customHeight="1">
      <c r="A37" s="2098"/>
      <c r="B37" s="2612" t="s">
        <v>1235</v>
      </c>
      <c r="C37" s="2098"/>
      <c r="D37" s="2106">
        <f>ROUND(SUM(D17+D28+D35),1)</f>
        <v>401.8</v>
      </c>
      <c r="F37" s="2106">
        <f>ROUND(SUM(F17+F28+F35),1)</f>
        <v>187.3</v>
      </c>
      <c r="H37" s="2106">
        <f>ROUND(SUM(H17+H28+H35),1)</f>
        <v>463.4</v>
      </c>
      <c r="J37" s="2106">
        <f>ROUND(SUM(J17+J28+J35),1)</f>
        <v>248.2</v>
      </c>
      <c r="L37" s="2106">
        <f>ROUND(SUM(L17+L28+L35),1)</f>
        <v>218.3</v>
      </c>
      <c r="N37" s="2106">
        <f>ROUND(SUM(N17+N28+N35),1)</f>
        <v>456.1</v>
      </c>
      <c r="P37" s="2106">
        <f>ROUND(SUM(P17+P28+P35),1)</f>
        <v>230.9</v>
      </c>
      <c r="R37" s="2106">
        <f>ROUND(SUM(R17+R28+R35),1)</f>
        <v>227.8</v>
      </c>
      <c r="T37" s="2106">
        <f>ROUND(SUM(T17+T28+T35),1)</f>
        <v>531.9</v>
      </c>
      <c r="V37" s="2106">
        <f>ROUND(SUM(V17+V28+V35),1)</f>
        <v>2335.6</v>
      </c>
      <c r="X37" s="2106">
        <f>ROUND(SUM(X17+X28+X35),1)</f>
        <v>0</v>
      </c>
      <c r="Z37" s="2106">
        <f>ROUND(SUM(Z17+Z28+Z35),1)</f>
        <v>0</v>
      </c>
      <c r="AA37" s="1481"/>
      <c r="AB37" s="2106">
        <f>ROUND(SUM(AB17+AB28+AB35),1)</f>
        <v>0</v>
      </c>
      <c r="AC37" s="2091"/>
      <c r="AD37" s="2106">
        <f>ROUND(SUM(AD17+AD28+AD35),1)</f>
        <v>5301.3</v>
      </c>
      <c r="AE37" s="2049"/>
      <c r="AF37" s="2093"/>
      <c r="AG37" s="2106">
        <f>ROUND(SUM(AG17+AG28+AG35),1)</f>
        <v>5468.1</v>
      </c>
      <c r="AH37" s="3644"/>
      <c r="AI37" s="2061"/>
      <c r="AJ37" s="2106">
        <f>ROUND(SUM(AJ17+AJ28+AJ35),1)</f>
        <v>-166.8</v>
      </c>
      <c r="AL37" s="1472">
        <f>ROUND(SUM(+AJ37/AG37),3)</f>
        <v>-3.1E-2</v>
      </c>
    </row>
    <row r="38" spans="1:38" ht="15" customHeight="1">
      <c r="A38" s="2098"/>
      <c r="B38" s="2098"/>
      <c r="C38" s="2098"/>
      <c r="D38" s="2614"/>
      <c r="F38" s="2614"/>
      <c r="H38" s="2616"/>
      <c r="J38" s="2616"/>
      <c r="L38" s="2616"/>
      <c r="N38" s="2616"/>
      <c r="P38" s="2616"/>
      <c r="R38" s="2616"/>
      <c r="T38" s="2048"/>
      <c r="V38" s="2069"/>
      <c r="X38" s="2069"/>
      <c r="Z38" s="2069"/>
      <c r="AA38" s="2614"/>
      <c r="AB38" s="2060"/>
      <c r="AC38" s="2091"/>
      <c r="AD38" s="2049"/>
      <c r="AE38" s="2049"/>
      <c r="AF38" s="2093"/>
      <c r="AG38" s="2177"/>
      <c r="AH38" s="3648"/>
      <c r="AI38" s="2061"/>
      <c r="AJ38" s="1480"/>
      <c r="AK38" s="2606"/>
      <c r="AL38" s="1468"/>
    </row>
    <row r="39" spans="1:38" ht="15" customHeight="1">
      <c r="A39" s="2098"/>
      <c r="B39" s="2523" t="s">
        <v>1033</v>
      </c>
      <c r="C39" s="2098"/>
      <c r="D39" s="2614"/>
      <c r="F39" s="2614"/>
      <c r="H39" s="2616"/>
      <c r="J39" s="2616"/>
      <c r="L39" s="2616"/>
      <c r="N39" s="2616"/>
      <c r="P39" s="2616"/>
      <c r="R39" s="2616"/>
      <c r="T39" s="2048"/>
      <c r="V39" s="2069"/>
      <c r="X39" s="2069"/>
      <c r="Z39" s="2069"/>
      <c r="AA39" s="2614"/>
      <c r="AB39" s="2060"/>
      <c r="AC39" s="2091"/>
      <c r="AD39" s="2049"/>
      <c r="AE39" s="2049"/>
      <c r="AF39" s="2093"/>
      <c r="AG39" s="2177"/>
      <c r="AH39" s="3648"/>
      <c r="AI39" s="2061"/>
      <c r="AJ39" s="1480"/>
      <c r="AK39" s="2606"/>
      <c r="AL39" s="1468"/>
    </row>
    <row r="40" spans="1:38" ht="15" customHeight="1">
      <c r="A40" s="2098"/>
      <c r="B40" s="2547" t="s">
        <v>1154</v>
      </c>
      <c r="C40" s="2098"/>
      <c r="D40" s="2614"/>
      <c r="F40" s="2614"/>
      <c r="H40" s="2616"/>
      <c r="J40" s="2616"/>
      <c r="L40" s="2616"/>
      <c r="N40" s="2616"/>
      <c r="P40" s="2616"/>
      <c r="R40" s="2616"/>
      <c r="T40" s="2048"/>
      <c r="V40" s="2069"/>
      <c r="X40" s="2069"/>
      <c r="Z40" s="2069"/>
      <c r="AA40" s="2614"/>
      <c r="AB40" s="2060"/>
      <c r="AC40" s="2091"/>
      <c r="AD40" s="2049"/>
      <c r="AE40" s="2049"/>
      <c r="AF40" s="2093"/>
      <c r="AG40" s="2177"/>
      <c r="AH40" s="3648"/>
      <c r="AI40" s="2061"/>
      <c r="AJ40" s="1480"/>
      <c r="AK40" s="2606"/>
      <c r="AL40" s="1468"/>
    </row>
    <row r="41" spans="1:38" s="2244" customFormat="1" ht="15" customHeight="1">
      <c r="A41" s="2526"/>
      <c r="B41" s="2547" t="s">
        <v>1066</v>
      </c>
      <c r="C41" s="2526"/>
      <c r="D41" s="2086">
        <f>'Exhibit G State'!D41+'Exhibit G Federal'!D19</f>
        <v>1.1000000000000001</v>
      </c>
      <c r="E41" s="2616"/>
      <c r="F41" s="2086">
        <f>'Exhibit G State'!F41+'Exhibit G Federal'!F19</f>
        <v>1.1000000000000001</v>
      </c>
      <c r="G41" s="2616"/>
      <c r="H41" s="2086">
        <f>'Exhibit G State'!H41+'Exhibit G Federal'!H19</f>
        <v>0.89999999999999991</v>
      </c>
      <c r="I41" s="2592"/>
      <c r="J41" s="2086">
        <f>'Exhibit G State'!J41+'Exhibit G Federal'!J19</f>
        <v>0.89999999999999991</v>
      </c>
      <c r="K41" s="2605"/>
      <c r="L41" s="2086">
        <f>'Exhibit G State'!L41+'Exhibit G Federal'!L19</f>
        <v>0.79999999999999982</v>
      </c>
      <c r="M41" s="2605"/>
      <c r="N41" s="2086">
        <f>'Exhibit G State'!N41+'Exhibit G Federal'!N19</f>
        <v>0.80000000000000027</v>
      </c>
      <c r="O41" s="2605"/>
      <c r="P41" s="2086">
        <f>'Exhibit G State'!P41+'Exhibit G Federal'!P19</f>
        <v>1.1999999999999997</v>
      </c>
      <c r="Q41" s="2605"/>
      <c r="R41" s="2086">
        <f>'Exhibit G State'!R41+'Exhibit G Federal'!R19</f>
        <v>0.89999999999999991</v>
      </c>
      <c r="S41" s="2605"/>
      <c r="T41" s="2086">
        <f>'Exhibit G State'!T41+'Exhibit G Federal'!T19</f>
        <v>1.100000000000001</v>
      </c>
      <c r="U41" s="2605"/>
      <c r="V41" s="2086">
        <f>'Exhibit G State'!V41+'Exhibit G Federal'!V19</f>
        <v>0.89999999999999902</v>
      </c>
      <c r="W41" s="2605"/>
      <c r="X41" s="2086"/>
      <c r="Y41" s="2605"/>
      <c r="Z41" s="2086"/>
      <c r="AA41" s="2086"/>
      <c r="AB41" s="2049">
        <v>0</v>
      </c>
      <c r="AC41" s="2093"/>
      <c r="AD41" s="2049">
        <f t="shared" ref="AD41:AD82" si="12">ROUND(SUM(D41:Z41),1)</f>
        <v>9.6999999999999993</v>
      </c>
      <c r="AE41" s="2049"/>
      <c r="AF41" s="2093"/>
      <c r="AG41" s="2086">
        <f>'Exhibit G State'!AG41+'Exhibit G Federal'!AG19</f>
        <v>9.1</v>
      </c>
      <c r="AH41" s="3648"/>
      <c r="AI41" s="2030"/>
      <c r="AJ41" s="2054">
        <f>ROUND(SUM(+AD41-AG41),1)</f>
        <v>0.6</v>
      </c>
      <c r="AK41" s="2614"/>
      <c r="AL41" s="1774">
        <f>ROUND(IF(AG41=0,0,AJ41/ABS(AG41)),3)</f>
        <v>6.6000000000000003E-2</v>
      </c>
    </row>
    <row r="42" spans="1:38" s="2244" customFormat="1" ht="15" customHeight="1">
      <c r="A42" s="2526"/>
      <c r="B42" s="2547" t="s">
        <v>1155</v>
      </c>
      <c r="C42" s="2526"/>
      <c r="D42" s="2086"/>
      <c r="E42" s="2592"/>
      <c r="F42" s="2086"/>
      <c r="G42" s="2592"/>
      <c r="H42" s="2086"/>
      <c r="I42" s="2592"/>
      <c r="J42" s="2086"/>
      <c r="K42" s="2605"/>
      <c r="L42" s="2086"/>
      <c r="M42" s="2605"/>
      <c r="N42" s="2086"/>
      <c r="O42" s="2605"/>
      <c r="P42" s="2086"/>
      <c r="Q42" s="2605"/>
      <c r="R42" s="2086"/>
      <c r="S42" s="2605"/>
      <c r="T42" s="2086"/>
      <c r="U42" s="2605"/>
      <c r="V42" s="2086"/>
      <c r="W42" s="2605"/>
      <c r="X42" s="2086"/>
      <c r="Y42" s="2605"/>
      <c r="Z42" s="2086"/>
      <c r="AA42" s="2086"/>
      <c r="AB42" s="2049"/>
      <c r="AC42" s="2093"/>
      <c r="AD42" s="2049"/>
      <c r="AE42" s="2049"/>
      <c r="AF42" s="2093"/>
      <c r="AG42" s="2086"/>
      <c r="AH42" s="3648"/>
      <c r="AI42" s="2030"/>
      <c r="AJ42" s="2054"/>
      <c r="AK42" s="2614"/>
      <c r="AL42" s="1868"/>
    </row>
    <row r="43" spans="1:38" s="2244" customFormat="1" ht="15" customHeight="1">
      <c r="A43" s="2526"/>
      <c r="B43" s="2547" t="s">
        <v>1068</v>
      </c>
      <c r="C43" s="2526"/>
      <c r="D43" s="2086">
        <f>'Exhibit G State'!D43+'Exhibit G Federal'!D21</f>
        <v>70.900000000000006</v>
      </c>
      <c r="E43" s="2086"/>
      <c r="F43" s="2086">
        <f>'Exhibit G State'!F43+'Exhibit G Federal'!F21</f>
        <v>72.699999999999989</v>
      </c>
      <c r="G43" s="2086"/>
      <c r="H43" s="2086">
        <f>'Exhibit G State'!H43+'Exhibit G Federal'!H21</f>
        <v>94.399999999999977</v>
      </c>
      <c r="I43" s="2592"/>
      <c r="J43" s="2086">
        <f>'Exhibit G State'!J43+'Exhibit G Federal'!J21</f>
        <v>52.000000000000021</v>
      </c>
      <c r="K43" s="2605"/>
      <c r="L43" s="2086">
        <f>'Exhibit G State'!L43+'Exhibit G Federal'!L21</f>
        <v>54.6</v>
      </c>
      <c r="M43" s="2605"/>
      <c r="N43" s="2086">
        <f>'Exhibit G State'!N43+'Exhibit G Federal'!N21</f>
        <v>68.500000000000043</v>
      </c>
      <c r="O43" s="2605"/>
      <c r="P43" s="2086">
        <f>'Exhibit G State'!P43+'Exhibit G Federal'!P21</f>
        <v>70.399999999999878</v>
      </c>
      <c r="Q43" s="2605"/>
      <c r="R43" s="2086">
        <f>'Exhibit G State'!R43+'Exhibit G Federal'!R21</f>
        <v>35.300000000000068</v>
      </c>
      <c r="S43" s="2605"/>
      <c r="T43" s="2086">
        <f>'Exhibit G State'!T43+'Exhibit G Federal'!T21</f>
        <v>72.70000000000006</v>
      </c>
      <c r="U43" s="2605"/>
      <c r="V43" s="2086">
        <f>'Exhibit G State'!V43+'Exhibit G Federal'!V21</f>
        <v>93.399999999999949</v>
      </c>
      <c r="W43" s="2605"/>
      <c r="X43" s="2086"/>
      <c r="Y43" s="2605"/>
      <c r="Z43" s="2086"/>
      <c r="AA43" s="2086"/>
      <c r="AB43" s="2049">
        <v>0</v>
      </c>
      <c r="AC43" s="2093"/>
      <c r="AD43" s="2049">
        <f>ROUND(SUM(D43:Z43),1)</f>
        <v>684.9</v>
      </c>
      <c r="AE43" s="2049"/>
      <c r="AF43" s="2093"/>
      <c r="AG43" s="2086">
        <f>'Exhibit G State'!AG43+'Exhibit G Federal'!AG21</f>
        <v>698.1</v>
      </c>
      <c r="AH43" s="3648"/>
      <c r="AI43" s="2030"/>
      <c r="AJ43" s="2054">
        <f>ROUND(SUM(+AD43-AG43),1)</f>
        <v>-13.2</v>
      </c>
      <c r="AK43" s="2614"/>
      <c r="AL43" s="1774">
        <f>ROUND(IF(AG43=0,0,AJ43/ABS(AG43)),3)</f>
        <v>-1.9E-2</v>
      </c>
    </row>
    <row r="44" spans="1:38" s="2244" customFormat="1" ht="15" customHeight="1">
      <c r="A44" s="2526"/>
      <c r="B44" s="2547" t="s">
        <v>1069</v>
      </c>
      <c r="C44" s="2526"/>
      <c r="D44" s="2086">
        <f>'Exhibit G State'!D44+'Exhibit G Federal'!D22</f>
        <v>625.70000000000005</v>
      </c>
      <c r="E44" s="2086"/>
      <c r="F44" s="2086">
        <f>'Exhibit G State'!F44+'Exhibit G Federal'!F22</f>
        <v>519.70000000000005</v>
      </c>
      <c r="G44" s="2086"/>
      <c r="H44" s="2086">
        <f>'Exhibit G State'!H44+'Exhibit G Federal'!H22</f>
        <v>504.69999999999982</v>
      </c>
      <c r="I44" s="2592"/>
      <c r="J44" s="2086">
        <f>'Exhibit G State'!J44+'Exhibit G Federal'!J22</f>
        <v>567.5</v>
      </c>
      <c r="K44" s="2605"/>
      <c r="L44" s="2086">
        <f>'Exhibit G State'!L44+'Exhibit G Federal'!L22</f>
        <v>515.90000000000032</v>
      </c>
      <c r="M44" s="2605"/>
      <c r="N44" s="2086">
        <f>'Exhibit G State'!N44+'Exhibit G Federal'!N22</f>
        <v>542.20000000000005</v>
      </c>
      <c r="O44" s="2605"/>
      <c r="P44" s="2086">
        <f>'Exhibit G State'!P44+'Exhibit G Federal'!P22</f>
        <v>528.69999999999982</v>
      </c>
      <c r="Q44" s="2605"/>
      <c r="R44" s="2086">
        <f>'Exhibit G State'!R44+'Exhibit G Federal'!R22</f>
        <v>469.10000000000036</v>
      </c>
      <c r="S44" s="2605"/>
      <c r="T44" s="2086">
        <f>'Exhibit G State'!T44+'Exhibit G Federal'!T22</f>
        <v>522.39999999999941</v>
      </c>
      <c r="U44" s="2605"/>
      <c r="V44" s="2086">
        <f>'Exhibit G State'!V44+'Exhibit G Federal'!V22</f>
        <v>573.50000000000023</v>
      </c>
      <c r="W44" s="2605"/>
      <c r="X44" s="2086"/>
      <c r="Y44" s="2605"/>
      <c r="Z44" s="2086"/>
      <c r="AA44" s="2086"/>
      <c r="AB44" s="2049">
        <v>0</v>
      </c>
      <c r="AC44" s="2093"/>
      <c r="AD44" s="2054">
        <f t="shared" si="12"/>
        <v>5369.4</v>
      </c>
      <c r="AE44" s="2049"/>
      <c r="AF44" s="2093"/>
      <c r="AG44" s="2086">
        <f>'Exhibit G State'!AG44+'Exhibit G Federal'!AG22</f>
        <v>5073.2</v>
      </c>
      <c r="AH44" s="3648"/>
      <c r="AI44" s="2030"/>
      <c r="AJ44" s="2054">
        <f>ROUND(SUM(+AD44-AG44),1)</f>
        <v>296.2</v>
      </c>
      <c r="AK44" s="2614"/>
      <c r="AL44" s="1774">
        <f>ROUND(IF(AG44=0,0,AJ44/ABS(AG44)),3)</f>
        <v>5.8000000000000003E-2</v>
      </c>
    </row>
    <row r="45" spans="1:38" s="2244" customFormat="1" ht="15" customHeight="1">
      <c r="A45" s="2526"/>
      <c r="B45" s="2547" t="s">
        <v>1070</v>
      </c>
      <c r="C45" s="2526"/>
      <c r="D45" s="2086">
        <f>'Exhibit G State'!D45+'Exhibit G Federal'!D23</f>
        <v>5.0999999999999996</v>
      </c>
      <c r="E45" s="2086"/>
      <c r="F45" s="2086">
        <f>'Exhibit G State'!F45+'Exhibit G Federal'!F23</f>
        <v>0</v>
      </c>
      <c r="G45" s="2086"/>
      <c r="H45" s="2086">
        <f>'Exhibit G State'!H45+'Exhibit G Federal'!H23</f>
        <v>0.70000000000000018</v>
      </c>
      <c r="I45" s="2592"/>
      <c r="J45" s="2086">
        <f>'Exhibit G State'!J45+'Exhibit G Federal'!J23</f>
        <v>0</v>
      </c>
      <c r="K45" s="2605"/>
      <c r="L45" s="2086">
        <f>'Exhibit G State'!L45+'Exhibit G Federal'!L23</f>
        <v>0.90000000000000036</v>
      </c>
      <c r="M45" s="2605"/>
      <c r="N45" s="2086">
        <f>'Exhibit G State'!N45+'Exhibit G Federal'!N23</f>
        <v>44.199999999999996</v>
      </c>
      <c r="O45" s="2605"/>
      <c r="P45" s="2086">
        <f>'Exhibit G State'!P45+'Exhibit G Federal'!P23</f>
        <v>-6</v>
      </c>
      <c r="Q45" s="2605"/>
      <c r="R45" s="2086">
        <f>'Exhibit G State'!R45+'Exhibit G Federal'!R23</f>
        <v>-1.6999999999999957</v>
      </c>
      <c r="S45" s="2605"/>
      <c r="T45" s="2086">
        <f>'Exhibit G State'!T45+'Exhibit G Federal'!T23</f>
        <v>0.79999999999999716</v>
      </c>
      <c r="U45" s="2605"/>
      <c r="V45" s="2086">
        <f>'Exhibit G State'!V45+'Exhibit G Federal'!V23</f>
        <v>0</v>
      </c>
      <c r="W45" s="2605"/>
      <c r="X45" s="2086"/>
      <c r="Y45" s="2605"/>
      <c r="Z45" s="2086"/>
      <c r="AA45" s="2086"/>
      <c r="AB45" s="2049">
        <v>0</v>
      </c>
      <c r="AC45" s="2093"/>
      <c r="AD45" s="2049">
        <f t="shared" si="12"/>
        <v>44</v>
      </c>
      <c r="AE45" s="2049"/>
      <c r="AF45" s="2093"/>
      <c r="AG45" s="2086">
        <f>'Exhibit G State'!AG45+'Exhibit G Federal'!AG23</f>
        <v>39.4</v>
      </c>
      <c r="AH45" s="3648"/>
      <c r="AI45" s="2030"/>
      <c r="AJ45" s="2054">
        <f>ROUND(SUM(+AD45-AG45),1)</f>
        <v>4.5999999999999996</v>
      </c>
      <c r="AK45" s="2614"/>
      <c r="AL45" s="1774">
        <f>ROUND(IF(AG45=0,0,AJ45/ABS(AG45)),3)</f>
        <v>0.11700000000000001</v>
      </c>
    </row>
    <row r="46" spans="1:38" s="2244" customFormat="1" ht="15" customHeight="1">
      <c r="A46" s="2526"/>
      <c r="B46" s="2547" t="s">
        <v>1071</v>
      </c>
      <c r="C46" s="2526"/>
      <c r="D46" s="2086">
        <f>'Exhibit G State'!D46+'Exhibit G Federal'!D24</f>
        <v>0</v>
      </c>
      <c r="E46" s="2086"/>
      <c r="F46" s="2086">
        <f>'Exhibit G State'!F46+'Exhibit G Federal'!F24</f>
        <v>0.1</v>
      </c>
      <c r="G46" s="2086"/>
      <c r="H46" s="2086">
        <f>'Exhibit G State'!H46+'Exhibit G Federal'!H24</f>
        <v>0</v>
      </c>
      <c r="I46" s="2592"/>
      <c r="J46" s="2086">
        <f>'Exhibit G State'!J46+'Exhibit G Federal'!J24</f>
        <v>0</v>
      </c>
      <c r="K46" s="2605"/>
      <c r="L46" s="2086">
        <f>'Exhibit G State'!L46+'Exhibit G Federal'!L24</f>
        <v>0.1</v>
      </c>
      <c r="M46" s="2605"/>
      <c r="N46" s="2086">
        <f>'Exhibit G State'!N46+'Exhibit G Federal'!N24</f>
        <v>0</v>
      </c>
      <c r="O46" s="2605"/>
      <c r="P46" s="2086">
        <f>'Exhibit G State'!P46+'Exhibit G Federal'!P24</f>
        <v>0</v>
      </c>
      <c r="Q46" s="2605"/>
      <c r="R46" s="2086">
        <f>'Exhibit G State'!R46+'Exhibit G Federal'!R24</f>
        <v>-2.7755575615628914E-17</v>
      </c>
      <c r="S46" s="2605"/>
      <c r="T46" s="2086">
        <f>'Exhibit G State'!T46+'Exhibit G Federal'!T24</f>
        <v>0.1</v>
      </c>
      <c r="U46" s="2605"/>
      <c r="V46" s="2086">
        <f>'Exhibit G State'!V46+'Exhibit G Federal'!V24</f>
        <v>0.10000000000000006</v>
      </c>
      <c r="W46" s="2605"/>
      <c r="X46" s="2086"/>
      <c r="Y46" s="2605"/>
      <c r="Z46" s="2086"/>
      <c r="AA46" s="2086"/>
      <c r="AB46" s="2049">
        <v>0</v>
      </c>
      <c r="AC46" s="2093"/>
      <c r="AD46" s="2049">
        <f t="shared" si="12"/>
        <v>0.4</v>
      </c>
      <c r="AE46" s="2049"/>
      <c r="AF46" s="2093"/>
      <c r="AG46" s="2086">
        <f>'Exhibit G State'!AG46+'Exhibit G Federal'!AG24</f>
        <v>1.2</v>
      </c>
      <c r="AH46" s="3648"/>
      <c r="AI46" s="2030"/>
      <c r="AJ46" s="2054">
        <f>ROUND(SUM(+AD46-AG46),1)</f>
        <v>-0.8</v>
      </c>
      <c r="AK46" s="2614"/>
      <c r="AL46" s="1774">
        <f>ROUND(IF(AG46=0,0,AJ46/ABS(AG46)),3)</f>
        <v>-0.66700000000000004</v>
      </c>
    </row>
    <row r="47" spans="1:38" s="2244" customFormat="1" ht="15" customHeight="1">
      <c r="A47" s="2526"/>
      <c r="B47" s="2547" t="s">
        <v>1160</v>
      </c>
      <c r="C47" s="2526"/>
      <c r="D47" s="2086"/>
      <c r="E47" s="2592"/>
      <c r="F47" s="2086"/>
      <c r="G47" s="2592"/>
      <c r="H47" s="2086"/>
      <c r="I47" s="2592"/>
      <c r="J47" s="2086"/>
      <c r="K47" s="2605"/>
      <c r="L47" s="2086"/>
      <c r="M47" s="2605"/>
      <c r="N47" s="2086"/>
      <c r="O47" s="2605"/>
      <c r="P47" s="2086"/>
      <c r="Q47" s="2605"/>
      <c r="R47" s="2086"/>
      <c r="S47" s="2605"/>
      <c r="T47" s="2086"/>
      <c r="U47" s="2605"/>
      <c r="V47" s="2086"/>
      <c r="W47" s="2605"/>
      <c r="X47" s="2086"/>
      <c r="Y47" s="2605"/>
      <c r="Z47" s="2086"/>
      <c r="AA47" s="2086"/>
      <c r="AB47" s="2049"/>
      <c r="AC47" s="2093"/>
      <c r="AD47" s="2049"/>
      <c r="AE47" s="2049"/>
      <c r="AF47" s="2093"/>
      <c r="AG47" s="2086"/>
      <c r="AH47" s="3648"/>
      <c r="AI47" s="2030"/>
      <c r="AJ47" s="2054"/>
      <c r="AK47" s="2614"/>
      <c r="AL47" s="1868"/>
    </row>
    <row r="48" spans="1:38" s="2244" customFormat="1" ht="15" customHeight="1">
      <c r="A48" s="2526"/>
      <c r="B48" s="2547" t="s">
        <v>1255</v>
      </c>
      <c r="C48" s="2526"/>
      <c r="D48" s="2086">
        <f>'Exhibit G State'!D48</f>
        <v>0</v>
      </c>
      <c r="E48" s="2086"/>
      <c r="F48" s="2086">
        <f>'Exhibit G State'!F48</f>
        <v>0.8</v>
      </c>
      <c r="G48" s="2086"/>
      <c r="H48" s="2086">
        <f>'Exhibit G State'!H48</f>
        <v>1.4999999999999998</v>
      </c>
      <c r="I48" s="2592"/>
      <c r="J48" s="2086">
        <f>'Exhibit G State'!J48</f>
        <v>0</v>
      </c>
      <c r="K48" s="2605"/>
      <c r="L48" s="2086">
        <f>'Exhibit G State'!L48</f>
        <v>0.10000000000000009</v>
      </c>
      <c r="M48" s="2605"/>
      <c r="N48" s="2086">
        <f>'Exhibit G State'!N48</f>
        <v>0.20000000000000018</v>
      </c>
      <c r="O48" s="2605"/>
      <c r="P48" s="2086">
        <f>'Exhibit G State'!P48</f>
        <v>0</v>
      </c>
      <c r="Q48" s="2605"/>
      <c r="R48" s="2086">
        <f>'Exhibit G State'!R48</f>
        <v>0</v>
      </c>
      <c r="S48" s="2605"/>
      <c r="T48" s="2086">
        <f>'Exhibit G State'!T48</f>
        <v>0</v>
      </c>
      <c r="U48" s="2605"/>
      <c r="V48" s="2086">
        <f>'Exhibit G State'!V48</f>
        <v>0</v>
      </c>
      <c r="W48" s="2605"/>
      <c r="X48" s="2086"/>
      <c r="Y48" s="2605"/>
      <c r="Z48" s="2086"/>
      <c r="AA48" s="2086"/>
      <c r="AB48" s="2049">
        <v>0</v>
      </c>
      <c r="AC48" s="2093"/>
      <c r="AD48" s="2049">
        <f>ROUND(SUM(D48:Z48),1)</f>
        <v>2.6</v>
      </c>
      <c r="AE48" s="2049"/>
      <c r="AF48" s="2093"/>
      <c r="AG48" s="2086">
        <f>'Exhibit G State'!AG48</f>
        <v>2.1</v>
      </c>
      <c r="AH48" s="3648"/>
      <c r="AI48" s="2030"/>
      <c r="AJ48" s="2054">
        <f>ROUND(SUM(+AD48-AG48),1)</f>
        <v>0.5</v>
      </c>
      <c r="AK48" s="2614"/>
      <c r="AL48" s="1774">
        <f>ROUND(IF(AG48=0,0,AJ48/ABS(AG48)),3)</f>
        <v>0.23799999999999999</v>
      </c>
    </row>
    <row r="49" spans="1:38" s="2244" customFormat="1" ht="15" customHeight="1">
      <c r="A49" s="2526"/>
      <c r="B49" s="2547" t="s">
        <v>1072</v>
      </c>
      <c r="C49" s="2526"/>
      <c r="D49" s="2086">
        <f>'Exhibit G State'!D49+'Exhibit G Federal'!D26</f>
        <v>48.6</v>
      </c>
      <c r="E49" s="2086"/>
      <c r="F49" s="2086">
        <f>'Exhibit G State'!F49+'Exhibit G Federal'!F26</f>
        <v>36.9</v>
      </c>
      <c r="G49" s="2086"/>
      <c r="H49" s="2086">
        <f>'Exhibit G State'!H49+'Exhibit G Federal'!H26</f>
        <v>98</v>
      </c>
      <c r="I49" s="2592"/>
      <c r="J49" s="2086">
        <f>'Exhibit G State'!J49+'Exhibit G Federal'!J26</f>
        <v>47.5</v>
      </c>
      <c r="K49" s="2605"/>
      <c r="L49" s="2086">
        <f>'Exhibit G State'!L49+'Exhibit G Federal'!L26</f>
        <v>32.800000000000011</v>
      </c>
      <c r="M49" s="2605"/>
      <c r="N49" s="2086">
        <f>'Exhibit G State'!N49+'Exhibit G Federal'!N26</f>
        <v>95.599999999999966</v>
      </c>
      <c r="O49" s="2605"/>
      <c r="P49" s="2086">
        <f>'Exhibit G State'!P49+'Exhibit G Federal'!P26</f>
        <v>49.400000000000034</v>
      </c>
      <c r="Q49" s="2605"/>
      <c r="R49" s="2086">
        <f>'Exhibit G State'!R49+'Exhibit G Federal'!R26</f>
        <v>53.599999999999966</v>
      </c>
      <c r="S49" s="2605"/>
      <c r="T49" s="2086">
        <f>'Exhibit G State'!T49+'Exhibit G Federal'!T26</f>
        <v>77.100000000000023</v>
      </c>
      <c r="U49" s="2605"/>
      <c r="V49" s="2086">
        <f>'Exhibit G State'!V49+'Exhibit G Federal'!V26</f>
        <v>46.799999999999955</v>
      </c>
      <c r="W49" s="2605"/>
      <c r="X49" s="2086"/>
      <c r="Y49" s="2605"/>
      <c r="Z49" s="2086"/>
      <c r="AA49" s="2086"/>
      <c r="AB49" s="2049">
        <v>0</v>
      </c>
      <c r="AC49" s="2093"/>
      <c r="AD49" s="2049">
        <f t="shared" si="12"/>
        <v>586.29999999999995</v>
      </c>
      <c r="AE49" s="2049"/>
      <c r="AF49" s="2093"/>
      <c r="AG49" s="2086">
        <f>'Exhibit G State'!AG49+'Exhibit G Federal'!AG26</f>
        <v>577.6</v>
      </c>
      <c r="AH49" s="3648"/>
      <c r="AI49" s="2030"/>
      <c r="AJ49" s="2054">
        <f t="shared" ref="AJ49:AJ54" si="13">ROUND(SUM(+AD49-AG49),1)</f>
        <v>8.6999999999999993</v>
      </c>
      <c r="AK49" s="2614"/>
      <c r="AL49" s="1774">
        <f t="shared" ref="AL49:AL54" si="14">ROUND(IF(AG49=0,0,AJ49/ABS(AG49)),3)</f>
        <v>1.4999999999999999E-2</v>
      </c>
    </row>
    <row r="50" spans="1:38" s="2244" customFormat="1" ht="15" customHeight="1">
      <c r="A50" s="2526"/>
      <c r="B50" s="2547" t="s">
        <v>1073</v>
      </c>
      <c r="C50" s="2526"/>
      <c r="D50" s="2086">
        <f>'Exhibit G State'!D50+'Exhibit G Federal'!D27</f>
        <v>3.6</v>
      </c>
      <c r="E50" s="2086"/>
      <c r="F50" s="2086">
        <f>'Exhibit G State'!F50+'Exhibit G Federal'!F27</f>
        <v>4.5999999999999996</v>
      </c>
      <c r="G50" s="2086"/>
      <c r="H50" s="2086">
        <f>'Exhibit G State'!H50+'Exhibit G Federal'!H27</f>
        <v>5.1000000000000014</v>
      </c>
      <c r="I50" s="2592"/>
      <c r="J50" s="2086">
        <f>'Exhibit G State'!J50+'Exhibit G Federal'!J27</f>
        <v>4.1999999999999993</v>
      </c>
      <c r="K50" s="2605"/>
      <c r="L50" s="2086">
        <f>'Exhibit G State'!L50+'Exhibit G Federal'!L27</f>
        <v>2.6999999999999975</v>
      </c>
      <c r="M50" s="2605"/>
      <c r="N50" s="2086">
        <f>'Exhibit G State'!N50+'Exhibit G Federal'!N27</f>
        <v>7.7999999999999989</v>
      </c>
      <c r="O50" s="2605"/>
      <c r="P50" s="2086">
        <f>'Exhibit G State'!P50+'Exhibit G Federal'!P27</f>
        <v>4.7999999999999972</v>
      </c>
      <c r="Q50" s="2605"/>
      <c r="R50" s="2086">
        <f>'Exhibit G State'!R50+'Exhibit G Federal'!R27</f>
        <v>5.0999999999999996</v>
      </c>
      <c r="S50" s="2605"/>
      <c r="T50" s="2086">
        <f>'Exhibit G State'!T50+'Exhibit G Federal'!T27</f>
        <v>5.3000000000000043</v>
      </c>
      <c r="U50" s="2605"/>
      <c r="V50" s="2086">
        <f>'Exhibit G State'!V50+'Exhibit G Federal'!V27</f>
        <v>4.5000000000000018</v>
      </c>
      <c r="W50" s="2605"/>
      <c r="X50" s="2086"/>
      <c r="Y50" s="2605"/>
      <c r="Z50" s="2086"/>
      <c r="AA50" s="2086"/>
      <c r="AB50" s="2049">
        <v>0</v>
      </c>
      <c r="AC50" s="2093"/>
      <c r="AD50" s="2049">
        <f t="shared" si="12"/>
        <v>47.7</v>
      </c>
      <c r="AE50" s="2049"/>
      <c r="AF50" s="2093"/>
      <c r="AG50" s="2086">
        <f>'Exhibit G State'!AG50+'Exhibit G Federal'!AG27</f>
        <v>46.3</v>
      </c>
      <c r="AH50" s="3648"/>
      <c r="AI50" s="2030"/>
      <c r="AJ50" s="2054">
        <f t="shared" si="13"/>
        <v>1.4</v>
      </c>
      <c r="AK50" s="2614"/>
      <c r="AL50" s="1774">
        <f t="shared" si="14"/>
        <v>0.03</v>
      </c>
    </row>
    <row r="51" spans="1:38" s="2244" customFormat="1" ht="15" customHeight="1">
      <c r="A51" s="2526"/>
      <c r="B51" s="2547" t="s">
        <v>1074</v>
      </c>
      <c r="C51" s="2526"/>
      <c r="D51" s="2086">
        <f>'Exhibit G State'!D51+'Exhibit G Federal'!D28</f>
        <v>0.3</v>
      </c>
      <c r="E51" s="2086"/>
      <c r="F51" s="2086">
        <f>'Exhibit G State'!F51+'Exhibit G Federal'!F28</f>
        <v>0.39999999999999997</v>
      </c>
      <c r="G51" s="2086"/>
      <c r="H51" s="2086">
        <f>'Exhibit G State'!H51+'Exhibit G Federal'!H28</f>
        <v>1.1000000000000001</v>
      </c>
      <c r="I51" s="2592"/>
      <c r="J51" s="2086">
        <f>'Exhibit G State'!J51+'Exhibit G Federal'!J28</f>
        <v>0</v>
      </c>
      <c r="K51" s="2605"/>
      <c r="L51" s="2086">
        <f>'Exhibit G State'!L51+'Exhibit G Federal'!L28</f>
        <v>0.40000000000000013</v>
      </c>
      <c r="M51" s="2605"/>
      <c r="N51" s="2086">
        <f>'Exhibit G State'!N51+'Exhibit G Federal'!N28</f>
        <v>1.2</v>
      </c>
      <c r="O51" s="2605"/>
      <c r="P51" s="2086">
        <f>'Exhibit G State'!P51+'Exhibit G Federal'!P28</f>
        <v>0.39999999999999991</v>
      </c>
      <c r="Q51" s="2605"/>
      <c r="R51" s="2086">
        <f>'Exhibit G State'!R51+'Exhibit G Federal'!R28</f>
        <v>0.29999999999999982</v>
      </c>
      <c r="S51" s="2605"/>
      <c r="T51" s="2086">
        <f>'Exhibit G State'!T51+'Exhibit G Federal'!T28</f>
        <v>0.80000000000000049</v>
      </c>
      <c r="U51" s="2605"/>
      <c r="V51" s="2086">
        <f>'Exhibit G State'!V51+'Exhibit G Federal'!V28</f>
        <v>1.0999999999999985</v>
      </c>
      <c r="W51" s="2605"/>
      <c r="X51" s="2086"/>
      <c r="Y51" s="2605"/>
      <c r="Z51" s="2086"/>
      <c r="AA51" s="2086"/>
      <c r="AB51" s="2049">
        <v>0</v>
      </c>
      <c r="AC51" s="2093"/>
      <c r="AD51" s="2049">
        <f>ROUND(SUM(D51:Z51),1)</f>
        <v>6</v>
      </c>
      <c r="AE51" s="2049"/>
      <c r="AF51" s="2093"/>
      <c r="AG51" s="2086">
        <f>'Exhibit G State'!AG51+'Exhibit G Federal'!AG28</f>
        <v>7.4</v>
      </c>
      <c r="AH51" s="3648"/>
      <c r="AI51" s="2030"/>
      <c r="AJ51" s="2054">
        <f t="shared" si="13"/>
        <v>-1.4</v>
      </c>
      <c r="AK51" s="2614"/>
      <c r="AL51" s="1774">
        <f>ROUND(IF(AG51=0,1,AJ51/ABS(AG51)),3)</f>
        <v>-0.189</v>
      </c>
    </row>
    <row r="52" spans="1:38" s="2244" customFormat="1" ht="15" customHeight="1">
      <c r="A52" s="2526"/>
      <c r="B52" s="2547" t="s">
        <v>1075</v>
      </c>
      <c r="C52" s="2526"/>
      <c r="D52" s="2086">
        <f>'Exhibit G State'!D52+'Exhibit G Federal'!D29</f>
        <v>26</v>
      </c>
      <c r="E52" s="2086"/>
      <c r="F52" s="2086">
        <f>'Exhibit G State'!F52+'Exhibit G Federal'!F29</f>
        <v>26.6</v>
      </c>
      <c r="G52" s="2086"/>
      <c r="H52" s="2086">
        <f>'Exhibit G State'!H52+'Exhibit G Federal'!H29</f>
        <v>28.699999999999996</v>
      </c>
      <c r="I52" s="2592"/>
      <c r="J52" s="2086">
        <f>'Exhibit G State'!J52+'Exhibit G Federal'!J29</f>
        <v>23.5</v>
      </c>
      <c r="K52" s="2605"/>
      <c r="L52" s="2086">
        <f>'Exhibit G State'!L52+'Exhibit G Federal'!L29</f>
        <v>28.300000000000004</v>
      </c>
      <c r="M52" s="2605"/>
      <c r="N52" s="2086">
        <f>'Exhibit G State'!N52+'Exhibit G Federal'!N29</f>
        <v>10</v>
      </c>
      <c r="O52" s="2605"/>
      <c r="P52" s="2086">
        <f>'Exhibit G State'!P52+'Exhibit G Federal'!P29</f>
        <v>25.300000000000018</v>
      </c>
      <c r="Q52" s="2605"/>
      <c r="R52" s="2086">
        <f>'Exhibit G State'!R52+'Exhibit G Federal'!R29</f>
        <v>25.799999999999983</v>
      </c>
      <c r="S52" s="2605"/>
      <c r="T52" s="2086">
        <f>'Exhibit G State'!T52+'Exhibit G Federal'!T29</f>
        <v>22.9</v>
      </c>
      <c r="U52" s="2605"/>
      <c r="V52" s="2086">
        <f>'Exhibit G State'!V52+'Exhibit G Federal'!V29</f>
        <v>35.1</v>
      </c>
      <c r="W52" s="2605"/>
      <c r="X52" s="2086"/>
      <c r="Y52" s="2605"/>
      <c r="Z52" s="2086"/>
      <c r="AA52" s="2086"/>
      <c r="AB52" s="2049">
        <v>0</v>
      </c>
      <c r="AC52" s="2093"/>
      <c r="AD52" s="2049">
        <f t="shared" si="12"/>
        <v>252.2</v>
      </c>
      <c r="AE52" s="2049"/>
      <c r="AF52" s="2093"/>
      <c r="AG52" s="2086">
        <f>'Exhibit G State'!AG52+'Exhibit G Federal'!AG29</f>
        <v>421.5</v>
      </c>
      <c r="AH52" s="3648"/>
      <c r="AI52" s="2030"/>
      <c r="AJ52" s="2054">
        <f t="shared" si="13"/>
        <v>-169.3</v>
      </c>
      <c r="AK52" s="2614"/>
      <c r="AL52" s="1774">
        <f t="shared" si="14"/>
        <v>-0.40200000000000002</v>
      </c>
    </row>
    <row r="53" spans="1:38" s="2244" customFormat="1" ht="15" customHeight="1">
      <c r="A53" s="2526"/>
      <c r="B53" s="2547" t="s">
        <v>1076</v>
      </c>
      <c r="C53" s="2526"/>
      <c r="D53" s="2086">
        <f>'Exhibit G State'!D53+'Exhibit G Federal'!D30</f>
        <v>54</v>
      </c>
      <c r="E53" s="2086"/>
      <c r="F53" s="2086">
        <f>'Exhibit G State'!F53+'Exhibit G Federal'!F30</f>
        <v>45.599999999999994</v>
      </c>
      <c r="G53" s="2086"/>
      <c r="H53" s="2086">
        <f>'Exhibit G State'!H53+'Exhibit G Federal'!H30</f>
        <v>65.400000000000006</v>
      </c>
      <c r="I53" s="2592"/>
      <c r="J53" s="2086">
        <f>'Exhibit G State'!J53+'Exhibit G Federal'!J30</f>
        <v>65.900000000000006</v>
      </c>
      <c r="K53" s="2605"/>
      <c r="L53" s="2086">
        <f>'Exhibit G State'!L53+'Exhibit G Federal'!L30</f>
        <v>93.999999999999972</v>
      </c>
      <c r="M53" s="2605"/>
      <c r="N53" s="2086">
        <f>'Exhibit G State'!N53+'Exhibit G Federal'!N30</f>
        <v>129.20000000000005</v>
      </c>
      <c r="O53" s="2605"/>
      <c r="P53" s="2086">
        <f>'Exhibit G State'!P53+'Exhibit G Federal'!P30</f>
        <v>56.600000000000051</v>
      </c>
      <c r="Q53" s="2605"/>
      <c r="R53" s="2086">
        <f>'Exhibit G State'!R53+'Exhibit G Federal'!R30</f>
        <v>71.099999999999881</v>
      </c>
      <c r="S53" s="2605"/>
      <c r="T53" s="2086">
        <f>'Exhibit G State'!T53+'Exhibit G Federal'!T30</f>
        <v>60.700000000000045</v>
      </c>
      <c r="U53" s="2605"/>
      <c r="V53" s="2086">
        <f>'Exhibit G State'!V53+'Exhibit G Federal'!V30</f>
        <v>49.299999999999955</v>
      </c>
      <c r="W53" s="2605"/>
      <c r="X53" s="2086"/>
      <c r="Y53" s="2605"/>
      <c r="Z53" s="2086"/>
      <c r="AA53" s="2086"/>
      <c r="AB53" s="2049">
        <v>0</v>
      </c>
      <c r="AC53" s="2093"/>
      <c r="AD53" s="2054">
        <f t="shared" si="12"/>
        <v>691.8</v>
      </c>
      <c r="AE53" s="2049"/>
      <c r="AF53" s="2093"/>
      <c r="AG53" s="2086">
        <f>'Exhibit G State'!AG53+'Exhibit G Federal'!AG30</f>
        <v>606.6</v>
      </c>
      <c r="AH53" s="3648"/>
      <c r="AI53" s="2030"/>
      <c r="AJ53" s="2054">
        <f t="shared" si="13"/>
        <v>85.2</v>
      </c>
      <c r="AK53" s="2614"/>
      <c r="AL53" s="1774">
        <f t="shared" si="14"/>
        <v>0.14000000000000001</v>
      </c>
    </row>
    <row r="54" spans="1:38" s="2244" customFormat="1" ht="15" customHeight="1">
      <c r="A54" s="2526"/>
      <c r="B54" s="2547" t="s">
        <v>1034</v>
      </c>
      <c r="C54" s="2526"/>
      <c r="D54" s="2086">
        <f>'Exhibit G State'!D54+'Exhibit G Federal'!D31</f>
        <v>8.2999999999999989</v>
      </c>
      <c r="E54" s="2086"/>
      <c r="F54" s="2086">
        <f>'Exhibit G State'!F54+'Exhibit G Federal'!F31</f>
        <v>68</v>
      </c>
      <c r="G54" s="2086"/>
      <c r="H54" s="2086">
        <f>'Exhibit G State'!H54+'Exhibit G Federal'!H31</f>
        <v>107.2</v>
      </c>
      <c r="I54" s="2592"/>
      <c r="J54" s="2086">
        <f>'Exhibit G State'!J54+'Exhibit G Federal'!J31</f>
        <v>5.2000000000000117</v>
      </c>
      <c r="K54" s="2605"/>
      <c r="L54" s="2086">
        <f>'Exhibit G State'!L54+'Exhibit G Federal'!L31</f>
        <v>10.499999999999984</v>
      </c>
      <c r="M54" s="2605"/>
      <c r="N54" s="2086">
        <f>'Exhibit G State'!N54+'Exhibit G Federal'!N31</f>
        <v>8.2000000000000242</v>
      </c>
      <c r="O54" s="2605"/>
      <c r="P54" s="2086">
        <f>'Exhibit G State'!P54+'Exhibit G Federal'!P31</f>
        <v>14.299999999999978</v>
      </c>
      <c r="Q54" s="2605"/>
      <c r="R54" s="2086">
        <f>'Exhibit G State'!R54+'Exhibit G Federal'!R31</f>
        <v>8.5000000000000213</v>
      </c>
      <c r="S54" s="2605"/>
      <c r="T54" s="2086">
        <f>'Exhibit G State'!T54+'Exhibit G Federal'!T31</f>
        <v>18.499999999999964</v>
      </c>
      <c r="U54" s="2605"/>
      <c r="V54" s="2086">
        <f>'Exhibit G State'!V54+'Exhibit G Federal'!V31</f>
        <v>6.8000000000000336</v>
      </c>
      <c r="W54" s="2605"/>
      <c r="X54" s="2086"/>
      <c r="Y54" s="2605"/>
      <c r="Z54" s="2086"/>
      <c r="AA54" s="2086"/>
      <c r="AB54" s="2049">
        <v>0</v>
      </c>
      <c r="AC54" s="2093"/>
      <c r="AD54" s="2054">
        <f>ROUND(SUM(D54:Z54),1)</f>
        <v>255.5</v>
      </c>
      <c r="AE54" s="2049"/>
      <c r="AF54" s="2093"/>
      <c r="AG54" s="2086">
        <f>'Exhibit G State'!AG54+'Exhibit G Federal'!AG31</f>
        <v>148.30000000000001</v>
      </c>
      <c r="AH54" s="3648"/>
      <c r="AI54" s="2030"/>
      <c r="AJ54" s="2054">
        <f t="shared" si="13"/>
        <v>107.2</v>
      </c>
      <c r="AK54" s="2614"/>
      <c r="AL54" s="1779">
        <f t="shared" si="14"/>
        <v>0.72299999999999998</v>
      </c>
    </row>
    <row r="55" spans="1:38" s="2244" customFormat="1" ht="15" customHeight="1">
      <c r="A55" s="2526"/>
      <c r="B55" s="2547" t="s">
        <v>1157</v>
      </c>
      <c r="C55" s="2526"/>
      <c r="D55" s="2086"/>
      <c r="E55" s="2592"/>
      <c r="F55" s="2086"/>
      <c r="G55" s="2592"/>
      <c r="H55" s="2086"/>
      <c r="I55" s="2592"/>
      <c r="J55" s="2086"/>
      <c r="K55" s="2605"/>
      <c r="L55" s="2086"/>
      <c r="M55" s="2605"/>
      <c r="N55" s="2086"/>
      <c r="O55" s="2605"/>
      <c r="P55" s="2086"/>
      <c r="Q55" s="2605"/>
      <c r="R55" s="2086"/>
      <c r="S55" s="2605"/>
      <c r="T55" s="2086"/>
      <c r="U55" s="2605"/>
      <c r="V55" s="2086"/>
      <c r="W55" s="2605"/>
      <c r="X55" s="2086"/>
      <c r="Y55" s="2605"/>
      <c r="Z55" s="2086"/>
      <c r="AA55" s="2086"/>
      <c r="AB55" s="2049"/>
      <c r="AC55" s="2093"/>
      <c r="AD55" s="2054"/>
      <c r="AE55" s="2049"/>
      <c r="AF55" s="2093"/>
      <c r="AG55" s="2086"/>
      <c r="AH55" s="3648"/>
      <c r="AI55" s="2030"/>
      <c r="AJ55" s="2054"/>
      <c r="AK55" s="2614"/>
      <c r="AL55" s="1868"/>
    </row>
    <row r="56" spans="1:38" s="2244" customFormat="1" ht="15" customHeight="1">
      <c r="A56" s="2526"/>
      <c r="B56" s="2547" t="s">
        <v>1077</v>
      </c>
      <c r="C56" s="2526"/>
      <c r="D56" s="2086">
        <f>'Exhibit G State'!D56</f>
        <v>31.4</v>
      </c>
      <c r="E56" s="2086"/>
      <c r="F56" s="2086">
        <f>'Exhibit G State'!F56</f>
        <v>18.800000000000004</v>
      </c>
      <c r="G56" s="2086"/>
      <c r="H56" s="2086">
        <f>'Exhibit G State'!H56</f>
        <v>19.700000000000003</v>
      </c>
      <c r="I56" s="2592"/>
      <c r="J56" s="2086">
        <f>'Exhibit G State'!J56</f>
        <v>37.699999999999982</v>
      </c>
      <c r="K56" s="2605"/>
      <c r="L56" s="2086">
        <f>'Exhibit G State'!L56</f>
        <v>15.300000000000004</v>
      </c>
      <c r="M56" s="2605"/>
      <c r="N56" s="2086">
        <f>'Exhibit G State'!N56</f>
        <v>20</v>
      </c>
      <c r="O56" s="2605"/>
      <c r="P56" s="2086">
        <f>'Exhibit G State'!P56</f>
        <v>36.79999999999999</v>
      </c>
      <c r="Q56" s="2605"/>
      <c r="R56" s="2086">
        <f>'Exhibit G State'!R56</f>
        <v>13.300000000000004</v>
      </c>
      <c r="S56" s="2605"/>
      <c r="T56" s="2086">
        <f>'Exhibit G State'!T56</f>
        <v>17.599999999999994</v>
      </c>
      <c r="U56" s="2605"/>
      <c r="V56" s="2086">
        <f>'Exhibit G State'!V56</f>
        <v>35.699999999999996</v>
      </c>
      <c r="W56" s="2605"/>
      <c r="X56" s="2086"/>
      <c r="Y56" s="2605"/>
      <c r="Z56" s="2086"/>
      <c r="AA56" s="2086"/>
      <c r="AB56" s="2049">
        <v>0</v>
      </c>
      <c r="AC56" s="2093"/>
      <c r="AD56" s="2054">
        <f t="shared" si="12"/>
        <v>246.3</v>
      </c>
      <c r="AE56" s="2049"/>
      <c r="AF56" s="2093"/>
      <c r="AG56" s="2086">
        <f>'Exhibit G State'!AG56</f>
        <v>223.1</v>
      </c>
      <c r="AH56" s="3648"/>
      <c r="AI56" s="2030"/>
      <c r="AJ56" s="2054">
        <f>ROUND(SUM(+AD56-AG56),1)</f>
        <v>23.2</v>
      </c>
      <c r="AK56" s="2614"/>
      <c r="AL56" s="1779">
        <f>ROUND(IF(AG56=0,0,AJ56/ABS(AG56)),3)</f>
        <v>0.104</v>
      </c>
    </row>
    <row r="57" spans="1:38" s="2244" customFormat="1" ht="15" customHeight="1">
      <c r="A57" s="2526"/>
      <c r="B57" s="2547" t="s">
        <v>1078</v>
      </c>
      <c r="C57" s="2526"/>
      <c r="D57" s="2086">
        <f>'Exhibit G State'!D57</f>
        <v>218.4</v>
      </c>
      <c r="E57" s="2086"/>
      <c r="F57" s="2086">
        <f>'Exhibit G State'!F57</f>
        <v>262</v>
      </c>
      <c r="G57" s="2086"/>
      <c r="H57" s="2086">
        <f>'Exhibit G State'!H57</f>
        <v>202.30000000000007</v>
      </c>
      <c r="I57" s="2592"/>
      <c r="J57" s="2086">
        <f>'Exhibit G State'!J57</f>
        <v>225.69999999999993</v>
      </c>
      <c r="K57" s="2605"/>
      <c r="L57" s="2086">
        <f>'Exhibit G State'!L57</f>
        <v>170.19999999999993</v>
      </c>
      <c r="M57" s="2605"/>
      <c r="N57" s="2086">
        <f>'Exhibit G State'!N57</f>
        <v>176.30000000000007</v>
      </c>
      <c r="O57" s="2605"/>
      <c r="P57" s="2086">
        <f>'Exhibit G State'!P57</f>
        <v>220.09999999999991</v>
      </c>
      <c r="Q57" s="2605"/>
      <c r="R57" s="2086">
        <f>'Exhibit G State'!R57</f>
        <v>177.79999999999995</v>
      </c>
      <c r="S57" s="2605"/>
      <c r="T57" s="2086">
        <f>'Exhibit G State'!T57</f>
        <v>180.00000000000011</v>
      </c>
      <c r="U57" s="2605"/>
      <c r="V57" s="2086">
        <f>'Exhibit G State'!V57</f>
        <v>221.50000000000011</v>
      </c>
      <c r="W57" s="2605"/>
      <c r="X57" s="2086"/>
      <c r="Y57" s="2605"/>
      <c r="Z57" s="2086"/>
      <c r="AA57" s="2086"/>
      <c r="AB57" s="2049">
        <v>0</v>
      </c>
      <c r="AC57" s="2093"/>
      <c r="AD57" s="2054">
        <f t="shared" si="12"/>
        <v>2054.3000000000002</v>
      </c>
      <c r="AE57" s="2049"/>
      <c r="AF57" s="2093"/>
      <c r="AG57" s="2086">
        <f>'Exhibit G State'!AG57</f>
        <v>2154.5</v>
      </c>
      <c r="AH57" s="3648"/>
      <c r="AI57" s="2030"/>
      <c r="AJ57" s="2054">
        <f>ROUND(SUM(+AD57-AG57),1)</f>
        <v>-100.2</v>
      </c>
      <c r="AK57" s="2614"/>
      <c r="AL57" s="1774">
        <f>ROUND(IF(AG57=0,0,AJ57/ABS(AG57)),3)</f>
        <v>-4.7E-2</v>
      </c>
    </row>
    <row r="58" spans="1:38" s="2244" customFormat="1" ht="15" customHeight="1">
      <c r="A58" s="2526"/>
      <c r="B58" s="2547" t="s">
        <v>1079</v>
      </c>
      <c r="C58" s="2526"/>
      <c r="D58" s="2086">
        <f>'Exhibit G State'!D58</f>
        <v>76.599999999999994</v>
      </c>
      <c r="E58" s="2086"/>
      <c r="F58" s="2086">
        <f>'Exhibit G State'!F58</f>
        <v>88.5</v>
      </c>
      <c r="G58" s="2086"/>
      <c r="H58" s="2086">
        <f>'Exhibit G State'!H58</f>
        <v>63.200000000000017</v>
      </c>
      <c r="I58" s="2592"/>
      <c r="J58" s="2086">
        <f>'Exhibit G State'!J58</f>
        <v>89.5</v>
      </c>
      <c r="K58" s="2605"/>
      <c r="L58" s="2086">
        <f>'Exhibit G State'!L58</f>
        <v>76.500000000000028</v>
      </c>
      <c r="M58" s="2605"/>
      <c r="N58" s="2086">
        <f>'Exhibit G State'!N58</f>
        <v>77.5</v>
      </c>
      <c r="O58" s="2605"/>
      <c r="P58" s="2086">
        <f>'Exhibit G State'!P58</f>
        <v>94.599999999999881</v>
      </c>
      <c r="Q58" s="2605"/>
      <c r="R58" s="2086">
        <f>'Exhibit G State'!R58</f>
        <v>72.700000000000045</v>
      </c>
      <c r="S58" s="2605"/>
      <c r="T58" s="2086">
        <f>'Exhibit G State'!T58</f>
        <v>70.600000000000051</v>
      </c>
      <c r="U58" s="2605"/>
      <c r="V58" s="2086">
        <f>'Exhibit G State'!V58</f>
        <v>99</v>
      </c>
      <c r="W58" s="2605"/>
      <c r="X58" s="2086"/>
      <c r="Y58" s="2605"/>
      <c r="Z58" s="2086"/>
      <c r="AA58" s="2086"/>
      <c r="AB58" s="2049">
        <v>0</v>
      </c>
      <c r="AC58" s="2093"/>
      <c r="AD58" s="2054">
        <f t="shared" si="12"/>
        <v>808.7</v>
      </c>
      <c r="AE58" s="2049"/>
      <c r="AF58" s="2093"/>
      <c r="AG58" s="2086">
        <f>'Exhibit G State'!AG58</f>
        <v>795.7</v>
      </c>
      <c r="AH58" s="3648"/>
      <c r="AI58" s="2030"/>
      <c r="AJ58" s="2054">
        <f>ROUND(SUM(+AD58-AG58),1)</f>
        <v>13</v>
      </c>
      <c r="AK58" s="2614"/>
      <c r="AL58" s="1774">
        <f>ROUND(IF(AG58=0,0,AJ58/ABS(AG58)),3)</f>
        <v>1.6E-2</v>
      </c>
    </row>
    <row r="59" spans="1:38" s="2244" customFormat="1" ht="15" customHeight="1">
      <c r="A59" s="2526"/>
      <c r="B59" s="2547" t="s">
        <v>1035</v>
      </c>
      <c r="C59" s="2526"/>
      <c r="D59" s="2086">
        <f>'Exhibit G State'!D59+'Exhibit G Federal'!D32</f>
        <v>20.9</v>
      </c>
      <c r="E59" s="2086"/>
      <c r="F59" s="2086">
        <f>'Exhibit G State'!F59+'Exhibit G Federal'!F32</f>
        <v>21.000000000000004</v>
      </c>
      <c r="G59" s="2086"/>
      <c r="H59" s="2086">
        <f>'Exhibit G State'!H59+'Exhibit G Federal'!H32</f>
        <v>23.8</v>
      </c>
      <c r="I59" s="2592"/>
      <c r="J59" s="2086">
        <f>'Exhibit G State'!J59+'Exhibit G Federal'!J32</f>
        <v>21.699999999999996</v>
      </c>
      <c r="K59" s="2605"/>
      <c r="L59" s="2086">
        <f>'Exhibit G State'!L59+'Exhibit G Federal'!L32</f>
        <v>24.000000000000014</v>
      </c>
      <c r="M59" s="2605"/>
      <c r="N59" s="2086">
        <f>'Exhibit G State'!N59+'Exhibit G Federal'!N32</f>
        <v>21.79999999999999</v>
      </c>
      <c r="O59" s="2605"/>
      <c r="P59" s="2086">
        <f>'Exhibit G State'!P59+'Exhibit G Federal'!P32</f>
        <v>21.899999999999981</v>
      </c>
      <c r="Q59" s="2605"/>
      <c r="R59" s="2086">
        <f>'Exhibit G State'!R59+'Exhibit G Federal'!R32</f>
        <v>20.500000000000018</v>
      </c>
      <c r="S59" s="2605"/>
      <c r="T59" s="2086">
        <f>'Exhibit G State'!T59+'Exhibit G Federal'!T32</f>
        <v>16.100000000000005</v>
      </c>
      <c r="U59" s="2605"/>
      <c r="V59" s="2086">
        <f>'Exhibit G State'!V59+'Exhibit G Federal'!V32</f>
        <v>16.900000000000023</v>
      </c>
      <c r="W59" s="2605"/>
      <c r="X59" s="2086"/>
      <c r="Y59" s="2605"/>
      <c r="Z59" s="2086"/>
      <c r="AA59" s="2086"/>
      <c r="AB59" s="2049">
        <v>0</v>
      </c>
      <c r="AC59" s="2093"/>
      <c r="AD59" s="2054">
        <f>ROUND(SUM(D59:Z59),1)</f>
        <v>208.6</v>
      </c>
      <c r="AE59" s="2049"/>
      <c r="AF59" s="2093"/>
      <c r="AG59" s="2086">
        <f>'Exhibit G State'!AG59+'Exhibit G Federal'!AG32</f>
        <v>156.80000000000001</v>
      </c>
      <c r="AH59" s="3648"/>
      <c r="AI59" s="2030"/>
      <c r="AJ59" s="2054">
        <f>ROUND(SUM(+AD59-AG59),1)</f>
        <v>51.8</v>
      </c>
      <c r="AK59" s="2614"/>
      <c r="AL59" s="1774">
        <f>ROUND(IF(AG59=0,0,AJ59/ABS(AG59)),3)</f>
        <v>0.33</v>
      </c>
    </row>
    <row r="60" spans="1:38" s="2244" customFormat="1" ht="15" customHeight="1">
      <c r="A60" s="2526"/>
      <c r="B60" s="2547" t="s">
        <v>1158</v>
      </c>
      <c r="C60" s="2526"/>
      <c r="D60" s="2086"/>
      <c r="E60" s="2592"/>
      <c r="F60" s="2086"/>
      <c r="G60" s="2592"/>
      <c r="H60" s="2086"/>
      <c r="I60" s="2592"/>
      <c r="J60" s="2086"/>
      <c r="K60" s="2605"/>
      <c r="L60" s="2086"/>
      <c r="M60" s="2605"/>
      <c r="N60" s="2086"/>
      <c r="O60" s="2605"/>
      <c r="P60" s="2086"/>
      <c r="Q60" s="2605"/>
      <c r="R60" s="2086"/>
      <c r="S60" s="2605"/>
      <c r="T60" s="2086"/>
      <c r="U60" s="2605"/>
      <c r="V60" s="2086"/>
      <c r="W60" s="2605"/>
      <c r="X60" s="2086"/>
      <c r="Y60" s="2605"/>
      <c r="Z60" s="2086"/>
      <c r="AA60" s="2086"/>
      <c r="AB60" s="2049"/>
      <c r="AC60" s="2093"/>
      <c r="AD60" s="2054"/>
      <c r="AE60" s="2049"/>
      <c r="AF60" s="2093"/>
      <c r="AG60" s="2086"/>
      <c r="AH60" s="3648"/>
      <c r="AI60" s="2030"/>
      <c r="AJ60" s="2054"/>
      <c r="AK60" s="2614"/>
      <c r="AL60" s="1868"/>
    </row>
    <row r="61" spans="1:38" s="2244" customFormat="1" ht="15" customHeight="1">
      <c r="A61" s="2526"/>
      <c r="B61" s="2547" t="s">
        <v>1080</v>
      </c>
      <c r="C61" s="2526"/>
      <c r="D61" s="2086">
        <f>'Exhibit G State'!D61+'Exhibit G Federal'!D34</f>
        <v>0</v>
      </c>
      <c r="E61" s="2086"/>
      <c r="F61" s="2086">
        <f>'Exhibit G State'!F61+'Exhibit G Federal'!F34</f>
        <v>0</v>
      </c>
      <c r="G61" s="2086"/>
      <c r="H61" s="2086">
        <f>'Exhibit G State'!H61+'Exhibit G Federal'!H34</f>
        <v>0</v>
      </c>
      <c r="I61" s="2592"/>
      <c r="J61" s="2086">
        <f>'Exhibit G State'!J61+'Exhibit G Federal'!J34</f>
        <v>0</v>
      </c>
      <c r="K61" s="2605"/>
      <c r="L61" s="2086">
        <f>'Exhibit G State'!L61+'Exhibit G Federal'!L34</f>
        <v>0</v>
      </c>
      <c r="M61" s="2605"/>
      <c r="N61" s="2086">
        <f>'Exhibit G State'!N61+'Exhibit G Federal'!N34</f>
        <v>0</v>
      </c>
      <c r="O61" s="2605"/>
      <c r="P61" s="2086">
        <f>'Exhibit G State'!P61+'Exhibit G Federal'!P34</f>
        <v>0</v>
      </c>
      <c r="Q61" s="2605"/>
      <c r="R61" s="2086">
        <f>'Exhibit G State'!R61+'Exhibit G Federal'!R34</f>
        <v>0</v>
      </c>
      <c r="S61" s="2605"/>
      <c r="T61" s="2086">
        <f>'Exhibit G State'!T61+'Exhibit G Federal'!T34</f>
        <v>0</v>
      </c>
      <c r="U61" s="2605"/>
      <c r="V61" s="2086">
        <f>'Exhibit G State'!V61+'Exhibit G Federal'!V34</f>
        <v>0</v>
      </c>
      <c r="W61" s="2605"/>
      <c r="X61" s="2086"/>
      <c r="Y61" s="2605"/>
      <c r="Z61" s="2086"/>
      <c r="AA61" s="2086"/>
      <c r="AB61" s="2049">
        <v>0</v>
      </c>
      <c r="AC61" s="2093"/>
      <c r="AD61" s="2054">
        <f t="shared" si="12"/>
        <v>0</v>
      </c>
      <c r="AE61" s="2049"/>
      <c r="AF61" s="2093"/>
      <c r="AG61" s="2086">
        <f>'Exhibit G State'!AG61+'Exhibit G Federal'!AG34</f>
        <v>0</v>
      </c>
      <c r="AH61" s="3648"/>
      <c r="AI61" s="2030"/>
      <c r="AJ61" s="2054">
        <f t="shared" ref="AJ61:AJ66" si="15">ROUND(SUM(+AD61-AG61),1)</f>
        <v>0</v>
      </c>
      <c r="AK61" s="2614"/>
      <c r="AL61" s="1774">
        <f>ROUND(IF(AG61=0,0,AJ61/ABS(AG61)),3)</f>
        <v>0</v>
      </c>
    </row>
    <row r="62" spans="1:38" s="2244" customFormat="1" ht="15" customHeight="1">
      <c r="A62" s="2526"/>
      <c r="B62" s="2547" t="s">
        <v>1081</v>
      </c>
      <c r="C62" s="2526"/>
      <c r="D62" s="2086">
        <f>'Exhibit G State'!D62+'Exhibit G Federal'!D35</f>
        <v>0</v>
      </c>
      <c r="E62" s="2086"/>
      <c r="F62" s="2086">
        <f>'Exhibit G State'!F62+'Exhibit G Federal'!F35</f>
        <v>0</v>
      </c>
      <c r="G62" s="2086"/>
      <c r="H62" s="2086">
        <f>'Exhibit G State'!H62+'Exhibit G Federal'!H35</f>
        <v>0</v>
      </c>
      <c r="I62" s="2592"/>
      <c r="J62" s="2086">
        <f>'Exhibit G State'!J62+'Exhibit G Federal'!J35</f>
        <v>0</v>
      </c>
      <c r="K62" s="2605"/>
      <c r="L62" s="2086">
        <f>'Exhibit G State'!L62+'Exhibit G Federal'!L35</f>
        <v>0</v>
      </c>
      <c r="M62" s="2605"/>
      <c r="N62" s="2086">
        <f>'Exhibit G State'!N62+'Exhibit G Federal'!N35</f>
        <v>23.1</v>
      </c>
      <c r="O62" s="2605"/>
      <c r="P62" s="2086">
        <f>'Exhibit G State'!P62+'Exhibit G Federal'!P35</f>
        <v>5.5999999999999979</v>
      </c>
      <c r="Q62" s="2605"/>
      <c r="R62" s="2086">
        <f>'Exhibit G State'!R62+'Exhibit G Federal'!R35</f>
        <v>0</v>
      </c>
      <c r="S62" s="2605"/>
      <c r="T62" s="2086">
        <f>'Exhibit G State'!T62+'Exhibit G Federal'!T35</f>
        <v>3.9000000000000021</v>
      </c>
      <c r="U62" s="2605"/>
      <c r="V62" s="2086">
        <f>'Exhibit G State'!V62+'Exhibit G Federal'!V35</f>
        <v>-12.200000000000003</v>
      </c>
      <c r="W62" s="2605"/>
      <c r="X62" s="2086"/>
      <c r="Y62" s="2605"/>
      <c r="Z62" s="2086"/>
      <c r="AA62" s="2086"/>
      <c r="AB62" s="2049">
        <v>0</v>
      </c>
      <c r="AC62" s="2093"/>
      <c r="AD62" s="2054">
        <f t="shared" si="12"/>
        <v>20.399999999999999</v>
      </c>
      <c r="AE62" s="2049"/>
      <c r="AF62" s="2093"/>
      <c r="AG62" s="2086">
        <f>'Exhibit G State'!AG62+'Exhibit G Federal'!AG35</f>
        <v>26.1</v>
      </c>
      <c r="AH62" s="3648"/>
      <c r="AI62" s="2030"/>
      <c r="AJ62" s="2054">
        <f t="shared" si="15"/>
        <v>-5.7</v>
      </c>
      <c r="AK62" s="2614"/>
      <c r="AL62" s="1774">
        <f>ROUND(IF(AG62=0,0,AJ62/ABS(AG62)),3)</f>
        <v>-0.218</v>
      </c>
    </row>
    <row r="63" spans="1:38" s="2244" customFormat="1" ht="15" customHeight="1">
      <c r="A63" s="2526"/>
      <c r="B63" s="2547" t="s">
        <v>1082</v>
      </c>
      <c r="C63" s="2526"/>
      <c r="D63" s="2086">
        <f>'Exhibit G State'!D63+'Exhibit G Federal'!D36</f>
        <v>2</v>
      </c>
      <c r="E63" s="2086"/>
      <c r="F63" s="2086">
        <f>'Exhibit G State'!F63+'Exhibit G Federal'!F36</f>
        <v>1</v>
      </c>
      <c r="G63" s="2086"/>
      <c r="H63" s="2086">
        <f>'Exhibit G State'!H63+'Exhibit G Federal'!H36</f>
        <v>4.2</v>
      </c>
      <c r="I63" s="2592"/>
      <c r="J63" s="2086">
        <f>'Exhibit G State'!J63+'Exhibit G Federal'!J36</f>
        <v>0</v>
      </c>
      <c r="K63" s="2605"/>
      <c r="L63" s="2086">
        <f>'Exhibit G State'!L63+'Exhibit G Federal'!L36</f>
        <v>0</v>
      </c>
      <c r="M63" s="2605"/>
      <c r="N63" s="2086">
        <f>'Exhibit G State'!N63+'Exhibit G Federal'!N36</f>
        <v>0</v>
      </c>
      <c r="O63" s="2605"/>
      <c r="P63" s="2086">
        <f>'Exhibit G State'!P63+'Exhibit G Federal'!P36</f>
        <v>0</v>
      </c>
      <c r="Q63" s="2605"/>
      <c r="R63" s="2086">
        <f>'Exhibit G State'!R63+'Exhibit G Federal'!R36</f>
        <v>0</v>
      </c>
      <c r="S63" s="2605"/>
      <c r="T63" s="2086">
        <f>'Exhibit G State'!T63+'Exhibit G Federal'!T36</f>
        <v>0</v>
      </c>
      <c r="U63" s="2605"/>
      <c r="V63" s="2086">
        <f>'Exhibit G State'!V63+'Exhibit G Federal'!V36</f>
        <v>0</v>
      </c>
      <c r="W63" s="2605"/>
      <c r="X63" s="2086"/>
      <c r="Y63" s="2605"/>
      <c r="Z63" s="2086"/>
      <c r="AA63" s="2086"/>
      <c r="AB63" s="2049">
        <v>0</v>
      </c>
      <c r="AC63" s="2093"/>
      <c r="AD63" s="2054">
        <f t="shared" si="12"/>
        <v>7.2</v>
      </c>
      <c r="AE63" s="2049"/>
      <c r="AF63" s="2093"/>
      <c r="AG63" s="2086">
        <f>'Exhibit G State'!AG63+'Exhibit G Federal'!AG36</f>
        <v>7.2</v>
      </c>
      <c r="AH63" s="3648"/>
      <c r="AI63" s="2030"/>
      <c r="AJ63" s="2054">
        <f t="shared" si="15"/>
        <v>0</v>
      </c>
      <c r="AK63" s="2614"/>
      <c r="AL63" s="1779">
        <f t="shared" ref="AL63:AL66" si="16">ROUND(IF(AG63=0,0,AJ63/ABS(AG63)),3)</f>
        <v>0</v>
      </c>
    </row>
    <row r="64" spans="1:38" s="2244" customFormat="1" ht="15" customHeight="1">
      <c r="A64" s="2526"/>
      <c r="B64" s="2547" t="s">
        <v>1083</v>
      </c>
      <c r="C64" s="2526"/>
      <c r="D64" s="2086">
        <f>'Exhibit G State'!D64+'Exhibit G Federal'!D37</f>
        <v>0.6</v>
      </c>
      <c r="E64" s="2086"/>
      <c r="F64" s="2086">
        <f>'Exhibit G State'!F64+'Exhibit G Federal'!F37</f>
        <v>4.7</v>
      </c>
      <c r="G64" s="2086"/>
      <c r="H64" s="2086">
        <f>'Exhibit G State'!H64+'Exhibit G Federal'!H37</f>
        <v>4.3</v>
      </c>
      <c r="I64" s="2592"/>
      <c r="J64" s="2086">
        <f>'Exhibit G State'!J64+'Exhibit G Federal'!J37</f>
        <v>13.5</v>
      </c>
      <c r="K64" s="2605"/>
      <c r="L64" s="2086">
        <f>'Exhibit G State'!L64+'Exhibit G Federal'!L37</f>
        <v>0</v>
      </c>
      <c r="M64" s="2605"/>
      <c r="N64" s="2086">
        <f>'Exhibit G State'!N64+'Exhibit G Federal'!N37</f>
        <v>1.6999999999999993</v>
      </c>
      <c r="O64" s="2605"/>
      <c r="P64" s="2086">
        <f>'Exhibit G State'!P64+'Exhibit G Federal'!P37</f>
        <v>4.3999999999999986</v>
      </c>
      <c r="Q64" s="2605"/>
      <c r="R64" s="2086">
        <f>'Exhibit G State'!R64+'Exhibit G Federal'!R37</f>
        <v>0</v>
      </c>
      <c r="S64" s="2605"/>
      <c r="T64" s="2086">
        <f>'Exhibit G State'!T64+'Exhibit G Federal'!T37</f>
        <v>2.6000000000000014</v>
      </c>
      <c r="U64" s="2605"/>
      <c r="V64" s="2086">
        <f>'Exhibit G State'!V64+'Exhibit G Federal'!V37</f>
        <v>23.099999999999998</v>
      </c>
      <c r="W64" s="2605"/>
      <c r="X64" s="2086"/>
      <c r="Y64" s="2605"/>
      <c r="Z64" s="2086"/>
      <c r="AA64" s="2086"/>
      <c r="AB64" s="2049">
        <v>0</v>
      </c>
      <c r="AC64" s="2093"/>
      <c r="AD64" s="2054">
        <f t="shared" si="12"/>
        <v>54.9</v>
      </c>
      <c r="AE64" s="2049"/>
      <c r="AF64" s="2093"/>
      <c r="AG64" s="2086">
        <f>'Exhibit G State'!AG64+'Exhibit G Federal'!AG37</f>
        <v>46.2</v>
      </c>
      <c r="AH64" s="3648"/>
      <c r="AI64" s="2030"/>
      <c r="AJ64" s="2054">
        <f t="shared" si="15"/>
        <v>8.6999999999999993</v>
      </c>
      <c r="AK64" s="2614"/>
      <c r="AL64" s="1774">
        <f t="shared" si="16"/>
        <v>0.188</v>
      </c>
    </row>
    <row r="65" spans="1:38" s="2244" customFormat="1" ht="15" customHeight="1">
      <c r="A65" s="2526"/>
      <c r="B65" s="2547" t="s">
        <v>1053</v>
      </c>
      <c r="C65" s="2526"/>
      <c r="D65" s="2086">
        <f>'Exhibit G State'!D65+'Exhibit G Federal'!D38</f>
        <v>9.4</v>
      </c>
      <c r="E65" s="2086"/>
      <c r="F65" s="2086">
        <f>'Exhibit G State'!F65+'Exhibit G Federal'!F38</f>
        <v>2.6999999999999993</v>
      </c>
      <c r="G65" s="2086"/>
      <c r="H65" s="2086">
        <f>'Exhibit G State'!H65+'Exhibit G Federal'!H38</f>
        <v>6.2999999999999989</v>
      </c>
      <c r="I65" s="2592"/>
      <c r="J65" s="2086">
        <f>'Exhibit G State'!J65+'Exhibit G Federal'!J38</f>
        <v>3.6000000000000014</v>
      </c>
      <c r="K65" s="2605"/>
      <c r="L65" s="2086">
        <f>'Exhibit G State'!L65+'Exhibit G Federal'!L38</f>
        <v>2.3000000000000007</v>
      </c>
      <c r="M65" s="2605"/>
      <c r="N65" s="2086">
        <f>'Exhibit G State'!N65+'Exhibit G Federal'!N38</f>
        <v>5.8999999999999968</v>
      </c>
      <c r="O65" s="2605"/>
      <c r="P65" s="2086">
        <f>'Exhibit G State'!P65+'Exhibit G Federal'!P38</f>
        <v>3.9000000000000057</v>
      </c>
      <c r="Q65" s="2605"/>
      <c r="R65" s="2086">
        <f>'Exhibit G State'!R65+'Exhibit G Federal'!R38</f>
        <v>1.7999999999999954</v>
      </c>
      <c r="S65" s="2605"/>
      <c r="T65" s="2086">
        <f>'Exhibit G State'!T65+'Exhibit G Federal'!T38</f>
        <v>5.8999999999999986</v>
      </c>
      <c r="U65" s="2605"/>
      <c r="V65" s="2086">
        <f>'Exhibit G State'!V65+'Exhibit G Federal'!V38</f>
        <v>2.1000000000000014</v>
      </c>
      <c r="W65" s="2605"/>
      <c r="X65" s="2086"/>
      <c r="Y65" s="2605"/>
      <c r="Z65" s="2086"/>
      <c r="AA65" s="2086"/>
      <c r="AB65" s="2049">
        <v>0</v>
      </c>
      <c r="AC65" s="2093"/>
      <c r="AD65" s="2054">
        <f t="shared" si="12"/>
        <v>43.9</v>
      </c>
      <c r="AE65" s="2049"/>
      <c r="AF65" s="2093"/>
      <c r="AG65" s="2086">
        <f>'Exhibit G State'!AG65+'Exhibit G Federal'!AG38</f>
        <v>95.9</v>
      </c>
      <c r="AH65" s="3648"/>
      <c r="AI65" s="2030"/>
      <c r="AJ65" s="2054">
        <f t="shared" si="15"/>
        <v>-52</v>
      </c>
      <c r="AK65" s="2614"/>
      <c r="AL65" s="1774">
        <f t="shared" si="16"/>
        <v>-0.54200000000000004</v>
      </c>
    </row>
    <row r="66" spans="1:38" s="2244" customFormat="1" ht="15" customHeight="1">
      <c r="A66" s="2526"/>
      <c r="B66" s="2547" t="s">
        <v>1054</v>
      </c>
      <c r="C66" s="2526"/>
      <c r="D66" s="2086">
        <f>'Exhibit G State'!D66+'Exhibit G Federal'!D39</f>
        <v>39</v>
      </c>
      <c r="E66" s="2086"/>
      <c r="F66" s="2086">
        <f>'Exhibit G State'!F66+'Exhibit G Federal'!F39</f>
        <v>28.200000000000003</v>
      </c>
      <c r="G66" s="2086"/>
      <c r="H66" s="2086">
        <f>'Exhibit G State'!H66+'Exhibit G Federal'!H39</f>
        <v>8.3999999999999915</v>
      </c>
      <c r="I66" s="2592"/>
      <c r="J66" s="2086">
        <f>'Exhibit G State'!J66+'Exhibit G Federal'!J39</f>
        <v>29.300000000000011</v>
      </c>
      <c r="K66" s="2605"/>
      <c r="L66" s="2086">
        <f>'Exhibit G State'!L66+'Exhibit G Federal'!L39</f>
        <v>0.90000000000000568</v>
      </c>
      <c r="M66" s="2605"/>
      <c r="N66" s="2086">
        <f>'Exhibit G State'!N66+'Exhibit G Federal'!N39</f>
        <v>0.49999999999998579</v>
      </c>
      <c r="O66" s="2605"/>
      <c r="P66" s="2086">
        <f>'Exhibit G State'!P66+'Exhibit G Federal'!P39</f>
        <v>65.500000000000014</v>
      </c>
      <c r="Q66" s="2605"/>
      <c r="R66" s="2086">
        <f>'Exhibit G State'!R66+'Exhibit G Federal'!R39</f>
        <v>24.500000000000014</v>
      </c>
      <c r="S66" s="2605"/>
      <c r="T66" s="2086">
        <f>'Exhibit G State'!T66+'Exhibit G Federal'!T39</f>
        <v>22.399999999999991</v>
      </c>
      <c r="U66" s="2605"/>
      <c r="V66" s="2086">
        <f>'Exhibit G State'!V66+'Exhibit G Federal'!V39</f>
        <v>48.100000000000037</v>
      </c>
      <c r="W66" s="2605"/>
      <c r="X66" s="2086"/>
      <c r="Y66" s="2605"/>
      <c r="Z66" s="2086"/>
      <c r="AA66" s="2086"/>
      <c r="AB66" s="2049">
        <v>0</v>
      </c>
      <c r="AC66" s="2093"/>
      <c r="AD66" s="2054">
        <f t="shared" si="12"/>
        <v>266.8</v>
      </c>
      <c r="AE66" s="2049"/>
      <c r="AF66" s="2093"/>
      <c r="AG66" s="2086">
        <f>'Exhibit G State'!AG66+'Exhibit G Federal'!AG39</f>
        <v>290.10000000000002</v>
      </c>
      <c r="AH66" s="3648"/>
      <c r="AI66" s="2030"/>
      <c r="AJ66" s="2054">
        <f t="shared" si="15"/>
        <v>-23.3</v>
      </c>
      <c r="AK66" s="2614"/>
      <c r="AL66" s="1779">
        <f t="shared" si="16"/>
        <v>-0.08</v>
      </c>
    </row>
    <row r="67" spans="1:38" s="2244" customFormat="1" ht="15" customHeight="1">
      <c r="A67" s="2526"/>
      <c r="B67" s="2547" t="s">
        <v>1159</v>
      </c>
      <c r="C67" s="2526"/>
      <c r="D67" s="2086"/>
      <c r="E67" s="2086"/>
      <c r="F67" s="2086"/>
      <c r="G67" s="2592"/>
      <c r="H67" s="2086"/>
      <c r="I67" s="2592"/>
      <c r="J67" s="2086"/>
      <c r="K67" s="2605"/>
      <c r="L67" s="2086"/>
      <c r="M67" s="2605"/>
      <c r="N67" s="2086"/>
      <c r="O67" s="2605"/>
      <c r="P67" s="2086"/>
      <c r="Q67" s="2605"/>
      <c r="R67" s="2086"/>
      <c r="S67" s="2605"/>
      <c r="T67" s="2086"/>
      <c r="U67" s="2605"/>
      <c r="V67" s="2086"/>
      <c r="W67" s="2605"/>
      <c r="X67" s="2086"/>
      <c r="Y67" s="2605"/>
      <c r="Z67" s="2086"/>
      <c r="AA67" s="2086"/>
      <c r="AB67" s="2049"/>
      <c r="AC67" s="2093"/>
      <c r="AD67" s="2054"/>
      <c r="AE67" s="2049"/>
      <c r="AF67" s="2093"/>
      <c r="AG67" s="2086"/>
      <c r="AH67" s="3648"/>
      <c r="AI67" s="2030"/>
      <c r="AJ67" s="2054"/>
      <c r="AK67" s="2614"/>
      <c r="AL67" s="1868"/>
    </row>
    <row r="68" spans="1:38" s="2244" customFormat="1" ht="15" customHeight="1">
      <c r="A68" s="2526"/>
      <c r="B68" s="2547" t="s">
        <v>1084</v>
      </c>
      <c r="C68" s="2526"/>
      <c r="D68" s="2086">
        <f>'Exhibit G State'!D68+'Exhibit G Federal'!D41</f>
        <v>1.4</v>
      </c>
      <c r="E68" s="2086"/>
      <c r="F68" s="2086">
        <f>'Exhibit G State'!F68+'Exhibit G Federal'!F41</f>
        <v>1.8000000000000003</v>
      </c>
      <c r="G68" s="2086"/>
      <c r="H68" s="2086">
        <f>'Exhibit G State'!H68+'Exhibit G Federal'!H41</f>
        <v>4.5999999999999996</v>
      </c>
      <c r="I68" s="2592"/>
      <c r="J68" s="2086">
        <f>'Exhibit G State'!J68+'Exhibit G Federal'!J41</f>
        <v>17.600000000000001</v>
      </c>
      <c r="K68" s="2605"/>
      <c r="L68" s="2086">
        <f>'Exhibit G State'!L68+'Exhibit G Federal'!L41</f>
        <v>4.2999999999999972</v>
      </c>
      <c r="M68" s="2605"/>
      <c r="N68" s="2086">
        <f>'Exhibit G State'!N68+'Exhibit G Federal'!N41</f>
        <v>3.7000000000000028</v>
      </c>
      <c r="O68" s="2605"/>
      <c r="P68" s="2086">
        <f>'Exhibit G State'!P68+'Exhibit G Federal'!P41</f>
        <v>26.200000000000003</v>
      </c>
      <c r="Q68" s="2605"/>
      <c r="R68" s="2086">
        <f>'Exhibit G State'!R68+'Exhibit G Federal'!R41</f>
        <v>27.300000000000004</v>
      </c>
      <c r="S68" s="2605"/>
      <c r="T68" s="2086">
        <f>'Exhibit G State'!T68+'Exhibit G Federal'!T41</f>
        <v>15.899999999999999</v>
      </c>
      <c r="U68" s="2605"/>
      <c r="V68" s="2086">
        <f>'Exhibit G State'!V68+'Exhibit G Federal'!V41</f>
        <v>15.799999999999983</v>
      </c>
      <c r="W68" s="2605"/>
      <c r="X68" s="2086"/>
      <c r="Y68" s="2605"/>
      <c r="Z68" s="2086"/>
      <c r="AA68" s="2086"/>
      <c r="AB68" s="2049">
        <v>0</v>
      </c>
      <c r="AC68" s="2093"/>
      <c r="AD68" s="2054">
        <f t="shared" si="12"/>
        <v>118.6</v>
      </c>
      <c r="AE68" s="2049"/>
      <c r="AF68" s="2093"/>
      <c r="AG68" s="2086">
        <f>'Exhibit G State'!AG68+'Exhibit G Federal'!AG41</f>
        <v>101.2</v>
      </c>
      <c r="AH68" s="3648"/>
      <c r="AI68" s="2030"/>
      <c r="AJ68" s="2054">
        <f t="shared" ref="AJ68:AJ79" si="17">ROUND(SUM(+AD68-AG68),1)</f>
        <v>17.399999999999999</v>
      </c>
      <c r="AK68" s="2614"/>
      <c r="AL68" s="1779">
        <f>ROUND(IF(AG68=0,0,AJ68/ABS(AG68)),3)</f>
        <v>0.17199999999999999</v>
      </c>
    </row>
    <row r="69" spans="1:38" s="2244" customFormat="1" ht="15" customHeight="1">
      <c r="A69" s="2526"/>
      <c r="B69" s="2547" t="s">
        <v>1085</v>
      </c>
      <c r="C69" s="2526"/>
      <c r="D69" s="2086">
        <f>'Exhibit G State'!D69+'Exhibit G Federal'!D42</f>
        <v>0.5</v>
      </c>
      <c r="E69" s="2086"/>
      <c r="F69" s="2086">
        <f>'Exhibit G State'!F69+'Exhibit G Federal'!F42</f>
        <v>0.4</v>
      </c>
      <c r="G69" s="2086"/>
      <c r="H69" s="2086">
        <f>'Exhibit G State'!H69+'Exhibit G Federal'!H42</f>
        <v>0.6</v>
      </c>
      <c r="I69" s="2592"/>
      <c r="J69" s="2086">
        <f>'Exhibit G State'!J69+'Exhibit G Federal'!J42</f>
        <v>0.4000000000000058</v>
      </c>
      <c r="K69" s="2605"/>
      <c r="L69" s="2086">
        <f>'Exhibit G State'!L69+'Exhibit G Federal'!L42</f>
        <v>0.39999999999999147</v>
      </c>
      <c r="M69" s="2605"/>
      <c r="N69" s="2086">
        <f>'Exhibit G State'!N69+'Exhibit G Federal'!N42</f>
        <v>0.79999999999999716</v>
      </c>
      <c r="O69" s="2605"/>
      <c r="P69" s="2086">
        <f>'Exhibit G State'!P69+'Exhibit G Federal'!P42</f>
        <v>0.70000000000001705</v>
      </c>
      <c r="Q69" s="2605"/>
      <c r="R69" s="2086">
        <f>'Exhibit G State'!R69+'Exhibit G Federal'!R42</f>
        <v>0.69999999999999396</v>
      </c>
      <c r="S69" s="2605"/>
      <c r="T69" s="2086">
        <f>'Exhibit G State'!T69+'Exhibit G Federal'!T42</f>
        <v>82.300000000000011</v>
      </c>
      <c r="U69" s="2605"/>
      <c r="V69" s="2086">
        <f>'Exhibit G State'!V69+'Exhibit G Federal'!V42</f>
        <v>-67.399999999999977</v>
      </c>
      <c r="W69" s="2605"/>
      <c r="X69" s="2086"/>
      <c r="Y69" s="2605"/>
      <c r="Z69" s="2086"/>
      <c r="AA69" s="2086"/>
      <c r="AB69" s="2049">
        <v>0</v>
      </c>
      <c r="AC69" s="2093"/>
      <c r="AD69" s="2054">
        <f t="shared" si="12"/>
        <v>19.399999999999999</v>
      </c>
      <c r="AE69" s="2049"/>
      <c r="AF69" s="2093"/>
      <c r="AG69" s="2086">
        <f>'Exhibit G State'!AG69+'Exhibit G Federal'!AG42</f>
        <v>14.1</v>
      </c>
      <c r="AH69" s="3648"/>
      <c r="AI69" s="2030"/>
      <c r="AJ69" s="2054">
        <f t="shared" si="17"/>
        <v>5.3</v>
      </c>
      <c r="AK69" s="2614"/>
      <c r="AL69" s="1774">
        <f>ROUND(IF(AG69=0,1,AJ69/ABS(AG69)),3)</f>
        <v>0.376</v>
      </c>
    </row>
    <row r="70" spans="1:38" s="2244" customFormat="1" ht="15" customHeight="1">
      <c r="A70" s="2526"/>
      <c r="B70" s="2547" t="s">
        <v>1389</v>
      </c>
      <c r="C70" s="2526"/>
      <c r="D70" s="2086">
        <f>'Exhibit G State'!D70</f>
        <v>0</v>
      </c>
      <c r="E70" s="2086"/>
      <c r="F70" s="2086">
        <f>'Exhibit G State'!F70</f>
        <v>0</v>
      </c>
      <c r="G70" s="2086"/>
      <c r="H70" s="2086">
        <f>'Exhibit G State'!H70</f>
        <v>0</v>
      </c>
      <c r="I70" s="3779"/>
      <c r="J70" s="2086">
        <f>'Exhibit G State'!J70</f>
        <v>0</v>
      </c>
      <c r="K70" s="3779"/>
      <c r="L70" s="2086">
        <f>'Exhibit G State'!L70</f>
        <v>0</v>
      </c>
      <c r="M70" s="3779"/>
      <c r="N70" s="2086">
        <f>'Exhibit G State'!N70</f>
        <v>0</v>
      </c>
      <c r="O70" s="3779"/>
      <c r="P70" s="2086">
        <f>'Exhibit G State'!P70</f>
        <v>0</v>
      </c>
      <c r="Q70" s="3779"/>
      <c r="R70" s="2086">
        <f>'Exhibit G State'!R70</f>
        <v>0</v>
      </c>
      <c r="S70" s="3779"/>
      <c r="T70" s="2086">
        <f>'Exhibit G State'!T70</f>
        <v>0</v>
      </c>
      <c r="U70" s="2605"/>
      <c r="V70" s="2086">
        <f>'Exhibit G State'!V70</f>
        <v>468</v>
      </c>
      <c r="W70" s="2605"/>
      <c r="X70" s="2086"/>
      <c r="Y70" s="2605"/>
      <c r="Z70" s="2086"/>
      <c r="AA70" s="2086"/>
      <c r="AB70" s="2049">
        <v>0</v>
      </c>
      <c r="AC70" s="2093"/>
      <c r="AD70" s="2054">
        <f>ROUND(SUM(D70:Z70),1)</f>
        <v>468</v>
      </c>
      <c r="AE70" s="2049"/>
      <c r="AF70" s="2093"/>
      <c r="AG70" s="2086">
        <f>'Exhibit G State'!AG70</f>
        <v>1068</v>
      </c>
      <c r="AH70" s="3648"/>
      <c r="AI70" s="2030"/>
      <c r="AJ70" s="2054">
        <f t="shared" ref="AJ70" si="18">ROUND(SUM(+AD70-AG70),1)</f>
        <v>-600</v>
      </c>
      <c r="AK70" s="2614"/>
      <c r="AL70" s="1774">
        <f>ROUND(IF(AG70=0,0,AJ70/ABS(AG70)),3)</f>
        <v>-0.56200000000000006</v>
      </c>
    </row>
    <row r="71" spans="1:38" s="2244" customFormat="1" ht="15" customHeight="1">
      <c r="A71" s="2526"/>
      <c r="B71" s="2547" t="s">
        <v>1086</v>
      </c>
      <c r="C71" s="2526"/>
      <c r="D71" s="2086">
        <f>'Exhibit G State'!D71+'Exhibit G Federal'!D43</f>
        <v>0.8</v>
      </c>
      <c r="E71" s="2086"/>
      <c r="F71" s="2086">
        <f>'Exhibit G State'!F71+'Exhibit G Federal'!F43</f>
        <v>1</v>
      </c>
      <c r="G71" s="2086"/>
      <c r="H71" s="2086">
        <f>'Exhibit G State'!H71+'Exhibit G Federal'!H43</f>
        <v>2.8</v>
      </c>
      <c r="I71" s="2592"/>
      <c r="J71" s="2086">
        <f>'Exhibit G State'!J71+'Exhibit G Federal'!J43</f>
        <v>0.30000000000000071</v>
      </c>
      <c r="K71" s="2605"/>
      <c r="L71" s="2086">
        <f>'Exhibit G State'!L71+'Exhibit G Federal'!L43</f>
        <v>0.59999999999999964</v>
      </c>
      <c r="M71" s="2605"/>
      <c r="N71" s="2086">
        <f>'Exhibit G State'!N71+'Exhibit G Federal'!N43</f>
        <v>0</v>
      </c>
      <c r="O71" s="2605"/>
      <c r="P71" s="2086">
        <f>'Exhibit G State'!P71+'Exhibit G Federal'!P43</f>
        <v>0.29999999999999982</v>
      </c>
      <c r="Q71" s="2605"/>
      <c r="R71" s="2086">
        <f>'Exhibit G State'!R71+'Exhibit G Federal'!R43</f>
        <v>0.29999999999999982</v>
      </c>
      <c r="S71" s="2605"/>
      <c r="T71" s="2086">
        <f>'Exhibit G State'!T71+'Exhibit G Federal'!T43</f>
        <v>0.30000000000000071</v>
      </c>
      <c r="U71" s="2605"/>
      <c r="V71" s="2086">
        <f>'Exhibit G State'!V71+'Exhibit G Federal'!V43</f>
        <v>0.5</v>
      </c>
      <c r="W71" s="2605"/>
      <c r="X71" s="2086"/>
      <c r="Y71" s="2605"/>
      <c r="Z71" s="2086"/>
      <c r="AA71" s="2086"/>
      <c r="AB71" s="2049">
        <v>0</v>
      </c>
      <c r="AC71" s="2093"/>
      <c r="AD71" s="2054">
        <f t="shared" si="12"/>
        <v>6.9</v>
      </c>
      <c r="AE71" s="2049"/>
      <c r="AF71" s="2093"/>
      <c r="AG71" s="2086">
        <f>'Exhibit G State'!AG71+'Exhibit G Federal'!AG43</f>
        <v>106</v>
      </c>
      <c r="AH71" s="3648"/>
      <c r="AI71" s="2030"/>
      <c r="AJ71" s="2054">
        <f t="shared" si="17"/>
        <v>-99.1</v>
      </c>
      <c r="AK71" s="2614"/>
      <c r="AL71" s="1779">
        <f t="shared" ref="AL71:AL74" si="19">ROUND(IF(AG71=0,0,AJ71/ABS(AG71)),3)</f>
        <v>-0.93500000000000005</v>
      </c>
    </row>
    <row r="72" spans="1:38" s="2244" customFormat="1" ht="15" customHeight="1">
      <c r="A72" s="2526"/>
      <c r="B72" s="2547" t="s">
        <v>1087</v>
      </c>
      <c r="C72" s="2526"/>
      <c r="D72" s="2086">
        <f>'Exhibit G State'!D72+'Exhibit G Federal'!D44</f>
        <v>0.9</v>
      </c>
      <c r="E72" s="2086"/>
      <c r="F72" s="2086">
        <f>'Exhibit G State'!F72+'Exhibit G Federal'!F44</f>
        <v>0</v>
      </c>
      <c r="G72" s="2086"/>
      <c r="H72" s="2086">
        <f>'Exhibit G State'!H72+'Exhibit G Federal'!H44</f>
        <v>0</v>
      </c>
      <c r="I72" s="2592"/>
      <c r="J72" s="2086">
        <f>'Exhibit G State'!J72+'Exhibit G Federal'!J44</f>
        <v>0</v>
      </c>
      <c r="K72" s="2605"/>
      <c r="L72" s="2086">
        <f>'Exhibit G State'!L72+'Exhibit G Federal'!L44</f>
        <v>0</v>
      </c>
      <c r="M72" s="2605"/>
      <c r="N72" s="2086">
        <f>'Exhibit G State'!N72+'Exhibit G Federal'!N44</f>
        <v>0</v>
      </c>
      <c r="O72" s="2605"/>
      <c r="P72" s="2086">
        <f>'Exhibit G State'!P72+'Exhibit G Federal'!P44</f>
        <v>0</v>
      </c>
      <c r="Q72" s="2605"/>
      <c r="R72" s="2086">
        <f>'Exhibit G State'!R72+'Exhibit G Federal'!R44</f>
        <v>0</v>
      </c>
      <c r="S72" s="2605"/>
      <c r="T72" s="2086">
        <f>'Exhibit G State'!T72+'Exhibit G Federal'!T44</f>
        <v>0</v>
      </c>
      <c r="U72" s="2605"/>
      <c r="V72" s="2086">
        <f>'Exhibit G State'!V72+'Exhibit G Federal'!V44</f>
        <v>0</v>
      </c>
      <c r="W72" s="2605"/>
      <c r="X72" s="2086"/>
      <c r="Y72" s="2605"/>
      <c r="Z72" s="2086"/>
      <c r="AA72" s="2086"/>
      <c r="AB72" s="2049">
        <v>0</v>
      </c>
      <c r="AC72" s="2093"/>
      <c r="AD72" s="2054">
        <f t="shared" si="12"/>
        <v>0.9</v>
      </c>
      <c r="AE72" s="2049"/>
      <c r="AF72" s="2093"/>
      <c r="AG72" s="2086">
        <f>'Exhibit G State'!AG72+'Exhibit G Federal'!AG44</f>
        <v>0.1</v>
      </c>
      <c r="AH72" s="3648"/>
      <c r="AI72" s="2030"/>
      <c r="AJ72" s="2054">
        <f t="shared" si="17"/>
        <v>0.8</v>
      </c>
      <c r="AK72" s="2614"/>
      <c r="AL72" s="1774">
        <f>ROUND(IF(AG72=0,1,AJ72/ABS(AG72)),3)</f>
        <v>8</v>
      </c>
    </row>
    <row r="73" spans="1:38" s="2244" customFormat="1" ht="15" customHeight="1">
      <c r="A73" s="2526"/>
      <c r="B73" s="2547" t="s">
        <v>1088</v>
      </c>
      <c r="C73" s="2526"/>
      <c r="D73" s="2086">
        <f>'Exhibit G State'!D73+'Exhibit G Federal'!D45</f>
        <v>204.3</v>
      </c>
      <c r="E73" s="2086"/>
      <c r="F73" s="2086">
        <f>'Exhibit G State'!F73+'Exhibit G Federal'!F45</f>
        <v>156.19999999999999</v>
      </c>
      <c r="G73" s="2086"/>
      <c r="H73" s="2086">
        <f>'Exhibit G State'!H73+'Exhibit G Federal'!H45</f>
        <v>154.89999999999998</v>
      </c>
      <c r="I73" s="2592"/>
      <c r="J73" s="2086">
        <f>'Exhibit G State'!J73+'Exhibit G Federal'!J45</f>
        <v>222.30000000000013</v>
      </c>
      <c r="K73" s="2605"/>
      <c r="L73" s="2086">
        <f>'Exhibit G State'!L73+'Exhibit G Federal'!L45</f>
        <v>106.19999999999982</v>
      </c>
      <c r="M73" s="2605"/>
      <c r="N73" s="2086">
        <f>'Exhibit G State'!N73+'Exhibit G Federal'!N45</f>
        <v>243.2</v>
      </c>
      <c r="O73" s="2605"/>
      <c r="P73" s="2086">
        <f>'Exhibit G State'!P73+'Exhibit G Federal'!P45</f>
        <v>193.80000000000024</v>
      </c>
      <c r="Q73" s="2605"/>
      <c r="R73" s="2086">
        <f>'Exhibit G State'!R73+'Exhibit G Federal'!R45</f>
        <v>155.89999999999986</v>
      </c>
      <c r="S73" s="2605"/>
      <c r="T73" s="2086">
        <f>'Exhibit G State'!T73+'Exhibit G Federal'!T45</f>
        <v>187.69999999999976</v>
      </c>
      <c r="U73" s="2605"/>
      <c r="V73" s="2086">
        <f>'Exhibit G State'!V73+'Exhibit G Federal'!V45</f>
        <v>200.20000000000033</v>
      </c>
      <c r="W73" s="2605"/>
      <c r="X73" s="2086"/>
      <c r="Y73" s="2605"/>
      <c r="Z73" s="2086"/>
      <c r="AA73" s="2086"/>
      <c r="AB73" s="2049">
        <v>0</v>
      </c>
      <c r="AC73" s="2093"/>
      <c r="AD73" s="2054">
        <f t="shared" si="12"/>
        <v>1824.7</v>
      </c>
      <c r="AE73" s="2049"/>
      <c r="AF73" s="2093"/>
      <c r="AG73" s="2086">
        <f>'Exhibit G State'!AG73+'Exhibit G Federal'!AG45</f>
        <v>1798.2</v>
      </c>
      <c r="AH73" s="3648"/>
      <c r="AI73" s="2030"/>
      <c r="AJ73" s="2054">
        <f t="shared" si="17"/>
        <v>26.5</v>
      </c>
      <c r="AK73" s="2614"/>
      <c r="AL73" s="1774">
        <f t="shared" si="19"/>
        <v>1.4999999999999999E-2</v>
      </c>
    </row>
    <row r="74" spans="1:38" s="2244" customFormat="1" ht="15" customHeight="1">
      <c r="A74" s="2526"/>
      <c r="B74" s="2547" t="s">
        <v>1089</v>
      </c>
      <c r="C74" s="2526"/>
      <c r="D74" s="2086">
        <f>'Exhibit G State'!D74+'Exhibit G Federal'!D46</f>
        <v>12.9</v>
      </c>
      <c r="E74" s="2086"/>
      <c r="F74" s="2086">
        <f>'Exhibit G State'!F74+'Exhibit G Federal'!F46</f>
        <v>9.6999999999999993</v>
      </c>
      <c r="G74" s="2086"/>
      <c r="H74" s="2086">
        <f>'Exhibit G State'!H74+'Exhibit G Federal'!H46</f>
        <v>15.2</v>
      </c>
      <c r="I74" s="2592"/>
      <c r="J74" s="2086">
        <f>'Exhibit G State'!J74+'Exhibit G Federal'!J46</f>
        <v>22.300000000000004</v>
      </c>
      <c r="K74" s="2605"/>
      <c r="L74" s="2086">
        <f>'Exhibit G State'!L74+'Exhibit G Federal'!L46</f>
        <v>9.1999999999999993</v>
      </c>
      <c r="M74" s="2605"/>
      <c r="N74" s="2086">
        <f>'Exhibit G State'!N74+'Exhibit G Federal'!N46</f>
        <v>12.099999999999991</v>
      </c>
      <c r="O74" s="2605"/>
      <c r="P74" s="2086">
        <f>'Exhibit G State'!P74+'Exhibit G Federal'!P46</f>
        <v>17.700000000000006</v>
      </c>
      <c r="Q74" s="2605"/>
      <c r="R74" s="2086">
        <f>'Exhibit G State'!R74+'Exhibit G Federal'!R46</f>
        <v>11.899999999999991</v>
      </c>
      <c r="S74" s="2605"/>
      <c r="T74" s="2086">
        <f>'Exhibit G State'!T74+'Exhibit G Federal'!T46</f>
        <v>12.399999999999999</v>
      </c>
      <c r="U74" s="2605"/>
      <c r="V74" s="2086">
        <f>'Exhibit G State'!V74+'Exhibit G Federal'!V46</f>
        <v>13.399999999999995</v>
      </c>
      <c r="W74" s="2605"/>
      <c r="X74" s="2086"/>
      <c r="Y74" s="2605"/>
      <c r="Z74" s="2086"/>
      <c r="AA74" s="2086"/>
      <c r="AB74" s="2049">
        <v>0</v>
      </c>
      <c r="AC74" s="2093"/>
      <c r="AD74" s="2054">
        <f t="shared" si="12"/>
        <v>136.80000000000001</v>
      </c>
      <c r="AE74" s="2049"/>
      <c r="AF74" s="2093"/>
      <c r="AG74" s="2086">
        <f>'Exhibit G State'!AG74+'Exhibit G Federal'!AG46</f>
        <v>136.5</v>
      </c>
      <c r="AH74" s="3648"/>
      <c r="AI74" s="2030"/>
      <c r="AJ74" s="2054">
        <f t="shared" si="17"/>
        <v>0.3</v>
      </c>
      <c r="AK74" s="2614"/>
      <c r="AL74" s="1774">
        <f t="shared" si="19"/>
        <v>2E-3</v>
      </c>
    </row>
    <row r="75" spans="1:38" s="2244" customFormat="1" ht="15" customHeight="1">
      <c r="A75" s="2526"/>
      <c r="B75" s="2547" t="s">
        <v>1090</v>
      </c>
      <c r="C75" s="2526"/>
      <c r="D75" s="2086">
        <f>'Exhibit G State'!D75+'Exhibit G Federal'!D47</f>
        <v>7.6</v>
      </c>
      <c r="E75" s="2086"/>
      <c r="F75" s="2086">
        <f>'Exhibit G State'!F75+'Exhibit G Federal'!F47</f>
        <v>1.2000000000000011</v>
      </c>
      <c r="G75" s="2086"/>
      <c r="H75" s="2086">
        <f>'Exhibit G State'!H75+'Exhibit G Federal'!H47</f>
        <v>0.79999999999999893</v>
      </c>
      <c r="I75" s="2592"/>
      <c r="J75" s="2086">
        <f>'Exhibit G State'!J75+'Exhibit G Federal'!J47</f>
        <v>1</v>
      </c>
      <c r="K75" s="2605"/>
      <c r="L75" s="2086">
        <f>'Exhibit G State'!L75+'Exhibit G Federal'!L47</f>
        <v>5.9</v>
      </c>
      <c r="M75" s="2605"/>
      <c r="N75" s="2086">
        <f>'Exhibit G State'!N75+'Exhibit G Federal'!N47</f>
        <v>0.39999999999999858</v>
      </c>
      <c r="O75" s="2605"/>
      <c r="P75" s="2086">
        <f>'Exhibit G State'!P75+'Exhibit G Federal'!P47</f>
        <v>0.40000000000000213</v>
      </c>
      <c r="Q75" s="2605"/>
      <c r="R75" s="2086">
        <f>'Exhibit G State'!R75+'Exhibit G Federal'!R47</f>
        <v>3.4000000000000021</v>
      </c>
      <c r="S75" s="2605"/>
      <c r="T75" s="2086">
        <f>'Exhibit G State'!T75+'Exhibit G Federal'!T47</f>
        <v>0.39999999999999858</v>
      </c>
      <c r="U75" s="2605"/>
      <c r="V75" s="2086">
        <f>'Exhibit G State'!V75+'Exhibit G Federal'!V47</f>
        <v>24.299999999999997</v>
      </c>
      <c r="W75" s="2605"/>
      <c r="X75" s="2086"/>
      <c r="Y75" s="2605"/>
      <c r="Z75" s="2086"/>
      <c r="AA75" s="2086"/>
      <c r="AB75" s="2049">
        <v>0</v>
      </c>
      <c r="AC75" s="2093"/>
      <c r="AD75" s="2054">
        <f t="shared" si="12"/>
        <v>45.4</v>
      </c>
      <c r="AE75" s="2049"/>
      <c r="AF75" s="2093"/>
      <c r="AG75" s="2086">
        <f>'Exhibit G State'!AG75+'Exhibit G Federal'!AG47</f>
        <v>66.5</v>
      </c>
      <c r="AH75" s="3648"/>
      <c r="AI75" s="2030"/>
      <c r="AJ75" s="2054">
        <f t="shared" si="17"/>
        <v>-21.1</v>
      </c>
      <c r="AK75" s="2614"/>
      <c r="AL75" s="1779">
        <f>ROUND(IF(AG75=0,1,AJ75/ABS(AG75)),3)</f>
        <v>-0.317</v>
      </c>
    </row>
    <row r="76" spans="1:38" s="2244" customFormat="1" ht="15" customHeight="1">
      <c r="A76" s="2526"/>
      <c r="B76" s="2547" t="s">
        <v>1091</v>
      </c>
      <c r="C76" s="2526"/>
      <c r="D76" s="2086">
        <f>'Exhibit G State'!D76+'Exhibit G Federal'!D48</f>
        <v>7.5</v>
      </c>
      <c r="E76" s="2086"/>
      <c r="F76" s="2086">
        <f>'Exhibit G State'!F76+'Exhibit G Federal'!F48</f>
        <v>3.0999999999999996</v>
      </c>
      <c r="G76" s="2086"/>
      <c r="H76" s="2086">
        <f>'Exhibit G State'!H76+'Exhibit G Federal'!H48</f>
        <v>8.5000000000000018</v>
      </c>
      <c r="I76" s="2592"/>
      <c r="J76" s="2086">
        <f>'Exhibit G State'!J76+'Exhibit G Federal'!J48</f>
        <v>7.4999999999999982</v>
      </c>
      <c r="K76" s="2605"/>
      <c r="L76" s="2086">
        <f>'Exhibit G State'!L76+'Exhibit G Federal'!L48</f>
        <v>1.7000000000000028</v>
      </c>
      <c r="M76" s="2605"/>
      <c r="N76" s="2086">
        <f>'Exhibit G State'!N76+'Exhibit G Federal'!N48</f>
        <v>10.9</v>
      </c>
      <c r="O76" s="2605"/>
      <c r="P76" s="2086">
        <f>'Exhibit G State'!P76+'Exhibit G Federal'!P48</f>
        <v>2.2999999999999972</v>
      </c>
      <c r="Q76" s="2605"/>
      <c r="R76" s="2086">
        <f>'Exhibit G State'!R76+'Exhibit G Federal'!R48</f>
        <v>2.2000000000000011</v>
      </c>
      <c r="S76" s="2605"/>
      <c r="T76" s="2086">
        <f>'Exhibit G State'!T76+'Exhibit G Federal'!T48</f>
        <v>10.799999999999997</v>
      </c>
      <c r="U76" s="2605"/>
      <c r="V76" s="2086">
        <f>'Exhibit G State'!V76+'Exhibit G Federal'!V48</f>
        <v>2.5000000000000018</v>
      </c>
      <c r="W76" s="2605"/>
      <c r="X76" s="2086"/>
      <c r="Y76" s="2605"/>
      <c r="Z76" s="2086"/>
      <c r="AA76" s="2086"/>
      <c r="AB76" s="2049">
        <v>0</v>
      </c>
      <c r="AC76" s="2093"/>
      <c r="AD76" s="2054">
        <f t="shared" si="12"/>
        <v>57</v>
      </c>
      <c r="AE76" s="2049"/>
      <c r="AF76" s="2093"/>
      <c r="AG76" s="2086">
        <f>'Exhibit G State'!AG76+'Exhibit G Federal'!AG48</f>
        <v>76.900000000000006</v>
      </c>
      <c r="AH76" s="3648"/>
      <c r="AI76" s="2030"/>
      <c r="AJ76" s="2054">
        <f t="shared" si="17"/>
        <v>-19.899999999999999</v>
      </c>
      <c r="AK76" s="2614"/>
      <c r="AL76" s="1774">
        <f>ROUND(IF(AG76=0,0,AJ76/ABS(AG76)),3)</f>
        <v>-0.25900000000000001</v>
      </c>
    </row>
    <row r="77" spans="1:38" s="2244" customFormat="1" ht="15" customHeight="1">
      <c r="A77" s="2526"/>
      <c r="B77" s="2547" t="s">
        <v>1092</v>
      </c>
      <c r="C77" s="2526"/>
      <c r="D77" s="2086">
        <f>'Exhibit G State'!D77+'Exhibit G Federal'!D49</f>
        <v>41.199999999999996</v>
      </c>
      <c r="E77" s="2086"/>
      <c r="F77" s="2086">
        <f>'Exhibit G State'!F77+'Exhibit G Federal'!F49</f>
        <v>36.9</v>
      </c>
      <c r="G77" s="2086"/>
      <c r="H77" s="2086">
        <f>'Exhibit G State'!H77+'Exhibit G Federal'!H49</f>
        <v>57.599999999999987</v>
      </c>
      <c r="I77" s="2592"/>
      <c r="J77" s="2086">
        <f>'Exhibit G State'!J77+'Exhibit G Federal'!J49</f>
        <v>39.20000000000001</v>
      </c>
      <c r="K77" s="2605"/>
      <c r="L77" s="2086">
        <f>'Exhibit G State'!L77+'Exhibit G Federal'!L49</f>
        <v>43.8</v>
      </c>
      <c r="M77" s="2605"/>
      <c r="N77" s="2086">
        <f>'Exhibit G State'!N77+'Exhibit G Federal'!N49</f>
        <v>67.500000000000028</v>
      </c>
      <c r="O77" s="2605"/>
      <c r="P77" s="2086">
        <f>'Exhibit G State'!P77+'Exhibit G Federal'!P49</f>
        <v>36.800000000000018</v>
      </c>
      <c r="Q77" s="2605"/>
      <c r="R77" s="2086">
        <f>'Exhibit G State'!R77+'Exhibit G Federal'!R49</f>
        <v>33.500000000000043</v>
      </c>
      <c r="S77" s="2605"/>
      <c r="T77" s="2086">
        <f>'Exhibit G State'!T77+'Exhibit G Federal'!T49</f>
        <v>35.89999999999997</v>
      </c>
      <c r="U77" s="2605"/>
      <c r="V77" s="2086">
        <f>'Exhibit G State'!V77+'Exhibit G Federal'!V49</f>
        <v>45.100000000000065</v>
      </c>
      <c r="W77" s="2605"/>
      <c r="X77" s="2086"/>
      <c r="Y77" s="2605"/>
      <c r="Z77" s="2086"/>
      <c r="AA77" s="2086"/>
      <c r="AB77" s="2049">
        <v>0</v>
      </c>
      <c r="AC77" s="2093"/>
      <c r="AD77" s="2054">
        <f t="shared" si="12"/>
        <v>437.5</v>
      </c>
      <c r="AE77" s="2049"/>
      <c r="AF77" s="2093"/>
      <c r="AG77" s="2086">
        <f>'Exhibit G State'!AG77+'Exhibit G Federal'!AG49</f>
        <v>397.2</v>
      </c>
      <c r="AH77" s="3648"/>
      <c r="AI77" s="2030"/>
      <c r="AJ77" s="2054">
        <f t="shared" si="17"/>
        <v>40.299999999999997</v>
      </c>
      <c r="AK77" s="2614"/>
      <c r="AL77" s="1779">
        <f>ROUND(IF(AG77=0,0,AJ77/ABS(AG77)),3)</f>
        <v>0.10100000000000001</v>
      </c>
    </row>
    <row r="78" spans="1:38" s="2244" customFormat="1" ht="15" customHeight="1">
      <c r="A78" s="2526"/>
      <c r="B78" s="2547" t="s">
        <v>1064</v>
      </c>
      <c r="C78" s="2526"/>
      <c r="D78" s="2086">
        <f>'Exhibit G State'!D78+'Exhibit G Federal'!D50</f>
        <v>0.9</v>
      </c>
      <c r="E78" s="2086"/>
      <c r="F78" s="2086">
        <f>'Exhibit G State'!F78+'Exhibit G Federal'!F50</f>
        <v>0.79999999999999993</v>
      </c>
      <c r="G78" s="2086"/>
      <c r="H78" s="2086">
        <f>'Exhibit G State'!H78+'Exhibit G Federal'!H50</f>
        <v>1.5000000000000004</v>
      </c>
      <c r="I78" s="2592"/>
      <c r="J78" s="2086">
        <f>'Exhibit G State'!J78+'Exhibit G Federal'!J50</f>
        <v>2.4999999999999996</v>
      </c>
      <c r="K78" s="2605"/>
      <c r="L78" s="2086">
        <f>'Exhibit G State'!L78+'Exhibit G Federal'!L50</f>
        <v>1.6999999999999997</v>
      </c>
      <c r="M78" s="2605"/>
      <c r="N78" s="2086">
        <f>'Exhibit G State'!N78+'Exhibit G Federal'!N50</f>
        <v>2.4999999999999996</v>
      </c>
      <c r="O78" s="2605"/>
      <c r="P78" s="2086">
        <f>'Exhibit G State'!P78+'Exhibit G Federal'!P50</f>
        <v>0.79999999999999893</v>
      </c>
      <c r="Q78" s="2605"/>
      <c r="R78" s="2086">
        <f>'Exhibit G State'!R78+'Exhibit G Federal'!R50</f>
        <v>1.5000000000000004</v>
      </c>
      <c r="S78" s="2605"/>
      <c r="T78" s="2086">
        <f>'Exhibit G State'!T78+'Exhibit G Federal'!T50</f>
        <v>1.3000000000000007</v>
      </c>
      <c r="U78" s="2605"/>
      <c r="V78" s="2086">
        <f>'Exhibit G State'!V78+'Exhibit G Federal'!V50</f>
        <v>1.5</v>
      </c>
      <c r="W78" s="2605"/>
      <c r="X78" s="2086"/>
      <c r="Y78" s="2605"/>
      <c r="Z78" s="2086"/>
      <c r="AA78" s="2086"/>
      <c r="AB78" s="2049">
        <v>0</v>
      </c>
      <c r="AC78" s="2093"/>
      <c r="AD78" s="2049">
        <f t="shared" si="12"/>
        <v>15</v>
      </c>
      <c r="AE78" s="2049"/>
      <c r="AF78" s="2093"/>
      <c r="AG78" s="2086">
        <f>'Exhibit G State'!AG78+'Exhibit G Federal'!AG50</f>
        <v>20.8</v>
      </c>
      <c r="AH78" s="3648"/>
      <c r="AI78" s="2030"/>
      <c r="AJ78" s="2054">
        <f t="shared" si="17"/>
        <v>-5.8</v>
      </c>
      <c r="AK78" s="2614"/>
      <c r="AL78" s="1774">
        <f>ROUND(IF(AG78=0,0,AJ78/ABS(AG78)),3)</f>
        <v>-0.27900000000000003</v>
      </c>
    </row>
    <row r="79" spans="1:38" s="2244" customFormat="1" ht="15" customHeight="1">
      <c r="A79" s="2526"/>
      <c r="B79" s="2547" t="s">
        <v>1065</v>
      </c>
      <c r="C79" s="2526"/>
      <c r="D79" s="2086">
        <f>'Exhibit G State'!D79+'Exhibit G Federal'!D51</f>
        <v>52</v>
      </c>
      <c r="E79" s="2086"/>
      <c r="F79" s="2086">
        <f>'Exhibit G State'!F79+'Exhibit G Federal'!F51</f>
        <v>48.099999999999994</v>
      </c>
      <c r="G79" s="2086"/>
      <c r="H79" s="2086">
        <f>'Exhibit G State'!H79+'Exhibit G Federal'!H51</f>
        <v>34.900000000000006</v>
      </c>
      <c r="I79" s="2592"/>
      <c r="J79" s="2086">
        <f>'Exhibit G State'!J79+'Exhibit G Federal'!J51</f>
        <v>45</v>
      </c>
      <c r="K79" s="2605"/>
      <c r="L79" s="2086">
        <f>'Exhibit G State'!L79+'Exhibit G Federal'!L51</f>
        <v>240</v>
      </c>
      <c r="M79" s="2605"/>
      <c r="N79" s="2086">
        <f>'Exhibit G State'!N79+'Exhibit G Federal'!N51</f>
        <v>309.89999999999998</v>
      </c>
      <c r="O79" s="2605"/>
      <c r="P79" s="2086">
        <f>'Exhibit G State'!P79+'Exhibit G Federal'!P51</f>
        <v>137.5</v>
      </c>
      <c r="Q79" s="2605"/>
      <c r="R79" s="2086">
        <f>'Exhibit G State'!R79+'Exhibit G Federal'!R51</f>
        <v>37.5</v>
      </c>
      <c r="S79" s="2605"/>
      <c r="T79" s="2086">
        <f>'Exhibit G State'!T79+'Exhibit G Federal'!T51</f>
        <v>14.100000000000023</v>
      </c>
      <c r="U79" s="2605"/>
      <c r="V79" s="2086">
        <f>'Exhibit G State'!V79+'Exhibit G Federal'!V51</f>
        <v>261.79999999999995</v>
      </c>
      <c r="W79" s="2605"/>
      <c r="X79" s="2086"/>
      <c r="Y79" s="2605"/>
      <c r="Z79" s="2086"/>
      <c r="AA79" s="2086"/>
      <c r="AB79" s="2049">
        <v>0</v>
      </c>
      <c r="AC79" s="2093"/>
      <c r="AD79" s="2049">
        <f t="shared" si="12"/>
        <v>1180.8</v>
      </c>
      <c r="AE79" s="2049"/>
      <c r="AF79" s="2093"/>
      <c r="AG79" s="2086">
        <f>'Exhibit G State'!AG79+'Exhibit G Federal'!AG51</f>
        <v>1295.5999999999999</v>
      </c>
      <c r="AH79" s="3648"/>
      <c r="AI79" s="2030"/>
      <c r="AJ79" s="2054">
        <f t="shared" si="17"/>
        <v>-114.8</v>
      </c>
      <c r="AK79" s="2614"/>
      <c r="AL79" s="1774">
        <f>ROUND(IF(AG79=0,0,AJ79/ABS(AG79)),3)</f>
        <v>-8.8999999999999996E-2</v>
      </c>
    </row>
    <row r="80" spans="1:38" s="2620" customFormat="1" ht="15" customHeight="1">
      <c r="A80" s="2617"/>
      <c r="B80" s="2534" t="s">
        <v>1232</v>
      </c>
      <c r="C80" s="2617"/>
      <c r="D80" s="1497">
        <f>ROUND(SUM(D41:D79),1)</f>
        <v>1571.9</v>
      </c>
      <c r="E80" s="2592"/>
      <c r="F80" s="1497">
        <f>ROUND(SUM(F41:F79),1)</f>
        <v>1462.6</v>
      </c>
      <c r="G80" s="2592"/>
      <c r="H80" s="2096">
        <f>ROUND(SUM(H41:H79),1)</f>
        <v>1521.3</v>
      </c>
      <c r="I80" s="2592"/>
      <c r="J80" s="2096">
        <f>ROUND(SUM(J41:J79),1)</f>
        <v>1545.8</v>
      </c>
      <c r="K80" s="2605"/>
      <c r="L80" s="1497">
        <f>ROUND(SUM(L41:L79),1)</f>
        <v>1444.1</v>
      </c>
      <c r="M80" s="2605"/>
      <c r="N80" s="1497">
        <f>ROUND(SUM(N41:N79),1)</f>
        <v>1885.7</v>
      </c>
      <c r="O80" s="2605"/>
      <c r="P80" s="1497">
        <f>ROUND(SUM(P41:P79),1)</f>
        <v>1614.4</v>
      </c>
      <c r="Q80" s="2605"/>
      <c r="R80" s="1497">
        <f>ROUND(SUM(R41:R79),1)</f>
        <v>1252.8</v>
      </c>
      <c r="S80" s="2605"/>
      <c r="T80" s="1497">
        <f>ROUND(SUM(T41:T79),1)</f>
        <v>1462.6</v>
      </c>
      <c r="U80" s="2605"/>
      <c r="V80" s="1497">
        <f>ROUND(SUM(V41:V79),1)</f>
        <v>2211.4</v>
      </c>
      <c r="W80" s="2605"/>
      <c r="X80" s="1497">
        <f>ROUND(SUM(X41:X79),1)</f>
        <v>0</v>
      </c>
      <c r="Y80" s="2605"/>
      <c r="Z80" s="1497">
        <f>ROUND(SUM(Z41:Z79),1)</f>
        <v>0</v>
      </c>
      <c r="AA80" s="1499"/>
      <c r="AB80" s="2087">
        <f>SUM(AB41:AB79)</f>
        <v>0</v>
      </c>
      <c r="AC80" s="2618"/>
      <c r="AD80" s="1497">
        <f>ROUND(SUM(AD41:AD79),1)</f>
        <v>15972.6</v>
      </c>
      <c r="AE80" s="2104"/>
      <c r="AF80" s="2618"/>
      <c r="AG80" s="1497">
        <f>ROUND(SUM(AG41:AG79),1)</f>
        <v>16507.5</v>
      </c>
      <c r="AH80" s="3647"/>
      <c r="AI80" s="1499"/>
      <c r="AJ80" s="1497">
        <f>ROUND(SUM(AJ41:AJ79),1)</f>
        <v>-534.9</v>
      </c>
      <c r="AK80" s="2619"/>
      <c r="AL80" s="1870">
        <f>ROUND(SUM(+AJ80/AG80),3)</f>
        <v>-3.2000000000000001E-2</v>
      </c>
    </row>
    <row r="81" spans="1:45" ht="15" customHeight="1">
      <c r="A81" s="2098"/>
      <c r="B81" s="2621"/>
      <c r="C81" s="2098"/>
      <c r="D81" s="2614"/>
      <c r="F81" s="2614"/>
      <c r="H81" s="1480"/>
      <c r="J81" s="1480"/>
      <c r="L81" s="2060"/>
      <c r="N81" s="2060"/>
      <c r="P81" s="2060"/>
      <c r="R81" s="2060"/>
      <c r="T81" s="2048"/>
      <c r="V81" s="2069"/>
      <c r="X81" s="2069"/>
      <c r="Z81" s="2069"/>
      <c r="AA81" s="2614"/>
      <c r="AB81" s="2060"/>
      <c r="AC81" s="2091"/>
      <c r="AD81" s="2049"/>
      <c r="AE81" s="2049"/>
      <c r="AF81" s="2093"/>
      <c r="AG81" s="2049"/>
      <c r="AH81" s="3644"/>
      <c r="AI81" s="2061"/>
      <c r="AJ81" s="1480"/>
      <c r="AK81" s="2606"/>
      <c r="AL81" s="1468"/>
    </row>
    <row r="82" spans="1:45" s="2244" customFormat="1" ht="15" customHeight="1">
      <c r="A82" s="2526"/>
      <c r="B82" s="2622" t="s">
        <v>150</v>
      </c>
      <c r="C82" s="2526"/>
      <c r="D82" s="2086">
        <f>'Exhibit G State'!D82+'Exhibit G Federal'!D54</f>
        <v>6203.7</v>
      </c>
      <c r="E82" s="2616"/>
      <c r="F82" s="2086">
        <f>'Exhibit G State'!F82+'Exhibit G Federal'!F54</f>
        <v>4816.3</v>
      </c>
      <c r="G82" s="2616"/>
      <c r="H82" s="2086">
        <f>'Exhibit G State'!H82+'Exhibit G Federal'!H54</f>
        <v>5671.5999999999995</v>
      </c>
      <c r="I82" s="2592"/>
      <c r="J82" s="2086">
        <f>'Exhibit G State'!J82+'Exhibit G Federal'!J54</f>
        <v>3118.1000000000008</v>
      </c>
      <c r="K82" s="2605"/>
      <c r="L82" s="2086">
        <f>'Exhibit G State'!L82+'Exhibit G Federal'!L54</f>
        <v>5873.3999999999978</v>
      </c>
      <c r="M82" s="2605"/>
      <c r="N82" s="2086">
        <f>'Exhibit G State'!N82+'Exhibit G Federal'!N54</f>
        <v>5484.0000000000027</v>
      </c>
      <c r="O82" s="2605"/>
      <c r="P82" s="2086">
        <f>'Exhibit G State'!P82+'Exhibit G Federal'!P54</f>
        <v>5367.9000000000005</v>
      </c>
      <c r="Q82" s="2605"/>
      <c r="R82" s="2086">
        <f>'Exhibit G State'!R82+'Exhibit G Federal'!R54</f>
        <v>5209.9000000000005</v>
      </c>
      <c r="S82" s="2605"/>
      <c r="T82" s="2086">
        <f>'Exhibit G State'!T82+'Exhibit G Federal'!T54</f>
        <v>6447.1000000000013</v>
      </c>
      <c r="U82" s="2605"/>
      <c r="V82" s="2086">
        <f>'Exhibit G State'!V82+'Exhibit G Federal'!V54</f>
        <v>5382.9999999999982</v>
      </c>
      <c r="W82" s="2605"/>
      <c r="X82" s="2086"/>
      <c r="Y82" s="2605"/>
      <c r="Z82" s="2086"/>
      <c r="AA82" s="2086"/>
      <c r="AB82" s="2623">
        <v>0</v>
      </c>
      <c r="AC82" s="2093"/>
      <c r="AD82" s="2049">
        <f t="shared" si="12"/>
        <v>53575</v>
      </c>
      <c r="AE82" s="2049"/>
      <c r="AF82" s="2093"/>
      <c r="AG82" s="2086">
        <f>'Exhibit G State'!AG82+'Exhibit G Federal'!AG54</f>
        <v>49376.7</v>
      </c>
      <c r="AH82" s="3644"/>
      <c r="AI82" s="2030"/>
      <c r="AJ82" s="2095">
        <f>ROUND(SUM(+AD82-AG82),1)</f>
        <v>4198.3</v>
      </c>
      <c r="AK82" s="2624"/>
      <c r="AL82" s="1774">
        <f>ROUND(IF(AG82=0,0,AJ82/ABS(AG82)),3)</f>
        <v>8.5000000000000006E-2</v>
      </c>
    </row>
    <row r="83" spans="1:45" ht="15" customHeight="1">
      <c r="A83" s="2098"/>
      <c r="B83" s="2098"/>
      <c r="C83" s="2098"/>
      <c r="D83" s="2059"/>
      <c r="F83" s="2059"/>
      <c r="H83" s="2555"/>
      <c r="J83" s="2555"/>
      <c r="L83" s="2059"/>
      <c r="N83" s="2059"/>
      <c r="P83" s="2059"/>
      <c r="R83" s="2059"/>
      <c r="T83" s="2105"/>
      <c r="V83" s="2059"/>
      <c r="X83" s="2059"/>
      <c r="Z83" s="2059"/>
      <c r="AA83" s="2061"/>
      <c r="AB83" s="2625"/>
      <c r="AC83" s="2061"/>
      <c r="AD83" s="2105"/>
      <c r="AE83" s="2049"/>
      <c r="AF83" s="2093"/>
      <c r="AG83" s="2105"/>
      <c r="AH83" s="3644"/>
      <c r="AI83" s="2061"/>
      <c r="AJ83" s="2626"/>
      <c r="AL83" s="1483"/>
    </row>
    <row r="84" spans="1:45" ht="15" customHeight="1">
      <c r="A84" s="2098"/>
      <c r="B84" s="2488" t="s">
        <v>151</v>
      </c>
      <c r="C84" s="2098"/>
      <c r="D84" s="1498">
        <f>ROUND(SUM(D82+D80+D37),1)</f>
        <v>8177.4</v>
      </c>
      <c r="F84" s="1498">
        <f>ROUND(SUM(F82+F80+F37),1)</f>
        <v>6466.2</v>
      </c>
      <c r="H84" s="1498">
        <f>ROUND(SUM(H82+H80+H37),1)</f>
        <v>7656.3</v>
      </c>
      <c r="J84" s="1498">
        <f>ROUND(SUM(J82+J80+J37),1)</f>
        <v>4912.1000000000004</v>
      </c>
      <c r="L84" s="1498">
        <f t="shared" ref="L84:V84" si="20">ROUND(SUM(L82+L80+L37),1)</f>
        <v>7535.8</v>
      </c>
      <c r="N84" s="1498">
        <f t="shared" ref="N84" si="21">ROUND(SUM(N82+N80+N37),1)</f>
        <v>7825.8</v>
      </c>
      <c r="P84" s="1498">
        <f>ROUND(SUM(P82+P80+P37),1)</f>
        <v>7213.2</v>
      </c>
      <c r="R84" s="1498">
        <f t="shared" ref="R84" si="22">ROUND(SUM(R82+R80+R37),1)</f>
        <v>6690.5</v>
      </c>
      <c r="T84" s="2104">
        <f t="shared" si="20"/>
        <v>8441.6</v>
      </c>
      <c r="V84" s="1498">
        <f t="shared" si="20"/>
        <v>9930</v>
      </c>
      <c r="X84" s="1498">
        <f t="shared" ref="X84:Z84" si="23">ROUND(SUM(X82+X80+X37),1)</f>
        <v>0</v>
      </c>
      <c r="Z84" s="1498">
        <f t="shared" si="23"/>
        <v>0</v>
      </c>
      <c r="AA84" s="1498"/>
      <c r="AB84" s="2627">
        <f t="shared" ref="AB84" si="24">ROUND(SUM(AB82+AB80+AB37),1)</f>
        <v>0</v>
      </c>
      <c r="AC84" s="2094"/>
      <c r="AD84" s="2104">
        <f>ROUND(SUM(AD82+AD80+AD37),1)</f>
        <v>74848.899999999994</v>
      </c>
      <c r="AE84" s="2104"/>
      <c r="AF84" s="2618"/>
      <c r="AG84" s="2104">
        <f>ROUND(SUM(AG82+AG80+AG37),1)</f>
        <v>71352.3</v>
      </c>
      <c r="AH84" s="3647"/>
      <c r="AI84" s="1481"/>
      <c r="AJ84" s="2106">
        <f>ROUND(SUM(AJ82+AJ80+AJ37),1)</f>
        <v>3496.6</v>
      </c>
      <c r="AK84" s="2628"/>
      <c r="AL84" s="1473">
        <f>ROUND(SUM(+AJ84/AG84),3)</f>
        <v>4.9000000000000002E-2</v>
      </c>
    </row>
    <row r="85" spans="1:45" ht="15" customHeight="1">
      <c r="A85" s="2098"/>
      <c r="B85" s="2098"/>
      <c r="C85" s="2098"/>
      <c r="D85" s="2059"/>
      <c r="F85" s="2059"/>
      <c r="H85" s="2555"/>
      <c r="J85" s="2555"/>
      <c r="L85" s="2059"/>
      <c r="N85" s="2059"/>
      <c r="P85" s="2059"/>
      <c r="R85" s="2059"/>
      <c r="T85" s="2105"/>
      <c r="V85" s="2059"/>
      <c r="X85" s="2059"/>
      <c r="Z85" s="2059"/>
      <c r="AA85" s="2061"/>
      <c r="AB85" s="2060"/>
      <c r="AC85" s="2091"/>
      <c r="AD85" s="2105"/>
      <c r="AE85" s="2049"/>
      <c r="AF85" s="2093"/>
      <c r="AG85" s="2105"/>
      <c r="AH85" s="3644"/>
      <c r="AI85" s="2061"/>
      <c r="AJ85" s="1480"/>
      <c r="AL85" s="1468"/>
    </row>
    <row r="86" spans="1:45" ht="15" customHeight="1">
      <c r="A86" s="2098"/>
      <c r="B86" s="2599" t="s">
        <v>23</v>
      </c>
      <c r="C86" s="2098"/>
      <c r="D86" s="2060"/>
      <c r="F86" s="2060"/>
      <c r="H86" s="1480"/>
      <c r="J86" s="1480"/>
      <c r="L86" s="2060"/>
      <c r="N86" s="2060"/>
      <c r="P86" s="2060"/>
      <c r="R86" s="2060"/>
      <c r="T86" s="2049"/>
      <c r="V86" s="2060"/>
      <c r="X86" s="2060"/>
      <c r="Z86" s="2060"/>
      <c r="AA86" s="2060"/>
      <c r="AB86" s="2060"/>
      <c r="AC86" s="2091"/>
      <c r="AD86" s="2049"/>
      <c r="AE86" s="3310"/>
      <c r="AF86" s="3302"/>
      <c r="AG86" s="2049"/>
      <c r="AH86" s="3644"/>
      <c r="AI86" s="2061"/>
      <c r="AJ86" s="1480"/>
      <c r="AL86" s="1468"/>
    </row>
    <row r="87" spans="1:45" ht="15" customHeight="1">
      <c r="A87" s="2098"/>
      <c r="B87" s="2530" t="s">
        <v>152</v>
      </c>
      <c r="C87" s="2098"/>
      <c r="D87" s="2614"/>
      <c r="F87" s="2614"/>
      <c r="H87" s="2054"/>
      <c r="J87" s="2054"/>
      <c r="L87" s="2049"/>
      <c r="N87" s="2049"/>
      <c r="P87" s="2049"/>
      <c r="R87" s="2049"/>
      <c r="T87" s="2048"/>
      <c r="V87" s="2069"/>
      <c r="X87" s="2069"/>
      <c r="Z87" s="2069"/>
      <c r="AA87" s="2614"/>
      <c r="AB87" s="2060"/>
      <c r="AC87" s="2091"/>
      <c r="AD87" s="2049"/>
      <c r="AE87" s="2049"/>
      <c r="AF87" s="2093"/>
      <c r="AG87" s="2049"/>
      <c r="AH87" s="3644"/>
      <c r="AI87" s="2061"/>
      <c r="AJ87" s="1480"/>
      <c r="AL87" s="1484"/>
    </row>
    <row r="88" spans="1:45" s="2244" customFormat="1" ht="15" customHeight="1">
      <c r="A88" s="2526"/>
      <c r="B88" s="2629" t="s">
        <v>25</v>
      </c>
      <c r="C88" s="2526"/>
      <c r="D88" s="2086">
        <f>'Exhibit G State'!D88+'Exhibit G Federal'!D60</f>
        <v>337.7</v>
      </c>
      <c r="E88" s="2616"/>
      <c r="F88" s="2086">
        <f>'Exhibit G State'!F88+'Exhibit G Federal'!F60</f>
        <v>591.1</v>
      </c>
      <c r="G88" s="2616"/>
      <c r="H88" s="2086">
        <f>'Exhibit G State'!H88+'Exhibit G Federal'!H60</f>
        <v>611.40000000000009</v>
      </c>
      <c r="I88" s="2592"/>
      <c r="J88" s="2086">
        <f>'Exhibit G State'!J88+'Exhibit G Federal'!J60</f>
        <v>288.09999999999985</v>
      </c>
      <c r="K88" s="2605"/>
      <c r="L88" s="2086">
        <f>'Exhibit G State'!L88+'Exhibit G Federal'!L60</f>
        <v>233.80000000000018</v>
      </c>
      <c r="M88" s="2605"/>
      <c r="N88" s="2086">
        <f>'Exhibit G State'!N88+'Exhibit G Federal'!N60</f>
        <v>2698.8</v>
      </c>
      <c r="O88" s="2605"/>
      <c r="P88" s="2086">
        <f>'Exhibit G State'!P88+'Exhibit G Federal'!P60</f>
        <v>354.60000000000025</v>
      </c>
      <c r="Q88" s="2605"/>
      <c r="R88" s="2086">
        <f>'Exhibit G State'!R88+'Exhibit G Federal'!R60</f>
        <v>378.6</v>
      </c>
      <c r="S88" s="2605"/>
      <c r="T88" s="2086">
        <f>'Exhibit G State'!T88+'Exhibit G Federal'!T60</f>
        <v>509.79999999999973</v>
      </c>
      <c r="U88" s="2605"/>
      <c r="V88" s="2086">
        <f>'Exhibit G State'!V88+'Exhibit G Federal'!V60</f>
        <v>2554.9000000000005</v>
      </c>
      <c r="W88" s="2605"/>
      <c r="X88" s="2086"/>
      <c r="Y88" s="2605"/>
      <c r="Z88" s="2086"/>
      <c r="AA88" s="2086"/>
      <c r="AB88" s="2049">
        <v>0</v>
      </c>
      <c r="AC88" s="2093"/>
      <c r="AD88" s="2049">
        <f>ROUND(SUM(D88:Z88),1)</f>
        <v>8558.7999999999993</v>
      </c>
      <c r="AE88" s="2049"/>
      <c r="AF88" s="2093"/>
      <c r="AG88" s="2086">
        <f>'Exhibit G State'!AG88+'Exhibit G Federal'!AG60</f>
        <v>8511.9</v>
      </c>
      <c r="AH88" s="3644"/>
      <c r="AI88" s="2030"/>
      <c r="AJ88" s="2054">
        <f>ROUND(SUM(+AD88-AG88),1)</f>
        <v>46.9</v>
      </c>
      <c r="AK88" s="2624"/>
      <c r="AL88" s="1774">
        <f>ROUND(IF(AG88=0,0,AJ88/ABS(AG88)),3)</f>
        <v>6.0000000000000001E-3</v>
      </c>
      <c r="AR88" s="2045"/>
      <c r="AS88" s="2630"/>
    </row>
    <row r="89" spans="1:45" s="2244" customFormat="1" ht="15" customHeight="1">
      <c r="A89" s="2526"/>
      <c r="B89" s="2629" t="s">
        <v>26</v>
      </c>
      <c r="C89" s="2526"/>
      <c r="D89" s="2086">
        <f>'Exhibit G State'!D89+'Exhibit G Federal'!D61</f>
        <v>0.2</v>
      </c>
      <c r="E89" s="2616"/>
      <c r="F89" s="2086">
        <f>'Exhibit G State'!F89+'Exhibit G Federal'!F61</f>
        <v>0.1</v>
      </c>
      <c r="G89" s="2616"/>
      <c r="H89" s="2086">
        <f>'Exhibit G State'!H89+'Exhibit G Federal'!H61</f>
        <v>0.5</v>
      </c>
      <c r="I89" s="2592"/>
      <c r="J89" s="2086">
        <f>'Exhibit G State'!J89+'Exhibit G Federal'!J61</f>
        <v>-9.9999999999999978E-2</v>
      </c>
      <c r="K89" s="2605"/>
      <c r="L89" s="2086">
        <f>'Exhibit G State'!L89+'Exhibit G Federal'!L61</f>
        <v>0.19999999999999996</v>
      </c>
      <c r="M89" s="2605"/>
      <c r="N89" s="2086">
        <f>'Exhibit G State'!N89+'Exhibit G Federal'!N61</f>
        <v>0.50000000000000011</v>
      </c>
      <c r="O89" s="2605"/>
      <c r="P89" s="2086">
        <f>'Exhibit G State'!P89+'Exhibit G Federal'!P61</f>
        <v>9.9999999999999978E-2</v>
      </c>
      <c r="Q89" s="2605"/>
      <c r="R89" s="2086">
        <f>'Exhibit G State'!R89+'Exhibit G Federal'!R61</f>
        <v>0.19999999999999996</v>
      </c>
      <c r="S89" s="2605"/>
      <c r="T89" s="2086">
        <f>'Exhibit G State'!T89+'Exhibit G Federal'!T61</f>
        <v>0.7</v>
      </c>
      <c r="U89" s="2605"/>
      <c r="V89" s="2086">
        <f>'Exhibit G State'!V89+'Exhibit G Federal'!V61</f>
        <v>0.49999999999999989</v>
      </c>
      <c r="W89" s="2605"/>
      <c r="X89" s="2086"/>
      <c r="Y89" s="2605"/>
      <c r="Z89" s="2086"/>
      <c r="AA89" s="2086"/>
      <c r="AB89" s="2049">
        <v>0</v>
      </c>
      <c r="AC89" s="2093"/>
      <c r="AD89" s="2049">
        <f>ROUND(SUM(D89:Z89),1)</f>
        <v>2.9</v>
      </c>
      <c r="AE89" s="2049"/>
      <c r="AF89" s="2093"/>
      <c r="AG89" s="2086">
        <f>'Exhibit G State'!AG89+'Exhibit G Federal'!AG61</f>
        <v>6</v>
      </c>
      <c r="AH89" s="3644"/>
      <c r="AI89" s="2030"/>
      <c r="AJ89" s="2054">
        <f>ROUND(SUM(+AD89-AG89),1)</f>
        <v>-3.1</v>
      </c>
      <c r="AK89" s="2624"/>
      <c r="AL89" s="1779">
        <f>ROUND(IF(AG89=0,1,AJ89/ABS(AG89)),3)</f>
        <v>-0.51700000000000002</v>
      </c>
      <c r="AR89" s="2630"/>
      <c r="AS89" s="2630"/>
    </row>
    <row r="90" spans="1:45" s="2244" customFormat="1" ht="15" customHeight="1">
      <c r="A90" s="2526"/>
      <c r="B90" s="2629" t="s">
        <v>27</v>
      </c>
      <c r="C90" s="2526"/>
      <c r="D90" s="2086">
        <f>'Exhibit G State'!D90+'Exhibit G Federal'!D62</f>
        <v>27.4</v>
      </c>
      <c r="E90" s="2616"/>
      <c r="F90" s="2086">
        <f>'Exhibit G State'!F90+'Exhibit G Federal'!F62</f>
        <v>22.200000000000003</v>
      </c>
      <c r="G90" s="2616"/>
      <c r="H90" s="2086">
        <f>'Exhibit G State'!H90+'Exhibit G Federal'!H62</f>
        <v>10.499999999999996</v>
      </c>
      <c r="I90" s="2592"/>
      <c r="J90" s="2086">
        <f>'Exhibit G State'!J90+'Exhibit G Federal'!J62</f>
        <v>21.4</v>
      </c>
      <c r="K90" s="2605"/>
      <c r="L90" s="2086">
        <f>'Exhibit G State'!L90+'Exhibit G Federal'!L62</f>
        <v>24.200000000000003</v>
      </c>
      <c r="M90" s="2605"/>
      <c r="N90" s="2086">
        <f>'Exhibit G State'!N90+'Exhibit G Federal'!N62</f>
        <v>24.999999999999996</v>
      </c>
      <c r="O90" s="2605"/>
      <c r="P90" s="2086">
        <f>'Exhibit G State'!P90+'Exhibit G Federal'!P62</f>
        <v>16.199999999999996</v>
      </c>
      <c r="Q90" s="2605"/>
      <c r="R90" s="2086">
        <f>'Exhibit G State'!R90+'Exhibit G Federal'!R62</f>
        <v>22.60000000000003</v>
      </c>
      <c r="S90" s="2605"/>
      <c r="T90" s="2086">
        <f>'Exhibit G State'!T90+'Exhibit G Federal'!T62</f>
        <v>38.899999999999991</v>
      </c>
      <c r="U90" s="2605"/>
      <c r="V90" s="2086">
        <f>'Exhibit G State'!V90+'Exhibit G Federal'!V62</f>
        <v>22.19999999999996</v>
      </c>
      <c r="W90" s="2605"/>
      <c r="X90" s="2086"/>
      <c r="Y90" s="2605"/>
      <c r="Z90" s="2086"/>
      <c r="AA90" s="2086"/>
      <c r="AB90" s="2049">
        <v>0</v>
      </c>
      <c r="AC90" s="2093"/>
      <c r="AD90" s="2049">
        <f>ROUND(SUM(D90:Z90),1)</f>
        <v>230.6</v>
      </c>
      <c r="AE90" s="2049"/>
      <c r="AF90" s="2093"/>
      <c r="AG90" s="2086">
        <f>'Exhibit G State'!AG90+'Exhibit G Federal'!AG62</f>
        <v>181.7</v>
      </c>
      <c r="AH90" s="3644"/>
      <c r="AI90" s="2030"/>
      <c r="AJ90" s="2054">
        <f>ROUND(SUM(+AD90-AG90),1)</f>
        <v>48.9</v>
      </c>
      <c r="AK90" s="2624"/>
      <c r="AL90" s="1774">
        <f>ROUND(IF(AG90=0,0,AJ90/ABS(AG90)),3)</f>
        <v>0.26900000000000002</v>
      </c>
      <c r="AR90" s="2630"/>
      <c r="AS90" s="2630"/>
    </row>
    <row r="91" spans="1:45" s="2244" customFormat="1" ht="15" customHeight="1">
      <c r="A91" s="2526"/>
      <c r="B91" s="2629" t="s">
        <v>28</v>
      </c>
      <c r="C91" s="2526"/>
      <c r="D91" s="2030"/>
      <c r="E91" s="2592"/>
      <c r="F91" s="2030"/>
      <c r="G91" s="2592"/>
      <c r="H91" s="2030"/>
      <c r="I91" s="2592"/>
      <c r="J91" s="2030"/>
      <c r="K91" s="2605"/>
      <c r="L91" s="2030"/>
      <c r="M91" s="2605"/>
      <c r="N91" s="2030"/>
      <c r="O91" s="2605"/>
      <c r="P91" s="2030"/>
      <c r="Q91" s="2605"/>
      <c r="R91" s="2030"/>
      <c r="S91" s="2605"/>
      <c r="T91" s="2030"/>
      <c r="U91" s="2605"/>
      <c r="V91" s="2030"/>
      <c r="W91" s="2605"/>
      <c r="X91" s="2030"/>
      <c r="Y91" s="2605"/>
      <c r="Z91" s="2030"/>
      <c r="AA91" s="2030"/>
      <c r="AB91" s="2049"/>
      <c r="AC91" s="2093"/>
      <c r="AD91" s="2049"/>
      <c r="AE91" s="2049"/>
      <c r="AF91" s="2093"/>
      <c r="AG91" s="2030"/>
      <c r="AH91" s="3644"/>
      <c r="AI91" s="2030"/>
      <c r="AJ91" s="2054" t="s">
        <v>15</v>
      </c>
      <c r="AK91" s="2631" t="s">
        <v>15</v>
      </c>
      <c r="AL91" s="1485" t="s">
        <v>15</v>
      </c>
      <c r="AR91" s="2045"/>
      <c r="AS91" s="2045"/>
    </row>
    <row r="92" spans="1:45" s="2244" customFormat="1" ht="15" customHeight="1">
      <c r="A92" s="2526"/>
      <c r="B92" s="2632" t="s">
        <v>29</v>
      </c>
      <c r="C92" s="2526"/>
      <c r="D92" s="2086">
        <f>'Exhibit G State'!D92+'Exhibit G Federal'!D64</f>
        <v>3115.4</v>
      </c>
      <c r="E92" s="2616"/>
      <c r="F92" s="2086">
        <f>'Exhibit G State'!F92+'Exhibit G Federal'!F64</f>
        <v>4563.0999999999995</v>
      </c>
      <c r="G92" s="2616"/>
      <c r="H92" s="2086">
        <f>'Exhibit G State'!H92+'Exhibit G Federal'!H64</f>
        <v>3463.9999999999995</v>
      </c>
      <c r="I92" s="2592"/>
      <c r="J92" s="2086">
        <f>'Exhibit G State'!J92+'Exhibit G Federal'!J64</f>
        <v>3585.5000000000009</v>
      </c>
      <c r="K92" s="2605"/>
      <c r="L92" s="2086">
        <f>'Exhibit G State'!L92+'Exhibit G Federal'!L64</f>
        <v>4433.1999999999971</v>
      </c>
      <c r="M92" s="2605"/>
      <c r="N92" s="2086">
        <f>'Exhibit G State'!N92+'Exhibit G Federal'!N64</f>
        <v>3752.2</v>
      </c>
      <c r="O92" s="2605"/>
      <c r="P92" s="2086">
        <f>'Exhibit G State'!P92+'Exhibit G Federal'!P64</f>
        <v>4029.3000000000025</v>
      </c>
      <c r="Q92" s="2605"/>
      <c r="R92" s="2086">
        <f>'Exhibit G State'!R92+'Exhibit G Federal'!R64</f>
        <v>4013.6999999999994</v>
      </c>
      <c r="S92" s="2605"/>
      <c r="T92" s="2086">
        <f>'Exhibit G State'!T92+'Exhibit G Federal'!T64</f>
        <v>3696.2000000000007</v>
      </c>
      <c r="U92" s="2605"/>
      <c r="V92" s="2086">
        <f>'Exhibit G State'!V92+'Exhibit G Federal'!V64</f>
        <v>4491.3999999999978</v>
      </c>
      <c r="W92" s="2605"/>
      <c r="X92" s="2086"/>
      <c r="Y92" s="2605"/>
      <c r="Z92" s="2086"/>
      <c r="AA92" s="2086"/>
      <c r="AB92" s="2049">
        <v>0</v>
      </c>
      <c r="AC92" s="2093"/>
      <c r="AD92" s="2049">
        <f t="shared" ref="AD92:AD97" si="25">ROUND(SUM(D92:Z92),1)</f>
        <v>39144</v>
      </c>
      <c r="AE92" s="2049"/>
      <c r="AF92" s="2093"/>
      <c r="AG92" s="2086">
        <f>'Exhibit G State'!AG92+'Exhibit G Federal'!AG64</f>
        <v>37129.4</v>
      </c>
      <c r="AH92" s="3644"/>
      <c r="AI92" s="2030"/>
      <c r="AJ92" s="2054">
        <f t="shared" ref="AJ92:AJ97" si="26">ROUND(SUM(+AD92-AG92),1)</f>
        <v>2014.6</v>
      </c>
      <c r="AK92" s="2624"/>
      <c r="AL92" s="1774">
        <f t="shared" ref="AL92:AL97" si="27">ROUND(IF(AG92=0,0,AJ92/ABS(AG92)),3)</f>
        <v>5.3999999999999999E-2</v>
      </c>
      <c r="AR92" s="2045"/>
      <c r="AS92" s="2045"/>
    </row>
    <row r="93" spans="1:45" s="2244" customFormat="1" ht="15" customHeight="1">
      <c r="A93" s="2526"/>
      <c r="B93" s="2629" t="s">
        <v>30</v>
      </c>
      <c r="C93" s="2526"/>
      <c r="D93" s="2086">
        <f>'Exhibit G State'!D93+'Exhibit G Federal'!D65</f>
        <v>543.4</v>
      </c>
      <c r="E93" s="2616"/>
      <c r="F93" s="2086">
        <f>'Exhibit G State'!F93+'Exhibit G Federal'!F65</f>
        <v>520.5</v>
      </c>
      <c r="G93" s="2616"/>
      <c r="H93" s="2086">
        <f>'Exhibit G State'!H93+'Exhibit G Federal'!H65</f>
        <v>805.50000000000023</v>
      </c>
      <c r="I93" s="2592"/>
      <c r="J93" s="2086">
        <f>'Exhibit G State'!J93+'Exhibit G Federal'!J65</f>
        <v>508.59999999999991</v>
      </c>
      <c r="K93" s="2605"/>
      <c r="L93" s="2086">
        <f>'Exhibit G State'!L93+'Exhibit G Federal'!L65</f>
        <v>652.9</v>
      </c>
      <c r="M93" s="2605"/>
      <c r="N93" s="2086">
        <f>'Exhibit G State'!N93+'Exhibit G Federal'!N65</f>
        <v>720.99999999999943</v>
      </c>
      <c r="O93" s="2605"/>
      <c r="P93" s="2086">
        <f>'Exhibit G State'!P93+'Exhibit G Federal'!P65</f>
        <v>509.60000000000025</v>
      </c>
      <c r="Q93" s="2605"/>
      <c r="R93" s="2086">
        <f>'Exhibit G State'!R93+'Exhibit G Federal'!R65</f>
        <v>455.39999999999975</v>
      </c>
      <c r="S93" s="2605"/>
      <c r="T93" s="2086">
        <f>'Exhibit G State'!T93+'Exhibit G Federal'!T65</f>
        <v>721.80000000000007</v>
      </c>
      <c r="U93" s="2605"/>
      <c r="V93" s="2086">
        <f>'Exhibit G State'!V93+'Exhibit G Federal'!V65</f>
        <v>617.40000000000032</v>
      </c>
      <c r="W93" s="2605"/>
      <c r="X93" s="2086"/>
      <c r="Y93" s="2605"/>
      <c r="Z93" s="2086"/>
      <c r="AA93" s="2086"/>
      <c r="AB93" s="2049">
        <v>0</v>
      </c>
      <c r="AC93" s="2093"/>
      <c r="AD93" s="2049">
        <f t="shared" si="25"/>
        <v>6056.1</v>
      </c>
      <c r="AE93" s="2049"/>
      <c r="AF93" s="2093"/>
      <c r="AG93" s="2086">
        <f>'Exhibit G State'!AG93+'Exhibit G Federal'!AG65</f>
        <v>6140.5</v>
      </c>
      <c r="AH93" s="3644"/>
      <c r="AI93" s="2030"/>
      <c r="AJ93" s="2054">
        <f t="shared" si="26"/>
        <v>-84.4</v>
      </c>
      <c r="AK93" s="2624"/>
      <c r="AL93" s="1774">
        <f t="shared" si="27"/>
        <v>-1.4E-2</v>
      </c>
      <c r="AR93" s="2045"/>
      <c r="AS93" s="2045"/>
    </row>
    <row r="94" spans="1:45" s="2244" customFormat="1" ht="15" customHeight="1">
      <c r="A94" s="2526"/>
      <c r="B94" s="2629" t="s">
        <v>31</v>
      </c>
      <c r="C94" s="2526"/>
      <c r="D94" s="2086">
        <f>'Exhibit G State'!D94+'Exhibit G Federal'!D66</f>
        <v>136.30000000000001</v>
      </c>
      <c r="E94" s="2616"/>
      <c r="F94" s="2086">
        <f>'Exhibit G State'!F94+'Exhibit G Federal'!F66</f>
        <v>164.9</v>
      </c>
      <c r="G94" s="2616"/>
      <c r="H94" s="2086">
        <f>'Exhibit G State'!H94+'Exhibit G Federal'!H66</f>
        <v>58.79999999999999</v>
      </c>
      <c r="I94" s="2592"/>
      <c r="J94" s="2086">
        <f>'Exhibit G State'!J94+'Exhibit G Federal'!J66</f>
        <v>69.300000000000011</v>
      </c>
      <c r="K94" s="2605"/>
      <c r="L94" s="2086">
        <f>'Exhibit G State'!L94+'Exhibit G Federal'!L66</f>
        <v>86.4</v>
      </c>
      <c r="M94" s="2605"/>
      <c r="N94" s="2086">
        <f>'Exhibit G State'!N94+'Exhibit G Federal'!N66</f>
        <v>66.899999999999977</v>
      </c>
      <c r="O94" s="2605"/>
      <c r="P94" s="2086">
        <f>'Exhibit G State'!P94+'Exhibit G Federal'!P66</f>
        <v>156.00000000000006</v>
      </c>
      <c r="Q94" s="2605"/>
      <c r="R94" s="2086">
        <f>'Exhibit G State'!R94+'Exhibit G Federal'!R66</f>
        <v>192.1999999999999</v>
      </c>
      <c r="S94" s="2605"/>
      <c r="T94" s="2086">
        <f>'Exhibit G State'!T94+'Exhibit G Federal'!T66</f>
        <v>109.50000000000014</v>
      </c>
      <c r="U94" s="2605"/>
      <c r="V94" s="2086">
        <f>'Exhibit G State'!V94+'Exhibit G Federal'!V66</f>
        <v>188.3</v>
      </c>
      <c r="W94" s="2605"/>
      <c r="X94" s="2086"/>
      <c r="Y94" s="2605"/>
      <c r="Z94" s="2086"/>
      <c r="AA94" s="2086"/>
      <c r="AB94" s="2049">
        <v>0</v>
      </c>
      <c r="AC94" s="2093"/>
      <c r="AD94" s="2049">
        <f t="shared" si="25"/>
        <v>1228.5999999999999</v>
      </c>
      <c r="AE94" s="2049"/>
      <c r="AF94" s="2093"/>
      <c r="AG94" s="2086">
        <f>'Exhibit G State'!AG94+'Exhibit G Federal'!AG66</f>
        <v>1141</v>
      </c>
      <c r="AH94" s="3644"/>
      <c r="AI94" s="2030"/>
      <c r="AJ94" s="2054">
        <f t="shared" si="26"/>
        <v>87.6</v>
      </c>
      <c r="AK94" s="2624"/>
      <c r="AL94" s="1774">
        <f t="shared" si="27"/>
        <v>7.6999999999999999E-2</v>
      </c>
      <c r="AR94" s="2045"/>
      <c r="AS94" s="2045"/>
    </row>
    <row r="95" spans="1:45" s="2244" customFormat="1" ht="15" customHeight="1">
      <c r="A95" s="2526"/>
      <c r="B95" s="2629" t="s">
        <v>32</v>
      </c>
      <c r="C95" s="2526"/>
      <c r="D95" s="2086">
        <f>'Exhibit G State'!D95+'Exhibit G Federal'!D67</f>
        <v>152.30000000000001</v>
      </c>
      <c r="E95" s="2616"/>
      <c r="F95" s="2086">
        <f>'Exhibit G State'!F95+'Exhibit G Federal'!F67</f>
        <v>120.00000000000001</v>
      </c>
      <c r="G95" s="2616"/>
      <c r="H95" s="2086">
        <f>'Exhibit G State'!H95+'Exhibit G Federal'!H67</f>
        <v>271.19999999999993</v>
      </c>
      <c r="I95" s="2592"/>
      <c r="J95" s="2086">
        <f>'Exhibit G State'!J95+'Exhibit G Federal'!J67</f>
        <v>318.40000000000009</v>
      </c>
      <c r="K95" s="2605"/>
      <c r="L95" s="2086">
        <f>'Exhibit G State'!L95+'Exhibit G Federal'!L67</f>
        <v>185.19999999999996</v>
      </c>
      <c r="M95" s="2605"/>
      <c r="N95" s="2086">
        <f>'Exhibit G State'!N95+'Exhibit G Federal'!N67</f>
        <v>492.99999999999994</v>
      </c>
      <c r="O95" s="2605"/>
      <c r="P95" s="2086">
        <f>'Exhibit G State'!P95+'Exhibit G Federal'!P67</f>
        <v>1063.4000000000001</v>
      </c>
      <c r="Q95" s="2605"/>
      <c r="R95" s="2086">
        <f>'Exhibit G State'!R95+'Exhibit G Federal'!R67</f>
        <v>514.80000000000041</v>
      </c>
      <c r="S95" s="2605"/>
      <c r="T95" s="2086">
        <f>'Exhibit G State'!T95+'Exhibit G Federal'!T67</f>
        <v>114.29999999999981</v>
      </c>
      <c r="U95" s="2605"/>
      <c r="V95" s="2086">
        <f>'Exhibit G State'!V95+'Exhibit G Federal'!V67</f>
        <v>402.4000000000002</v>
      </c>
      <c r="W95" s="2605"/>
      <c r="X95" s="2086"/>
      <c r="Y95" s="2605"/>
      <c r="Z95" s="2086"/>
      <c r="AA95" s="2086"/>
      <c r="AB95" s="2049">
        <v>0</v>
      </c>
      <c r="AC95" s="2093"/>
      <c r="AD95" s="2049">
        <f t="shared" si="25"/>
        <v>3635</v>
      </c>
      <c r="AE95" s="2049"/>
      <c r="AF95" s="2093"/>
      <c r="AG95" s="2086">
        <f>'Exhibit G State'!AG95+'Exhibit G Federal'!AG67</f>
        <v>4051.9</v>
      </c>
      <c r="AH95" s="3644"/>
      <c r="AI95" s="2030"/>
      <c r="AJ95" s="2054">
        <f t="shared" si="26"/>
        <v>-416.9</v>
      </c>
      <c r="AK95" s="2624"/>
      <c r="AL95" s="1774">
        <f t="shared" si="27"/>
        <v>-0.10299999999999999</v>
      </c>
      <c r="AR95" s="2045"/>
      <c r="AS95" s="2045"/>
    </row>
    <row r="96" spans="1:45" s="2244" customFormat="1" ht="15" customHeight="1">
      <c r="A96" s="2526"/>
      <c r="B96" s="2629" t="s">
        <v>33</v>
      </c>
      <c r="C96" s="2526"/>
      <c r="D96" s="2086">
        <f>'Exhibit G State'!D96+'Exhibit G Federal'!D68</f>
        <v>1.4000000000000001</v>
      </c>
      <c r="E96" s="2616"/>
      <c r="F96" s="2086">
        <f>'Exhibit G State'!F96+'Exhibit G Federal'!F68</f>
        <v>7.8999999999999995</v>
      </c>
      <c r="G96" s="2616"/>
      <c r="H96" s="2086">
        <f>'Exhibit G State'!H96+'Exhibit G Federal'!H68</f>
        <v>1.5000000000000007</v>
      </c>
      <c r="I96" s="2592"/>
      <c r="J96" s="2086">
        <f>'Exhibit G State'!J96+'Exhibit G Federal'!J68</f>
        <v>6.6000000000000014</v>
      </c>
      <c r="K96" s="2605"/>
      <c r="L96" s="2086">
        <f>'Exhibit G State'!L96+'Exhibit G Federal'!L68</f>
        <v>5.6999999999999975</v>
      </c>
      <c r="M96" s="2605"/>
      <c r="N96" s="2086">
        <f>'Exhibit G State'!N96+'Exhibit G Federal'!N68</f>
        <v>5.1999999999999984</v>
      </c>
      <c r="O96" s="2605"/>
      <c r="P96" s="2086">
        <f>'Exhibit G State'!P96+'Exhibit G Federal'!P68</f>
        <v>1.9000000000000004</v>
      </c>
      <c r="Q96" s="2605"/>
      <c r="R96" s="2086">
        <f>'Exhibit G State'!R96+'Exhibit G Federal'!R68</f>
        <v>15.800000000000002</v>
      </c>
      <c r="S96" s="2605"/>
      <c r="T96" s="2086">
        <f>'Exhibit G State'!T96+'Exhibit G Federal'!T68</f>
        <v>6</v>
      </c>
      <c r="U96" s="2605"/>
      <c r="V96" s="2086">
        <f>'Exhibit G State'!V96+'Exhibit G Federal'!V68</f>
        <v>1.1000000000000032</v>
      </c>
      <c r="W96" s="2605"/>
      <c r="X96" s="2086"/>
      <c r="Y96" s="2605"/>
      <c r="Z96" s="2086"/>
      <c r="AA96" s="2086"/>
      <c r="AB96" s="2049">
        <v>0</v>
      </c>
      <c r="AC96" s="2093"/>
      <c r="AD96" s="2049">
        <f t="shared" si="25"/>
        <v>53.1</v>
      </c>
      <c r="AE96" s="2049"/>
      <c r="AF96" s="2093"/>
      <c r="AG96" s="2086">
        <f>'Exhibit G State'!AG96+'Exhibit G Federal'!AG68</f>
        <v>63.5</v>
      </c>
      <c r="AH96" s="3644"/>
      <c r="AI96" s="2030"/>
      <c r="AJ96" s="2054">
        <f t="shared" si="26"/>
        <v>-10.4</v>
      </c>
      <c r="AK96" s="2624"/>
      <c r="AL96" s="1779">
        <f>ROUND(IF(AG96=0,0,AJ96/ABS(AG96)),3)</f>
        <v>-0.16400000000000001</v>
      </c>
      <c r="AR96" s="2630"/>
      <c r="AS96" s="2630"/>
    </row>
    <row r="97" spans="1:46" s="2244" customFormat="1" ht="15" customHeight="1">
      <c r="A97" s="2526"/>
      <c r="B97" s="2629" t="s">
        <v>34</v>
      </c>
      <c r="C97" s="2526"/>
      <c r="D97" s="2086">
        <f>'Exhibit G State'!D97+'Exhibit G Federal'!D69</f>
        <v>72.3</v>
      </c>
      <c r="E97" s="2616"/>
      <c r="F97" s="2086">
        <f>'Exhibit G State'!F97+'Exhibit G Federal'!F69</f>
        <v>408.5</v>
      </c>
      <c r="G97" s="2616"/>
      <c r="H97" s="2086">
        <f>'Exhibit G State'!H97+'Exhibit G Federal'!H69</f>
        <v>269.7</v>
      </c>
      <c r="I97" s="2592"/>
      <c r="J97" s="2086">
        <f>'Exhibit G State'!J97+'Exhibit G Federal'!J69</f>
        <v>278.10000000000008</v>
      </c>
      <c r="K97" s="2605"/>
      <c r="L97" s="2086">
        <f>'Exhibit G State'!L97+'Exhibit G Federal'!L69</f>
        <v>369.00000000000006</v>
      </c>
      <c r="M97" s="2605"/>
      <c r="N97" s="2086">
        <f>'Exhibit G State'!N97+'Exhibit G Federal'!N69</f>
        <v>330.49999999999977</v>
      </c>
      <c r="O97" s="2605"/>
      <c r="P97" s="2086">
        <f>'Exhibit G State'!P97+'Exhibit G Federal'!P69</f>
        <v>284.00000000000023</v>
      </c>
      <c r="Q97" s="2605"/>
      <c r="R97" s="2086">
        <f>'Exhibit G State'!R97+'Exhibit G Federal'!R69</f>
        <v>479.49999999999943</v>
      </c>
      <c r="S97" s="2605"/>
      <c r="T97" s="2086">
        <f>'Exhibit G State'!T97+'Exhibit G Federal'!T69</f>
        <v>734.60000000000014</v>
      </c>
      <c r="U97" s="2605"/>
      <c r="V97" s="2086">
        <f>'Exhibit G State'!V97+'Exhibit G Federal'!V69</f>
        <v>70.90000000000046</v>
      </c>
      <c r="W97" s="2605"/>
      <c r="X97" s="2086"/>
      <c r="Y97" s="2605"/>
      <c r="Z97" s="2086"/>
      <c r="AA97" s="2086"/>
      <c r="AB97" s="2049">
        <v>0</v>
      </c>
      <c r="AC97" s="2093"/>
      <c r="AD97" s="2030">
        <f t="shared" si="25"/>
        <v>3297.1</v>
      </c>
      <c r="AE97" s="2049"/>
      <c r="AF97" s="2093"/>
      <c r="AG97" s="2086">
        <f>'Exhibit G State'!AG97+'Exhibit G Federal'!AG69</f>
        <v>3399.7</v>
      </c>
      <c r="AH97" s="3644"/>
      <c r="AI97" s="2030"/>
      <c r="AJ97" s="2095">
        <f t="shared" si="26"/>
        <v>-102.6</v>
      </c>
      <c r="AK97" s="2624"/>
      <c r="AL97" s="1862">
        <f t="shared" si="27"/>
        <v>-0.03</v>
      </c>
      <c r="AM97" s="2633"/>
      <c r="AR97" s="2072"/>
      <c r="AS97" s="2072"/>
      <c r="AT97" s="2243"/>
    </row>
    <row r="98" spans="1:46" ht="15" customHeight="1">
      <c r="A98" s="2098"/>
      <c r="B98" s="2488" t="s">
        <v>1197</v>
      </c>
      <c r="C98" s="2098"/>
      <c r="D98" s="2087">
        <f>ROUND(SUM(D88:D97),1)</f>
        <v>4386.3999999999996</v>
      </c>
      <c r="F98" s="2087">
        <f>ROUND(SUM(F88:F97),1)</f>
        <v>6398.3</v>
      </c>
      <c r="H98" s="2535">
        <f>ROUND(SUM(H88:H97),1)</f>
        <v>5493.1</v>
      </c>
      <c r="J98" s="2535">
        <f>ROUND(SUM(J88:J97),1)</f>
        <v>5075.8999999999996</v>
      </c>
      <c r="L98" s="2087">
        <f t="shared" ref="L98:V98" si="28">ROUND(SUM(L88:L97),1)</f>
        <v>5990.6</v>
      </c>
      <c r="N98" s="2087">
        <f t="shared" ref="N98:P98" si="29">ROUND(SUM(N88:N97),1)</f>
        <v>8093.1</v>
      </c>
      <c r="P98" s="2087">
        <f t="shared" si="29"/>
        <v>6415.1</v>
      </c>
      <c r="R98" s="2087">
        <f t="shared" ref="R98" si="30">ROUND(SUM(R88:R97),1)</f>
        <v>6072.8</v>
      </c>
      <c r="T98" s="2071">
        <f t="shared" si="28"/>
        <v>5931.8</v>
      </c>
      <c r="V98" s="2087">
        <f t="shared" si="28"/>
        <v>8349.1</v>
      </c>
      <c r="X98" s="2087">
        <f t="shared" ref="X98:Z98" si="31">ROUND(SUM(X88:X97),1)</f>
        <v>0</v>
      </c>
      <c r="Z98" s="2087">
        <f t="shared" si="31"/>
        <v>0</v>
      </c>
      <c r="AA98" s="1481"/>
      <c r="AB98" s="2087">
        <f>ROUND(SUM(AB88:AB97),1)</f>
        <v>0</v>
      </c>
      <c r="AC98" s="2094"/>
      <c r="AD98" s="2071">
        <f>ROUND(SUM(AD88:AD97),1)</f>
        <v>62206.2</v>
      </c>
      <c r="AE98" s="2104"/>
      <c r="AF98" s="2618"/>
      <c r="AG98" s="2071">
        <f>ROUND(SUM(AG88:AG97),1)</f>
        <v>60625.599999999999</v>
      </c>
      <c r="AH98" s="3647"/>
      <c r="AI98" s="1481"/>
      <c r="AJ98" s="2087">
        <f>ROUND(SUM(AJ88:AJ97),1)</f>
        <v>1580.6</v>
      </c>
      <c r="AK98" s="2107"/>
      <c r="AL98" s="1473">
        <f>ROUND(SUM(+AJ98/AG98),3)</f>
        <v>2.5999999999999999E-2</v>
      </c>
      <c r="AR98" s="2075"/>
      <c r="AS98" s="2072"/>
      <c r="AT98" s="2075"/>
    </row>
    <row r="99" spans="1:46" s="2244" customFormat="1" ht="15" customHeight="1">
      <c r="A99" s="2526"/>
      <c r="B99" s="2526" t="s">
        <v>170</v>
      </c>
      <c r="C99" s="2526"/>
      <c r="D99" s="2049"/>
      <c r="E99" s="2592"/>
      <c r="F99" s="2049"/>
      <c r="G99" s="2592"/>
      <c r="H99" s="1480"/>
      <c r="I99" s="2592"/>
      <c r="J99" s="1480"/>
      <c r="K99" s="2605"/>
      <c r="L99" s="2049"/>
      <c r="M99" s="2605"/>
      <c r="N99" s="2049"/>
      <c r="O99" s="2605"/>
      <c r="P99" s="2049"/>
      <c r="Q99" s="2605"/>
      <c r="R99" s="2049"/>
      <c r="S99" s="2605"/>
      <c r="T99" s="2049"/>
      <c r="U99" s="2605"/>
      <c r="V99" s="2049"/>
      <c r="W99" s="2605"/>
      <c r="X99" s="2049"/>
      <c r="Y99" s="2605"/>
      <c r="Z99" s="2049"/>
      <c r="AA99" s="2049"/>
      <c r="AB99" s="2049"/>
      <c r="AC99" s="2093"/>
      <c r="AD99" s="2049"/>
      <c r="AE99" s="2049"/>
      <c r="AF99" s="2093"/>
      <c r="AG99" s="2049"/>
      <c r="AH99" s="3644"/>
      <c r="AI99" s="2030"/>
      <c r="AJ99" s="2054"/>
      <c r="AL99" s="1868"/>
      <c r="AS99" s="2045"/>
    </row>
    <row r="100" spans="1:46" s="2244" customFormat="1" ht="15" customHeight="1">
      <c r="A100" s="2526"/>
      <c r="B100" s="2526" t="s">
        <v>154</v>
      </c>
      <c r="C100" s="2526"/>
      <c r="D100" s="2086">
        <f>'Exhibit G State'!D100+'Exhibit G Federal'!D72</f>
        <v>451</v>
      </c>
      <c r="E100" s="2616"/>
      <c r="F100" s="2086">
        <f>'Exhibit G State'!F100+'Exhibit G Federal'!F72</f>
        <v>645.79999999999995</v>
      </c>
      <c r="G100" s="2616"/>
      <c r="H100" s="2086">
        <f>'Exhibit G State'!H100+'Exhibit G Federal'!H72</f>
        <v>448.69999999999993</v>
      </c>
      <c r="I100" s="2592"/>
      <c r="J100" s="2086">
        <f>'Exhibit G State'!J100+'Exhibit G Federal'!J72</f>
        <v>493.7000000000001</v>
      </c>
      <c r="K100" s="2605"/>
      <c r="L100" s="2086">
        <f>'Exhibit G State'!L100+'Exhibit G Federal'!L72</f>
        <v>400.09999999999991</v>
      </c>
      <c r="M100" s="2605"/>
      <c r="N100" s="2086">
        <f>'Exhibit G State'!N100+'Exhibit G Federal'!N72</f>
        <v>439.10000000000048</v>
      </c>
      <c r="O100" s="2605"/>
      <c r="P100" s="2086">
        <f>'Exhibit G State'!P100+'Exhibit G Federal'!P72</f>
        <v>634.99999999999977</v>
      </c>
      <c r="Q100" s="2605"/>
      <c r="R100" s="2086">
        <f>'Exhibit G State'!R100+'Exhibit G Federal'!R72</f>
        <v>445.2</v>
      </c>
      <c r="S100" s="2605"/>
      <c r="T100" s="2086">
        <f>'Exhibit G State'!T100+'Exhibit G Federal'!T72</f>
        <v>460.9</v>
      </c>
      <c r="U100" s="2605"/>
      <c r="V100" s="2086">
        <f>'Exhibit G State'!V100+'Exhibit G Federal'!V72</f>
        <v>447.70000000000061</v>
      </c>
      <c r="W100" s="2605"/>
      <c r="X100" s="2086"/>
      <c r="Y100" s="2605"/>
      <c r="Z100" s="2086"/>
      <c r="AA100" s="2086"/>
      <c r="AB100" s="2049">
        <v>0</v>
      </c>
      <c r="AC100" s="2093"/>
      <c r="AD100" s="2049">
        <f>ROUND(SUM(D100:Z100),1)</f>
        <v>4867.2</v>
      </c>
      <c r="AE100" s="2049"/>
      <c r="AF100" s="2093"/>
      <c r="AG100" s="2086">
        <f>'Exhibit G State'!AG100+'Exhibit G Federal'!AG72</f>
        <v>4729.0999999999995</v>
      </c>
      <c r="AH100" s="3644"/>
      <c r="AI100" s="2030"/>
      <c r="AJ100" s="2054">
        <f>ROUND(SUM(+AD100-AG100),1)</f>
        <v>138.1</v>
      </c>
      <c r="AK100" s="2614"/>
      <c r="AL100" s="1774">
        <f>ROUND(IF(AG100=0,0,AJ100/ABS(AG100)),3)</f>
        <v>2.9000000000000001E-2</v>
      </c>
    </row>
    <row r="101" spans="1:46" s="2244" customFormat="1" ht="15" customHeight="1">
      <c r="A101" s="2526"/>
      <c r="B101" s="2526" t="s">
        <v>171</v>
      </c>
      <c r="C101" s="2526"/>
      <c r="D101" s="2086">
        <f>'Exhibit G State'!D101+'Exhibit G Federal'!D73</f>
        <v>314.39999999999998</v>
      </c>
      <c r="E101" s="2616"/>
      <c r="F101" s="2086">
        <f>'Exhibit G State'!F101+'Exhibit G Federal'!F73</f>
        <v>324.8</v>
      </c>
      <c r="G101" s="2616"/>
      <c r="H101" s="2086">
        <f>'Exhibit G State'!H101+'Exhibit G Federal'!H73</f>
        <v>294.39999999999998</v>
      </c>
      <c r="I101" s="2592"/>
      <c r="J101" s="2086">
        <f>'Exhibit G State'!J101+'Exhibit G Federal'!J73</f>
        <v>310.00000000000011</v>
      </c>
      <c r="K101" s="2605"/>
      <c r="L101" s="2086">
        <f>'Exhibit G State'!L101+'Exhibit G Federal'!L73</f>
        <v>360.09999999999991</v>
      </c>
      <c r="M101" s="2605"/>
      <c r="N101" s="2086">
        <f>'Exhibit G State'!N101+'Exhibit G Federal'!N73</f>
        <v>402.6</v>
      </c>
      <c r="O101" s="2605"/>
      <c r="P101" s="2086">
        <f>'Exhibit G State'!P101+'Exhibit G Federal'!P73</f>
        <v>390.30000000000018</v>
      </c>
      <c r="Q101" s="2605"/>
      <c r="R101" s="2086">
        <f>'Exhibit G State'!R101+'Exhibit G Federal'!R73</f>
        <v>364.59999999999985</v>
      </c>
      <c r="S101" s="2605"/>
      <c r="T101" s="2086">
        <f>'Exhibit G State'!T101+'Exhibit G Federal'!T73</f>
        <v>344.4</v>
      </c>
      <c r="U101" s="2605"/>
      <c r="V101" s="2086">
        <f>'Exhibit G State'!V101+'Exhibit G Federal'!V73</f>
        <v>449.49999999999977</v>
      </c>
      <c r="W101" s="2605"/>
      <c r="X101" s="2086"/>
      <c r="Y101" s="2605"/>
      <c r="Z101" s="2086"/>
      <c r="AA101" s="2086"/>
      <c r="AB101" s="2049">
        <v>0</v>
      </c>
      <c r="AC101" s="2093"/>
      <c r="AD101" s="2049">
        <f>ROUND(SUM(D101:Z101),1)</f>
        <v>3555.1</v>
      </c>
      <c r="AE101" s="2049"/>
      <c r="AF101" s="2093"/>
      <c r="AG101" s="2086">
        <f>'Exhibit G State'!AG101+'Exhibit G Federal'!AG73</f>
        <v>3306.3</v>
      </c>
      <c r="AH101" s="3644"/>
      <c r="AI101" s="2030"/>
      <c r="AJ101" s="2054">
        <f>ROUND(SUM(+AD101-AG101),1)</f>
        <v>248.8</v>
      </c>
      <c r="AK101" s="2614"/>
      <c r="AL101" s="1774">
        <f>ROUND(IF(AG101=0,0,AJ101/ABS(AG101)),3)</f>
        <v>7.4999999999999997E-2</v>
      </c>
    </row>
    <row r="102" spans="1:46" s="2244" customFormat="1" ht="15" customHeight="1">
      <c r="A102" s="2526"/>
      <c r="B102" s="2526" t="s">
        <v>172</v>
      </c>
      <c r="C102" s="2526"/>
      <c r="D102" s="2086">
        <f>'Exhibit G State'!D102+'Exhibit G Federal'!D74</f>
        <v>85.4</v>
      </c>
      <c r="E102" s="2616"/>
      <c r="F102" s="2086">
        <f>'Exhibit G State'!F102+'Exhibit G Federal'!F74</f>
        <v>111.29999999999998</v>
      </c>
      <c r="G102" s="2616"/>
      <c r="H102" s="2086">
        <f>'Exhibit G State'!H102+'Exhibit G Federal'!H74</f>
        <v>89.700000000000017</v>
      </c>
      <c r="I102" s="2592"/>
      <c r="J102" s="2086">
        <f>'Exhibit G State'!J102+'Exhibit G Federal'!J74</f>
        <v>114.19999999999999</v>
      </c>
      <c r="K102" s="2605"/>
      <c r="L102" s="2086">
        <f>'Exhibit G State'!L102+'Exhibit G Federal'!L74</f>
        <v>120.39999999999998</v>
      </c>
      <c r="M102" s="2605"/>
      <c r="N102" s="2086">
        <f>'Exhibit G State'!N102+'Exhibit G Federal'!N74</f>
        <v>95.700000000000045</v>
      </c>
      <c r="O102" s="2605"/>
      <c r="P102" s="2086">
        <f>'Exhibit G State'!P102+'Exhibit G Federal'!P74</f>
        <v>92.500000000000028</v>
      </c>
      <c r="Q102" s="2605"/>
      <c r="R102" s="2086">
        <f>'Exhibit G State'!R102+'Exhibit G Federal'!R74</f>
        <v>155.89999999999992</v>
      </c>
      <c r="S102" s="2605"/>
      <c r="T102" s="2086">
        <f>'Exhibit G State'!T102+'Exhibit G Federal'!T74</f>
        <v>130.60000000000002</v>
      </c>
      <c r="U102" s="2605"/>
      <c r="V102" s="2086">
        <f>'Exhibit G State'!V102+'Exhibit G Federal'!V74</f>
        <v>119.09999999999991</v>
      </c>
      <c r="W102" s="2605"/>
      <c r="X102" s="2086"/>
      <c r="Y102" s="2605"/>
      <c r="Z102" s="2086"/>
      <c r="AA102" s="2086"/>
      <c r="AB102" s="2049">
        <v>0</v>
      </c>
      <c r="AC102" s="2093"/>
      <c r="AD102" s="2049">
        <f>ROUND(SUM(D102:Z102),1)</f>
        <v>1114.8</v>
      </c>
      <c r="AE102" s="2049"/>
      <c r="AF102" s="2093"/>
      <c r="AG102" s="2086">
        <f>'Exhibit G State'!AG102+'Exhibit G Federal'!AG74</f>
        <v>1256.3</v>
      </c>
      <c r="AH102" s="3644"/>
      <c r="AI102" s="2030"/>
      <c r="AJ102" s="2054">
        <f>ROUND(SUM(+AD102-AG102),1)</f>
        <v>-141.5</v>
      </c>
      <c r="AK102" s="2614"/>
      <c r="AL102" s="1774">
        <f>ROUND(IF(AG102=0,0,AJ102/ABS(AG102)),3)</f>
        <v>-0.113</v>
      </c>
    </row>
    <row r="103" spans="1:46" s="2244" customFormat="1" ht="15" customHeight="1">
      <c r="A103" s="2526"/>
      <c r="B103" s="2526" t="s">
        <v>173</v>
      </c>
      <c r="C103" s="2526"/>
      <c r="D103" s="2086">
        <f>'Exhibit G State'!D103+'Exhibit G Federal'!D75</f>
        <v>0</v>
      </c>
      <c r="E103" s="2616"/>
      <c r="F103" s="2086">
        <f>'Exhibit G State'!F103+'Exhibit G Federal'!F75</f>
        <v>0</v>
      </c>
      <c r="G103" s="2616"/>
      <c r="H103" s="2086">
        <f>'Exhibit G State'!H103+'Exhibit G Federal'!H75</f>
        <v>0.1</v>
      </c>
      <c r="I103" s="2592"/>
      <c r="J103" s="2086">
        <f>'Exhibit G State'!J103+'Exhibit G Federal'!J75</f>
        <v>0</v>
      </c>
      <c r="K103" s="2605"/>
      <c r="L103" s="2086">
        <f>'Exhibit G State'!L103+'Exhibit G Federal'!L75</f>
        <v>-0.1</v>
      </c>
      <c r="M103" s="2605"/>
      <c r="N103" s="2086">
        <f>'Exhibit G State'!N103+'Exhibit G Federal'!N75</f>
        <v>0</v>
      </c>
      <c r="O103" s="2605"/>
      <c r="P103" s="2086">
        <f>'Exhibit G State'!P103+'Exhibit G Federal'!P75</f>
        <v>0</v>
      </c>
      <c r="Q103" s="2605"/>
      <c r="R103" s="2086">
        <f>'Exhibit G State'!R103+'Exhibit G Federal'!R75</f>
        <v>0</v>
      </c>
      <c r="S103" s="2605"/>
      <c r="T103" s="2086">
        <f>'Exhibit G State'!T103+'Exhibit G Federal'!T75</f>
        <v>0</v>
      </c>
      <c r="U103" s="2605"/>
      <c r="V103" s="2086">
        <f>'Exhibit G State'!V103+'Exhibit G Federal'!V75</f>
        <v>0</v>
      </c>
      <c r="W103" s="2605"/>
      <c r="X103" s="2086"/>
      <c r="Y103" s="2605"/>
      <c r="Z103" s="2086"/>
      <c r="AA103" s="2086"/>
      <c r="AB103" s="2623">
        <v>0</v>
      </c>
      <c r="AC103" s="2093"/>
      <c r="AD103" s="2049">
        <f>ROUND(SUM(D103:Z103),1)</f>
        <v>0</v>
      </c>
      <c r="AE103" s="2049"/>
      <c r="AF103" s="2093"/>
      <c r="AG103" s="2086">
        <f>'Exhibit G State'!AG103+'Exhibit G Federal'!AG75</f>
        <v>0</v>
      </c>
      <c r="AH103" s="3644"/>
      <c r="AI103" s="2030"/>
      <c r="AJ103" s="2095">
        <f>ROUND(SUM(+AD103-AG103),1)</f>
        <v>0</v>
      </c>
      <c r="AK103" s="2624"/>
      <c r="AL103" s="1774">
        <f>ROUND(IF(AG103=0,0,AJ103/ABS(AG103)),3)</f>
        <v>0</v>
      </c>
    </row>
    <row r="104" spans="1:46" s="2244" customFormat="1" ht="15" customHeight="1">
      <c r="A104" s="2526"/>
      <c r="B104" s="2526"/>
      <c r="C104" s="2526"/>
      <c r="D104" s="2105"/>
      <c r="E104" s="2592"/>
      <c r="F104" s="2105"/>
      <c r="G104" s="2592"/>
      <c r="H104" s="2555"/>
      <c r="I104" s="2592"/>
      <c r="J104" s="2555"/>
      <c r="K104" s="2605"/>
      <c r="L104" s="2105"/>
      <c r="M104" s="2605"/>
      <c r="N104" s="2105"/>
      <c r="O104" s="2605"/>
      <c r="P104" s="2105"/>
      <c r="Q104" s="2605"/>
      <c r="R104" s="2105"/>
      <c r="S104" s="2605"/>
      <c r="T104" s="2105"/>
      <c r="U104" s="2605"/>
      <c r="V104" s="2105"/>
      <c r="W104" s="2605"/>
      <c r="X104" s="2105"/>
      <c r="Y104" s="2605"/>
      <c r="Z104" s="2105"/>
      <c r="AA104" s="2030"/>
      <c r="AB104" s="2049"/>
      <c r="AC104" s="2093"/>
      <c r="AD104" s="2105"/>
      <c r="AE104" s="2049"/>
      <c r="AF104" s="2093"/>
      <c r="AG104" s="2105"/>
      <c r="AH104" s="3644"/>
      <c r="AI104" s="2030"/>
      <c r="AJ104" s="2634"/>
      <c r="AL104" s="2635"/>
    </row>
    <row r="105" spans="1:46" s="2244" customFormat="1" ht="15" customHeight="1">
      <c r="A105" s="2526"/>
      <c r="B105" s="2617" t="s">
        <v>157</v>
      </c>
      <c r="C105" s="2526"/>
      <c r="D105" s="2104">
        <f>ROUND(SUM(D98:D103),1)</f>
        <v>5237.2</v>
      </c>
      <c r="E105" s="2592"/>
      <c r="F105" s="2104">
        <f>ROUND(SUM(F98:F103),1)</f>
        <v>7480.2</v>
      </c>
      <c r="G105" s="2592"/>
      <c r="H105" s="1498">
        <f>ROUND(SUM(H98:H103),1)</f>
        <v>6326</v>
      </c>
      <c r="I105" s="2592"/>
      <c r="J105" s="1498">
        <f>ROUND(SUM(J98:J103),1)</f>
        <v>5993.8</v>
      </c>
      <c r="K105" s="2605"/>
      <c r="L105" s="2104">
        <f t="shared" ref="L105:V105" si="32">ROUND(SUM(L98:L103),1)</f>
        <v>6871.1</v>
      </c>
      <c r="M105" s="2605"/>
      <c r="N105" s="2104">
        <f t="shared" ref="N105:P105" si="33">ROUND(SUM(N98:N103),1)</f>
        <v>9030.5</v>
      </c>
      <c r="O105" s="2605"/>
      <c r="P105" s="2104">
        <f t="shared" si="33"/>
        <v>7532.9</v>
      </c>
      <c r="Q105" s="2605"/>
      <c r="R105" s="2104">
        <f t="shared" ref="R105" si="34">ROUND(SUM(R98:R103),1)</f>
        <v>7038.5</v>
      </c>
      <c r="S105" s="2605"/>
      <c r="T105" s="2104">
        <f t="shared" si="32"/>
        <v>6867.7</v>
      </c>
      <c r="U105" s="2605"/>
      <c r="V105" s="2104">
        <f t="shared" si="32"/>
        <v>9365.4</v>
      </c>
      <c r="W105" s="2605"/>
      <c r="X105" s="2104">
        <f t="shared" ref="X105:Z105" si="35">ROUND(SUM(X98:X103),1)</f>
        <v>0</v>
      </c>
      <c r="Y105" s="2605"/>
      <c r="Z105" s="2104">
        <f t="shared" si="35"/>
        <v>0</v>
      </c>
      <c r="AA105" s="2104"/>
      <c r="AB105" s="2636">
        <v>0</v>
      </c>
      <c r="AC105" s="2618"/>
      <c r="AD105" s="2104">
        <f>ROUND(SUM(AD98:AD103),1)</f>
        <v>71743.3</v>
      </c>
      <c r="AE105" s="2104"/>
      <c r="AF105" s="2618"/>
      <c r="AG105" s="2104">
        <f>ROUND(SUM(AG98:AG103),1)</f>
        <v>69917.3</v>
      </c>
      <c r="AH105" s="3647"/>
      <c r="AI105" s="1499"/>
      <c r="AJ105" s="2108">
        <f>ROUND(SUM(AJ98:AJ103),1)</f>
        <v>1826</v>
      </c>
      <c r="AK105" s="2498"/>
      <c r="AL105" s="2637">
        <f>ROUND(SUM(+AJ105/AG105),3)</f>
        <v>2.5999999999999999E-2</v>
      </c>
    </row>
    <row r="106" spans="1:46" ht="15" customHeight="1">
      <c r="A106" s="2098"/>
      <c r="B106" s="2098"/>
      <c r="C106" s="2098"/>
      <c r="D106" s="2059"/>
      <c r="F106" s="2059"/>
      <c r="H106" s="2555"/>
      <c r="J106" s="2555"/>
      <c r="L106" s="2059"/>
      <c r="N106" s="2059"/>
      <c r="P106" s="2059"/>
      <c r="R106" s="2059"/>
      <c r="T106" s="2105"/>
      <c r="V106" s="2059"/>
      <c r="X106" s="2059"/>
      <c r="Z106" s="2059"/>
      <c r="AA106" s="2061"/>
      <c r="AB106" s="2060"/>
      <c r="AC106" s="2091"/>
      <c r="AD106" s="2105"/>
      <c r="AE106" s="2049"/>
      <c r="AF106" s="2093"/>
      <c r="AG106" s="2105"/>
      <c r="AH106" s="3644"/>
      <c r="AI106" s="2061"/>
      <c r="AJ106" s="1480"/>
      <c r="AL106" s="1468"/>
    </row>
    <row r="107" spans="1:46" ht="15" customHeight="1">
      <c r="A107" s="2098"/>
      <c r="B107" s="2488" t="s">
        <v>158</v>
      </c>
      <c r="C107" s="2098"/>
      <c r="D107" s="2060"/>
      <c r="F107" s="2060"/>
      <c r="H107" s="1480"/>
      <c r="J107" s="1480"/>
      <c r="L107" s="2060"/>
      <c r="N107" s="2060"/>
      <c r="P107" s="2060"/>
      <c r="R107" s="2060"/>
      <c r="T107" s="2049"/>
      <c r="V107" s="2060"/>
      <c r="X107" s="2060"/>
      <c r="Z107" s="2060"/>
      <c r="AA107" s="2060"/>
      <c r="AB107" s="2060"/>
      <c r="AC107" s="2091"/>
      <c r="AD107" s="2049" t="s">
        <v>159</v>
      </c>
      <c r="AE107" s="3618"/>
      <c r="AF107" s="3619"/>
      <c r="AG107" s="2049"/>
      <c r="AH107" s="3649"/>
      <c r="AI107" s="2638"/>
      <c r="AJ107" s="1480"/>
      <c r="AL107" s="1468"/>
    </row>
    <row r="108" spans="1:46" ht="15" customHeight="1">
      <c r="A108" s="2098"/>
      <c r="B108" s="2488" t="s">
        <v>45</v>
      </c>
      <c r="C108" s="2098"/>
      <c r="D108" s="1498">
        <f>ROUND(SUM(D84-D105),1)</f>
        <v>2940.2</v>
      </c>
      <c r="F108" s="1498">
        <f>ROUND(SUM(F84-F105),1)</f>
        <v>-1014</v>
      </c>
      <c r="G108" s="1498">
        <f>ROUND(SUM(G84-G105),1)</f>
        <v>0</v>
      </c>
      <c r="H108" s="1498">
        <f>ROUND(SUM(H84-H105),1)</f>
        <v>1330.3</v>
      </c>
      <c r="J108" s="1498">
        <f>ROUND(SUM(J84-J105),1)</f>
        <v>-1081.7</v>
      </c>
      <c r="L108" s="1498">
        <f>ROUND(SUM(L84-L105),1)</f>
        <v>664.7</v>
      </c>
      <c r="N108" s="1498">
        <f>ROUND(SUM(N84-N105),1)</f>
        <v>-1204.7</v>
      </c>
      <c r="P108" s="1498">
        <f>ROUND(SUM(P84-P105),1)</f>
        <v>-319.7</v>
      </c>
      <c r="R108" s="1498">
        <f>ROUND(SUM(R84-R105),1)</f>
        <v>-348</v>
      </c>
      <c r="T108" s="2104">
        <f>ROUND(SUM(T84-T105),1)</f>
        <v>1573.9</v>
      </c>
      <c r="V108" s="1498">
        <f>ROUND(SUM(V84-V105),1)</f>
        <v>564.6</v>
      </c>
      <c r="X108" s="1498">
        <f>ROUND(SUM(X84-X105),1)</f>
        <v>0</v>
      </c>
      <c r="Z108" s="2104">
        <f>ROUND(SUM(Z84-Z105),1)</f>
        <v>0</v>
      </c>
      <c r="AA108" s="2104"/>
      <c r="AB108" s="2636">
        <v>0</v>
      </c>
      <c r="AC108" s="2618"/>
      <c r="AD108" s="2104">
        <f>ROUND(SUM(AD84-AD105),1)</f>
        <v>3105.6</v>
      </c>
      <c r="AE108" s="2104"/>
      <c r="AF108" s="2618"/>
      <c r="AG108" s="2104">
        <f>ROUND(SUM(AG84-AG105),1)</f>
        <v>1435</v>
      </c>
      <c r="AH108" s="3647"/>
      <c r="AI108" s="1499"/>
      <c r="AJ108" s="1606">
        <f>ROUND(SUM(AJ84-AJ105),1)</f>
        <v>1670.6</v>
      </c>
      <c r="AK108" s="2489"/>
      <c r="AL108" s="1910">
        <f>ROUND(SUM(+AJ108/ABS(AG108)),3)</f>
        <v>1.1639999999999999</v>
      </c>
    </row>
    <row r="109" spans="1:46" ht="15" customHeight="1">
      <c r="A109" s="2098"/>
      <c r="B109" s="2098"/>
      <c r="C109" s="2098"/>
      <c r="D109" s="2059"/>
      <c r="F109" s="2059"/>
      <c r="H109" s="2555"/>
      <c r="J109" s="2555"/>
      <c r="L109" s="2059"/>
      <c r="N109" s="2059"/>
      <c r="P109" s="2059"/>
      <c r="R109" s="2059"/>
      <c r="T109" s="2105"/>
      <c r="V109" s="2059"/>
      <c r="X109" s="2059"/>
      <c r="Z109" s="2105"/>
      <c r="AA109" s="2030"/>
      <c r="AB109" s="2049"/>
      <c r="AC109" s="2093"/>
      <c r="AD109" s="2105"/>
      <c r="AE109" s="2049"/>
      <c r="AF109" s="2093"/>
      <c r="AG109" s="2105"/>
      <c r="AH109" s="3644"/>
      <c r="AI109" s="2030"/>
      <c r="AJ109" s="2054"/>
      <c r="AL109" s="1468"/>
    </row>
    <row r="110" spans="1:46" ht="15" customHeight="1">
      <c r="A110" s="2098"/>
      <c r="B110" s="2488" t="s">
        <v>46</v>
      </c>
      <c r="C110" s="2098"/>
      <c r="D110" s="2060"/>
      <c r="F110" s="2060"/>
      <c r="H110" s="1480"/>
      <c r="J110" s="1480"/>
      <c r="L110" s="2060"/>
      <c r="N110" s="2060"/>
      <c r="P110" s="2060"/>
      <c r="R110" s="2060"/>
      <c r="T110" s="2049"/>
      <c r="V110" s="2060"/>
      <c r="X110" s="2060"/>
      <c r="Z110" s="2049"/>
      <c r="AA110" s="2049"/>
      <c r="AB110" s="2049"/>
      <c r="AC110" s="2093"/>
      <c r="AD110" s="2049"/>
      <c r="AE110" s="2049"/>
      <c r="AF110" s="2093"/>
      <c r="AG110" s="2049"/>
      <c r="AH110" s="3644"/>
      <c r="AI110" s="2030"/>
      <c r="AJ110" s="2054"/>
      <c r="AL110" s="1468"/>
    </row>
    <row r="111" spans="1:46" s="2244" customFormat="1" ht="15" customHeight="1">
      <c r="A111" s="2526"/>
      <c r="B111" s="2526" t="s">
        <v>174</v>
      </c>
      <c r="C111" s="2526"/>
      <c r="D111" s="2639">
        <f>+'Exhibit G State'!D111+'Exhibit G Federal'!D83</f>
        <v>308.3</v>
      </c>
      <c r="E111" s="2086"/>
      <c r="F111" s="2639">
        <f>+'Exhibit G State'!F111+'Exhibit G Federal'!F83</f>
        <v>585.29999999999995</v>
      </c>
      <c r="G111" s="2086"/>
      <c r="H111" s="2639">
        <f>+'Exhibit G State'!H111+'Exhibit G Federal'!H83</f>
        <v>566.5</v>
      </c>
      <c r="I111" s="2605"/>
      <c r="J111" s="2639">
        <f>+'Exhibit G State'!J111+'Exhibit G Federal'!J83</f>
        <v>215.40000000000009</v>
      </c>
      <c r="K111" s="2605"/>
      <c r="L111" s="2639">
        <f>+'Exhibit G State'!L111+'Exhibit G Federal'!L83</f>
        <v>160.20000000000005</v>
      </c>
      <c r="M111" s="2605"/>
      <c r="N111" s="2639">
        <f>+'Exhibit G State'!N111+'Exhibit G Federal'!N83</f>
        <v>168.60000000000014</v>
      </c>
      <c r="O111" s="2605"/>
      <c r="P111" s="2639">
        <f>+'Exhibit G State'!P111+'Exhibit G Federal'!P83</f>
        <v>119.5</v>
      </c>
      <c r="Q111" s="2605"/>
      <c r="R111" s="2639">
        <f>+'Exhibit G State'!R111+'Exhibit G Federal'!R83</f>
        <v>185.69999999999982</v>
      </c>
      <c r="S111" s="2605"/>
      <c r="T111" s="2639">
        <f>+'Exhibit G State'!T111+'Exhibit G Federal'!T83</f>
        <v>111.89999999999986</v>
      </c>
      <c r="U111" s="2605"/>
      <c r="V111" s="2639">
        <f>+'Exhibit G State'!V111+'Exhibit G Federal'!V83</f>
        <v>84.099999999999909</v>
      </c>
      <c r="W111" s="2605"/>
      <c r="X111" s="2639"/>
      <c r="Y111" s="2605"/>
      <c r="Z111" s="2639"/>
      <c r="AA111" s="2177"/>
      <c r="AB111" s="1839">
        <v>-440.8</v>
      </c>
      <c r="AC111" s="2093"/>
      <c r="AD111" s="2049">
        <f>ROUND(SUM(D111:AB111),1)</f>
        <v>2064.6999999999998</v>
      </c>
      <c r="AE111" s="2049"/>
      <c r="AF111" s="2093"/>
      <c r="AG111" s="2086">
        <f>'Exhibit G State'!AG111+'Exhibit G Federal'!AG83-469.3</f>
        <v>1781.0000000000002</v>
      </c>
      <c r="AH111" s="3644"/>
      <c r="AI111" s="2030"/>
      <c r="AJ111" s="2095">
        <f>ROUND(SUM(+AD111-AG111),1)</f>
        <v>283.7</v>
      </c>
      <c r="AK111" s="2624"/>
      <c r="AL111" s="1774">
        <f>ROUND(IF(AG111=0,0,AJ111/ABS(AG111)),3)</f>
        <v>0.159</v>
      </c>
    </row>
    <row r="112" spans="1:46" s="2244" customFormat="1" ht="15" customHeight="1">
      <c r="A112" s="2526"/>
      <c r="B112" s="2526" t="s">
        <v>175</v>
      </c>
      <c r="C112" s="2526"/>
      <c r="D112" s="2639">
        <f>+'Exhibit G State'!D112+'Exhibit G Federal'!D84</f>
        <v>-88.5</v>
      </c>
      <c r="E112" s="2086"/>
      <c r="F112" s="2639">
        <f>+'Exhibit G State'!F112+'Exhibit G Federal'!F84</f>
        <v>-304.8</v>
      </c>
      <c r="G112" s="2086"/>
      <c r="H112" s="2639">
        <f>+'Exhibit G State'!H112+'Exhibit G Federal'!H84</f>
        <v>-179.10000000000002</v>
      </c>
      <c r="I112" s="2605"/>
      <c r="J112" s="2639">
        <f>+'Exhibit G State'!J112+'Exhibit G Federal'!J84</f>
        <v>-239.69999999999987</v>
      </c>
      <c r="K112" s="2605"/>
      <c r="L112" s="2639">
        <f>+'Exhibit G State'!L112+'Exhibit G Federal'!L84</f>
        <v>-244.20000000000005</v>
      </c>
      <c r="M112" s="2605"/>
      <c r="N112" s="2639">
        <f>+'Exhibit G State'!N112+'Exhibit G Federal'!N84</f>
        <v>-183.7</v>
      </c>
      <c r="O112" s="2605"/>
      <c r="P112" s="2639">
        <f>+'Exhibit G State'!P112+'Exhibit G Federal'!P84</f>
        <v>-174.70000000000022</v>
      </c>
      <c r="Q112" s="2605"/>
      <c r="R112" s="2639">
        <f>+'Exhibit G State'!R112+'Exhibit G Federal'!R84</f>
        <v>-104.79999999999978</v>
      </c>
      <c r="S112" s="2605"/>
      <c r="T112" s="2639">
        <f>+'Exhibit G State'!T112+'Exhibit G Federal'!T84</f>
        <v>-422.5</v>
      </c>
      <c r="U112" s="2605"/>
      <c r="V112" s="2639">
        <f>+'Exhibit G State'!V112+'Exhibit G Federal'!V84</f>
        <v>-336.10000000000014</v>
      </c>
      <c r="W112" s="2605"/>
      <c r="X112" s="2639"/>
      <c r="Y112" s="2605"/>
      <c r="Z112" s="2639"/>
      <c r="AA112" s="2177"/>
      <c r="AB112" s="3597">
        <v>440.8</v>
      </c>
      <c r="AC112" s="2093"/>
      <c r="AD112" s="2049">
        <f>ROUND(SUM(D112:AB112),1)</f>
        <v>-1837.3</v>
      </c>
      <c r="AE112" s="2049"/>
      <c r="AF112" s="2093"/>
      <c r="AG112" s="2086">
        <f>'Exhibit G State'!AG112+'Exhibit G Federal'!AG84+469.3</f>
        <v>-1343.3000000000002</v>
      </c>
      <c r="AH112" s="3644"/>
      <c r="AI112" s="2030"/>
      <c r="AJ112" s="2095">
        <f>ROUND(SUM(+AD112-AG112)*-1,1)</f>
        <v>494</v>
      </c>
      <c r="AK112" s="2624"/>
      <c r="AL112" s="1774">
        <f>ROUND(IF(AG112=0,0,AJ112/ABS(AG112)),3)</f>
        <v>0.36799999999999999</v>
      </c>
    </row>
    <row r="113" spans="1:49" ht="15" customHeight="1">
      <c r="A113" s="2098"/>
      <c r="B113" s="2098"/>
      <c r="C113" s="2098"/>
      <c r="D113" s="2059"/>
      <c r="F113" s="2059"/>
      <c r="H113" s="2059"/>
      <c r="J113" s="2059"/>
      <c r="L113" s="2059"/>
      <c r="N113" s="2059"/>
      <c r="P113" s="2059"/>
      <c r="R113" s="2059"/>
      <c r="T113" s="2105"/>
      <c r="V113" s="2059"/>
      <c r="X113" s="2059"/>
      <c r="Z113" s="2105"/>
      <c r="AA113" s="2030"/>
      <c r="AB113" s="2049"/>
      <c r="AC113" s="2093"/>
      <c r="AD113" s="2105"/>
      <c r="AE113" s="2049"/>
      <c r="AF113" s="2093"/>
      <c r="AG113" s="2105"/>
      <c r="AH113" s="3644"/>
      <c r="AI113" s="2030"/>
      <c r="AJ113" s="2634"/>
      <c r="AL113" s="1483"/>
    </row>
    <row r="114" spans="1:49" ht="15" customHeight="1">
      <c r="A114" s="2098"/>
      <c r="B114" s="2488" t="s">
        <v>1198</v>
      </c>
      <c r="C114" s="2098"/>
      <c r="D114" s="1498">
        <f>ROUND(SUM(D111:D112),1)</f>
        <v>219.8</v>
      </c>
      <c r="F114" s="1498">
        <f>ROUND(SUM(F111:F112),1)</f>
        <v>280.5</v>
      </c>
      <c r="H114" s="1498">
        <f>ROUND(SUM(H111:H112),1)</f>
        <v>387.4</v>
      </c>
      <c r="J114" s="1498">
        <f>ROUND(SUM(J111:J112),1)</f>
        <v>-24.3</v>
      </c>
      <c r="L114" s="1498">
        <f>ROUND(SUM(L111:L112),1)</f>
        <v>-84</v>
      </c>
      <c r="N114" s="1498">
        <f>ROUND(SUM(N111:N112),1)</f>
        <v>-15.1</v>
      </c>
      <c r="P114" s="1498">
        <f>ROUND(SUM(P111:P112),1)</f>
        <v>-55.2</v>
      </c>
      <c r="R114" s="1498">
        <f>ROUND(SUM(R111:R112),1)</f>
        <v>80.900000000000006</v>
      </c>
      <c r="T114" s="2104">
        <f>ROUND(SUM(T111:T112),1)</f>
        <v>-310.60000000000002</v>
      </c>
      <c r="V114" s="1498">
        <f>ROUND(SUM(V111:V112),1)</f>
        <v>-252</v>
      </c>
      <c r="X114" s="1498">
        <f>ROUND(SUM(X111:X112),1)</f>
        <v>0</v>
      </c>
      <c r="Z114" s="1498">
        <f>ROUND(SUM(Z111:Z112),1)</f>
        <v>0</v>
      </c>
      <c r="AA114" s="1498"/>
      <c r="AB114" s="2627">
        <f>ROUND(SUM(AB111:AB112),1)</f>
        <v>0</v>
      </c>
      <c r="AC114" s="2094"/>
      <c r="AD114" s="2104">
        <f>ROUND(SUM(AD111:AD112),1)</f>
        <v>227.4</v>
      </c>
      <c r="AE114" s="2104"/>
      <c r="AF114" s="2618"/>
      <c r="AG114" s="2104">
        <f>ROUND(SUM(AG111:AG112),1)</f>
        <v>437.7</v>
      </c>
      <c r="AH114" s="3647"/>
      <c r="AI114" s="1481"/>
      <c r="AJ114" s="2106">
        <f>ROUND(SUM(AD114-AG114),1)</f>
        <v>-210.3</v>
      </c>
      <c r="AK114" s="2107"/>
      <c r="AL114" s="1473">
        <f>ROUND(SUM(+AJ114/AG114),3)</f>
        <v>-0.48</v>
      </c>
    </row>
    <row r="115" spans="1:49" ht="15" customHeight="1">
      <c r="A115" s="2098"/>
      <c r="B115" s="2098"/>
      <c r="C115" s="2098"/>
      <c r="D115" s="2059"/>
      <c r="F115" s="2059"/>
      <c r="H115" s="2059"/>
      <c r="J115" s="2059"/>
      <c r="L115" s="2059"/>
      <c r="N115" s="2059"/>
      <c r="P115" s="2059"/>
      <c r="R115" s="2059"/>
      <c r="T115" s="2105"/>
      <c r="V115" s="2059"/>
      <c r="X115" s="2059"/>
      <c r="Z115" s="2059"/>
      <c r="AA115" s="2061"/>
      <c r="AB115" s="2060"/>
      <c r="AC115" s="2091"/>
      <c r="AD115" s="2105"/>
      <c r="AE115" s="2049"/>
      <c r="AF115" s="2093"/>
      <c r="AG115" s="2105"/>
      <c r="AH115" s="3644"/>
      <c r="AI115" s="2061"/>
      <c r="AJ115" s="1480"/>
      <c r="AL115" s="1468"/>
    </row>
    <row r="116" spans="1:49" ht="15" customHeight="1">
      <c r="A116" s="2098"/>
      <c r="B116" s="2488" t="s">
        <v>166</v>
      </c>
      <c r="C116" s="2098"/>
      <c r="D116" s="2060"/>
      <c r="F116" s="2060"/>
      <c r="H116" s="2060"/>
      <c r="J116" s="2060"/>
      <c r="L116" s="2060"/>
      <c r="N116" s="2060"/>
      <c r="P116" s="2060"/>
      <c r="R116" s="2060"/>
      <c r="T116" s="2049"/>
      <c r="V116" s="2060"/>
      <c r="X116" s="2060"/>
      <c r="Z116" s="2060"/>
      <c r="AA116" s="2060"/>
      <c r="AB116" s="2060"/>
      <c r="AC116" s="2091"/>
      <c r="AD116" s="2049"/>
      <c r="AE116" s="2049"/>
      <c r="AF116" s="2093"/>
      <c r="AG116" s="2049"/>
      <c r="AH116" s="3644"/>
      <c r="AI116" s="2061"/>
      <c r="AJ116" s="1480"/>
      <c r="AL116" s="1468"/>
    </row>
    <row r="117" spans="1:49" ht="15" customHeight="1">
      <c r="A117" s="2098"/>
      <c r="B117" s="2488" t="s">
        <v>167</v>
      </c>
      <c r="C117" s="2098"/>
      <c r="D117" s="2060"/>
      <c r="F117" s="2060"/>
      <c r="H117" s="2060"/>
      <c r="J117" s="2060"/>
      <c r="L117" s="2060"/>
      <c r="N117" s="2060"/>
      <c r="P117" s="2060"/>
      <c r="R117" s="2060"/>
      <c r="T117" s="2049"/>
      <c r="V117" s="2060"/>
      <c r="X117" s="2060"/>
      <c r="Z117" s="2060"/>
      <c r="AA117" s="2060"/>
      <c r="AB117" s="2060"/>
      <c r="AC117" s="2091"/>
      <c r="AD117" s="2049"/>
      <c r="AE117" s="2049"/>
      <c r="AF117" s="2093"/>
      <c r="AG117" s="2049"/>
      <c r="AH117" s="3644"/>
      <c r="AI117" s="2061"/>
      <c r="AJ117" s="1480"/>
      <c r="AL117" s="1468"/>
    </row>
    <row r="118" spans="1:49" ht="15" customHeight="1">
      <c r="A118" s="2098"/>
      <c r="B118" s="2488" t="s">
        <v>1199</v>
      </c>
      <c r="C118" s="2098"/>
      <c r="D118" s="1498">
        <f>ROUND(SUM(D108+D114),1)</f>
        <v>3160</v>
      </c>
      <c r="F118" s="1498">
        <f>ROUND(SUM(F108+F114),1)</f>
        <v>-733.5</v>
      </c>
      <c r="H118" s="1498">
        <f>ROUND(SUM(H108+H114),1)</f>
        <v>1717.7</v>
      </c>
      <c r="J118" s="1498">
        <f>ROUND(SUM(J108+J114),1)</f>
        <v>-1106</v>
      </c>
      <c r="L118" s="1498">
        <f>ROUND(SUM(L108+L114),1)</f>
        <v>580.70000000000005</v>
      </c>
      <c r="N118" s="1498">
        <f>ROUND(SUM(N108+N114),1)</f>
        <v>-1219.8</v>
      </c>
      <c r="P118" s="1498">
        <f>ROUND(SUM(P108+P114),1)</f>
        <v>-374.9</v>
      </c>
      <c r="R118" s="1498">
        <f>ROUND(SUM(R108+R114),1)</f>
        <v>-267.10000000000002</v>
      </c>
      <c r="T118" s="2104">
        <f>ROUND(SUM(T108+T114),1)</f>
        <v>1263.3</v>
      </c>
      <c r="V118" s="1498">
        <f>ROUND(SUM(V108+V114),1)</f>
        <v>312.60000000000002</v>
      </c>
      <c r="X118" s="1498">
        <f>ROUND(SUM(X108+X114),1)</f>
        <v>0</v>
      </c>
      <c r="Z118" s="1498">
        <f>ROUND(SUM(Z108+Z114),1)</f>
        <v>0</v>
      </c>
      <c r="AA118" s="1498"/>
      <c r="AB118" s="2627">
        <f>ROUND(SUM(AB108+AB114),1)</f>
        <v>0</v>
      </c>
      <c r="AC118" s="2094"/>
      <c r="AD118" s="2104">
        <f>ROUND(SUM(AD108+AD114),1)</f>
        <v>3333</v>
      </c>
      <c r="AE118" s="2104"/>
      <c r="AF118" s="2618"/>
      <c r="AG118" s="2104">
        <f>ROUND(SUM(AG108+AG114),1)</f>
        <v>1872.7</v>
      </c>
      <c r="AH118" s="3647"/>
      <c r="AI118" s="1481"/>
      <c r="AJ118" s="2106">
        <f>ROUND(SUM(AD118-AG118),1)</f>
        <v>1460.3</v>
      </c>
      <c r="AK118" s="2489"/>
      <c r="AL118" s="1910">
        <f>ROUND(SUM(AJ118/ABS(AG118)),3)</f>
        <v>0.78</v>
      </c>
    </row>
    <row r="119" spans="1:49" ht="15" customHeight="1">
      <c r="A119" s="2098"/>
      <c r="B119" s="2098"/>
      <c r="C119" s="2098"/>
      <c r="D119" s="2509"/>
      <c r="F119" s="2509"/>
      <c r="H119" s="2509"/>
      <c r="J119" s="2509"/>
      <c r="L119" s="2509"/>
      <c r="N119" s="2509"/>
      <c r="P119" s="2509"/>
      <c r="R119" s="2509"/>
      <c r="T119" s="3183"/>
      <c r="V119" s="2509"/>
      <c r="X119" s="2509"/>
      <c r="Z119" s="2509"/>
      <c r="AA119" s="2075"/>
      <c r="AC119" s="2603"/>
      <c r="AD119" s="3183"/>
      <c r="AF119" s="3616"/>
      <c r="AG119" s="3183"/>
      <c r="AH119" s="3643"/>
      <c r="AI119" s="2075"/>
      <c r="AJ119" s="1470"/>
      <c r="AL119" s="1468"/>
    </row>
    <row r="120" spans="1:49" ht="15" customHeight="1" thickBot="1">
      <c r="A120" s="2098"/>
      <c r="B120" s="2488" t="s">
        <v>1200</v>
      </c>
      <c r="C120" s="2098"/>
      <c r="D120" s="2516">
        <f>ROUND(SUM(D13+D118),1)</f>
        <v>7002.4</v>
      </c>
      <c r="F120" s="2516">
        <f>ROUND(SUM(F13+F118),1)</f>
        <v>6268.9</v>
      </c>
      <c r="H120" s="2516">
        <f>ROUND(SUM(H13+H118),1)</f>
        <v>7986.6</v>
      </c>
      <c r="J120" s="2516">
        <f>ROUND(SUM(J13+J118),1)</f>
        <v>6880.6</v>
      </c>
      <c r="L120" s="2516">
        <f>ROUND(SUM(L13+L118),1)</f>
        <v>7461.3</v>
      </c>
      <c r="N120" s="2516">
        <f>ROUND(SUM(N13+N118),1)</f>
        <v>6241.5</v>
      </c>
      <c r="P120" s="2516">
        <f>ROUND(SUM(P13+P118),1)</f>
        <v>5866.6</v>
      </c>
      <c r="R120" s="2516">
        <f>ROUND(SUM(R13+R118),1)</f>
        <v>5599.5</v>
      </c>
      <c r="T120" s="2083">
        <f>ROUND(SUM(T13+T118),1)</f>
        <v>6862.8</v>
      </c>
      <c r="V120" s="2516">
        <f>ROUND(SUM(V13+V118),1)</f>
        <v>7175.4</v>
      </c>
      <c r="X120" s="2516">
        <f>ROUND(SUM(X13+X118),1)</f>
        <v>0</v>
      </c>
      <c r="Z120" s="2516">
        <f>ROUND(SUM(Z13+Z118),1)</f>
        <v>0</v>
      </c>
      <c r="AA120" s="2516"/>
      <c r="AB120" s="2640">
        <f>ROUND(SUM(AB13+AB118),1)</f>
        <v>0</v>
      </c>
      <c r="AC120" s="2600"/>
      <c r="AD120" s="2083">
        <f>ROUND(SUM(AD13+AD118),1)</f>
        <v>7175.4</v>
      </c>
      <c r="AE120" s="2083"/>
      <c r="AF120" s="3615"/>
      <c r="AG120" s="2575">
        <f>ROUND(SUM(AG13+AG118),1)</f>
        <v>6174.8</v>
      </c>
      <c r="AH120" s="3642"/>
      <c r="AI120" s="2073"/>
      <c r="AJ120" s="2579">
        <f>ROUND(SUM(AD120-AG120),1)</f>
        <v>1000.6</v>
      </c>
      <c r="AK120" s="2578"/>
      <c r="AL120" s="2580">
        <f>ROUND(SUM(+AJ120/AG120),3)</f>
        <v>0.16200000000000001</v>
      </c>
      <c r="AM120" s="2078"/>
      <c r="AN120" s="2078"/>
      <c r="AO120" s="2078"/>
      <c r="AP120" s="2078"/>
      <c r="AQ120" s="2078"/>
      <c r="AR120" s="2078"/>
      <c r="AS120" s="2078"/>
      <c r="AT120" s="2078"/>
      <c r="AU120" s="2078"/>
      <c r="AV120" s="2078"/>
      <c r="AW120" s="2078"/>
    </row>
    <row r="121" spans="1:49" ht="15" customHeight="1" thickTop="1">
      <c r="A121" s="2098"/>
      <c r="B121" s="2098"/>
      <c r="C121" s="2098"/>
      <c r="D121" s="2641"/>
      <c r="F121" s="2641"/>
      <c r="H121" s="2641"/>
      <c r="J121" s="2641"/>
      <c r="L121" s="2641"/>
      <c r="N121" s="2641"/>
      <c r="P121" s="2641"/>
      <c r="R121" s="2641"/>
      <c r="T121" s="3184"/>
      <c r="V121" s="2641"/>
      <c r="X121" s="2641"/>
      <c r="Z121" s="2641"/>
      <c r="AA121" s="2642"/>
      <c r="AB121" s="2078"/>
      <c r="AC121" s="2078"/>
      <c r="AD121" s="3184"/>
      <c r="AE121" s="2250"/>
      <c r="AF121" s="2250"/>
      <c r="AG121" s="3185"/>
      <c r="AH121" s="3185"/>
      <c r="AI121" s="2078"/>
      <c r="AJ121" s="2643"/>
      <c r="AK121" s="2078"/>
      <c r="AL121" s="1468"/>
      <c r="AM121" s="2078"/>
      <c r="AN121" s="2078"/>
      <c r="AO121" s="2078"/>
      <c r="AP121" s="2078"/>
      <c r="AQ121" s="2078"/>
      <c r="AR121" s="2078"/>
      <c r="AS121" s="2078"/>
      <c r="AT121" s="2078"/>
      <c r="AU121" s="2078"/>
      <c r="AV121" s="2078"/>
      <c r="AW121" s="2078"/>
    </row>
    <row r="122" spans="1:49" ht="15" customHeight="1">
      <c r="A122" s="2098"/>
      <c r="B122" s="2098"/>
      <c r="C122" s="2098"/>
      <c r="D122" s="2642"/>
      <c r="F122" s="2642"/>
      <c r="H122" s="2642"/>
      <c r="J122" s="2642"/>
      <c r="L122" s="2642"/>
      <c r="N122" s="2642"/>
      <c r="P122" s="2642"/>
      <c r="R122" s="2642"/>
      <c r="T122" s="3185"/>
      <c r="V122" s="2642"/>
      <c r="X122" s="2642"/>
      <c r="Z122" s="2642"/>
      <c r="AA122" s="2642"/>
      <c r="AB122" s="2642"/>
      <c r="AC122" s="2642"/>
      <c r="AD122" s="3185"/>
      <c r="AE122" s="3185"/>
      <c r="AF122" s="3185"/>
      <c r="AG122" s="3185"/>
      <c r="AH122" s="3185"/>
      <c r="AI122" s="2078"/>
      <c r="AJ122" s="2643"/>
      <c r="AK122" s="2078"/>
      <c r="AL122" s="1468"/>
      <c r="AM122" s="2078"/>
      <c r="AN122" s="2078"/>
      <c r="AO122" s="2078"/>
      <c r="AP122" s="2078"/>
      <c r="AQ122" s="2078"/>
      <c r="AR122" s="2078"/>
      <c r="AS122" s="2078"/>
      <c r="AT122" s="2078"/>
      <c r="AU122" s="2078"/>
      <c r="AV122" s="2078"/>
      <c r="AW122" s="2078"/>
    </row>
    <row r="123" spans="1:49" ht="15" customHeight="1">
      <c r="A123" s="2589"/>
      <c r="B123" s="1470" t="s">
        <v>1288</v>
      </c>
      <c r="D123" s="2078"/>
      <c r="F123" s="2078"/>
      <c r="H123" s="2078"/>
      <c r="J123" s="2078"/>
      <c r="L123" s="2078"/>
      <c r="N123" s="2078"/>
      <c r="P123" s="2078"/>
      <c r="R123" s="2078"/>
      <c r="T123" s="2250"/>
      <c r="V123" s="2078"/>
      <c r="X123" s="2078"/>
      <c r="Z123" s="2078"/>
      <c r="AA123" s="2078"/>
      <c r="AB123" s="2078"/>
      <c r="AC123" s="2078"/>
      <c r="AD123" s="2250"/>
      <c r="AE123" s="2250"/>
      <c r="AF123" s="2250"/>
      <c r="AG123" s="2250"/>
      <c r="AH123" s="2250"/>
      <c r="AI123" s="2078"/>
      <c r="AJ123" s="2643"/>
      <c r="AK123" s="2078"/>
      <c r="AL123" s="1468"/>
      <c r="AM123" s="2078"/>
      <c r="AN123" s="2078"/>
      <c r="AO123" s="2078"/>
      <c r="AP123" s="2078"/>
      <c r="AQ123" s="2078"/>
      <c r="AR123" s="2078"/>
      <c r="AS123" s="2078"/>
      <c r="AT123" s="2078"/>
      <c r="AU123" s="2078"/>
      <c r="AV123" s="2078"/>
      <c r="AW123" s="2078"/>
    </row>
    <row r="124" spans="1:49" ht="15" customHeight="1">
      <c r="D124" s="2078"/>
      <c r="F124" s="2078"/>
      <c r="H124" s="2078"/>
      <c r="J124" s="2078"/>
      <c r="L124" s="2078"/>
      <c r="N124" s="2078"/>
      <c r="P124" s="2078"/>
      <c r="R124" s="2078"/>
      <c r="T124" s="2250"/>
      <c r="V124" s="2078"/>
      <c r="X124" s="2078"/>
      <c r="Z124" s="2078"/>
      <c r="AA124" s="2078"/>
      <c r="AB124" s="2078"/>
      <c r="AC124" s="2078"/>
      <c r="AD124" s="2250"/>
      <c r="AE124" s="2250"/>
      <c r="AF124" s="2250"/>
      <c r="AG124" s="2250"/>
      <c r="AH124" s="2250"/>
      <c r="AI124" s="2078"/>
      <c r="AJ124" s="2643"/>
      <c r="AK124" s="2078"/>
      <c r="AL124" s="1468"/>
      <c r="AM124" s="2078"/>
      <c r="AN124" s="2078"/>
      <c r="AO124" s="2078"/>
      <c r="AP124" s="2078"/>
      <c r="AQ124" s="2078"/>
      <c r="AR124" s="2078"/>
      <c r="AS124" s="2078"/>
      <c r="AT124" s="2078"/>
      <c r="AU124" s="2078"/>
      <c r="AV124" s="2078"/>
      <c r="AW124" s="2078"/>
    </row>
    <row r="125" spans="1:49" ht="15" customHeight="1">
      <c r="AJ125" s="1470"/>
      <c r="AL125" s="1468"/>
    </row>
    <row r="126" spans="1:49" ht="15" customHeight="1">
      <c r="AJ126" s="1470"/>
      <c r="AL126" s="1468"/>
    </row>
    <row r="127" spans="1:49" ht="15" customHeight="1">
      <c r="AJ127" s="1470"/>
      <c r="AL127" s="1468"/>
    </row>
    <row r="128" spans="1:49" ht="15" customHeight="1">
      <c r="AJ128" s="1470"/>
      <c r="AL128" s="1468"/>
    </row>
    <row r="129" spans="36:38" ht="15" customHeight="1">
      <c r="AJ129" s="1470"/>
      <c r="AL129" s="1468"/>
    </row>
    <row r="130" spans="36:38" ht="15" customHeight="1">
      <c r="AJ130" s="1470"/>
      <c r="AL130" s="1468"/>
    </row>
    <row r="131" spans="36:38" ht="15" customHeight="1">
      <c r="AJ131" s="1470"/>
      <c r="AL131" s="1468"/>
    </row>
    <row r="132" spans="36:38" ht="15" customHeight="1">
      <c r="AJ132" s="1470"/>
      <c r="AL132" s="1468"/>
    </row>
    <row r="133" spans="36:38" ht="15" customHeight="1">
      <c r="AJ133" s="1470"/>
      <c r="AL133" s="1468"/>
    </row>
    <row r="134" spans="36:38" ht="15" customHeight="1">
      <c r="AJ134" s="1470"/>
      <c r="AL134" s="1468"/>
    </row>
    <row r="135" spans="36:38" ht="15" customHeight="1">
      <c r="AJ135" s="1470"/>
      <c r="AL135" s="1468"/>
    </row>
    <row r="136" spans="36:38" ht="15" customHeight="1">
      <c r="AJ136" s="1470"/>
      <c r="AL136" s="1468"/>
    </row>
    <row r="137" spans="36:38" ht="15" customHeight="1">
      <c r="AJ137" s="1470"/>
      <c r="AL137" s="1468"/>
    </row>
    <row r="138" spans="36:38" ht="15" customHeight="1">
      <c r="AJ138" s="1470"/>
      <c r="AL138" s="1468"/>
    </row>
    <row r="139" spans="36:38" ht="15" customHeight="1">
      <c r="AJ139" s="1470"/>
      <c r="AL139" s="1468"/>
    </row>
    <row r="140" spans="36:38" ht="15" customHeight="1">
      <c r="AJ140" s="1470"/>
      <c r="AL140" s="1468"/>
    </row>
    <row r="141" spans="36:38" ht="15" customHeight="1">
      <c r="AJ141" s="1470"/>
      <c r="AL141" s="1468"/>
    </row>
    <row r="142" spans="36:38" ht="15" customHeight="1">
      <c r="AJ142" s="1470"/>
      <c r="AL142" s="1468"/>
    </row>
    <row r="143" spans="36:38" ht="15" customHeight="1">
      <c r="AJ143" s="1470"/>
      <c r="AL143" s="1468"/>
    </row>
    <row r="144" spans="36:38" ht="15" customHeight="1">
      <c r="AJ144" s="1470"/>
      <c r="AL144" s="1468"/>
    </row>
    <row r="145" spans="36:38" ht="15" customHeight="1">
      <c r="AJ145" s="1470"/>
      <c r="AL145" s="1468"/>
    </row>
    <row r="146" spans="36:38" ht="15" customHeight="1">
      <c r="AJ146" s="1470"/>
      <c r="AL146" s="1468"/>
    </row>
    <row r="147" spans="36:38" ht="15" customHeight="1">
      <c r="AJ147" s="1470"/>
      <c r="AL147" s="1468"/>
    </row>
    <row r="148" spans="36:38" ht="15" customHeight="1">
      <c r="AJ148" s="1470"/>
      <c r="AL148" s="1468"/>
    </row>
    <row r="149" spans="36:38" ht="15" customHeight="1">
      <c r="AJ149" s="1470"/>
      <c r="AL149" s="1468"/>
    </row>
    <row r="150" spans="36:38" ht="15" customHeight="1">
      <c r="AJ150" s="1470"/>
      <c r="AL150" s="1468"/>
    </row>
    <row r="151" spans="36:38" ht="15" customHeight="1">
      <c r="AJ151" s="1470"/>
      <c r="AL151" s="1468"/>
    </row>
    <row r="152" spans="36:38" ht="15" customHeight="1">
      <c r="AJ152" s="1470"/>
      <c r="AL152" s="1468"/>
    </row>
    <row r="153" spans="36:38" ht="15" customHeight="1">
      <c r="AJ153" s="1470"/>
      <c r="AL153" s="1468"/>
    </row>
    <row r="154" spans="36:38" ht="15" customHeight="1">
      <c r="AJ154" s="1470"/>
      <c r="AL154" s="1468"/>
    </row>
    <row r="155" spans="36:38" ht="15" customHeight="1">
      <c r="AJ155" s="1470"/>
      <c r="AL155" s="1468"/>
    </row>
    <row r="156" spans="36:38" ht="15" customHeight="1">
      <c r="AJ156" s="1470"/>
      <c r="AL156" s="1468"/>
    </row>
    <row r="157" spans="36:38" ht="15" customHeight="1">
      <c r="AJ157" s="1470"/>
      <c r="AL157" s="1468"/>
    </row>
    <row r="158" spans="36:38" ht="15" customHeight="1">
      <c r="AJ158" s="1470"/>
      <c r="AL158" s="1468"/>
    </row>
    <row r="159" spans="36:38" ht="15" customHeight="1">
      <c r="AJ159" s="1470"/>
      <c r="AL159" s="1468"/>
    </row>
    <row r="160" spans="36:38" ht="15" customHeight="1">
      <c r="AJ160" s="1470"/>
      <c r="AL160" s="1468"/>
    </row>
    <row r="161" spans="36:38" ht="15" customHeight="1">
      <c r="AJ161" s="1470"/>
      <c r="AL161" s="1468"/>
    </row>
    <row r="162" spans="36:38" ht="15" customHeight="1">
      <c r="AJ162" s="1470"/>
      <c r="AL162" s="1468"/>
    </row>
    <row r="163" spans="36:38" ht="15" customHeight="1">
      <c r="AJ163" s="1470"/>
      <c r="AL163" s="1468"/>
    </row>
    <row r="164" spans="36:38" ht="15" customHeight="1">
      <c r="AJ164" s="1470"/>
      <c r="AL164" s="1468"/>
    </row>
    <row r="165" spans="36:38" ht="15" customHeight="1">
      <c r="AJ165" s="1470"/>
      <c r="AL165" s="1468"/>
    </row>
    <row r="166" spans="36:38" ht="15" customHeight="1">
      <c r="AJ166" s="1470"/>
      <c r="AL166" s="1468"/>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3"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J70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workbookViewId="0"/>
  </sheetViews>
  <sheetFormatPr defaultColWidth="8.88671875" defaultRowHeight="12.75"/>
  <cols>
    <col min="1" max="1" width="1.88671875" style="247" customWidth="1"/>
    <col min="2" max="2" width="40.88671875" style="247" customWidth="1"/>
    <col min="3" max="3" width="1.88671875" style="247" customWidth="1"/>
    <col min="4" max="4" width="12.109375" style="247" customWidth="1"/>
    <col min="5" max="5" width="1.88671875" style="247" customWidth="1"/>
    <col min="6" max="6" width="12" style="247" customWidth="1"/>
    <col min="7" max="7" width="1.88671875" style="247" customWidth="1"/>
    <col min="8" max="8" width="13.109375" style="247" customWidth="1"/>
    <col min="9" max="9" width="1.88671875" style="247" customWidth="1"/>
    <col min="10" max="10" width="13.109375" style="247" customWidth="1"/>
    <col min="11" max="11" width="1.88671875" style="247" customWidth="1"/>
    <col min="12" max="12" width="13.109375" style="247" customWidth="1"/>
    <col min="13" max="13" width="1.88671875" style="247" customWidth="1"/>
    <col min="14" max="14" width="14" style="247" customWidth="1"/>
    <col min="15" max="15" width="1.88671875" style="247" customWidth="1"/>
    <col min="16" max="16" width="11.88671875" style="247" customWidth="1"/>
    <col min="17" max="17" width="1.88671875" style="247" customWidth="1"/>
    <col min="18" max="18" width="11.5546875" style="247" customWidth="1"/>
    <col min="19" max="19" width="1.88671875" style="247" customWidth="1"/>
    <col min="20" max="20" width="12.109375" style="247" customWidth="1"/>
    <col min="21" max="21" width="1.88671875" style="247" customWidth="1"/>
    <col min="22" max="22" width="13" style="247" customWidth="1"/>
    <col min="23" max="23" width="1.88671875" style="247" customWidth="1"/>
    <col min="24" max="24" width="12.109375" style="247" customWidth="1"/>
    <col min="25" max="25" width="1.88671875" style="247" customWidth="1"/>
    <col min="26" max="26" width="10.88671875" style="247" bestFit="1" customWidth="1"/>
    <col min="27" max="27" width="1.109375" style="247" customWidth="1"/>
    <col min="28" max="29" width="1.88671875" style="247" customWidth="1"/>
    <col min="30" max="30" width="11.88671875" style="903" customWidth="1"/>
    <col min="31" max="32" width="1.44140625" style="903" customWidth="1"/>
    <col min="33" max="33" width="12.88671875" style="903" bestFit="1" customWidth="1"/>
    <col min="34" max="34" width="1.5546875" style="247" customWidth="1"/>
    <col min="35" max="35" width="0.88671875" style="247" customWidth="1"/>
    <col min="36" max="36" width="14.88671875" style="247" customWidth="1"/>
    <col min="37" max="37" width="0.88671875" style="247" customWidth="1"/>
    <col min="38" max="38" width="12.109375" style="247" customWidth="1"/>
    <col min="39" max="16384" width="8.88671875" style="247"/>
  </cols>
  <sheetData>
    <row r="1" spans="1:40" ht="15">
      <c r="B1" s="657" t="s">
        <v>979</v>
      </c>
    </row>
    <row r="2" spans="1:40" ht="15.75">
      <c r="A2" s="246"/>
      <c r="M2" s="29"/>
      <c r="N2" s="29"/>
      <c r="O2" s="265"/>
    </row>
    <row r="3" spans="1:40" ht="20.25" customHeight="1">
      <c r="A3" s="246"/>
      <c r="B3" s="249" t="s">
        <v>0</v>
      </c>
      <c r="M3" s="29"/>
      <c r="N3" s="29"/>
      <c r="O3" s="265"/>
      <c r="AF3" s="3613"/>
      <c r="AG3" s="3614"/>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78" t="str">
        <f>'Cashflow Governmental'!A6</f>
        <v xml:space="preserve">FISCAL YEAR 2019-2020   </v>
      </c>
      <c r="L6" s="265"/>
      <c r="M6" s="265"/>
      <c r="O6" s="265"/>
      <c r="AL6" s="270"/>
    </row>
    <row r="7" spans="1:40" ht="18">
      <c r="A7" s="246"/>
      <c r="B7" s="249" t="s">
        <v>1419</v>
      </c>
      <c r="AI7" s="150"/>
      <c r="AJ7" s="150"/>
      <c r="AK7" s="150"/>
      <c r="AL7" s="150"/>
    </row>
    <row r="8" spans="1:40" ht="13.5" customHeight="1">
      <c r="A8" s="246"/>
      <c r="D8" s="2197"/>
      <c r="L8" s="265"/>
      <c r="M8" s="265"/>
      <c r="N8" s="265"/>
      <c r="O8" s="265"/>
      <c r="AC8" s="150"/>
      <c r="AD8" s="3290"/>
      <c r="AE8" s="3290"/>
      <c r="AF8" s="1087"/>
      <c r="AG8" s="1087"/>
      <c r="AH8" s="150"/>
      <c r="AI8" s="265"/>
      <c r="AJ8" s="265"/>
      <c r="AK8" s="265"/>
      <c r="AL8" s="265"/>
    </row>
    <row r="9" spans="1:40" ht="20.25" customHeight="1">
      <c r="A9" s="246"/>
      <c r="L9" s="265"/>
      <c r="M9" s="265"/>
      <c r="N9" s="265"/>
      <c r="O9" s="265"/>
      <c r="AC9" s="3912" t="str">
        <f>'Exhibit G'!AC9:AL9</f>
        <v>10 Months Ended January 31</v>
      </c>
      <c r="AD9" s="3912"/>
      <c r="AE9" s="3912"/>
      <c r="AF9" s="3912"/>
      <c r="AG9" s="3912"/>
      <c r="AH9" s="3912"/>
      <c r="AI9" s="3912"/>
      <c r="AJ9" s="3912"/>
      <c r="AK9" s="3912"/>
      <c r="AL9" s="3912"/>
    </row>
    <row r="10" spans="1:40" ht="15.75">
      <c r="A10" s="246"/>
      <c r="B10" s="30"/>
      <c r="C10" s="30"/>
      <c r="D10" s="761" t="str">
        <f>'Cashflow Governmental'!C13</f>
        <v>2019</v>
      </c>
      <c r="E10" s="29"/>
      <c r="F10" s="29"/>
      <c r="G10" s="29"/>
      <c r="H10" s="29"/>
      <c r="I10" s="29"/>
      <c r="J10" s="29"/>
      <c r="K10" s="29"/>
      <c r="L10" s="29"/>
      <c r="M10" s="29"/>
      <c r="N10" s="29"/>
      <c r="O10" s="29"/>
      <c r="P10" s="29"/>
      <c r="Q10" s="29"/>
      <c r="R10" s="29"/>
      <c r="S10" s="29"/>
      <c r="T10" s="29"/>
      <c r="U10" s="29"/>
      <c r="V10" s="761" t="str">
        <f>'Cashflow Governmental'!U13</f>
        <v>2020</v>
      </c>
      <c r="W10" s="29"/>
      <c r="X10" s="29"/>
      <c r="Y10" s="29"/>
      <c r="Z10" s="29"/>
      <c r="AA10" s="29"/>
      <c r="AB10" s="29"/>
      <c r="AC10" s="29"/>
      <c r="AD10" s="3291"/>
      <c r="AE10" s="3291"/>
      <c r="AF10" s="3291"/>
      <c r="AG10" s="3291"/>
      <c r="AH10" s="210"/>
      <c r="AI10" s="209"/>
      <c r="AJ10" s="765" t="s">
        <v>8</v>
      </c>
      <c r="AK10" s="765"/>
      <c r="AL10" s="765" t="s">
        <v>9</v>
      </c>
      <c r="AM10" s="768"/>
      <c r="AN10" s="768"/>
    </row>
    <row r="11" spans="1:40" ht="15.75">
      <c r="A11" s="246"/>
      <c r="B11" s="30"/>
      <c r="C11" s="30"/>
      <c r="D11" s="1074" t="s">
        <v>125</v>
      </c>
      <c r="E11" s="29"/>
      <c r="F11" s="1074" t="s">
        <v>126</v>
      </c>
      <c r="G11" s="29"/>
      <c r="H11" s="1074" t="s">
        <v>127</v>
      </c>
      <c r="I11" s="29"/>
      <c r="J11" s="1074" t="s">
        <v>128</v>
      </c>
      <c r="K11" s="29"/>
      <c r="L11" s="1074" t="s">
        <v>129</v>
      </c>
      <c r="M11" s="29"/>
      <c r="N11" s="1074" t="s">
        <v>144</v>
      </c>
      <c r="O11" s="29"/>
      <c r="P11" s="1074" t="s">
        <v>145</v>
      </c>
      <c r="Q11" s="29"/>
      <c r="R11" s="1074" t="s">
        <v>132</v>
      </c>
      <c r="S11" s="29"/>
      <c r="T11" s="1074" t="s">
        <v>133</v>
      </c>
      <c r="U11" s="29"/>
      <c r="V11" s="1074" t="s">
        <v>134</v>
      </c>
      <c r="W11" s="29"/>
      <c r="X11" s="1074" t="s">
        <v>135</v>
      </c>
      <c r="Y11" s="29"/>
      <c r="Z11" s="1074" t="s">
        <v>186</v>
      </c>
      <c r="AA11" s="769"/>
      <c r="AB11" s="29"/>
      <c r="AC11" s="29"/>
      <c r="AD11" s="3292">
        <f>'Cashflow Governmental'!AB14</f>
        <v>2020</v>
      </c>
      <c r="AE11" s="756"/>
      <c r="AF11" s="755" t="s">
        <v>15</v>
      </c>
      <c r="AG11" s="3292">
        <f>'Cashflow Governmental'!AE14</f>
        <v>2019</v>
      </c>
      <c r="AH11" s="751"/>
      <c r="AI11" s="209"/>
      <c r="AJ11" s="1080" t="s">
        <v>12</v>
      </c>
      <c r="AK11" s="764"/>
      <c r="AL11" s="1080" t="s">
        <v>13</v>
      </c>
      <c r="AM11" s="768"/>
      <c r="AN11" s="768"/>
    </row>
    <row r="12" spans="1:40" ht="5.25" customHeight="1">
      <c r="A12" s="246"/>
      <c r="B12" s="30"/>
      <c r="C12" s="30"/>
      <c r="D12" s="769"/>
      <c r="E12" s="29"/>
      <c r="F12" s="769"/>
      <c r="G12" s="29"/>
      <c r="H12" s="769"/>
      <c r="I12" s="29"/>
      <c r="J12" s="769"/>
      <c r="K12" s="29"/>
      <c r="L12" s="769"/>
      <c r="M12" s="29"/>
      <c r="N12" s="769"/>
      <c r="O12" s="29"/>
      <c r="P12" s="769"/>
      <c r="Q12" s="29"/>
      <c r="R12" s="769"/>
      <c r="S12" s="29"/>
      <c r="T12" s="769"/>
      <c r="U12" s="29"/>
      <c r="V12" s="769"/>
      <c r="W12" s="29"/>
      <c r="X12" s="769"/>
      <c r="Y12" s="29"/>
      <c r="Z12" s="769"/>
      <c r="AA12" s="769"/>
      <c r="AB12" s="29"/>
      <c r="AC12" s="29"/>
      <c r="AD12" s="3293"/>
      <c r="AE12" s="756"/>
      <c r="AF12" s="755"/>
      <c r="AG12" s="3293"/>
      <c r="AH12" s="751"/>
      <c r="AI12" s="209"/>
      <c r="AJ12" s="764"/>
      <c r="AK12" s="764"/>
      <c r="AL12" s="764"/>
      <c r="AM12" s="768"/>
      <c r="AN12" s="768"/>
    </row>
    <row r="13" spans="1:40" s="1079" customFormat="1" ht="15.75">
      <c r="A13" s="1077"/>
      <c r="B13" s="1903" t="s">
        <v>1279</v>
      </c>
      <c r="C13" s="37"/>
      <c r="D13" s="308">
        <v>5090.8</v>
      </c>
      <c r="E13" s="254"/>
      <c r="F13" s="1906">
        <f>D120</f>
        <v>6434.7</v>
      </c>
      <c r="G13" s="254"/>
      <c r="H13" s="1906">
        <f>F120</f>
        <v>6338.1</v>
      </c>
      <c r="I13" s="254"/>
      <c r="J13" s="1906">
        <f>H120</f>
        <v>7095.2</v>
      </c>
      <c r="K13" s="254"/>
      <c r="L13" s="1906">
        <f>J120</f>
        <v>7277.1</v>
      </c>
      <c r="M13" s="254"/>
      <c r="N13" s="1906">
        <f>L120</f>
        <v>7104.7</v>
      </c>
      <c r="O13" s="254"/>
      <c r="P13" s="1906">
        <f>N120</f>
        <v>5276.8</v>
      </c>
      <c r="Q13" s="254"/>
      <c r="R13" s="1906">
        <f>P120</f>
        <v>5350.5</v>
      </c>
      <c r="S13" s="254"/>
      <c r="T13" s="1906">
        <f>R120</f>
        <v>5061.3</v>
      </c>
      <c r="U13" s="254"/>
      <c r="V13" s="1906">
        <f>T120</f>
        <v>4858.3999999999996</v>
      </c>
      <c r="W13" s="254"/>
      <c r="X13" s="1906"/>
      <c r="Y13" s="254"/>
      <c r="Z13" s="1906"/>
      <c r="AA13" s="769"/>
      <c r="AB13" s="254"/>
      <c r="AC13" s="2195"/>
      <c r="AD13" s="3294">
        <f>D13</f>
        <v>5090.8</v>
      </c>
      <c r="AE13" s="3293"/>
      <c r="AF13" s="3297"/>
      <c r="AG13" s="139">
        <v>4008.5</v>
      </c>
      <c r="AH13" s="751"/>
      <c r="AI13" s="272"/>
      <c r="AJ13" s="1904">
        <f>ROUND(SUM(+AD13-AG13),1)</f>
        <v>1082.3</v>
      </c>
      <c r="AK13" s="112"/>
      <c r="AL13" s="1907">
        <f>ROUND(IF(AG13=0,1,AJ13/ABS(AG13)),3)</f>
        <v>0.27</v>
      </c>
      <c r="AM13" s="1078"/>
      <c r="AN13" s="1078"/>
    </row>
    <row r="14" spans="1:40" s="1079" customFormat="1" ht="15.75">
      <c r="A14" s="1077"/>
      <c r="B14" s="1903"/>
      <c r="C14" s="37"/>
      <c r="D14" s="769"/>
      <c r="E14" s="254"/>
      <c r="F14" s="769"/>
      <c r="G14" s="254"/>
      <c r="H14" s="769"/>
      <c r="I14" s="254"/>
      <c r="J14" s="769"/>
      <c r="K14" s="254"/>
      <c r="L14" s="769"/>
      <c r="M14" s="254"/>
      <c r="N14" s="769"/>
      <c r="O14" s="254"/>
      <c r="P14" s="769"/>
      <c r="Q14" s="254"/>
      <c r="R14" s="769"/>
      <c r="S14" s="254"/>
      <c r="T14" s="769"/>
      <c r="U14" s="254"/>
      <c r="V14" s="769"/>
      <c r="W14" s="254"/>
      <c r="X14" s="769"/>
      <c r="Y14" s="254"/>
      <c r="Z14" s="769"/>
      <c r="AA14" s="769"/>
      <c r="AB14" s="254"/>
      <c r="AC14" s="2195"/>
      <c r="AD14" s="3293"/>
      <c r="AE14" s="3293"/>
      <c r="AF14" s="3297"/>
      <c r="AG14" s="3293"/>
      <c r="AH14" s="751"/>
      <c r="AI14" s="272"/>
      <c r="AJ14" s="764"/>
      <c r="AK14" s="764"/>
      <c r="AL14" s="764"/>
      <c r="AM14" s="1078"/>
      <c r="AN14" s="1078"/>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6"/>
      <c r="AD15" s="1108"/>
      <c r="AE15" s="106"/>
      <c r="AF15" s="3298"/>
      <c r="AG15" s="106"/>
      <c r="AH15" s="37"/>
      <c r="AI15" s="272"/>
      <c r="AJ15" s="30"/>
      <c r="AK15" s="30"/>
      <c r="AL15" s="30"/>
    </row>
    <row r="16" spans="1:40" ht="15" customHeight="1">
      <c r="A16" s="150"/>
      <c r="B16" s="261" t="s">
        <v>1097</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08"/>
      <c r="AE16" s="106"/>
      <c r="AF16" s="3299"/>
      <c r="AG16" s="106"/>
      <c r="AH16" s="275"/>
      <c r="AI16" s="37"/>
      <c r="AJ16" s="30"/>
      <c r="AK16" s="30"/>
      <c r="AL16" s="30"/>
    </row>
    <row r="17" spans="1:38" s="1877" customFormat="1" ht="15" customHeight="1">
      <c r="A17" s="1874"/>
      <c r="B17" s="1221" t="s">
        <v>1100</v>
      </c>
      <c r="C17" s="105"/>
      <c r="D17" s="912">
        <v>0</v>
      </c>
      <c r="E17" s="1575"/>
      <c r="F17" s="912">
        <v>0</v>
      </c>
      <c r="G17" s="1575"/>
      <c r="H17" s="912">
        <v>0</v>
      </c>
      <c r="I17" s="1575"/>
      <c r="J17" s="912">
        <v>0</v>
      </c>
      <c r="K17" s="1581"/>
      <c r="L17" s="912">
        <v>0</v>
      </c>
      <c r="M17" s="1846"/>
      <c r="N17" s="912">
        <v>0</v>
      </c>
      <c r="O17" s="1846"/>
      <c r="P17" s="1839">
        <v>0.2</v>
      </c>
      <c r="Q17" s="2041"/>
      <c r="R17" s="1839">
        <v>3</v>
      </c>
      <c r="S17" s="2041"/>
      <c r="T17" s="1839">
        <v>38.5</v>
      </c>
      <c r="U17" s="2041"/>
      <c r="V17" s="1839">
        <f>$AD17-$D17-$F17-$H17-$J17-$L17-$N17-$P17-$R17-$T17</f>
        <v>2107.4</v>
      </c>
      <c r="W17" s="2041"/>
      <c r="X17" s="1839"/>
      <c r="Y17" s="2041"/>
      <c r="Z17" s="1839"/>
      <c r="AA17" s="2042"/>
      <c r="AB17" s="2080"/>
      <c r="AC17" s="2081"/>
      <c r="AD17" s="1839">
        <v>2149.1</v>
      </c>
      <c r="AE17" s="2082"/>
      <c r="AF17" s="3300"/>
      <c r="AG17" s="1839">
        <v>2410</v>
      </c>
      <c r="AH17" s="1875"/>
      <c r="AI17" s="1031"/>
      <c r="AJ17" s="911">
        <f>ROUND(SUM(+AD17-AG17),1)</f>
        <v>-260.89999999999998</v>
      </c>
      <c r="AK17" s="911"/>
      <c r="AL17" s="1868">
        <f>ROUND(IF(AG17=0,0,AJ17/ABS(AG17)),3)</f>
        <v>-0.108</v>
      </c>
    </row>
    <row r="18" spans="1:38" s="1877" customFormat="1" ht="6" customHeight="1">
      <c r="A18" s="1874"/>
      <c r="B18" s="1221"/>
      <c r="C18" s="105"/>
      <c r="D18" s="912" t="s">
        <v>15</v>
      </c>
      <c r="E18" s="94"/>
      <c r="F18" s="912"/>
      <c r="G18" s="94"/>
      <c r="H18" s="912"/>
      <c r="I18" s="94"/>
      <c r="J18" s="912"/>
      <c r="K18" s="135"/>
      <c r="L18" s="912"/>
      <c r="M18" s="135"/>
      <c r="N18" s="912"/>
      <c r="O18" s="135"/>
      <c r="P18" s="1839"/>
      <c r="Q18" s="2083"/>
      <c r="R18" s="1839"/>
      <c r="S18" s="2083"/>
      <c r="T18" s="1839"/>
      <c r="U18" s="2083"/>
      <c r="V18" s="1839"/>
      <c r="W18" s="2083"/>
      <c r="X18" s="1839"/>
      <c r="Y18" s="2083"/>
      <c r="Z18" s="1839"/>
      <c r="AA18" s="2084"/>
      <c r="AB18" s="2083"/>
      <c r="AC18" s="2085"/>
      <c r="AD18" s="2083"/>
      <c r="AE18" s="2082"/>
      <c r="AF18" s="3301"/>
      <c r="AG18" s="2083"/>
      <c r="AH18" s="1875"/>
      <c r="AI18" s="1031"/>
      <c r="AJ18" s="135"/>
      <c r="AK18" s="112"/>
      <c r="AL18" s="1876"/>
    </row>
    <row r="19" spans="1:38" s="903" customFormat="1" ht="15" customHeight="1">
      <c r="A19" s="1087"/>
      <c r="B19" s="1221" t="s">
        <v>1161</v>
      </c>
      <c r="C19" s="107"/>
      <c r="D19" s="912" t="s">
        <v>15</v>
      </c>
      <c r="E19" s="1575"/>
      <c r="F19" s="912"/>
      <c r="G19" s="1575"/>
      <c r="H19" s="912"/>
      <c r="I19" s="1575"/>
      <c r="J19" s="912"/>
      <c r="K19" s="118"/>
      <c r="L19" s="912"/>
      <c r="M19" s="118"/>
      <c r="N19" s="912"/>
      <c r="O19" s="118"/>
      <c r="P19" s="1839"/>
      <c r="Q19" s="2049"/>
      <c r="R19" s="1839"/>
      <c r="S19" s="2049"/>
      <c r="T19" s="1839"/>
      <c r="U19" s="2049"/>
      <c r="V19" s="1839"/>
      <c r="W19" s="2049"/>
      <c r="X19" s="1839"/>
      <c r="Y19" s="2049"/>
      <c r="Z19" s="1839"/>
      <c r="AA19" s="2049"/>
      <c r="AB19" s="2049"/>
      <c r="AC19" s="2051"/>
      <c r="AD19" s="2049"/>
      <c r="AE19" s="2049"/>
      <c r="AF19" s="3302"/>
      <c r="AG19" s="2049"/>
      <c r="AH19" s="1090"/>
      <c r="AI19" s="67"/>
      <c r="AJ19" s="911"/>
      <c r="AK19" s="904"/>
      <c r="AL19" s="1878"/>
    </row>
    <row r="20" spans="1:38" s="903" customFormat="1" ht="15" customHeight="1">
      <c r="A20" s="1087"/>
      <c r="B20" s="1095" t="s">
        <v>1112</v>
      </c>
      <c r="C20" s="107"/>
      <c r="D20" s="912">
        <v>124.1</v>
      </c>
      <c r="E20" s="1891"/>
      <c r="F20" s="912">
        <v>76.400000000000006</v>
      </c>
      <c r="G20" s="1891"/>
      <c r="H20" s="912">
        <v>102.80000000000001</v>
      </c>
      <c r="I20" s="1891"/>
      <c r="J20" s="912">
        <v>79.099999999999937</v>
      </c>
      <c r="K20" s="1581"/>
      <c r="L20" s="912">
        <v>80.300000000000097</v>
      </c>
      <c r="M20" s="1581"/>
      <c r="N20" s="912">
        <v>104.79999999999995</v>
      </c>
      <c r="O20" s="1581"/>
      <c r="P20" s="1839">
        <v>80.999999999999972</v>
      </c>
      <c r="Q20" s="2052"/>
      <c r="R20" s="1839">
        <v>82.100000000000051</v>
      </c>
      <c r="S20" s="2052"/>
      <c r="T20" s="1839">
        <v>102.90000000000009</v>
      </c>
      <c r="U20" s="2052"/>
      <c r="V20" s="1839">
        <f t="shared" ref="V20:V27" si="0">$AD20-$D20-$F20-$H20-$J20-$L20-$N20-$P20-$R20-$T20</f>
        <v>90.399999999999835</v>
      </c>
      <c r="W20" s="2052"/>
      <c r="X20" s="1839"/>
      <c r="Y20" s="2052"/>
      <c r="Z20" s="1839"/>
      <c r="AA20" s="2053"/>
      <c r="AB20" s="2054"/>
      <c r="AC20" s="2056"/>
      <c r="AD20" s="1839">
        <v>923.9</v>
      </c>
      <c r="AE20" s="2086"/>
      <c r="AF20" s="3303"/>
      <c r="AG20" s="1839">
        <v>852.8</v>
      </c>
      <c r="AH20" s="1090"/>
      <c r="AI20" s="67"/>
      <c r="AJ20" s="911">
        <f t="shared" ref="AJ20:AJ27" si="1">ROUND(SUM(+AD20-AG20),1)</f>
        <v>71.099999999999994</v>
      </c>
      <c r="AK20" s="904"/>
      <c r="AL20" s="1872">
        <f t="shared" ref="AL20:AL28" si="2">ROUND(IF(AG20=0,0,AJ20/ABS(AG20)),3)</f>
        <v>8.3000000000000004E-2</v>
      </c>
    </row>
    <row r="21" spans="1:38" s="903" customFormat="1" ht="15" customHeight="1">
      <c r="A21" s="1087"/>
      <c r="B21" s="1095" t="s">
        <v>1113</v>
      </c>
      <c r="C21" s="107"/>
      <c r="D21" s="912">
        <v>0</v>
      </c>
      <c r="E21" s="1891"/>
      <c r="F21" s="912">
        <v>0</v>
      </c>
      <c r="G21" s="1891"/>
      <c r="H21" s="912">
        <v>0</v>
      </c>
      <c r="I21" s="1891"/>
      <c r="J21" s="912">
        <v>0</v>
      </c>
      <c r="K21" s="1581"/>
      <c r="L21" s="912">
        <v>0</v>
      </c>
      <c r="M21" s="1581"/>
      <c r="N21" s="912">
        <v>7.3</v>
      </c>
      <c r="O21" s="1581"/>
      <c r="P21" s="1839">
        <v>0</v>
      </c>
      <c r="Q21" s="2052"/>
      <c r="R21" s="1839">
        <v>0</v>
      </c>
      <c r="S21" s="2052"/>
      <c r="T21" s="1839">
        <v>5.6000000000000005</v>
      </c>
      <c r="U21" s="2052"/>
      <c r="V21" s="1839">
        <f t="shared" si="0"/>
        <v>0</v>
      </c>
      <c r="W21" s="2052"/>
      <c r="X21" s="1839"/>
      <c r="Y21" s="2052"/>
      <c r="Z21" s="1839"/>
      <c r="AA21" s="2053"/>
      <c r="AB21" s="2054"/>
      <c r="AC21" s="2056"/>
      <c r="AD21" s="1839">
        <v>12.9</v>
      </c>
      <c r="AE21" s="2086"/>
      <c r="AF21" s="3303"/>
      <c r="AG21" s="1839">
        <v>40.799999999999997</v>
      </c>
      <c r="AH21" s="1090"/>
      <c r="AI21" s="67"/>
      <c r="AJ21" s="911">
        <f t="shared" si="1"/>
        <v>-27.9</v>
      </c>
      <c r="AK21" s="904"/>
      <c r="AL21" s="1872">
        <f t="shared" si="2"/>
        <v>-0.68400000000000005</v>
      </c>
    </row>
    <row r="22" spans="1:38" s="903" customFormat="1" ht="15" customHeight="1">
      <c r="A22" s="1087"/>
      <c r="B22" s="1095" t="s">
        <v>1114</v>
      </c>
      <c r="C22" s="107"/>
      <c r="D22" s="912">
        <v>63.2</v>
      </c>
      <c r="E22" s="1891"/>
      <c r="F22" s="912">
        <v>59.399999999999991</v>
      </c>
      <c r="G22" s="1891"/>
      <c r="H22" s="912">
        <v>57.300000000000011</v>
      </c>
      <c r="I22" s="1891"/>
      <c r="J22" s="912">
        <v>75.400000000000034</v>
      </c>
      <c r="K22" s="1581"/>
      <c r="L22" s="912">
        <v>63.899999999999977</v>
      </c>
      <c r="M22" s="1581"/>
      <c r="N22" s="912">
        <v>59.400000000000034</v>
      </c>
      <c r="O22" s="1581"/>
      <c r="P22" s="1839">
        <v>65.5</v>
      </c>
      <c r="Q22" s="2052"/>
      <c r="R22" s="1839">
        <v>57.799999999999955</v>
      </c>
      <c r="S22" s="2052"/>
      <c r="T22" s="1839">
        <v>68.899999999999977</v>
      </c>
      <c r="U22" s="2052"/>
      <c r="V22" s="1839">
        <f t="shared" si="0"/>
        <v>55.300000000000011</v>
      </c>
      <c r="W22" s="2052"/>
      <c r="X22" s="1839"/>
      <c r="Y22" s="2052"/>
      <c r="Z22" s="1839"/>
      <c r="AA22" s="2053"/>
      <c r="AB22" s="2054"/>
      <c r="AC22" s="2056"/>
      <c r="AD22" s="1839">
        <v>626.1</v>
      </c>
      <c r="AE22" s="2086"/>
      <c r="AF22" s="3303"/>
      <c r="AG22" s="1839">
        <v>681.2</v>
      </c>
      <c r="AH22" s="1090"/>
      <c r="AI22" s="67"/>
      <c r="AJ22" s="911">
        <f t="shared" si="1"/>
        <v>-55.1</v>
      </c>
      <c r="AK22" s="904"/>
      <c r="AL22" s="1872">
        <f t="shared" si="2"/>
        <v>-8.1000000000000003E-2</v>
      </c>
    </row>
    <row r="23" spans="1:38" s="903" customFormat="1" ht="15" customHeight="1">
      <c r="A23" s="1087"/>
      <c r="B23" s="1845" t="s">
        <v>1262</v>
      </c>
      <c r="C23" s="107"/>
      <c r="D23" s="912">
        <v>0.5</v>
      </c>
      <c r="E23" s="1891"/>
      <c r="F23" s="912">
        <v>0.4</v>
      </c>
      <c r="G23" s="1891"/>
      <c r="H23" s="912">
        <v>0.49999999999999989</v>
      </c>
      <c r="I23" s="1891"/>
      <c r="J23" s="912">
        <v>0.5</v>
      </c>
      <c r="K23" s="1581"/>
      <c r="L23" s="912">
        <v>0.4</v>
      </c>
      <c r="M23" s="1581"/>
      <c r="N23" s="912">
        <v>0.49999999999999989</v>
      </c>
      <c r="O23" s="1581"/>
      <c r="P23" s="1839">
        <v>0.40000000000000036</v>
      </c>
      <c r="Q23" s="2052"/>
      <c r="R23" s="1839">
        <v>0.50000000000000011</v>
      </c>
      <c r="S23" s="2052"/>
      <c r="T23" s="1839">
        <v>0.59999999999999953</v>
      </c>
      <c r="U23" s="2052"/>
      <c r="V23" s="1839">
        <f t="shared" si="0"/>
        <v>0.50000000000000011</v>
      </c>
      <c r="W23" s="2052"/>
      <c r="X23" s="1839"/>
      <c r="Y23" s="2052"/>
      <c r="Z23" s="1839"/>
      <c r="AA23" s="2053"/>
      <c r="AB23" s="2054"/>
      <c r="AC23" s="2056"/>
      <c r="AD23" s="1839">
        <v>4.8</v>
      </c>
      <c r="AE23" s="2086"/>
      <c r="AF23" s="3303"/>
      <c r="AG23" s="1839">
        <v>3.1</v>
      </c>
      <c r="AH23" s="1090"/>
      <c r="AI23" s="67"/>
      <c r="AJ23" s="911">
        <f>ROUND(SUM(+AD23-AG23),1)</f>
        <v>1.7</v>
      </c>
      <c r="AK23" s="904"/>
      <c r="AL23" s="1774">
        <f>ROUND(IF(AG23=0,1,AJ23/ABS(AG23)),3)</f>
        <v>0.54800000000000004</v>
      </c>
    </row>
    <row r="24" spans="1:38" s="903" customFormat="1" ht="15" customHeight="1">
      <c r="A24" s="1087"/>
      <c r="B24" s="1095" t="s">
        <v>1115</v>
      </c>
      <c r="C24" s="107"/>
      <c r="D24" s="912">
        <v>9.6</v>
      </c>
      <c r="E24" s="1891"/>
      <c r="F24" s="912">
        <v>9.4</v>
      </c>
      <c r="G24" s="1891"/>
      <c r="H24" s="912">
        <v>9.4999999999999982</v>
      </c>
      <c r="I24" s="1891"/>
      <c r="J24" s="912">
        <v>8.7999999999999989</v>
      </c>
      <c r="K24" s="1581"/>
      <c r="L24" s="912">
        <v>10.1</v>
      </c>
      <c r="M24" s="1581"/>
      <c r="N24" s="912">
        <v>9.1000000000000032</v>
      </c>
      <c r="O24" s="1581"/>
      <c r="P24" s="1839">
        <v>9.9999999999999982</v>
      </c>
      <c r="Q24" s="2052"/>
      <c r="R24" s="1839">
        <v>8.6000000000000032</v>
      </c>
      <c r="S24" s="2052"/>
      <c r="T24" s="1839">
        <v>8.4999999999999911</v>
      </c>
      <c r="U24" s="2052"/>
      <c r="V24" s="1839">
        <f t="shared" si="0"/>
        <v>8.9000000000000075</v>
      </c>
      <c r="W24" s="2052"/>
      <c r="X24" s="1839"/>
      <c r="Y24" s="2052"/>
      <c r="Z24" s="1839"/>
      <c r="AA24" s="2053"/>
      <c r="AB24" s="2054"/>
      <c r="AC24" s="2056"/>
      <c r="AD24" s="1839">
        <v>92.5</v>
      </c>
      <c r="AE24" s="2086"/>
      <c r="AF24" s="3303"/>
      <c r="AG24" s="1839">
        <v>93.5</v>
      </c>
      <c r="AH24" s="1090"/>
      <c r="AI24" s="67"/>
      <c r="AJ24" s="911">
        <f t="shared" si="1"/>
        <v>-1</v>
      </c>
      <c r="AK24" s="904"/>
      <c r="AL24" s="1872">
        <f t="shared" si="2"/>
        <v>-1.0999999999999999E-2</v>
      </c>
    </row>
    <row r="25" spans="1:38" s="903" customFormat="1" ht="15" customHeight="1">
      <c r="A25" s="1087"/>
      <c r="B25" s="1095" t="s">
        <v>1116</v>
      </c>
      <c r="C25" s="107"/>
      <c r="D25" s="912">
        <v>0</v>
      </c>
      <c r="E25" s="1891"/>
      <c r="F25" s="912">
        <v>0</v>
      </c>
      <c r="G25" s="1891"/>
      <c r="H25" s="912">
        <v>0</v>
      </c>
      <c r="I25" s="1891"/>
      <c r="J25" s="912">
        <v>0</v>
      </c>
      <c r="K25" s="1581"/>
      <c r="L25" s="912">
        <v>0</v>
      </c>
      <c r="M25" s="1581"/>
      <c r="N25" s="912">
        <v>0</v>
      </c>
      <c r="O25" s="1581"/>
      <c r="P25" s="1839">
        <v>0</v>
      </c>
      <c r="Q25" s="2052"/>
      <c r="R25" s="1839">
        <v>0</v>
      </c>
      <c r="S25" s="2052"/>
      <c r="T25" s="1839">
        <v>0</v>
      </c>
      <c r="U25" s="2052"/>
      <c r="V25" s="1839">
        <f t="shared" si="0"/>
        <v>0</v>
      </c>
      <c r="W25" s="2052"/>
      <c r="X25" s="1839"/>
      <c r="Y25" s="2052"/>
      <c r="Z25" s="1839"/>
      <c r="AA25" s="2053"/>
      <c r="AB25" s="2054"/>
      <c r="AC25" s="2056"/>
      <c r="AD25" s="1839">
        <v>0</v>
      </c>
      <c r="AE25" s="2086"/>
      <c r="AF25" s="3303"/>
      <c r="AG25" s="1839">
        <v>0</v>
      </c>
      <c r="AH25" s="1090"/>
      <c r="AI25" s="67"/>
      <c r="AJ25" s="911">
        <f t="shared" si="1"/>
        <v>0</v>
      </c>
      <c r="AK25" s="904"/>
      <c r="AL25" s="1872">
        <f t="shared" si="2"/>
        <v>0</v>
      </c>
    </row>
    <row r="26" spans="1:38" s="903" customFormat="1" ht="15" customHeight="1">
      <c r="A26" s="1087"/>
      <c r="B26" s="1095" t="s">
        <v>1117</v>
      </c>
      <c r="C26" s="107"/>
      <c r="D26" s="912">
        <v>0</v>
      </c>
      <c r="E26" s="1891"/>
      <c r="F26" s="912">
        <v>0.1</v>
      </c>
      <c r="G26" s="1891"/>
      <c r="H26" s="912">
        <v>0.1</v>
      </c>
      <c r="I26" s="1891"/>
      <c r="J26" s="912">
        <v>0</v>
      </c>
      <c r="K26" s="1581"/>
      <c r="L26" s="912">
        <v>0</v>
      </c>
      <c r="M26" s="1581"/>
      <c r="N26" s="912">
        <v>9.9999999999999978E-2</v>
      </c>
      <c r="O26" s="1581"/>
      <c r="P26" s="1839">
        <v>0</v>
      </c>
      <c r="Q26" s="2052"/>
      <c r="R26" s="1839">
        <v>0.10000000000000006</v>
      </c>
      <c r="S26" s="2052"/>
      <c r="T26" s="1839">
        <v>0</v>
      </c>
      <c r="U26" s="2052"/>
      <c r="V26" s="1839">
        <f t="shared" si="0"/>
        <v>0</v>
      </c>
      <c r="W26" s="2052"/>
      <c r="X26" s="1839"/>
      <c r="Y26" s="2052"/>
      <c r="Z26" s="1839"/>
      <c r="AA26" s="2053"/>
      <c r="AB26" s="2054"/>
      <c r="AC26" s="2056"/>
      <c r="AD26" s="1839">
        <v>0.4</v>
      </c>
      <c r="AE26" s="2086"/>
      <c r="AF26" s="3303"/>
      <c r="AG26" s="1839">
        <v>-1.7</v>
      </c>
      <c r="AH26" s="1090"/>
      <c r="AI26" s="67"/>
      <c r="AJ26" s="911">
        <f t="shared" si="1"/>
        <v>2.1</v>
      </c>
      <c r="AK26" s="904"/>
      <c r="AL26" s="1879">
        <f>ROUND(IF(AG26=0,1,AJ26/ABS(AG26)),3)</f>
        <v>1.2350000000000001</v>
      </c>
    </row>
    <row r="27" spans="1:38" s="903" customFormat="1" ht="15" customHeight="1">
      <c r="A27" s="1087"/>
      <c r="B27" s="1097" t="s">
        <v>1118</v>
      </c>
      <c r="C27" s="107"/>
      <c r="D27" s="912">
        <v>0</v>
      </c>
      <c r="E27" s="1891"/>
      <c r="F27" s="912">
        <v>0</v>
      </c>
      <c r="G27" s="1891"/>
      <c r="H27" s="912">
        <v>0</v>
      </c>
      <c r="I27" s="1891"/>
      <c r="J27" s="912">
        <v>0</v>
      </c>
      <c r="K27" s="1581"/>
      <c r="L27" s="912">
        <v>0</v>
      </c>
      <c r="M27" s="1581"/>
      <c r="N27" s="912">
        <v>0</v>
      </c>
      <c r="O27" s="1581"/>
      <c r="P27" s="1839">
        <v>0</v>
      </c>
      <c r="Q27" s="2052"/>
      <c r="R27" s="1839">
        <v>0</v>
      </c>
      <c r="S27" s="2052"/>
      <c r="T27" s="1839">
        <v>0</v>
      </c>
      <c r="U27" s="2052"/>
      <c r="V27" s="1839">
        <f t="shared" si="0"/>
        <v>0</v>
      </c>
      <c r="W27" s="2052"/>
      <c r="X27" s="1839"/>
      <c r="Y27" s="2052"/>
      <c r="Z27" s="1839"/>
      <c r="AA27" s="2053"/>
      <c r="AB27" s="2054"/>
      <c r="AC27" s="2056"/>
      <c r="AD27" s="1839">
        <v>0</v>
      </c>
      <c r="AE27" s="2086"/>
      <c r="AF27" s="3303"/>
      <c r="AG27" s="1839">
        <v>49.7</v>
      </c>
      <c r="AH27" s="1090"/>
      <c r="AI27" s="67"/>
      <c r="AJ27" s="911">
        <f t="shared" si="1"/>
        <v>-49.7</v>
      </c>
      <c r="AK27" s="904"/>
      <c r="AL27" s="1872">
        <f t="shared" si="2"/>
        <v>-1</v>
      </c>
    </row>
    <row r="28" spans="1:38" s="768" customFormat="1" ht="15" customHeight="1">
      <c r="A28" s="1085"/>
      <c r="B28" s="1096" t="s">
        <v>1233</v>
      </c>
      <c r="C28" s="29"/>
      <c r="D28" s="1889">
        <f>ROUND(SUM(D20:D27),1)</f>
        <v>197.4</v>
      </c>
      <c r="E28" s="938"/>
      <c r="F28" s="1889">
        <f>ROUND(SUM(F20:F27),1)</f>
        <v>145.69999999999999</v>
      </c>
      <c r="G28" s="938"/>
      <c r="H28" s="1889">
        <f>ROUND(SUM(H20:H27),1)</f>
        <v>170.2</v>
      </c>
      <c r="I28" s="938"/>
      <c r="J28" s="1889">
        <f>ROUND(SUM(J20:J27),1)</f>
        <v>163.80000000000001</v>
      </c>
      <c r="K28" s="938"/>
      <c r="L28" s="61">
        <f>ROUND(SUM(L20:L27),1)</f>
        <v>154.69999999999999</v>
      </c>
      <c r="M28" s="938"/>
      <c r="N28" s="61">
        <f>ROUND(SUM(N20:N27),1)</f>
        <v>181.2</v>
      </c>
      <c r="O28" s="938"/>
      <c r="P28" s="2087">
        <f>ROUND(SUM(P20:P27),1)</f>
        <v>156.9</v>
      </c>
      <c r="Q28" s="1498"/>
      <c r="R28" s="2087">
        <f>ROUND(SUM(R20:R27),1)</f>
        <v>149.1</v>
      </c>
      <c r="S28" s="1498"/>
      <c r="T28" s="2087">
        <f>ROUND(SUM(T20:T27),1)</f>
        <v>186.5</v>
      </c>
      <c r="U28" s="1498"/>
      <c r="V28" s="2087">
        <f>ROUND(SUM(V20:V27),1)</f>
        <v>155.1</v>
      </c>
      <c r="W28" s="1498"/>
      <c r="X28" s="2087">
        <f>ROUND(SUM(X20:X27),1)</f>
        <v>0</v>
      </c>
      <c r="Y28" s="1498"/>
      <c r="Z28" s="2087">
        <f>ROUND(SUM(Z20:Z27),1)</f>
        <v>0</v>
      </c>
      <c r="AA28" s="1481"/>
      <c r="AB28" s="1498"/>
      <c r="AC28" s="2066"/>
      <c r="AD28" s="2071">
        <f>ROUND(SUM(AD20:AD27),1)</f>
        <v>1660.6</v>
      </c>
      <c r="AE28" s="2104"/>
      <c r="AF28" s="3304"/>
      <c r="AG28" s="2071">
        <f>ROUND(SUM(AG20:AG27),1)</f>
        <v>1719.4</v>
      </c>
      <c r="AH28" s="283"/>
      <c r="AI28" s="76"/>
      <c r="AJ28" s="61">
        <f>ROUND(SUM(AJ20:AJ27),1)</f>
        <v>-58.8</v>
      </c>
      <c r="AK28" s="209"/>
      <c r="AL28" s="1066">
        <f t="shared" si="2"/>
        <v>-3.4000000000000002E-2</v>
      </c>
    </row>
    <row r="29" spans="1:38" ht="15" customHeight="1">
      <c r="A29" s="150"/>
      <c r="B29" s="1221" t="s">
        <v>1101</v>
      </c>
      <c r="C29" s="31"/>
      <c r="D29" s="1575"/>
      <c r="E29" s="1575"/>
      <c r="F29" s="1575"/>
      <c r="G29" s="1575"/>
      <c r="H29" s="1575"/>
      <c r="I29" s="1575"/>
      <c r="J29" s="1575"/>
      <c r="K29" s="66"/>
      <c r="L29" s="66"/>
      <c r="M29" s="66"/>
      <c r="N29" s="66"/>
      <c r="O29" s="66"/>
      <c r="P29" s="2060"/>
      <c r="Q29" s="2060"/>
      <c r="R29" s="2060"/>
      <c r="S29" s="2060"/>
      <c r="T29" s="2060"/>
      <c r="U29" s="2060"/>
      <c r="V29" s="2060"/>
      <c r="W29" s="2060"/>
      <c r="X29" s="2060"/>
      <c r="Y29" s="2060"/>
      <c r="Z29" s="2060"/>
      <c r="AA29" s="2060"/>
      <c r="AB29" s="2060"/>
      <c r="AC29" s="2063"/>
      <c r="AD29" s="2049"/>
      <c r="AE29" s="2049"/>
      <c r="AF29" s="3302"/>
      <c r="AG29" s="2049"/>
      <c r="AH29" s="276"/>
      <c r="AI29" s="56"/>
      <c r="AJ29" s="656"/>
      <c r="AK29" s="936"/>
      <c r="AL29" s="936"/>
    </row>
    <row r="30" spans="1:38" s="903" customFormat="1" ht="15" customHeight="1">
      <c r="A30" s="1087"/>
      <c r="B30" s="1095" t="s">
        <v>1120</v>
      </c>
      <c r="C30" s="107"/>
      <c r="D30" s="912">
        <v>102.60000000000001</v>
      </c>
      <c r="E30" s="1891"/>
      <c r="F30" s="1060">
        <v>6</v>
      </c>
      <c r="G30" s="1891"/>
      <c r="H30" s="912">
        <v>175.39999999999998</v>
      </c>
      <c r="I30" s="1575"/>
      <c r="J30" s="912">
        <v>36.899999999999977</v>
      </c>
      <c r="K30" s="1581"/>
      <c r="L30" s="912">
        <v>21.4</v>
      </c>
      <c r="M30" s="1581"/>
      <c r="N30" s="912">
        <v>150.00000000000003</v>
      </c>
      <c r="O30" s="1581"/>
      <c r="P30" s="1839">
        <v>27.300000000000011</v>
      </c>
      <c r="Q30" s="2052"/>
      <c r="R30" s="1839">
        <v>39.199999999999932</v>
      </c>
      <c r="S30" s="2052"/>
      <c r="T30" s="1839">
        <v>174.90000000000012</v>
      </c>
      <c r="U30" s="2052"/>
      <c r="V30" s="1839">
        <f t="shared" ref="V30:V34" si="3">$AD30-$D30-$F30-$H30-$J30-$L30-$N30-$P30-$R30-$T30</f>
        <v>31.099999999999937</v>
      </c>
      <c r="W30" s="2052"/>
      <c r="X30" s="1839"/>
      <c r="Y30" s="2052"/>
      <c r="Z30" s="1839"/>
      <c r="AA30" s="2053"/>
      <c r="AB30" s="2054"/>
      <c r="AC30" s="2056"/>
      <c r="AD30" s="1839">
        <v>764.8</v>
      </c>
      <c r="AE30" s="2086"/>
      <c r="AF30" s="3303"/>
      <c r="AG30" s="1839">
        <v>673.1</v>
      </c>
      <c r="AH30" s="1090"/>
      <c r="AI30" s="67"/>
      <c r="AJ30" s="911">
        <f>ROUND(SUM(+AD30-AG30),1)</f>
        <v>91.7</v>
      </c>
      <c r="AK30" s="904"/>
      <c r="AL30" s="1872">
        <f t="shared" ref="AL30:AL35" si="4">ROUND(IF(AG30=0,0,AJ30/ABS(AG30)),3)</f>
        <v>0.13600000000000001</v>
      </c>
    </row>
    <row r="31" spans="1:38" s="903" customFormat="1" ht="15" customHeight="1">
      <c r="A31" s="1087"/>
      <c r="B31" s="1095" t="s">
        <v>1121</v>
      </c>
      <c r="C31" s="107"/>
      <c r="D31" s="912">
        <v>23.4</v>
      </c>
      <c r="E31" s="1891"/>
      <c r="F31" s="912">
        <v>-0.5</v>
      </c>
      <c r="G31" s="1891"/>
      <c r="H31" s="912">
        <v>23.5</v>
      </c>
      <c r="I31" s="1575"/>
      <c r="J31" s="912">
        <v>0.20000000000000284</v>
      </c>
      <c r="K31" s="1581"/>
      <c r="L31" s="912">
        <v>-0.89999999999999858</v>
      </c>
      <c r="M31" s="1581"/>
      <c r="N31" s="912">
        <v>32.399999999999991</v>
      </c>
      <c r="O31" s="1581"/>
      <c r="P31" s="1839">
        <v>0.80000000000001137</v>
      </c>
      <c r="Q31" s="2052"/>
      <c r="R31" s="1839">
        <v>1.1999999999999886</v>
      </c>
      <c r="S31" s="2052"/>
      <c r="T31" s="1839">
        <v>29.600000000000009</v>
      </c>
      <c r="U31" s="2052"/>
      <c r="V31" s="1839">
        <f t="shared" si="3"/>
        <v>-0.30000000000000426</v>
      </c>
      <c r="W31" s="2052"/>
      <c r="X31" s="1839"/>
      <c r="Y31" s="2052"/>
      <c r="Z31" s="1839"/>
      <c r="AA31" s="2053"/>
      <c r="AB31" s="2054"/>
      <c r="AC31" s="2056"/>
      <c r="AD31" s="1839">
        <v>109.4</v>
      </c>
      <c r="AE31" s="2086"/>
      <c r="AF31" s="3303"/>
      <c r="AG31" s="1839">
        <v>106.2</v>
      </c>
      <c r="AH31" s="1090"/>
      <c r="AI31" s="67"/>
      <c r="AJ31" s="911">
        <f>ROUND(SUM(+AD31-AG31),1)</f>
        <v>3.2</v>
      </c>
      <c r="AK31" s="904"/>
      <c r="AL31" s="1872">
        <f t="shared" si="4"/>
        <v>0.03</v>
      </c>
    </row>
    <row r="32" spans="1:38" s="903" customFormat="1" ht="15" customHeight="1">
      <c r="A32" s="1087"/>
      <c r="B32" s="1095" t="s">
        <v>1122</v>
      </c>
      <c r="C32" s="107"/>
      <c r="D32" s="912">
        <v>14.4</v>
      </c>
      <c r="E32" s="1891"/>
      <c r="F32" s="912">
        <v>8.6</v>
      </c>
      <c r="G32" s="1891"/>
      <c r="H32" s="912">
        <v>48.5</v>
      </c>
      <c r="I32" s="1575"/>
      <c r="J32" s="912">
        <v>5.9000000000000057</v>
      </c>
      <c r="K32" s="1581"/>
      <c r="L32" s="912">
        <v>-3.8000000000000114</v>
      </c>
      <c r="M32" s="1581"/>
      <c r="N32" s="912">
        <v>49</v>
      </c>
      <c r="O32" s="1581"/>
      <c r="P32" s="1839">
        <v>-1.2999999999999972</v>
      </c>
      <c r="Q32" s="2052"/>
      <c r="R32" s="1839">
        <v>-0.29999999999999716</v>
      </c>
      <c r="S32" s="2052"/>
      <c r="T32" s="1839">
        <v>62.699999999999989</v>
      </c>
      <c r="U32" s="2052"/>
      <c r="V32" s="1839">
        <f t="shared" si="3"/>
        <v>-0.89999999999997726</v>
      </c>
      <c r="W32" s="2052"/>
      <c r="X32" s="1839"/>
      <c r="Y32" s="2052"/>
      <c r="Z32" s="1839"/>
      <c r="AA32" s="2053"/>
      <c r="AB32" s="2054"/>
      <c r="AC32" s="2056"/>
      <c r="AD32" s="1839">
        <v>182.8</v>
      </c>
      <c r="AE32" s="2086"/>
      <c r="AF32" s="3303"/>
      <c r="AG32" s="1839">
        <v>128.6</v>
      </c>
      <c r="AH32" s="1090"/>
      <c r="AI32" s="67"/>
      <c r="AJ32" s="911">
        <f>ROUND(SUM(+AD32-AG32),1)</f>
        <v>54.2</v>
      </c>
      <c r="AK32" s="904"/>
      <c r="AL32" s="1873">
        <f t="shared" si="4"/>
        <v>0.42099999999999999</v>
      </c>
    </row>
    <row r="33" spans="1:39" s="903" customFormat="1" ht="15" customHeight="1">
      <c r="A33" s="1087"/>
      <c r="B33" s="1095" t="s">
        <v>1123</v>
      </c>
      <c r="C33" s="107"/>
      <c r="D33" s="912">
        <v>19.899999999999999</v>
      </c>
      <c r="E33" s="1891"/>
      <c r="F33" s="912">
        <v>-16.399999999999999</v>
      </c>
      <c r="G33" s="1891"/>
      <c r="H33" s="912">
        <v>0.40000000000000036</v>
      </c>
      <c r="I33" s="1575"/>
      <c r="J33" s="912">
        <v>9.9999999999999645E-2</v>
      </c>
      <c r="K33" s="1581"/>
      <c r="L33" s="912">
        <v>-9.9999999999999645E-2</v>
      </c>
      <c r="M33" s="1581"/>
      <c r="N33" s="912">
        <v>-0.40000000000000036</v>
      </c>
      <c r="O33" s="1581"/>
      <c r="P33" s="1839">
        <v>-0.19999999999999929</v>
      </c>
      <c r="Q33" s="2052"/>
      <c r="R33" s="1839">
        <v>-5.1999999999999993</v>
      </c>
      <c r="S33" s="2052"/>
      <c r="T33" s="1839">
        <v>-0.10000000000000142</v>
      </c>
      <c r="U33" s="2052"/>
      <c r="V33" s="1839">
        <f t="shared" si="3"/>
        <v>0.10000000000000142</v>
      </c>
      <c r="W33" s="2052"/>
      <c r="X33" s="1839"/>
      <c r="Y33" s="2052"/>
      <c r="Z33" s="1839"/>
      <c r="AA33" s="2053"/>
      <c r="AB33" s="2054"/>
      <c r="AC33" s="2056"/>
      <c r="AD33" s="1839">
        <v>-1.9</v>
      </c>
      <c r="AE33" s="2086"/>
      <c r="AF33" s="3303"/>
      <c r="AG33" s="1839">
        <v>4.8</v>
      </c>
      <c r="AH33" s="1090"/>
      <c r="AI33" s="67"/>
      <c r="AJ33" s="911">
        <f>ROUND(SUM(+AD33-AG33),1)</f>
        <v>-6.7</v>
      </c>
      <c r="AK33" s="904"/>
      <c r="AL33" s="1873">
        <f t="shared" si="4"/>
        <v>-1.3959999999999999</v>
      </c>
    </row>
    <row r="34" spans="1:39" s="903" customFormat="1" ht="15" customHeight="1">
      <c r="A34" s="1087"/>
      <c r="B34" s="1095" t="s">
        <v>1124</v>
      </c>
      <c r="C34" s="107"/>
      <c r="D34" s="912">
        <v>44.1</v>
      </c>
      <c r="E34" s="1891"/>
      <c r="F34" s="912">
        <v>43.9</v>
      </c>
      <c r="G34" s="1891"/>
      <c r="H34" s="912">
        <v>45.400000000000013</v>
      </c>
      <c r="I34" s="1575"/>
      <c r="J34" s="912">
        <v>41.299999999999976</v>
      </c>
      <c r="K34" s="1581"/>
      <c r="L34" s="912">
        <v>47.000000000000007</v>
      </c>
      <c r="M34" s="1581"/>
      <c r="N34" s="912">
        <v>43.900000000000027</v>
      </c>
      <c r="O34" s="1581"/>
      <c r="P34" s="1839">
        <v>47.199999999999967</v>
      </c>
      <c r="Q34" s="2052"/>
      <c r="R34" s="1839">
        <v>40.800000000000033</v>
      </c>
      <c r="S34" s="2052"/>
      <c r="T34" s="1839">
        <v>39.799999999999933</v>
      </c>
      <c r="U34" s="2052"/>
      <c r="V34" s="1839">
        <f t="shared" si="3"/>
        <v>43.100000000000044</v>
      </c>
      <c r="W34" s="2052"/>
      <c r="X34" s="1839"/>
      <c r="Y34" s="2052"/>
      <c r="Z34" s="1839"/>
      <c r="AA34" s="2053"/>
      <c r="AB34" s="2054"/>
      <c r="AC34" s="2056"/>
      <c r="AD34" s="1839">
        <v>436.5</v>
      </c>
      <c r="AE34" s="2086"/>
      <c r="AF34" s="3303"/>
      <c r="AG34" s="1839">
        <v>426</v>
      </c>
      <c r="AH34" s="1090"/>
      <c r="AI34" s="67"/>
      <c r="AJ34" s="911">
        <f>ROUND(SUM(+AD34-AG34),1)</f>
        <v>10.5</v>
      </c>
      <c r="AK34" s="904"/>
      <c r="AL34" s="1872">
        <f t="shared" si="4"/>
        <v>2.5000000000000001E-2</v>
      </c>
    </row>
    <row r="35" spans="1:39" s="768" customFormat="1" ht="15" customHeight="1">
      <c r="A35" s="1085"/>
      <c r="B35" s="1096" t="s">
        <v>1236</v>
      </c>
      <c r="C35" s="29"/>
      <c r="D35" s="1889">
        <f>ROUND(SUM(D30:D34),1)</f>
        <v>204.4</v>
      </c>
      <c r="E35" s="938"/>
      <c r="F35" s="1889">
        <f>ROUND(SUM(F30:F34),1)</f>
        <v>41.6</v>
      </c>
      <c r="G35" s="938"/>
      <c r="H35" s="1889">
        <f>ROUND(SUM(H30:H34),1)</f>
        <v>293.2</v>
      </c>
      <c r="I35" s="938"/>
      <c r="J35" s="1889">
        <f>ROUND(SUM(J30:J34),1)</f>
        <v>84.4</v>
      </c>
      <c r="K35" s="938"/>
      <c r="L35" s="61">
        <f>ROUND(SUM(L30:L34),1)</f>
        <v>63.6</v>
      </c>
      <c r="M35" s="938"/>
      <c r="N35" s="61">
        <f>ROUND(SUM(N30:N34),1)</f>
        <v>274.89999999999998</v>
      </c>
      <c r="O35" s="938"/>
      <c r="P35" s="2087">
        <f>ROUND(SUM(P30:P34),1)</f>
        <v>73.8</v>
      </c>
      <c r="Q35" s="1498"/>
      <c r="R35" s="2087">
        <f>ROUND(SUM(R30:R34),1)</f>
        <v>75.7</v>
      </c>
      <c r="S35" s="1498"/>
      <c r="T35" s="2087">
        <f>ROUND(SUM(T30:T34),1)</f>
        <v>306.89999999999998</v>
      </c>
      <c r="U35" s="1498"/>
      <c r="V35" s="2087">
        <f>ROUND(SUM(V30:V34),1)</f>
        <v>73.099999999999994</v>
      </c>
      <c r="W35" s="1498"/>
      <c r="X35" s="2087">
        <f>ROUND(SUM(X30:X34),1)</f>
        <v>0</v>
      </c>
      <c r="Y35" s="1498"/>
      <c r="Z35" s="2087">
        <f>ROUND(SUM(Z30:Z34),1)</f>
        <v>0</v>
      </c>
      <c r="AA35" s="1481"/>
      <c r="AB35" s="1498"/>
      <c r="AC35" s="2066"/>
      <c r="AD35" s="2071">
        <f>ROUND(SUM(AD30:AD34),1)</f>
        <v>1491.6</v>
      </c>
      <c r="AE35" s="2104"/>
      <c r="AF35" s="3304"/>
      <c r="AG35" s="2071">
        <f>ROUND(SUM(AG30:AG34),1)</f>
        <v>1338.7</v>
      </c>
      <c r="AH35" s="283"/>
      <c r="AI35" s="76"/>
      <c r="AJ35" s="61">
        <f>ROUND(SUM(AJ30:AJ34),1)</f>
        <v>152.9</v>
      </c>
      <c r="AK35" s="209"/>
      <c r="AL35" s="1444">
        <f t="shared" si="4"/>
        <v>0.114</v>
      </c>
    </row>
    <row r="36" spans="1:39" ht="15" customHeight="1">
      <c r="A36" s="150"/>
      <c r="B36" s="1096"/>
      <c r="C36" s="31"/>
      <c r="D36" s="1575"/>
      <c r="E36" s="1575"/>
      <c r="F36" s="1575"/>
      <c r="G36" s="1575"/>
      <c r="H36" s="1575"/>
      <c r="I36" s="1575"/>
      <c r="J36" s="1575"/>
      <c r="K36" s="66"/>
      <c r="L36" s="66"/>
      <c r="M36" s="66"/>
      <c r="N36" s="66"/>
      <c r="O36" s="66"/>
      <c r="P36" s="2060"/>
      <c r="Q36" s="2060"/>
      <c r="R36" s="2060"/>
      <c r="S36" s="2060"/>
      <c r="T36" s="2060"/>
      <c r="U36" s="2060"/>
      <c r="V36" s="2060"/>
      <c r="W36" s="2060"/>
      <c r="X36" s="2060"/>
      <c r="Y36" s="2060"/>
      <c r="Z36" s="2060"/>
      <c r="AA36" s="2060"/>
      <c r="AB36" s="2060"/>
      <c r="AC36" s="2088"/>
      <c r="AD36" s="2030"/>
      <c r="AE36" s="2049"/>
      <c r="AF36" s="3302"/>
      <c r="AG36" s="2030"/>
      <c r="AH36" s="276"/>
      <c r="AI36" s="56"/>
      <c r="AJ36" s="656"/>
      <c r="AK36" s="936"/>
      <c r="AL36" s="1470"/>
    </row>
    <row r="37" spans="1:39" ht="15" customHeight="1">
      <c r="A37" s="150"/>
      <c r="B37" s="312" t="s">
        <v>1098</v>
      </c>
      <c r="C37" s="31"/>
      <c r="D37" s="3706">
        <f>ROUND(SUM(D17+D28+D35),1)</f>
        <v>401.8</v>
      </c>
      <c r="E37" s="1575"/>
      <c r="F37" s="3706">
        <f>ROUND(SUM(F17+F28+F35),1)</f>
        <v>187.3</v>
      </c>
      <c r="G37" s="1575"/>
      <c r="H37" s="3706">
        <f>ROUND(SUM(H17+H28+H35),1)</f>
        <v>463.4</v>
      </c>
      <c r="I37" s="1575"/>
      <c r="J37" s="3706">
        <f>ROUND(SUM(J17+J28+J35),1)</f>
        <v>248.2</v>
      </c>
      <c r="K37" s="66"/>
      <c r="L37" s="3706">
        <f>ROUND(SUM(L17+L28+L35),1)</f>
        <v>218.3</v>
      </c>
      <c r="M37" s="1575"/>
      <c r="N37" s="3706">
        <f>ROUND(SUM(N17+N28+N35),1)</f>
        <v>456.1</v>
      </c>
      <c r="O37" s="1575"/>
      <c r="P37" s="3706">
        <f>ROUND(SUM(P17+P28+P35),1)</f>
        <v>230.9</v>
      </c>
      <c r="Q37" s="1575"/>
      <c r="R37" s="3706">
        <f>ROUND(SUM(R17+R28+R35),1)</f>
        <v>227.8</v>
      </c>
      <c r="S37" s="2060"/>
      <c r="T37" s="3706">
        <f>ROUND(SUM(T17+T28+T35),1)</f>
        <v>531.9</v>
      </c>
      <c r="U37" s="1575"/>
      <c r="V37" s="3706">
        <f>ROUND(SUM(V17+V28+V35),1)</f>
        <v>2335.6</v>
      </c>
      <c r="W37" s="1575"/>
      <c r="X37" s="3706">
        <f>ROUND(SUM(X17+X28+X35),1)</f>
        <v>0</v>
      </c>
      <c r="Y37" s="1575"/>
      <c r="Z37" s="3706">
        <f>ROUND(SUM(Z17+Z28+Z35),1)</f>
        <v>0</v>
      </c>
      <c r="AA37" s="2090"/>
      <c r="AB37" s="2060"/>
      <c r="AC37" s="2091"/>
      <c r="AD37" s="3706">
        <f>ROUND(SUM(AD17+AD28+AD35),1)</f>
        <v>5301.3</v>
      </c>
      <c r="AE37" s="2049"/>
      <c r="AF37" s="2093"/>
      <c r="AG37" s="3706">
        <f>ROUND(SUM(AG17+AG28+AG35),1)</f>
        <v>5468.1</v>
      </c>
      <c r="AH37" s="280"/>
      <c r="AI37" s="56"/>
      <c r="AJ37" s="3706">
        <f>ROUND(SUM(AJ17+AJ28+AJ35),1)</f>
        <v>-166.8</v>
      </c>
      <c r="AK37" s="656"/>
      <c r="AL37" s="3707">
        <f>ROUND(IF(AG37=0,0,AJ37/ABS(AG37)),3)</f>
        <v>-3.1E-2</v>
      </c>
      <c r="AM37" s="799"/>
    </row>
    <row r="38" spans="1:39" ht="15" customHeight="1">
      <c r="A38" s="150"/>
      <c r="B38" s="31"/>
      <c r="C38" s="31"/>
      <c r="D38" s="695"/>
      <c r="E38" s="1575"/>
      <c r="F38" s="695"/>
      <c r="G38" s="1575"/>
      <c r="H38" s="1575"/>
      <c r="I38" s="1575"/>
      <c r="J38" s="695"/>
      <c r="K38" s="66"/>
      <c r="L38" s="77"/>
      <c r="M38" s="66"/>
      <c r="N38" s="77"/>
      <c r="O38" s="66"/>
      <c r="P38" s="2069"/>
      <c r="Q38" s="2060"/>
      <c r="R38" s="2069"/>
      <c r="S38" s="2060"/>
      <c r="T38" s="2069"/>
      <c r="U38" s="2060"/>
      <c r="V38" s="2069"/>
      <c r="W38" s="2060"/>
      <c r="X38" s="2069"/>
      <c r="Y38" s="2060"/>
      <c r="Z38" s="2069"/>
      <c r="AA38" s="2069"/>
      <c r="AB38" s="2060"/>
      <c r="AC38" s="2091"/>
      <c r="AD38" s="2177"/>
      <c r="AE38" s="2722"/>
      <c r="AF38" s="2051"/>
      <c r="AG38" s="2177"/>
      <c r="AH38" s="280"/>
      <c r="AI38" s="56"/>
      <c r="AJ38" s="656"/>
      <c r="AK38" s="656"/>
      <c r="AL38" s="1468"/>
      <c r="AM38" s="799"/>
    </row>
    <row r="39" spans="1:39" ht="15" customHeight="1">
      <c r="A39" s="150"/>
      <c r="B39" s="261" t="s">
        <v>1033</v>
      </c>
      <c r="C39" s="31"/>
      <c r="D39" s="695"/>
      <c r="E39" s="1575"/>
      <c r="F39" s="695"/>
      <c r="G39" s="1575"/>
      <c r="H39" s="1575"/>
      <c r="I39" s="1575"/>
      <c r="J39" s="695"/>
      <c r="K39" s="66"/>
      <c r="L39" s="77"/>
      <c r="M39" s="66"/>
      <c r="N39" s="77"/>
      <c r="O39" s="66"/>
      <c r="P39" s="2069"/>
      <c r="Q39" s="2060"/>
      <c r="R39" s="2069"/>
      <c r="S39" s="2060"/>
      <c r="T39" s="2069"/>
      <c r="U39" s="2060"/>
      <c r="V39" s="2069"/>
      <c r="W39" s="2060"/>
      <c r="X39" s="2069"/>
      <c r="Y39" s="2060"/>
      <c r="Z39" s="2069"/>
      <c r="AA39" s="2069"/>
      <c r="AB39" s="2060"/>
      <c r="AC39" s="2091"/>
      <c r="AD39" s="2049"/>
      <c r="AE39" s="2049"/>
      <c r="AF39" s="2051"/>
      <c r="AG39" s="2049"/>
      <c r="AH39" s="276"/>
      <c r="AI39" s="56"/>
      <c r="AJ39" s="656"/>
      <c r="AK39" s="656"/>
      <c r="AL39" s="1468"/>
      <c r="AM39" s="799"/>
    </row>
    <row r="40" spans="1:39" ht="15" customHeight="1">
      <c r="A40" s="150"/>
      <c r="B40" s="908" t="s">
        <v>1154</v>
      </c>
      <c r="C40" s="31"/>
      <c r="D40" s="695"/>
      <c r="E40" s="1575"/>
      <c r="F40" s="695"/>
      <c r="G40" s="1575"/>
      <c r="H40" s="1575"/>
      <c r="I40" s="1575"/>
      <c r="J40" s="695"/>
      <c r="K40" s="66"/>
      <c r="L40" s="77"/>
      <c r="M40" s="66"/>
      <c r="N40" s="77"/>
      <c r="O40" s="66"/>
      <c r="P40" s="2069"/>
      <c r="Q40" s="2060"/>
      <c r="R40" s="2069"/>
      <c r="S40" s="2060"/>
      <c r="T40" s="2069"/>
      <c r="U40" s="2060"/>
      <c r="V40" s="2069"/>
      <c r="W40" s="2060"/>
      <c r="X40" s="2069"/>
      <c r="Y40" s="2060"/>
      <c r="Z40" s="2069"/>
      <c r="AA40" s="2069"/>
      <c r="AB40" s="2060"/>
      <c r="AC40" s="2091"/>
      <c r="AD40" s="2049"/>
      <c r="AE40" s="2049"/>
      <c r="AF40" s="2051"/>
      <c r="AG40" s="2049"/>
      <c r="AH40" s="276"/>
      <c r="AI40" s="56"/>
      <c r="AJ40" s="656"/>
      <c r="AK40" s="656"/>
      <c r="AL40" s="1468"/>
      <c r="AM40" s="799"/>
    </row>
    <row r="41" spans="1:39" s="903" customFormat="1" ht="15" customHeight="1">
      <c r="A41" s="1087"/>
      <c r="B41" s="908" t="s">
        <v>1066</v>
      </c>
      <c r="C41" s="107"/>
      <c r="D41" s="912">
        <v>1.1000000000000001</v>
      </c>
      <c r="E41" s="911"/>
      <c r="F41" s="912">
        <v>1.1000000000000001</v>
      </c>
      <c r="G41" s="911"/>
      <c r="H41" s="912">
        <v>0.89999999999999991</v>
      </c>
      <c r="I41" s="911"/>
      <c r="J41" s="912">
        <v>0.89999999999999991</v>
      </c>
      <c r="K41" s="1581"/>
      <c r="L41" s="912">
        <v>0.79999999999999982</v>
      </c>
      <c r="M41" s="1581"/>
      <c r="N41" s="912">
        <v>0.80000000000000027</v>
      </c>
      <c r="O41" s="1581"/>
      <c r="P41" s="1839">
        <v>1.1999999999999997</v>
      </c>
      <c r="Q41" s="2052"/>
      <c r="R41" s="1839">
        <v>0.89999999999999991</v>
      </c>
      <c r="S41" s="2052"/>
      <c r="T41" s="1839">
        <v>1.100000000000001</v>
      </c>
      <c r="U41" s="2052"/>
      <c r="V41" s="1839">
        <f t="shared" ref="V41:V79" si="5">$AD41-$D41-$F41-$H41-$J41-$L41-$N41-$P41-$R41-$T41</f>
        <v>0.89999999999999902</v>
      </c>
      <c r="W41" s="2052"/>
      <c r="X41" s="1839"/>
      <c r="Y41" s="2052"/>
      <c r="Z41" s="1839"/>
      <c r="AA41" s="2053"/>
      <c r="AB41" s="2054"/>
      <c r="AC41" s="2056"/>
      <c r="AD41" s="1839">
        <v>9.6999999999999993</v>
      </c>
      <c r="AE41" s="2086"/>
      <c r="AF41" s="3303"/>
      <c r="AG41" s="1839">
        <v>9.1</v>
      </c>
      <c r="AH41" s="1090"/>
      <c r="AI41" s="67"/>
      <c r="AJ41" s="911">
        <f t="shared" ref="AJ41:AJ79" si="6">ROUND(SUM(+AD41-AG41),1)</f>
        <v>0.6</v>
      </c>
      <c r="AK41" s="911"/>
      <c r="AL41" s="1868">
        <f>ROUND(IF(AG41=0,0,AJ41/ABS(AG41)),3)</f>
        <v>6.6000000000000003E-2</v>
      </c>
      <c r="AM41" s="1869"/>
    </row>
    <row r="42" spans="1:39" s="903" customFormat="1" ht="15" customHeight="1">
      <c r="A42" s="1087"/>
      <c r="B42" s="908" t="s">
        <v>1155</v>
      </c>
      <c r="C42" s="107"/>
      <c r="D42" s="912" t="s">
        <v>15</v>
      </c>
      <c r="E42" s="1575"/>
      <c r="F42" s="912"/>
      <c r="G42" s="1575"/>
      <c r="H42" s="912"/>
      <c r="I42" s="1575"/>
      <c r="J42" s="912"/>
      <c r="K42" s="118"/>
      <c r="L42" s="912"/>
      <c r="M42" s="911"/>
      <c r="N42" s="912"/>
      <c r="O42" s="118"/>
      <c r="P42" s="1839"/>
      <c r="Q42" s="2049"/>
      <c r="R42" s="1839"/>
      <c r="S42" s="2049"/>
      <c r="T42" s="1839"/>
      <c r="U42" s="2049"/>
      <c r="V42" s="1839"/>
      <c r="W42" s="2049"/>
      <c r="X42" s="1839"/>
      <c r="Y42" s="2049"/>
      <c r="Z42" s="1839"/>
      <c r="AA42" s="2048"/>
      <c r="AB42" s="2049"/>
      <c r="AC42" s="2093"/>
      <c r="AD42" s="2049"/>
      <c r="AE42" s="2049"/>
      <c r="AF42" s="2051"/>
      <c r="AG42" s="2049"/>
      <c r="AH42" s="1090"/>
      <c r="AI42" s="67"/>
      <c r="AJ42" s="911"/>
      <c r="AK42" s="911"/>
      <c r="AL42" s="1868"/>
      <c r="AM42" s="1869"/>
    </row>
    <row r="43" spans="1:39" s="903" customFormat="1" ht="15" customHeight="1">
      <c r="A43" s="1087"/>
      <c r="B43" s="908" t="s">
        <v>1068</v>
      </c>
      <c r="C43" s="107"/>
      <c r="D43" s="912">
        <v>66.400000000000006</v>
      </c>
      <c r="E43" s="1575"/>
      <c r="F43" s="912">
        <v>33.599999999999994</v>
      </c>
      <c r="G43" s="1575"/>
      <c r="H43" s="912">
        <v>94.199999999999989</v>
      </c>
      <c r="I43" s="1575"/>
      <c r="J43" s="912">
        <v>49.200000000000017</v>
      </c>
      <c r="K43" s="1581"/>
      <c r="L43" s="912">
        <v>43.900000000000006</v>
      </c>
      <c r="M43" s="1581"/>
      <c r="N43" s="912">
        <v>68.30000000000004</v>
      </c>
      <c r="O43" s="1581"/>
      <c r="P43" s="1839">
        <v>68.099999999999881</v>
      </c>
      <c r="Q43" s="2052"/>
      <c r="R43" s="1839">
        <v>28.800000000000068</v>
      </c>
      <c r="S43" s="2052"/>
      <c r="T43" s="1839">
        <v>72.600000000000051</v>
      </c>
      <c r="U43" s="2052"/>
      <c r="V43" s="1839">
        <f t="shared" si="5"/>
        <v>91.799999999999955</v>
      </c>
      <c r="W43" s="2052"/>
      <c r="X43" s="1839"/>
      <c r="Y43" s="2052"/>
      <c r="Z43" s="1839"/>
      <c r="AA43" s="2053"/>
      <c r="AB43" s="2054"/>
      <c r="AC43" s="2056"/>
      <c r="AD43" s="1839">
        <v>616.9</v>
      </c>
      <c r="AE43" s="2086"/>
      <c r="AF43" s="3303"/>
      <c r="AG43" s="1839">
        <v>633.1</v>
      </c>
      <c r="AH43" s="1090"/>
      <c r="AI43" s="67"/>
      <c r="AJ43" s="911">
        <f t="shared" si="6"/>
        <v>-16.2</v>
      </c>
      <c r="AK43" s="911"/>
      <c r="AL43" s="1868">
        <f>ROUND(IF(AG43=0,0,AJ43/ABS(AG43)),3)</f>
        <v>-2.5999999999999999E-2</v>
      </c>
      <c r="AM43" s="1869"/>
    </row>
    <row r="44" spans="1:39" s="903" customFormat="1" ht="15" customHeight="1">
      <c r="A44" s="1087"/>
      <c r="B44" s="908" t="s">
        <v>1069</v>
      </c>
      <c r="C44" s="107"/>
      <c r="D44" s="912">
        <v>625.70000000000005</v>
      </c>
      <c r="E44" s="1575"/>
      <c r="F44" s="912">
        <v>519.70000000000005</v>
      </c>
      <c r="G44" s="1575"/>
      <c r="H44" s="912">
        <v>504.69999999999982</v>
      </c>
      <c r="I44" s="1575"/>
      <c r="J44" s="912">
        <v>567.5</v>
      </c>
      <c r="K44" s="1581"/>
      <c r="L44" s="912">
        <v>515.90000000000032</v>
      </c>
      <c r="M44" s="1581"/>
      <c r="N44" s="912">
        <v>542.20000000000005</v>
      </c>
      <c r="O44" s="1581"/>
      <c r="P44" s="1839">
        <v>528.69999999999982</v>
      </c>
      <c r="Q44" s="2052"/>
      <c r="R44" s="1839">
        <v>469.10000000000036</v>
      </c>
      <c r="S44" s="2052"/>
      <c r="T44" s="1839">
        <v>522.39999999999941</v>
      </c>
      <c r="U44" s="2052"/>
      <c r="V44" s="1839">
        <f t="shared" si="5"/>
        <v>573.50000000000023</v>
      </c>
      <c r="W44" s="2052"/>
      <c r="X44" s="1839"/>
      <c r="Y44" s="2052"/>
      <c r="Z44" s="1839"/>
      <c r="AA44" s="2053"/>
      <c r="AB44" s="2054"/>
      <c r="AC44" s="2056"/>
      <c r="AD44" s="1839">
        <v>5369.4</v>
      </c>
      <c r="AE44" s="2086"/>
      <c r="AF44" s="3303"/>
      <c r="AG44" s="1839">
        <v>5073.2</v>
      </c>
      <c r="AH44" s="1090"/>
      <c r="AI44" s="67"/>
      <c r="AJ44" s="911">
        <f t="shared" si="6"/>
        <v>296.2</v>
      </c>
      <c r="AK44" s="911"/>
      <c r="AL44" s="1868">
        <f>ROUND(IF(AG44=0,0,AJ44/ABS(AG44)),3)</f>
        <v>5.8000000000000003E-2</v>
      </c>
      <c r="AM44" s="1869"/>
    </row>
    <row r="45" spans="1:39" ht="15" customHeight="1">
      <c r="A45" s="150"/>
      <c r="B45" s="908" t="s">
        <v>1070</v>
      </c>
      <c r="C45" s="31"/>
      <c r="D45" s="912">
        <v>5.0999999999999996</v>
      </c>
      <c r="E45" s="1575"/>
      <c r="F45" s="912">
        <v>0</v>
      </c>
      <c r="G45" s="1575"/>
      <c r="H45" s="912">
        <v>0.70000000000000018</v>
      </c>
      <c r="I45" s="1575"/>
      <c r="J45" s="912">
        <v>0</v>
      </c>
      <c r="K45" s="1581"/>
      <c r="L45" s="912">
        <v>0.90000000000000036</v>
      </c>
      <c r="M45" s="1581"/>
      <c r="N45" s="912">
        <v>44.199999999999996</v>
      </c>
      <c r="O45" s="1581"/>
      <c r="P45" s="1839">
        <v>-6</v>
      </c>
      <c r="Q45" s="2052"/>
      <c r="R45" s="1839">
        <v>-1.6999999999999957</v>
      </c>
      <c r="S45" s="2052"/>
      <c r="T45" s="1839">
        <v>0.79999999999999716</v>
      </c>
      <c r="U45" s="2052"/>
      <c r="V45" s="1839">
        <f t="shared" si="5"/>
        <v>0</v>
      </c>
      <c r="W45" s="2052"/>
      <c r="X45" s="1839"/>
      <c r="Y45" s="2052"/>
      <c r="Z45" s="1839"/>
      <c r="AA45" s="2053"/>
      <c r="AB45" s="2054"/>
      <c r="AC45" s="2056"/>
      <c r="AD45" s="1839">
        <v>44</v>
      </c>
      <c r="AE45" s="2086"/>
      <c r="AF45" s="3303"/>
      <c r="AG45" s="1839">
        <v>39.4</v>
      </c>
      <c r="AH45" s="276"/>
      <c r="AI45" s="56"/>
      <c r="AJ45" s="656">
        <f t="shared" si="6"/>
        <v>4.5999999999999996</v>
      </c>
      <c r="AK45" s="656"/>
      <c r="AL45" s="1468">
        <f>ROUND(IF(AG45=0,0,AJ45/ABS(AG45)),3)</f>
        <v>0.11700000000000001</v>
      </c>
      <c r="AM45" s="799"/>
    </row>
    <row r="46" spans="1:39" ht="15" customHeight="1">
      <c r="A46" s="150"/>
      <c r="B46" s="908" t="s">
        <v>1071</v>
      </c>
      <c r="C46" s="31"/>
      <c r="D46" s="912">
        <v>0</v>
      </c>
      <c r="E46" s="1575"/>
      <c r="F46" s="912">
        <v>0.1</v>
      </c>
      <c r="G46" s="1575"/>
      <c r="H46" s="912">
        <v>0</v>
      </c>
      <c r="I46" s="1575"/>
      <c r="J46" s="912">
        <v>0</v>
      </c>
      <c r="K46" s="1581"/>
      <c r="L46" s="912">
        <v>0.1</v>
      </c>
      <c r="M46" s="1581"/>
      <c r="N46" s="912">
        <v>0</v>
      </c>
      <c r="O46" s="1581"/>
      <c r="P46" s="1839">
        <v>0</v>
      </c>
      <c r="Q46" s="2052"/>
      <c r="R46" s="1839">
        <v>-2.7755575615628914E-17</v>
      </c>
      <c r="S46" s="2052"/>
      <c r="T46" s="1839">
        <v>0.1</v>
      </c>
      <c r="U46" s="2052"/>
      <c r="V46" s="1839">
        <f t="shared" si="5"/>
        <v>0.10000000000000006</v>
      </c>
      <c r="W46" s="2052"/>
      <c r="X46" s="1839"/>
      <c r="Y46" s="2052"/>
      <c r="Z46" s="1839"/>
      <c r="AA46" s="2053"/>
      <c r="AB46" s="2054"/>
      <c r="AC46" s="2056"/>
      <c r="AD46" s="1839">
        <v>0.4</v>
      </c>
      <c r="AE46" s="2086"/>
      <c r="AF46" s="3303"/>
      <c r="AG46" s="1839">
        <v>1.2</v>
      </c>
      <c r="AH46" s="276"/>
      <c r="AI46" s="56"/>
      <c r="AJ46" s="656">
        <f t="shared" si="6"/>
        <v>-0.8</v>
      </c>
      <c r="AK46" s="656"/>
      <c r="AL46" s="1468">
        <f>ROUND(IF(AG46=0,0,AJ46/ABS(AG46)),3)</f>
        <v>-0.66700000000000004</v>
      </c>
      <c r="AM46" s="799"/>
    </row>
    <row r="47" spans="1:39" s="903" customFormat="1" ht="15" customHeight="1">
      <c r="A47" s="1087"/>
      <c r="B47" s="908" t="s">
        <v>1160</v>
      </c>
      <c r="C47" s="107"/>
      <c r="D47" s="912" t="s">
        <v>15</v>
      </c>
      <c r="E47" s="1575"/>
      <c r="F47" s="912"/>
      <c r="G47" s="1575"/>
      <c r="H47" s="912"/>
      <c r="I47" s="1575"/>
      <c r="J47" s="912"/>
      <c r="K47" s="118"/>
      <c r="L47" s="912"/>
      <c r="M47" s="118"/>
      <c r="N47" s="912"/>
      <c r="O47" s="118"/>
      <c r="P47" s="1839"/>
      <c r="Q47" s="2049"/>
      <c r="R47" s="1839"/>
      <c r="S47" s="2049"/>
      <c r="T47" s="1839"/>
      <c r="U47" s="2049"/>
      <c r="V47" s="1839"/>
      <c r="W47" s="2049"/>
      <c r="X47" s="1839"/>
      <c r="Y47" s="2049"/>
      <c r="Z47" s="1839"/>
      <c r="AA47" s="2048"/>
      <c r="AB47" s="2049"/>
      <c r="AC47" s="2093"/>
      <c r="AD47" s="3295"/>
      <c r="AE47" s="2049"/>
      <c r="AF47" s="2051"/>
      <c r="AG47" s="3295"/>
      <c r="AH47" s="1090"/>
      <c r="AI47" s="67"/>
      <c r="AJ47" s="911"/>
      <c r="AK47" s="911"/>
      <c r="AL47" s="1868"/>
      <c r="AM47" s="1869"/>
    </row>
    <row r="48" spans="1:39" s="903" customFormat="1" ht="15" customHeight="1">
      <c r="A48" s="1087"/>
      <c r="B48" s="908" t="s">
        <v>1255</v>
      </c>
      <c r="C48" s="107"/>
      <c r="D48" s="912">
        <v>0</v>
      </c>
      <c r="E48" s="1575"/>
      <c r="F48" s="912">
        <v>0.8</v>
      </c>
      <c r="G48" s="1575"/>
      <c r="H48" s="912">
        <v>1.4999999999999998</v>
      </c>
      <c r="I48" s="1575"/>
      <c r="J48" s="912">
        <v>0</v>
      </c>
      <c r="K48" s="1581"/>
      <c r="L48" s="912">
        <v>0.10000000000000009</v>
      </c>
      <c r="M48" s="1581"/>
      <c r="N48" s="912">
        <v>0.20000000000000018</v>
      </c>
      <c r="O48" s="1581"/>
      <c r="P48" s="1839">
        <v>0</v>
      </c>
      <c r="Q48" s="2052"/>
      <c r="R48" s="1839">
        <v>0</v>
      </c>
      <c r="S48" s="2052"/>
      <c r="T48" s="1839">
        <v>0</v>
      </c>
      <c r="U48" s="2052"/>
      <c r="V48" s="1839">
        <f t="shared" si="5"/>
        <v>0</v>
      </c>
      <c r="W48" s="2052"/>
      <c r="X48" s="1839"/>
      <c r="Y48" s="2052"/>
      <c r="Z48" s="1839"/>
      <c r="AA48" s="2053"/>
      <c r="AB48" s="2054"/>
      <c r="AC48" s="2056"/>
      <c r="AD48" s="1839">
        <v>2.6</v>
      </c>
      <c r="AE48" s="2086"/>
      <c r="AF48" s="3303"/>
      <c r="AG48" s="1839">
        <v>2.1</v>
      </c>
      <c r="AH48" s="1090"/>
      <c r="AI48" s="67"/>
      <c r="AJ48" s="911">
        <f>ROUND(SUM(+AD48-AG48),1)</f>
        <v>0.5</v>
      </c>
      <c r="AK48" s="911"/>
      <c r="AL48" s="1774">
        <f>ROUND(IF(AG48=0,0,AJ48/ABS(AG48)),3)</f>
        <v>0.23799999999999999</v>
      </c>
      <c r="AM48" s="1869"/>
    </row>
    <row r="49" spans="1:39" s="903" customFormat="1" ht="15" customHeight="1">
      <c r="A49" s="1087"/>
      <c r="B49" s="908" t="s">
        <v>1072</v>
      </c>
      <c r="C49" s="107"/>
      <c r="D49" s="912">
        <v>48.6</v>
      </c>
      <c r="E49" s="1575"/>
      <c r="F49" s="912">
        <v>36.9</v>
      </c>
      <c r="G49" s="1575"/>
      <c r="H49" s="912">
        <v>98</v>
      </c>
      <c r="I49" s="1575"/>
      <c r="J49" s="912">
        <v>47.5</v>
      </c>
      <c r="K49" s="1581"/>
      <c r="L49" s="912">
        <v>32.800000000000011</v>
      </c>
      <c r="M49" s="1581"/>
      <c r="N49" s="912">
        <v>95.599999999999966</v>
      </c>
      <c r="O49" s="1581"/>
      <c r="P49" s="1839">
        <v>49.400000000000034</v>
      </c>
      <c r="Q49" s="2052"/>
      <c r="R49" s="1839">
        <v>53.599999999999966</v>
      </c>
      <c r="S49" s="2052"/>
      <c r="T49" s="1839">
        <v>77.100000000000023</v>
      </c>
      <c r="U49" s="2052"/>
      <c r="V49" s="1839">
        <f t="shared" si="5"/>
        <v>46.799999999999955</v>
      </c>
      <c r="W49" s="2052"/>
      <c r="X49" s="1839"/>
      <c r="Y49" s="2052"/>
      <c r="Z49" s="1839"/>
      <c r="AA49" s="2053"/>
      <c r="AB49" s="2054"/>
      <c r="AC49" s="2056"/>
      <c r="AD49" s="1839">
        <v>586.29999999999995</v>
      </c>
      <c r="AE49" s="2086"/>
      <c r="AF49" s="3303"/>
      <c r="AG49" s="1839">
        <v>577.6</v>
      </c>
      <c r="AH49" s="1090"/>
      <c r="AI49" s="67"/>
      <c r="AJ49" s="911">
        <f t="shared" si="6"/>
        <v>8.6999999999999993</v>
      </c>
      <c r="AK49" s="911"/>
      <c r="AL49" s="1868">
        <f t="shared" ref="AL49:AL54" si="7">ROUND(IF(AG49=0,0,AJ49/ABS(AG49)),3)</f>
        <v>1.4999999999999999E-2</v>
      </c>
      <c r="AM49" s="1869"/>
    </row>
    <row r="50" spans="1:39" s="903" customFormat="1" ht="15" customHeight="1">
      <c r="A50" s="1087"/>
      <c r="B50" s="908" t="s">
        <v>1073</v>
      </c>
      <c r="C50" s="107"/>
      <c r="D50" s="912">
        <v>3.6</v>
      </c>
      <c r="E50" s="1575"/>
      <c r="F50" s="912">
        <v>4.5999999999999996</v>
      </c>
      <c r="G50" s="1575"/>
      <c r="H50" s="912">
        <v>5.1000000000000014</v>
      </c>
      <c r="I50" s="1575"/>
      <c r="J50" s="912">
        <v>4.1999999999999993</v>
      </c>
      <c r="K50" s="1581"/>
      <c r="L50" s="912">
        <v>2.6999999999999975</v>
      </c>
      <c r="M50" s="1581"/>
      <c r="N50" s="912">
        <v>7.7999999999999989</v>
      </c>
      <c r="O50" s="1581"/>
      <c r="P50" s="1839">
        <v>4.7999999999999972</v>
      </c>
      <c r="Q50" s="2052"/>
      <c r="R50" s="1839">
        <v>5.0999999999999996</v>
      </c>
      <c r="S50" s="2052"/>
      <c r="T50" s="1839">
        <v>5.3000000000000043</v>
      </c>
      <c r="U50" s="2052"/>
      <c r="V50" s="1839">
        <f t="shared" si="5"/>
        <v>4.5000000000000018</v>
      </c>
      <c r="W50" s="2052"/>
      <c r="X50" s="1839"/>
      <c r="Y50" s="2052"/>
      <c r="Z50" s="1839"/>
      <c r="AA50" s="2053"/>
      <c r="AB50" s="2054"/>
      <c r="AC50" s="2056"/>
      <c r="AD50" s="1839">
        <v>47.7</v>
      </c>
      <c r="AE50" s="2086"/>
      <c r="AF50" s="3303"/>
      <c r="AG50" s="1839">
        <v>46.3</v>
      </c>
      <c r="AH50" s="1090"/>
      <c r="AI50" s="67"/>
      <c r="AJ50" s="911">
        <f t="shared" si="6"/>
        <v>1.4</v>
      </c>
      <c r="AK50" s="911"/>
      <c r="AL50" s="1868">
        <f t="shared" si="7"/>
        <v>0.03</v>
      </c>
      <c r="AM50" s="1869"/>
    </row>
    <row r="51" spans="1:39" s="903" customFormat="1" ht="15" customHeight="1">
      <c r="A51" s="1087"/>
      <c r="B51" s="908" t="s">
        <v>1074</v>
      </c>
      <c r="C51" s="107"/>
      <c r="D51" s="912">
        <v>0.3</v>
      </c>
      <c r="E51" s="1575"/>
      <c r="F51" s="912">
        <v>0.39999999999999997</v>
      </c>
      <c r="G51" s="1575"/>
      <c r="H51" s="912">
        <v>1.1000000000000001</v>
      </c>
      <c r="I51" s="1575"/>
      <c r="J51" s="912">
        <v>0</v>
      </c>
      <c r="K51" s="1581"/>
      <c r="L51" s="912">
        <v>0.40000000000000013</v>
      </c>
      <c r="M51" s="1581"/>
      <c r="N51" s="912">
        <v>1.2</v>
      </c>
      <c r="O51" s="1581"/>
      <c r="P51" s="1839">
        <v>0.39999999999999991</v>
      </c>
      <c r="Q51" s="2052"/>
      <c r="R51" s="1839">
        <v>0.29999999999999982</v>
      </c>
      <c r="S51" s="2052"/>
      <c r="T51" s="1839">
        <v>0.80000000000000049</v>
      </c>
      <c r="U51" s="2052"/>
      <c r="V51" s="1839">
        <f t="shared" si="5"/>
        <v>1.0999999999999985</v>
      </c>
      <c r="W51" s="2052"/>
      <c r="X51" s="1839"/>
      <c r="Y51" s="2052"/>
      <c r="Z51" s="1839"/>
      <c r="AA51" s="2053"/>
      <c r="AB51" s="2054"/>
      <c r="AC51" s="2056"/>
      <c r="AD51" s="1839">
        <v>6</v>
      </c>
      <c r="AE51" s="2086"/>
      <c r="AF51" s="3303"/>
      <c r="AG51" s="1839">
        <v>7.4</v>
      </c>
      <c r="AH51" s="1090"/>
      <c r="AI51" s="67"/>
      <c r="AJ51" s="911">
        <f t="shared" si="6"/>
        <v>-1.4</v>
      </c>
      <c r="AK51" s="911"/>
      <c r="AL51" s="1868">
        <f>ROUND(IF(AG51=0,1,AJ51/ABS(AG51)),3)</f>
        <v>-0.189</v>
      </c>
      <c r="AM51" s="1869"/>
    </row>
    <row r="52" spans="1:39" s="903" customFormat="1" ht="15" customHeight="1">
      <c r="A52" s="1087"/>
      <c r="B52" s="908" t="s">
        <v>1075</v>
      </c>
      <c r="C52" s="107"/>
      <c r="D52" s="912">
        <v>26</v>
      </c>
      <c r="E52" s="1575"/>
      <c r="F52" s="912">
        <v>26.6</v>
      </c>
      <c r="G52" s="1575"/>
      <c r="H52" s="912">
        <v>28.699999999999996</v>
      </c>
      <c r="I52" s="1575"/>
      <c r="J52" s="912">
        <v>23.5</v>
      </c>
      <c r="K52" s="1581"/>
      <c r="L52" s="912">
        <v>28.300000000000004</v>
      </c>
      <c r="M52" s="1581"/>
      <c r="N52" s="912">
        <v>10</v>
      </c>
      <c r="O52" s="1581"/>
      <c r="P52" s="1839">
        <v>25.300000000000018</v>
      </c>
      <c r="Q52" s="2052"/>
      <c r="R52" s="1839">
        <v>25.799999999999983</v>
      </c>
      <c r="S52" s="2052"/>
      <c r="T52" s="1839">
        <v>22.9</v>
      </c>
      <c r="U52" s="2052"/>
      <c r="V52" s="1839">
        <f t="shared" si="5"/>
        <v>35.1</v>
      </c>
      <c r="W52" s="2052"/>
      <c r="X52" s="1839"/>
      <c r="Y52" s="2052"/>
      <c r="Z52" s="1839"/>
      <c r="AA52" s="2053"/>
      <c r="AB52" s="2054"/>
      <c r="AC52" s="2056"/>
      <c r="AD52" s="1839">
        <v>252.2</v>
      </c>
      <c r="AE52" s="2086"/>
      <c r="AF52" s="3303"/>
      <c r="AG52" s="1839">
        <v>421.5</v>
      </c>
      <c r="AH52" s="1090"/>
      <c r="AI52" s="67"/>
      <c r="AJ52" s="911">
        <f t="shared" si="6"/>
        <v>-169.3</v>
      </c>
      <c r="AK52" s="911"/>
      <c r="AL52" s="1868">
        <f t="shared" si="7"/>
        <v>-0.40200000000000002</v>
      </c>
      <c r="AM52" s="1869"/>
    </row>
    <row r="53" spans="1:39" s="903" customFormat="1" ht="15" customHeight="1">
      <c r="A53" s="1087"/>
      <c r="B53" s="908" t="s">
        <v>1076</v>
      </c>
      <c r="C53" s="107"/>
      <c r="D53" s="912">
        <v>54</v>
      </c>
      <c r="E53" s="1575"/>
      <c r="F53" s="912">
        <v>45.599999999999994</v>
      </c>
      <c r="G53" s="1575"/>
      <c r="H53" s="912">
        <v>65.400000000000006</v>
      </c>
      <c r="I53" s="1575"/>
      <c r="J53" s="912">
        <v>65.900000000000006</v>
      </c>
      <c r="K53" s="1581"/>
      <c r="L53" s="912">
        <v>93.999999999999972</v>
      </c>
      <c r="M53" s="1581"/>
      <c r="N53" s="912">
        <v>129.20000000000005</v>
      </c>
      <c r="O53" s="1581"/>
      <c r="P53" s="1839">
        <v>56.600000000000051</v>
      </c>
      <c r="Q53" s="2052"/>
      <c r="R53" s="1839">
        <v>71.099999999999881</v>
      </c>
      <c r="S53" s="2052"/>
      <c r="T53" s="1839">
        <v>60.700000000000045</v>
      </c>
      <c r="U53" s="2052"/>
      <c r="V53" s="1839">
        <f t="shared" si="5"/>
        <v>49.299999999999955</v>
      </c>
      <c r="W53" s="2052"/>
      <c r="X53" s="1839"/>
      <c r="Y53" s="2052"/>
      <c r="Z53" s="1839"/>
      <c r="AA53" s="2053"/>
      <c r="AB53" s="2054"/>
      <c r="AC53" s="2056"/>
      <c r="AD53" s="1839">
        <v>691.8</v>
      </c>
      <c r="AE53" s="2086"/>
      <c r="AF53" s="3303"/>
      <c r="AG53" s="1839">
        <v>606.6</v>
      </c>
      <c r="AH53" s="1090"/>
      <c r="AI53" s="67"/>
      <c r="AJ53" s="911">
        <f t="shared" si="6"/>
        <v>85.2</v>
      </c>
      <c r="AK53" s="911"/>
      <c r="AL53" s="1868">
        <f t="shared" si="7"/>
        <v>0.14000000000000001</v>
      </c>
      <c r="AM53" s="1869"/>
    </row>
    <row r="54" spans="1:39" s="903" customFormat="1" ht="15" customHeight="1">
      <c r="A54" s="1087"/>
      <c r="B54" s="908" t="s">
        <v>1034</v>
      </c>
      <c r="C54" s="107"/>
      <c r="D54" s="912">
        <v>7.6</v>
      </c>
      <c r="E54" s="1575"/>
      <c r="F54" s="912">
        <v>67.2</v>
      </c>
      <c r="G54" s="1575"/>
      <c r="H54" s="912">
        <v>106.7</v>
      </c>
      <c r="I54" s="1575"/>
      <c r="J54" s="912">
        <v>4.8000000000000114</v>
      </c>
      <c r="K54" s="1581"/>
      <c r="L54" s="912">
        <v>9.7999999999999829</v>
      </c>
      <c r="M54" s="1581"/>
      <c r="N54" s="912">
        <v>7.8000000000000256</v>
      </c>
      <c r="O54" s="1581"/>
      <c r="P54" s="1839">
        <v>13.899999999999977</v>
      </c>
      <c r="Q54" s="2052"/>
      <c r="R54" s="1839">
        <v>8.1000000000000227</v>
      </c>
      <c r="S54" s="2052"/>
      <c r="T54" s="1839">
        <v>18.099999999999966</v>
      </c>
      <c r="U54" s="2052"/>
      <c r="V54" s="1839">
        <f t="shared" si="5"/>
        <v>6.4000000000000341</v>
      </c>
      <c r="W54" s="2052"/>
      <c r="X54" s="1839"/>
      <c r="Y54" s="2052"/>
      <c r="Z54" s="1839"/>
      <c r="AA54" s="2053"/>
      <c r="AB54" s="2054"/>
      <c r="AC54" s="2056"/>
      <c r="AD54" s="1839">
        <v>250.4</v>
      </c>
      <c r="AE54" s="2086"/>
      <c r="AF54" s="3303"/>
      <c r="AG54" s="1839">
        <v>141.80000000000001</v>
      </c>
      <c r="AH54" s="1090"/>
      <c r="AI54" s="67"/>
      <c r="AJ54" s="911">
        <f t="shared" si="6"/>
        <v>108.6</v>
      </c>
      <c r="AK54" s="911"/>
      <c r="AL54" s="1779">
        <f t="shared" si="7"/>
        <v>0.76600000000000001</v>
      </c>
      <c r="AM54" s="1869"/>
    </row>
    <row r="55" spans="1:39" s="903" customFormat="1" ht="15" customHeight="1">
      <c r="A55" s="1087"/>
      <c r="B55" s="908" t="s">
        <v>1157</v>
      </c>
      <c r="C55" s="107"/>
      <c r="D55" s="912" t="s">
        <v>15</v>
      </c>
      <c r="E55" s="1575"/>
      <c r="F55" s="912"/>
      <c r="G55" s="1575"/>
      <c r="H55" s="912"/>
      <c r="I55" s="1575"/>
      <c r="J55" s="912"/>
      <c r="K55" s="118"/>
      <c r="L55" s="912"/>
      <c r="M55" s="118"/>
      <c r="N55" s="912"/>
      <c r="O55" s="118"/>
      <c r="P55" s="1839"/>
      <c r="Q55" s="2049"/>
      <c r="R55" s="1839"/>
      <c r="S55" s="2049"/>
      <c r="T55" s="1839"/>
      <c r="U55" s="2049"/>
      <c r="V55" s="1839"/>
      <c r="W55" s="2049"/>
      <c r="X55" s="1839"/>
      <c r="Y55" s="2049"/>
      <c r="Z55" s="1839"/>
      <c r="AA55" s="2048"/>
      <c r="AB55" s="2049"/>
      <c r="AC55" s="2093"/>
      <c r="AD55" s="2049"/>
      <c r="AE55" s="2049"/>
      <c r="AF55" s="2051"/>
      <c r="AG55" s="2049"/>
      <c r="AH55" s="1090"/>
      <c r="AI55" s="67"/>
      <c r="AJ55" s="911"/>
      <c r="AK55" s="911"/>
      <c r="AL55" s="1868"/>
      <c r="AM55" s="1869"/>
    </row>
    <row r="56" spans="1:39" s="903" customFormat="1" ht="15" customHeight="1">
      <c r="A56" s="1087"/>
      <c r="B56" s="908" t="s">
        <v>1077</v>
      </c>
      <c r="C56" s="107"/>
      <c r="D56" s="912">
        <v>31.4</v>
      </c>
      <c r="E56" s="1575"/>
      <c r="F56" s="912">
        <v>18.800000000000004</v>
      </c>
      <c r="G56" s="1575"/>
      <c r="H56" s="912">
        <v>19.700000000000003</v>
      </c>
      <c r="I56" s="1575"/>
      <c r="J56" s="912">
        <v>37.699999999999982</v>
      </c>
      <c r="K56" s="1581"/>
      <c r="L56" s="912">
        <v>15.300000000000004</v>
      </c>
      <c r="M56" s="1581"/>
      <c r="N56" s="912">
        <v>20</v>
      </c>
      <c r="O56" s="1581"/>
      <c r="P56" s="1839">
        <v>36.79999999999999</v>
      </c>
      <c r="Q56" s="2052"/>
      <c r="R56" s="1839">
        <v>13.300000000000004</v>
      </c>
      <c r="S56" s="2052"/>
      <c r="T56" s="1839">
        <v>17.599999999999994</v>
      </c>
      <c r="U56" s="2052"/>
      <c r="V56" s="1839">
        <f t="shared" si="5"/>
        <v>35.699999999999996</v>
      </c>
      <c r="W56" s="2052"/>
      <c r="X56" s="1839"/>
      <c r="Y56" s="2052"/>
      <c r="Z56" s="1839"/>
      <c r="AA56" s="2053"/>
      <c r="AB56" s="2054"/>
      <c r="AC56" s="2056"/>
      <c r="AD56" s="1839">
        <v>246.3</v>
      </c>
      <c r="AE56" s="2086"/>
      <c r="AF56" s="3303"/>
      <c r="AG56" s="1839">
        <v>223.1</v>
      </c>
      <c r="AH56" s="1090"/>
      <c r="AI56" s="67"/>
      <c r="AJ56" s="911">
        <f t="shared" si="6"/>
        <v>23.2</v>
      </c>
      <c r="AK56" s="911"/>
      <c r="AL56" s="1779">
        <f>ROUND(IF(AG56=0,0,AJ56/ABS(AG56)),3)</f>
        <v>0.104</v>
      </c>
      <c r="AM56" s="1869"/>
    </row>
    <row r="57" spans="1:39" s="903" customFormat="1" ht="15" customHeight="1">
      <c r="A57" s="1087"/>
      <c r="B57" s="908" t="s">
        <v>1078</v>
      </c>
      <c r="C57" s="107"/>
      <c r="D57" s="912">
        <v>218.4</v>
      </c>
      <c r="E57" s="1575"/>
      <c r="F57" s="912">
        <v>262</v>
      </c>
      <c r="G57" s="1575"/>
      <c r="H57" s="912">
        <v>202.30000000000007</v>
      </c>
      <c r="I57" s="1575"/>
      <c r="J57" s="912">
        <v>225.69999999999993</v>
      </c>
      <c r="K57" s="1581"/>
      <c r="L57" s="912">
        <v>170.19999999999993</v>
      </c>
      <c r="M57" s="1581"/>
      <c r="N57" s="912">
        <v>176.30000000000007</v>
      </c>
      <c r="O57" s="1581"/>
      <c r="P57" s="1839">
        <v>220.09999999999991</v>
      </c>
      <c r="Q57" s="2052"/>
      <c r="R57" s="1839">
        <v>177.79999999999995</v>
      </c>
      <c r="S57" s="2052"/>
      <c r="T57" s="1839">
        <v>180.00000000000011</v>
      </c>
      <c r="U57" s="2052"/>
      <c r="V57" s="1839">
        <f t="shared" si="5"/>
        <v>221.50000000000011</v>
      </c>
      <c r="W57" s="2052"/>
      <c r="X57" s="1839"/>
      <c r="Y57" s="2052"/>
      <c r="Z57" s="1839"/>
      <c r="AA57" s="2053"/>
      <c r="AB57" s="2054"/>
      <c r="AC57" s="2056"/>
      <c r="AD57" s="1839">
        <v>2054.3000000000002</v>
      </c>
      <c r="AE57" s="2086"/>
      <c r="AF57" s="3303"/>
      <c r="AG57" s="1839">
        <v>2154.5</v>
      </c>
      <c r="AH57" s="1090"/>
      <c r="AI57" s="67"/>
      <c r="AJ57" s="911">
        <f t="shared" si="6"/>
        <v>-100.2</v>
      </c>
      <c r="AK57" s="911"/>
      <c r="AL57" s="1868">
        <f>ROUND(IF(AG57=0,0,AJ57/ABS(AG57)),3)</f>
        <v>-4.7E-2</v>
      </c>
      <c r="AM57" s="1869"/>
    </row>
    <row r="58" spans="1:39" s="903" customFormat="1" ht="15" customHeight="1">
      <c r="A58" s="1087"/>
      <c r="B58" s="908" t="s">
        <v>1079</v>
      </c>
      <c r="C58" s="107"/>
      <c r="D58" s="912">
        <v>76.599999999999994</v>
      </c>
      <c r="E58" s="1575"/>
      <c r="F58" s="912">
        <v>88.5</v>
      </c>
      <c r="G58" s="1575"/>
      <c r="H58" s="912">
        <v>63.200000000000017</v>
      </c>
      <c r="I58" s="1575"/>
      <c r="J58" s="912">
        <v>89.5</v>
      </c>
      <c r="K58" s="1581"/>
      <c r="L58" s="912">
        <v>76.500000000000028</v>
      </c>
      <c r="M58" s="1581"/>
      <c r="N58" s="912">
        <v>77.5</v>
      </c>
      <c r="O58" s="1581"/>
      <c r="P58" s="1839">
        <v>94.599999999999881</v>
      </c>
      <c r="Q58" s="2052"/>
      <c r="R58" s="1839">
        <v>72.700000000000045</v>
      </c>
      <c r="S58" s="2052"/>
      <c r="T58" s="1839">
        <v>70.600000000000051</v>
      </c>
      <c r="U58" s="2052"/>
      <c r="V58" s="1839">
        <f t="shared" si="5"/>
        <v>99</v>
      </c>
      <c r="W58" s="2052"/>
      <c r="X58" s="1839"/>
      <c r="Y58" s="2052"/>
      <c r="Z58" s="1839"/>
      <c r="AA58" s="2053"/>
      <c r="AB58" s="2054"/>
      <c r="AC58" s="2056"/>
      <c r="AD58" s="1839">
        <v>808.7</v>
      </c>
      <c r="AE58" s="2086"/>
      <c r="AF58" s="3303"/>
      <c r="AG58" s="1839">
        <v>795.7</v>
      </c>
      <c r="AH58" s="1090"/>
      <c r="AI58" s="67"/>
      <c r="AJ58" s="911">
        <f t="shared" si="6"/>
        <v>13</v>
      </c>
      <c r="AK58" s="911"/>
      <c r="AL58" s="1868">
        <f>ROUND(IF(AG58=0,0,AJ58/ABS(AG58)),3)</f>
        <v>1.6E-2</v>
      </c>
      <c r="AM58" s="1869"/>
    </row>
    <row r="59" spans="1:39" ht="15" customHeight="1">
      <c r="A59" s="150"/>
      <c r="B59" s="908" t="s">
        <v>1035</v>
      </c>
      <c r="C59" s="31"/>
      <c r="D59" s="912">
        <v>19.399999999999999</v>
      </c>
      <c r="E59" s="1575"/>
      <c r="F59" s="912">
        <v>18.200000000000003</v>
      </c>
      <c r="G59" s="1575"/>
      <c r="H59" s="912">
        <v>21.5</v>
      </c>
      <c r="I59" s="1575"/>
      <c r="J59" s="912">
        <v>19.699999999999996</v>
      </c>
      <c r="K59" s="1581"/>
      <c r="L59" s="912">
        <v>20.900000000000013</v>
      </c>
      <c r="M59" s="1581"/>
      <c r="N59" s="912">
        <v>19.199999999999989</v>
      </c>
      <c r="O59" s="1581"/>
      <c r="P59" s="1839">
        <v>19.799999999999983</v>
      </c>
      <c r="Q59" s="2052"/>
      <c r="R59" s="1839">
        <v>17.600000000000016</v>
      </c>
      <c r="S59" s="2052"/>
      <c r="T59" s="1839">
        <v>14.000000000000007</v>
      </c>
      <c r="U59" s="2052"/>
      <c r="V59" s="1839">
        <f t="shared" si="5"/>
        <v>14.600000000000023</v>
      </c>
      <c r="W59" s="2052"/>
      <c r="X59" s="1839"/>
      <c r="Y59" s="2052"/>
      <c r="Z59" s="1839"/>
      <c r="AA59" s="2053"/>
      <c r="AB59" s="2054"/>
      <c r="AC59" s="2056"/>
      <c r="AD59" s="1839">
        <v>184.9</v>
      </c>
      <c r="AE59" s="2086"/>
      <c r="AF59" s="3303"/>
      <c r="AG59" s="1839">
        <v>142.9</v>
      </c>
      <c r="AH59" s="276"/>
      <c r="AI59" s="56"/>
      <c r="AJ59" s="656">
        <f t="shared" si="6"/>
        <v>42</v>
      </c>
      <c r="AK59" s="656"/>
      <c r="AL59" s="1468">
        <f>ROUND(IF(AG59=0,0,AJ59/ABS(AG59)),3)</f>
        <v>0.29399999999999998</v>
      </c>
      <c r="AM59" s="799"/>
    </row>
    <row r="60" spans="1:39" s="903" customFormat="1" ht="15" customHeight="1">
      <c r="A60" s="1087"/>
      <c r="B60" s="908" t="s">
        <v>1158</v>
      </c>
      <c r="C60" s="107"/>
      <c r="D60" s="912" t="s">
        <v>15</v>
      </c>
      <c r="E60" s="1575"/>
      <c r="F60" s="912"/>
      <c r="G60" s="1575"/>
      <c r="H60" s="912"/>
      <c r="I60" s="1575"/>
      <c r="J60" s="912"/>
      <c r="K60" s="118"/>
      <c r="L60" s="912"/>
      <c r="M60" s="118"/>
      <c r="N60" s="912"/>
      <c r="O60" s="118"/>
      <c r="P60" s="1839"/>
      <c r="Q60" s="2049"/>
      <c r="R60" s="1839"/>
      <c r="S60" s="2049"/>
      <c r="T60" s="1839"/>
      <c r="U60" s="2049"/>
      <c r="V60" s="1839"/>
      <c r="W60" s="2049"/>
      <c r="X60" s="1839"/>
      <c r="Y60" s="2049"/>
      <c r="Z60" s="1839"/>
      <c r="AA60" s="2048"/>
      <c r="AB60" s="2049"/>
      <c r="AC60" s="2093"/>
      <c r="AD60" s="2049"/>
      <c r="AE60" s="2049"/>
      <c r="AF60" s="2051"/>
      <c r="AG60" s="2049"/>
      <c r="AH60" s="1090"/>
      <c r="AI60" s="67"/>
      <c r="AJ60" s="911"/>
      <c r="AK60" s="911"/>
      <c r="AL60" s="1868"/>
      <c r="AM60" s="1869"/>
    </row>
    <row r="61" spans="1:39" s="903" customFormat="1" ht="15" customHeight="1">
      <c r="A61" s="1087"/>
      <c r="B61" s="908" t="s">
        <v>1080</v>
      </c>
      <c r="C61" s="107"/>
      <c r="D61" s="912">
        <v>0</v>
      </c>
      <c r="E61" s="1575"/>
      <c r="F61" s="912">
        <v>0</v>
      </c>
      <c r="G61" s="1575"/>
      <c r="H61" s="912">
        <v>0</v>
      </c>
      <c r="I61" s="1575"/>
      <c r="J61" s="912">
        <v>0</v>
      </c>
      <c r="K61" s="1581"/>
      <c r="L61" s="912">
        <v>0</v>
      </c>
      <c r="M61" s="1581"/>
      <c r="N61" s="912">
        <v>0</v>
      </c>
      <c r="O61" s="1581"/>
      <c r="P61" s="1839">
        <v>0</v>
      </c>
      <c r="Q61" s="2052"/>
      <c r="R61" s="1839">
        <v>0</v>
      </c>
      <c r="S61" s="2052"/>
      <c r="T61" s="1839">
        <v>0</v>
      </c>
      <c r="U61" s="2052"/>
      <c r="V61" s="1839">
        <f t="shared" si="5"/>
        <v>0</v>
      </c>
      <c r="W61" s="2052"/>
      <c r="X61" s="1839"/>
      <c r="Y61" s="2052"/>
      <c r="Z61" s="1839"/>
      <c r="AA61" s="2053"/>
      <c r="AB61" s="2054"/>
      <c r="AC61" s="2056"/>
      <c r="AD61" s="1839">
        <v>0</v>
      </c>
      <c r="AE61" s="2086"/>
      <c r="AF61" s="3303"/>
      <c r="AG61" s="1839">
        <v>0</v>
      </c>
      <c r="AH61" s="1090"/>
      <c r="AI61" s="67"/>
      <c r="AJ61" s="911">
        <f t="shared" si="6"/>
        <v>0</v>
      </c>
      <c r="AK61" s="911"/>
      <c r="AL61" s="1868">
        <f>ROUND(IF(AG61=0,0,AJ61/ABS(AG61)),3)</f>
        <v>0</v>
      </c>
      <c r="AM61" s="1869"/>
    </row>
    <row r="62" spans="1:39" s="903" customFormat="1" ht="15" customHeight="1">
      <c r="A62" s="1087"/>
      <c r="B62" s="908" t="s">
        <v>1081</v>
      </c>
      <c r="C62" s="107"/>
      <c r="D62" s="912">
        <v>0</v>
      </c>
      <c r="E62" s="1575"/>
      <c r="F62" s="912">
        <v>0</v>
      </c>
      <c r="G62" s="1575"/>
      <c r="H62" s="912">
        <v>0</v>
      </c>
      <c r="I62" s="1575"/>
      <c r="J62" s="912">
        <v>0</v>
      </c>
      <c r="K62" s="1581"/>
      <c r="L62" s="912">
        <v>0</v>
      </c>
      <c r="M62" s="1581"/>
      <c r="N62" s="912">
        <v>23.1</v>
      </c>
      <c r="O62" s="1581"/>
      <c r="P62" s="1839">
        <v>5.5999999999999979</v>
      </c>
      <c r="Q62" s="2052"/>
      <c r="R62" s="1839">
        <v>0</v>
      </c>
      <c r="S62" s="2052"/>
      <c r="T62" s="1839">
        <v>3.9000000000000021</v>
      </c>
      <c r="U62" s="2052"/>
      <c r="V62" s="1839">
        <f t="shared" si="5"/>
        <v>-12.200000000000003</v>
      </c>
      <c r="W62" s="2052"/>
      <c r="X62" s="1839"/>
      <c r="Y62" s="2052"/>
      <c r="Z62" s="1839"/>
      <c r="AA62" s="2053"/>
      <c r="AB62" s="2054"/>
      <c r="AC62" s="2056"/>
      <c r="AD62" s="1839">
        <v>20.399999999999999</v>
      </c>
      <c r="AE62" s="2086"/>
      <c r="AF62" s="3303"/>
      <c r="AG62" s="1839">
        <v>26.1</v>
      </c>
      <c r="AH62" s="1090"/>
      <c r="AI62" s="67"/>
      <c r="AJ62" s="911">
        <f t="shared" si="6"/>
        <v>-5.7</v>
      </c>
      <c r="AK62" s="911"/>
      <c r="AL62" s="1868">
        <f>ROUND(IF(AG62=0,0,AJ62/ABS(AG62)),3)</f>
        <v>-0.218</v>
      </c>
      <c r="AM62" s="1869"/>
    </row>
    <row r="63" spans="1:39" s="903" customFormat="1" ht="15" customHeight="1">
      <c r="A63" s="1087"/>
      <c r="B63" s="908" t="s">
        <v>1082</v>
      </c>
      <c r="C63" s="107"/>
      <c r="D63" s="912">
        <v>2</v>
      </c>
      <c r="E63" s="1575"/>
      <c r="F63" s="912">
        <v>1</v>
      </c>
      <c r="G63" s="1575"/>
      <c r="H63" s="912">
        <v>4.2</v>
      </c>
      <c r="I63" s="1575"/>
      <c r="J63" s="912">
        <v>0</v>
      </c>
      <c r="K63" s="1581"/>
      <c r="L63" s="912">
        <v>0</v>
      </c>
      <c r="M63" s="1581"/>
      <c r="N63" s="912">
        <v>0</v>
      </c>
      <c r="O63" s="1581"/>
      <c r="P63" s="1839">
        <v>0</v>
      </c>
      <c r="Q63" s="2052"/>
      <c r="R63" s="1839">
        <v>0</v>
      </c>
      <c r="S63" s="2052"/>
      <c r="T63" s="1839">
        <v>0</v>
      </c>
      <c r="U63" s="2052"/>
      <c r="V63" s="1839">
        <f t="shared" si="5"/>
        <v>0</v>
      </c>
      <c r="W63" s="2052"/>
      <c r="X63" s="1839"/>
      <c r="Y63" s="2052"/>
      <c r="Z63" s="1839"/>
      <c r="AA63" s="2053"/>
      <c r="AB63" s="2054"/>
      <c r="AC63" s="2056"/>
      <c r="AD63" s="1839">
        <v>7.2</v>
      </c>
      <c r="AE63" s="2086"/>
      <c r="AF63" s="3303"/>
      <c r="AG63" s="1839">
        <v>7.2</v>
      </c>
      <c r="AH63" s="1090"/>
      <c r="AI63" s="67"/>
      <c r="AJ63" s="911">
        <f t="shared" si="6"/>
        <v>0</v>
      </c>
      <c r="AK63" s="911"/>
      <c r="AL63" s="1879">
        <f>ROUND(IF(AG63=0,0,AJ63/ABS(AG63)),3)</f>
        <v>0</v>
      </c>
      <c r="AM63" s="1869"/>
    </row>
    <row r="64" spans="1:39" s="903" customFormat="1" ht="15" customHeight="1">
      <c r="A64" s="1087"/>
      <c r="B64" s="908" t="s">
        <v>1083</v>
      </c>
      <c r="C64" s="107"/>
      <c r="D64" s="912">
        <v>0.6</v>
      </c>
      <c r="E64" s="1575"/>
      <c r="F64" s="912">
        <v>4.7</v>
      </c>
      <c r="G64" s="1575"/>
      <c r="H64" s="912">
        <v>4.3</v>
      </c>
      <c r="I64" s="1575"/>
      <c r="J64" s="912">
        <v>13.5</v>
      </c>
      <c r="K64" s="1581"/>
      <c r="L64" s="912">
        <v>0</v>
      </c>
      <c r="M64" s="1581"/>
      <c r="N64" s="912">
        <v>1.6999999999999993</v>
      </c>
      <c r="O64" s="1581"/>
      <c r="P64" s="1839">
        <v>4.3999999999999986</v>
      </c>
      <c r="Q64" s="2052"/>
      <c r="R64" s="1839">
        <v>0</v>
      </c>
      <c r="S64" s="2052"/>
      <c r="T64" s="1839">
        <v>2.6000000000000014</v>
      </c>
      <c r="U64" s="2052"/>
      <c r="V64" s="1839">
        <f t="shared" si="5"/>
        <v>23.099999999999998</v>
      </c>
      <c r="W64" s="2052"/>
      <c r="X64" s="1839"/>
      <c r="Y64" s="2052"/>
      <c r="Z64" s="1839"/>
      <c r="AA64" s="2053"/>
      <c r="AB64" s="2054"/>
      <c r="AC64" s="2056"/>
      <c r="AD64" s="1839">
        <v>54.9</v>
      </c>
      <c r="AE64" s="2086"/>
      <c r="AF64" s="3303"/>
      <c r="AG64" s="1839">
        <v>46.2</v>
      </c>
      <c r="AH64" s="1090"/>
      <c r="AI64" s="67"/>
      <c r="AJ64" s="911">
        <f t="shared" si="6"/>
        <v>8.6999999999999993</v>
      </c>
      <c r="AK64" s="911"/>
      <c r="AL64" s="1774">
        <f t="shared" ref="AL64:AL66" si="8">ROUND(IF(AG64=0,0,AJ64/ABS(AG64)),3)</f>
        <v>0.188</v>
      </c>
      <c r="AM64" s="1869"/>
    </row>
    <row r="65" spans="1:39" s="903" customFormat="1" ht="15" customHeight="1">
      <c r="A65" s="1087"/>
      <c r="B65" s="908" t="s">
        <v>1053</v>
      </c>
      <c r="C65" s="107"/>
      <c r="D65" s="912">
        <v>9.4</v>
      </c>
      <c r="E65" s="1575"/>
      <c r="F65" s="912">
        <v>2.6999999999999993</v>
      </c>
      <c r="G65" s="1575"/>
      <c r="H65" s="912">
        <v>6.2999999999999989</v>
      </c>
      <c r="I65" s="1575"/>
      <c r="J65" s="912">
        <v>3.6000000000000014</v>
      </c>
      <c r="K65" s="1581"/>
      <c r="L65" s="912">
        <v>2.3000000000000007</v>
      </c>
      <c r="M65" s="1581"/>
      <c r="N65" s="912">
        <v>5.8999999999999968</v>
      </c>
      <c r="O65" s="1581"/>
      <c r="P65" s="1839">
        <v>3.9000000000000057</v>
      </c>
      <c r="Q65" s="2052"/>
      <c r="R65" s="1839">
        <v>1.7999999999999954</v>
      </c>
      <c r="S65" s="2052"/>
      <c r="T65" s="1839">
        <v>5.8999999999999986</v>
      </c>
      <c r="U65" s="2052"/>
      <c r="V65" s="1839">
        <f t="shared" si="5"/>
        <v>2.1000000000000014</v>
      </c>
      <c r="W65" s="2052"/>
      <c r="X65" s="1839"/>
      <c r="Y65" s="2052"/>
      <c r="Z65" s="1839"/>
      <c r="AA65" s="2053"/>
      <c r="AB65" s="2054"/>
      <c r="AC65" s="2056"/>
      <c r="AD65" s="1839">
        <v>43.9</v>
      </c>
      <c r="AE65" s="2086"/>
      <c r="AF65" s="3303"/>
      <c r="AG65" s="1839">
        <v>95.9</v>
      </c>
      <c r="AH65" s="1090"/>
      <c r="AI65" s="67"/>
      <c r="AJ65" s="911">
        <f t="shared" si="6"/>
        <v>-52</v>
      </c>
      <c r="AK65" s="911"/>
      <c r="AL65" s="1868">
        <f t="shared" si="8"/>
        <v>-0.54200000000000004</v>
      </c>
      <c r="AM65" s="1869"/>
    </row>
    <row r="66" spans="1:39" s="903" customFormat="1" ht="15" customHeight="1">
      <c r="A66" s="1087"/>
      <c r="B66" s="908" t="s">
        <v>1054</v>
      </c>
      <c r="C66" s="107"/>
      <c r="D66" s="912">
        <v>39</v>
      </c>
      <c r="E66" s="1575"/>
      <c r="F66" s="912">
        <v>28.200000000000003</v>
      </c>
      <c r="G66" s="1575"/>
      <c r="H66" s="912">
        <v>8.3999999999999915</v>
      </c>
      <c r="I66" s="1575"/>
      <c r="J66" s="912">
        <v>29.300000000000011</v>
      </c>
      <c r="K66" s="1581"/>
      <c r="L66" s="912">
        <v>0.90000000000000568</v>
      </c>
      <c r="M66" s="1581"/>
      <c r="N66" s="912">
        <v>0.49999999999998579</v>
      </c>
      <c r="O66" s="1581"/>
      <c r="P66" s="1839">
        <v>65.500000000000014</v>
      </c>
      <c r="Q66" s="2052"/>
      <c r="R66" s="1839">
        <v>24.500000000000014</v>
      </c>
      <c r="S66" s="2052"/>
      <c r="T66" s="1839">
        <v>22.399999999999991</v>
      </c>
      <c r="U66" s="2052"/>
      <c r="V66" s="1839">
        <f t="shared" si="5"/>
        <v>48.100000000000037</v>
      </c>
      <c r="W66" s="2052"/>
      <c r="X66" s="1839"/>
      <c r="Y66" s="2052"/>
      <c r="Z66" s="1839"/>
      <c r="AA66" s="2053"/>
      <c r="AB66" s="2054"/>
      <c r="AC66" s="2056"/>
      <c r="AD66" s="1839">
        <v>266.8</v>
      </c>
      <c r="AE66" s="2086"/>
      <c r="AF66" s="3303"/>
      <c r="AG66" s="1839">
        <v>290.10000000000002</v>
      </c>
      <c r="AH66" s="1090"/>
      <c r="AI66" s="67"/>
      <c r="AJ66" s="911">
        <f t="shared" si="6"/>
        <v>-23.3</v>
      </c>
      <c r="AK66" s="911"/>
      <c r="AL66" s="1879">
        <f t="shared" si="8"/>
        <v>-0.08</v>
      </c>
      <c r="AM66" s="1869"/>
    </row>
    <row r="67" spans="1:39" s="903" customFormat="1" ht="17.25" customHeight="1">
      <c r="A67" s="1087"/>
      <c r="B67" s="908" t="s">
        <v>1159</v>
      </c>
      <c r="C67" s="107"/>
      <c r="D67" s="912" t="s">
        <v>15</v>
      </c>
      <c r="E67" s="1575"/>
      <c r="F67" s="912"/>
      <c r="G67" s="1575"/>
      <c r="H67" s="912"/>
      <c r="I67" s="1575"/>
      <c r="J67" s="912"/>
      <c r="K67" s="118"/>
      <c r="L67" s="912"/>
      <c r="M67" s="118"/>
      <c r="N67" s="912"/>
      <c r="O67" s="118"/>
      <c r="P67" s="1839"/>
      <c r="Q67" s="2049"/>
      <c r="R67" s="1839"/>
      <c r="S67" s="2049"/>
      <c r="T67" s="1839"/>
      <c r="U67" s="2049"/>
      <c r="V67" s="1839"/>
      <c r="W67" s="2049"/>
      <c r="X67" s="1839"/>
      <c r="Y67" s="2049"/>
      <c r="Z67" s="1839"/>
      <c r="AA67" s="2048"/>
      <c r="AB67" s="2049"/>
      <c r="AC67" s="2093"/>
      <c r="AD67" s="2049"/>
      <c r="AE67" s="2049"/>
      <c r="AF67" s="2051"/>
      <c r="AG67" s="2049"/>
      <c r="AH67" s="1090"/>
      <c r="AI67" s="67"/>
      <c r="AJ67" s="911"/>
      <c r="AK67" s="911"/>
      <c r="AL67" s="1868"/>
      <c r="AM67" s="1869"/>
    </row>
    <row r="68" spans="1:39" s="903" customFormat="1" ht="15" customHeight="1">
      <c r="A68" s="1087"/>
      <c r="B68" s="908" t="s">
        <v>1084</v>
      </c>
      <c r="C68" s="107"/>
      <c r="D68" s="912">
        <v>1.4</v>
      </c>
      <c r="E68" s="1575"/>
      <c r="F68" s="912">
        <v>1.8000000000000003</v>
      </c>
      <c r="G68" s="1575"/>
      <c r="H68" s="912">
        <v>4.5999999999999996</v>
      </c>
      <c r="I68" s="1575"/>
      <c r="J68" s="912">
        <v>17.600000000000001</v>
      </c>
      <c r="K68" s="1581"/>
      <c r="L68" s="912">
        <v>4.2999999999999972</v>
      </c>
      <c r="M68" s="1581"/>
      <c r="N68" s="912">
        <v>3.7000000000000028</v>
      </c>
      <c r="O68" s="1581"/>
      <c r="P68" s="1839">
        <v>26.200000000000003</v>
      </c>
      <c r="Q68" s="2052"/>
      <c r="R68" s="1839">
        <v>27.300000000000004</v>
      </c>
      <c r="S68" s="2052"/>
      <c r="T68" s="1839">
        <v>15.899999999999999</v>
      </c>
      <c r="U68" s="2052"/>
      <c r="V68" s="1839">
        <f t="shared" si="5"/>
        <v>15.799999999999983</v>
      </c>
      <c r="W68" s="2052"/>
      <c r="X68" s="1839"/>
      <c r="Y68" s="2052"/>
      <c r="Z68" s="1839"/>
      <c r="AA68" s="2053"/>
      <c r="AB68" s="2054"/>
      <c r="AC68" s="2056"/>
      <c r="AD68" s="1839">
        <v>118.6</v>
      </c>
      <c r="AE68" s="2086"/>
      <c r="AF68" s="3303"/>
      <c r="AG68" s="1839">
        <v>101.2</v>
      </c>
      <c r="AH68" s="1090"/>
      <c r="AI68" s="67"/>
      <c r="AJ68" s="911">
        <f t="shared" si="6"/>
        <v>17.399999999999999</v>
      </c>
      <c r="AK68" s="911"/>
      <c r="AL68" s="1879">
        <f>ROUND(IF(AG68=0,0,AJ68/ABS(AG68)),3)</f>
        <v>0.17199999999999999</v>
      </c>
      <c r="AM68" s="1869"/>
    </row>
    <row r="69" spans="1:39" s="903" customFormat="1" ht="15" customHeight="1">
      <c r="A69" s="1087"/>
      <c r="B69" s="908" t="s">
        <v>1085</v>
      </c>
      <c r="C69" s="107"/>
      <c r="D69" s="912">
        <v>0.5</v>
      </c>
      <c r="E69" s="1575"/>
      <c r="F69" s="1060">
        <v>0.4</v>
      </c>
      <c r="G69" s="1575"/>
      <c r="H69" s="912">
        <v>0.6</v>
      </c>
      <c r="I69" s="1575"/>
      <c r="J69" s="912">
        <v>0.4000000000000058</v>
      </c>
      <c r="K69" s="1581"/>
      <c r="L69" s="912">
        <v>0.39999999999999147</v>
      </c>
      <c r="M69" s="1581"/>
      <c r="N69" s="912">
        <v>0.79999999999999716</v>
      </c>
      <c r="O69" s="1581"/>
      <c r="P69" s="1839">
        <v>0.70000000000001705</v>
      </c>
      <c r="Q69" s="2052"/>
      <c r="R69" s="1839">
        <v>0.69999999999999396</v>
      </c>
      <c r="S69" s="2052"/>
      <c r="T69" s="1839">
        <v>82.300000000000011</v>
      </c>
      <c r="U69" s="2052"/>
      <c r="V69" s="1839">
        <f t="shared" si="5"/>
        <v>-67.399999999999977</v>
      </c>
      <c r="W69" s="2052"/>
      <c r="X69" s="1839"/>
      <c r="Y69" s="2052"/>
      <c r="Z69" s="1839"/>
      <c r="AA69" s="2053"/>
      <c r="AB69" s="2054"/>
      <c r="AC69" s="2056"/>
      <c r="AD69" s="1839">
        <v>19.400000000000034</v>
      </c>
      <c r="AE69" s="2086"/>
      <c r="AF69" s="3303"/>
      <c r="AG69" s="1839">
        <v>14.1</v>
      </c>
      <c r="AH69" s="1090"/>
      <c r="AI69" s="67"/>
      <c r="AJ69" s="911">
        <f t="shared" si="6"/>
        <v>5.3</v>
      </c>
      <c r="AK69" s="911"/>
      <c r="AL69" s="3862">
        <f>ROUND(IF(AG69=0,1,AJ69/ABS(AG69)),3)</f>
        <v>0.376</v>
      </c>
      <c r="AM69" s="1869"/>
    </row>
    <row r="70" spans="1:39" s="903" customFormat="1" ht="15" customHeight="1">
      <c r="A70" s="1087"/>
      <c r="B70" s="908" t="s">
        <v>1389</v>
      </c>
      <c r="C70" s="107"/>
      <c r="D70" s="912">
        <v>0</v>
      </c>
      <c r="E70" s="1575"/>
      <c r="F70" s="912">
        <v>0</v>
      </c>
      <c r="G70" s="1575"/>
      <c r="H70" s="912">
        <v>0</v>
      </c>
      <c r="I70" s="1575"/>
      <c r="J70" s="912">
        <v>0</v>
      </c>
      <c r="K70" s="1581"/>
      <c r="L70" s="912">
        <v>0</v>
      </c>
      <c r="M70" s="1581"/>
      <c r="N70" s="912">
        <v>0</v>
      </c>
      <c r="O70" s="1581"/>
      <c r="P70" s="1839">
        <v>0</v>
      </c>
      <c r="Q70" s="2052"/>
      <c r="R70" s="1839">
        <v>0</v>
      </c>
      <c r="S70" s="2052"/>
      <c r="T70" s="1839">
        <v>0</v>
      </c>
      <c r="U70" s="2052"/>
      <c r="V70" s="1839">
        <f t="shared" si="5"/>
        <v>468</v>
      </c>
      <c r="W70" s="2052"/>
      <c r="X70" s="1839"/>
      <c r="Y70" s="2052"/>
      <c r="Z70" s="1839"/>
      <c r="AA70" s="2053"/>
      <c r="AB70" s="2054"/>
      <c r="AC70" s="2056"/>
      <c r="AD70" s="1839">
        <v>468</v>
      </c>
      <c r="AE70" s="2086"/>
      <c r="AF70" s="3305"/>
      <c r="AG70" s="1839">
        <v>1068</v>
      </c>
      <c r="AH70" s="1090"/>
      <c r="AI70" s="67"/>
      <c r="AJ70" s="911">
        <f t="shared" ref="AJ70" si="9">ROUND(SUM(+AD70-AG70),1)</f>
        <v>-600</v>
      </c>
      <c r="AK70" s="911"/>
      <c r="AL70" s="1868">
        <f>ROUND(IF(AG70=0,0,AJ70/ABS(AG70)),3)</f>
        <v>-0.56200000000000006</v>
      </c>
      <c r="AM70" s="1869"/>
    </row>
    <row r="71" spans="1:39" s="903" customFormat="1" ht="15" customHeight="1">
      <c r="A71" s="1087"/>
      <c r="B71" s="908" t="s">
        <v>1086</v>
      </c>
      <c r="C71" s="107"/>
      <c r="D71" s="912">
        <v>0.8</v>
      </c>
      <c r="E71" s="1575"/>
      <c r="F71" s="912">
        <v>1</v>
      </c>
      <c r="G71" s="1575"/>
      <c r="H71" s="912">
        <v>2.8</v>
      </c>
      <c r="I71" s="1575"/>
      <c r="J71" s="912">
        <v>0.30000000000000071</v>
      </c>
      <c r="K71" s="1581"/>
      <c r="L71" s="912">
        <v>0.59999999999999964</v>
      </c>
      <c r="M71" s="1581"/>
      <c r="N71" s="912">
        <v>0</v>
      </c>
      <c r="O71" s="1581"/>
      <c r="P71" s="1839">
        <v>0.29999999999999982</v>
      </c>
      <c r="Q71" s="2052"/>
      <c r="R71" s="1839">
        <v>0.29999999999999982</v>
      </c>
      <c r="S71" s="2052"/>
      <c r="T71" s="1839">
        <v>0.30000000000000071</v>
      </c>
      <c r="U71" s="2052"/>
      <c r="V71" s="1839">
        <f t="shared" si="5"/>
        <v>0.5</v>
      </c>
      <c r="W71" s="2052"/>
      <c r="X71" s="1839"/>
      <c r="Y71" s="2052"/>
      <c r="Z71" s="1839"/>
      <c r="AA71" s="2053"/>
      <c r="AB71" s="2054"/>
      <c r="AC71" s="2056"/>
      <c r="AD71" s="1839">
        <v>6.9</v>
      </c>
      <c r="AE71" s="2086"/>
      <c r="AF71" s="3303"/>
      <c r="AG71" s="1839">
        <v>106</v>
      </c>
      <c r="AH71" s="1090"/>
      <c r="AI71" s="67"/>
      <c r="AJ71" s="911">
        <f t="shared" si="6"/>
        <v>-99.1</v>
      </c>
      <c r="AK71" s="911"/>
      <c r="AL71" s="1879">
        <f t="shared" ref="AL71:AL74" si="10">ROUND(IF(AG71=0,0,AJ71/ABS(AG71)),3)</f>
        <v>-0.93500000000000005</v>
      </c>
      <c r="AM71" s="1869"/>
    </row>
    <row r="72" spans="1:39" s="903" customFormat="1" ht="15" customHeight="1">
      <c r="A72" s="1087"/>
      <c r="B72" s="908" t="s">
        <v>1087</v>
      </c>
      <c r="C72" s="107"/>
      <c r="D72" s="912">
        <v>0.9</v>
      </c>
      <c r="E72" s="1575"/>
      <c r="F72" s="912">
        <v>0</v>
      </c>
      <c r="G72" s="1575"/>
      <c r="H72" s="912">
        <v>0</v>
      </c>
      <c r="I72" s="1575"/>
      <c r="J72" s="912">
        <v>0</v>
      </c>
      <c r="K72" s="1581"/>
      <c r="L72" s="912">
        <v>0</v>
      </c>
      <c r="M72" s="1581"/>
      <c r="N72" s="912">
        <v>0</v>
      </c>
      <c r="O72" s="1581"/>
      <c r="P72" s="1839">
        <v>0</v>
      </c>
      <c r="Q72" s="2052"/>
      <c r="R72" s="1839">
        <v>0</v>
      </c>
      <c r="S72" s="2052"/>
      <c r="T72" s="1839">
        <v>0</v>
      </c>
      <c r="U72" s="2052"/>
      <c r="V72" s="1839">
        <f t="shared" si="5"/>
        <v>0</v>
      </c>
      <c r="W72" s="2052"/>
      <c r="X72" s="1839"/>
      <c r="Y72" s="2052"/>
      <c r="Z72" s="1839"/>
      <c r="AA72" s="2053"/>
      <c r="AB72" s="2054"/>
      <c r="AC72" s="2056"/>
      <c r="AD72" s="1839">
        <v>0.9</v>
      </c>
      <c r="AE72" s="2086"/>
      <c r="AF72" s="3303"/>
      <c r="AG72" s="1839">
        <v>0.1</v>
      </c>
      <c r="AH72" s="1090"/>
      <c r="AI72" s="67"/>
      <c r="AJ72" s="911">
        <f t="shared" si="6"/>
        <v>0.8</v>
      </c>
      <c r="AK72" s="911"/>
      <c r="AL72" s="1868">
        <f>ROUND(IF(AG72=0,1,AJ72/ABS(AG72)),3)</f>
        <v>8</v>
      </c>
      <c r="AM72" s="1869"/>
    </row>
    <row r="73" spans="1:39" s="903" customFormat="1" ht="15" customHeight="1">
      <c r="A73" s="1087"/>
      <c r="B73" s="908" t="s">
        <v>1088</v>
      </c>
      <c r="C73" s="107"/>
      <c r="D73" s="912">
        <v>204.3</v>
      </c>
      <c r="E73" s="1575"/>
      <c r="F73" s="912">
        <v>156.19999999999999</v>
      </c>
      <c r="G73" s="1575"/>
      <c r="H73" s="912">
        <v>154.89999999999998</v>
      </c>
      <c r="I73" s="1575"/>
      <c r="J73" s="912">
        <v>222.30000000000013</v>
      </c>
      <c r="K73" s="1581"/>
      <c r="L73" s="912">
        <v>106.19999999999982</v>
      </c>
      <c r="M73" s="1581"/>
      <c r="N73" s="912">
        <v>243.2</v>
      </c>
      <c r="O73" s="1581"/>
      <c r="P73" s="1839">
        <v>193.80000000000024</v>
      </c>
      <c r="Q73" s="2052"/>
      <c r="R73" s="1839">
        <v>155.89999999999986</v>
      </c>
      <c r="S73" s="2052"/>
      <c r="T73" s="1839">
        <v>187.69999999999976</v>
      </c>
      <c r="U73" s="2052"/>
      <c r="V73" s="1839">
        <f t="shared" si="5"/>
        <v>200.20000000000033</v>
      </c>
      <c r="W73" s="2052"/>
      <c r="X73" s="1839"/>
      <c r="Y73" s="2052"/>
      <c r="Z73" s="1839"/>
      <c r="AA73" s="2053"/>
      <c r="AB73" s="2054"/>
      <c r="AC73" s="2056"/>
      <c r="AD73" s="1839">
        <v>1824.7</v>
      </c>
      <c r="AE73" s="2086"/>
      <c r="AF73" s="3303"/>
      <c r="AG73" s="1839">
        <v>1798.2</v>
      </c>
      <c r="AH73" s="1090"/>
      <c r="AI73" s="67"/>
      <c r="AJ73" s="911">
        <f t="shared" si="6"/>
        <v>26.5</v>
      </c>
      <c r="AK73" s="911"/>
      <c r="AL73" s="1868">
        <f t="shared" si="10"/>
        <v>1.4999999999999999E-2</v>
      </c>
      <c r="AM73" s="1869"/>
    </row>
    <row r="74" spans="1:39" s="903" customFormat="1" ht="15" customHeight="1">
      <c r="A74" s="1087"/>
      <c r="B74" s="908" t="s">
        <v>1089</v>
      </c>
      <c r="C74" s="107"/>
      <c r="D74" s="912">
        <v>5.2</v>
      </c>
      <c r="E74" s="1575"/>
      <c r="F74" s="912">
        <v>1</v>
      </c>
      <c r="G74" s="1575"/>
      <c r="H74" s="912">
        <v>6.7</v>
      </c>
      <c r="I74" s="1575"/>
      <c r="J74" s="912">
        <v>13.600000000000001</v>
      </c>
      <c r="K74" s="1581"/>
      <c r="L74" s="912">
        <v>1.1000000000000014</v>
      </c>
      <c r="M74" s="1581"/>
      <c r="N74" s="912">
        <v>3.7999999999999972</v>
      </c>
      <c r="O74" s="1581"/>
      <c r="P74" s="1839">
        <v>9.5999999999999979</v>
      </c>
      <c r="Q74" s="2052"/>
      <c r="R74" s="1839">
        <v>3.7999999999999972</v>
      </c>
      <c r="S74" s="2052"/>
      <c r="T74" s="1839">
        <v>4.0999999999999979</v>
      </c>
      <c r="U74" s="2052"/>
      <c r="V74" s="1839">
        <f t="shared" si="5"/>
        <v>5.3999999999999986</v>
      </c>
      <c r="W74" s="2052"/>
      <c r="X74" s="1839"/>
      <c r="Y74" s="2052"/>
      <c r="Z74" s="1839"/>
      <c r="AA74" s="2053"/>
      <c r="AB74" s="2054"/>
      <c r="AC74" s="2056"/>
      <c r="AD74" s="1839">
        <v>54.3</v>
      </c>
      <c r="AE74" s="2086"/>
      <c r="AF74" s="3303"/>
      <c r="AG74" s="1839">
        <v>50.1</v>
      </c>
      <c r="AH74" s="1090"/>
      <c r="AI74" s="67"/>
      <c r="AJ74" s="911">
        <f t="shared" si="6"/>
        <v>4.2</v>
      </c>
      <c r="AK74" s="911"/>
      <c r="AL74" s="1879">
        <f t="shared" si="10"/>
        <v>8.4000000000000005E-2</v>
      </c>
      <c r="AM74" s="1869"/>
    </row>
    <row r="75" spans="1:39" s="903" customFormat="1" ht="15" customHeight="1">
      <c r="A75" s="1087"/>
      <c r="B75" s="908" t="s">
        <v>1090</v>
      </c>
      <c r="C75" s="107"/>
      <c r="D75" s="912">
        <v>7.6</v>
      </c>
      <c r="E75" s="1575"/>
      <c r="F75" s="912">
        <v>1.2000000000000011</v>
      </c>
      <c r="G75" s="1575"/>
      <c r="H75" s="912">
        <v>0.79999999999999893</v>
      </c>
      <c r="I75" s="1575"/>
      <c r="J75" s="912">
        <v>1</v>
      </c>
      <c r="K75" s="1581"/>
      <c r="L75" s="912">
        <v>5.9</v>
      </c>
      <c r="M75" s="1581"/>
      <c r="N75" s="912">
        <v>0.39999999999999858</v>
      </c>
      <c r="O75" s="1581"/>
      <c r="P75" s="1839">
        <v>0.40000000000000213</v>
      </c>
      <c r="Q75" s="2052"/>
      <c r="R75" s="1839">
        <v>3.4000000000000021</v>
      </c>
      <c r="S75" s="2052"/>
      <c r="T75" s="1839">
        <v>0.39999999999999858</v>
      </c>
      <c r="U75" s="2052"/>
      <c r="V75" s="1839">
        <f t="shared" si="5"/>
        <v>24.299999999999997</v>
      </c>
      <c r="W75" s="2052"/>
      <c r="X75" s="1839"/>
      <c r="Y75" s="2052"/>
      <c r="Z75" s="1839"/>
      <c r="AA75" s="2053"/>
      <c r="AB75" s="2054"/>
      <c r="AC75" s="2056"/>
      <c r="AD75" s="1839">
        <v>45.4</v>
      </c>
      <c r="AE75" s="2086"/>
      <c r="AF75" s="3303"/>
      <c r="AG75" s="1839">
        <v>66.5</v>
      </c>
      <c r="AH75" s="1090"/>
      <c r="AI75" s="67"/>
      <c r="AJ75" s="911">
        <f t="shared" si="6"/>
        <v>-21.1</v>
      </c>
      <c r="AK75" s="911"/>
      <c r="AL75" s="1879">
        <f>ROUND(IF(AG75=0,1,AJ75/ABS(AG75)),3)</f>
        <v>-0.317</v>
      </c>
      <c r="AM75" s="1869"/>
    </row>
    <row r="76" spans="1:39" s="903" customFormat="1" ht="15" customHeight="1">
      <c r="A76" s="1087"/>
      <c r="B76" s="908" t="s">
        <v>1091</v>
      </c>
      <c r="C76" s="107"/>
      <c r="D76" s="912">
        <v>7.5</v>
      </c>
      <c r="E76" s="911"/>
      <c r="F76" s="912">
        <v>3.0999999999999996</v>
      </c>
      <c r="G76" s="911"/>
      <c r="H76" s="912">
        <v>8.5000000000000018</v>
      </c>
      <c r="I76" s="911"/>
      <c r="J76" s="912">
        <v>7.4999999999999982</v>
      </c>
      <c r="K76" s="1581"/>
      <c r="L76" s="912">
        <v>1.7000000000000028</v>
      </c>
      <c r="M76" s="1581"/>
      <c r="N76" s="912">
        <v>10.9</v>
      </c>
      <c r="O76" s="1581"/>
      <c r="P76" s="1839">
        <v>2.2999999999999972</v>
      </c>
      <c r="Q76" s="2052"/>
      <c r="R76" s="1839">
        <v>2.2000000000000011</v>
      </c>
      <c r="S76" s="2052"/>
      <c r="T76" s="1839">
        <v>10.799999999999997</v>
      </c>
      <c r="U76" s="2052"/>
      <c r="V76" s="1839">
        <f t="shared" si="5"/>
        <v>2.5000000000000018</v>
      </c>
      <c r="W76" s="2052"/>
      <c r="X76" s="1839"/>
      <c r="Y76" s="2052"/>
      <c r="Z76" s="1839"/>
      <c r="AA76" s="2053"/>
      <c r="AB76" s="2054"/>
      <c r="AC76" s="2056"/>
      <c r="AD76" s="1839">
        <v>57</v>
      </c>
      <c r="AE76" s="2086"/>
      <c r="AF76" s="3303"/>
      <c r="AG76" s="1839">
        <v>76.900000000000006</v>
      </c>
      <c r="AH76" s="1090"/>
      <c r="AI76" s="67"/>
      <c r="AJ76" s="911">
        <f t="shared" si="6"/>
        <v>-19.899999999999999</v>
      </c>
      <c r="AK76" s="911"/>
      <c r="AL76" s="1868">
        <f>ROUND(IF(AG76=0,0,AJ76/ABS(AG76)),3)</f>
        <v>-0.25900000000000001</v>
      </c>
      <c r="AM76" s="1869"/>
    </row>
    <row r="77" spans="1:39" s="903" customFormat="1" ht="15" customHeight="1">
      <c r="A77" s="1087"/>
      <c r="B77" s="908" t="s">
        <v>1092</v>
      </c>
      <c r="C77" s="107"/>
      <c r="D77" s="1060">
        <v>40.9</v>
      </c>
      <c r="E77" s="911"/>
      <c r="F77" s="1060">
        <v>36.9</v>
      </c>
      <c r="G77" s="911"/>
      <c r="H77" s="912">
        <v>57.399999999999984</v>
      </c>
      <c r="I77" s="911"/>
      <c r="J77" s="912">
        <v>39.20000000000001</v>
      </c>
      <c r="K77" s="1581"/>
      <c r="L77" s="912">
        <v>43.699999999999996</v>
      </c>
      <c r="M77" s="1581"/>
      <c r="N77" s="912">
        <v>67.500000000000028</v>
      </c>
      <c r="O77" s="1581"/>
      <c r="P77" s="1839">
        <v>36.700000000000017</v>
      </c>
      <c r="Q77" s="2052"/>
      <c r="R77" s="1839">
        <v>32.30000000000004</v>
      </c>
      <c r="S77" s="2052"/>
      <c r="T77" s="1839">
        <v>33.099999999999966</v>
      </c>
      <c r="U77" s="2052"/>
      <c r="V77" s="1839">
        <f t="shared" si="5"/>
        <v>44.900000000000063</v>
      </c>
      <c r="W77" s="2052"/>
      <c r="X77" s="1839"/>
      <c r="Y77" s="2052"/>
      <c r="Z77" s="1839"/>
      <c r="AA77" s="2053"/>
      <c r="AB77" s="2054"/>
      <c r="AC77" s="2055"/>
      <c r="AD77" s="1839">
        <v>432.6</v>
      </c>
      <c r="AE77" s="2054"/>
      <c r="AF77" s="2056"/>
      <c r="AG77" s="1839">
        <v>394</v>
      </c>
      <c r="AH77" s="1090"/>
      <c r="AI77" s="67"/>
      <c r="AJ77" s="911">
        <f t="shared" si="6"/>
        <v>38.6</v>
      </c>
      <c r="AK77" s="911"/>
      <c r="AL77" s="1879">
        <f>ROUND(IF(AG77=0,0,AJ77/ABS(AG77)),3)</f>
        <v>9.8000000000000004E-2</v>
      </c>
      <c r="AM77" s="1869"/>
    </row>
    <row r="78" spans="1:39" ht="15" customHeight="1">
      <c r="A78" s="150"/>
      <c r="B78" s="908" t="s">
        <v>1064</v>
      </c>
      <c r="C78" s="31"/>
      <c r="D78" s="912">
        <v>0.9</v>
      </c>
      <c r="E78" s="911"/>
      <c r="F78" s="912">
        <v>0.79999999999999993</v>
      </c>
      <c r="G78" s="911"/>
      <c r="H78" s="912">
        <v>1.5000000000000004</v>
      </c>
      <c r="I78" s="911"/>
      <c r="J78" s="912">
        <v>2.4999999999999996</v>
      </c>
      <c r="K78" s="1581"/>
      <c r="L78" s="912">
        <v>1.6999999999999997</v>
      </c>
      <c r="M78" s="1581"/>
      <c r="N78" s="912">
        <v>2.4999999999999996</v>
      </c>
      <c r="O78" s="1581"/>
      <c r="P78" s="1839">
        <v>0.79999999999999893</v>
      </c>
      <c r="Q78" s="2052"/>
      <c r="R78" s="1839">
        <v>1.5000000000000004</v>
      </c>
      <c r="S78" s="2052"/>
      <c r="T78" s="1839">
        <v>1.3000000000000007</v>
      </c>
      <c r="U78" s="2052"/>
      <c r="V78" s="1839">
        <f t="shared" si="5"/>
        <v>1.4</v>
      </c>
      <c r="W78" s="2052"/>
      <c r="X78" s="1839"/>
      <c r="Y78" s="2052"/>
      <c r="Z78" s="1839"/>
      <c r="AA78" s="2053"/>
      <c r="AB78" s="2054"/>
      <c r="AC78" s="2055"/>
      <c r="AD78" s="1839">
        <v>14.9</v>
      </c>
      <c r="AE78" s="2054"/>
      <c r="AF78" s="2056"/>
      <c r="AG78" s="1839">
        <v>20.7</v>
      </c>
      <c r="AH78" s="276"/>
      <c r="AI78" s="56"/>
      <c r="AJ78" s="656">
        <f t="shared" si="6"/>
        <v>-5.8</v>
      </c>
      <c r="AK78" s="656"/>
      <c r="AL78" s="1468">
        <f>ROUND(IF(AG78=0,0,AJ78/ABS(AG78)),3)</f>
        <v>-0.28000000000000003</v>
      </c>
      <c r="AM78" s="799"/>
    </row>
    <row r="79" spans="1:39" s="903" customFormat="1" ht="15" customHeight="1">
      <c r="A79" s="1087"/>
      <c r="B79" s="908" t="s">
        <v>1065</v>
      </c>
      <c r="C79" s="107"/>
      <c r="D79" s="912">
        <v>52</v>
      </c>
      <c r="E79" s="911"/>
      <c r="F79" s="912">
        <v>48.099999999999994</v>
      </c>
      <c r="G79" s="911"/>
      <c r="H79" s="912">
        <v>34.900000000000006</v>
      </c>
      <c r="I79" s="911"/>
      <c r="J79" s="912">
        <v>45</v>
      </c>
      <c r="K79" s="1581"/>
      <c r="L79" s="912">
        <v>240</v>
      </c>
      <c r="M79" s="1581"/>
      <c r="N79" s="912">
        <v>309.89999999999998</v>
      </c>
      <c r="O79" s="1581"/>
      <c r="P79" s="1839">
        <v>137.5</v>
      </c>
      <c r="Q79" s="2052"/>
      <c r="R79" s="1839">
        <v>37.5</v>
      </c>
      <c r="S79" s="2052"/>
      <c r="T79" s="1839">
        <v>14.100000000000023</v>
      </c>
      <c r="U79" s="2052"/>
      <c r="V79" s="1839">
        <f t="shared" si="5"/>
        <v>261.79999999999995</v>
      </c>
      <c r="W79" s="2052"/>
      <c r="X79" s="1839"/>
      <c r="Y79" s="2052"/>
      <c r="Z79" s="1839"/>
      <c r="AA79" s="2053"/>
      <c r="AB79" s="2054"/>
      <c r="AC79" s="2056"/>
      <c r="AD79" s="1839">
        <v>1180.8</v>
      </c>
      <c r="AE79" s="2086"/>
      <c r="AF79" s="3303"/>
      <c r="AG79" s="1839">
        <v>1295.5999999999999</v>
      </c>
      <c r="AH79" s="1090"/>
      <c r="AI79" s="67"/>
      <c r="AJ79" s="911">
        <f t="shared" si="6"/>
        <v>-114.8</v>
      </c>
      <c r="AK79" s="911"/>
      <c r="AL79" s="1868">
        <f>ROUND(IF(AG79=0,0,AJ79/ABS(AG79)),3)</f>
        <v>-8.8999999999999996E-2</v>
      </c>
      <c r="AM79" s="1869"/>
    </row>
    <row r="80" spans="1:39" s="903" customFormat="1" ht="15" customHeight="1">
      <c r="A80" s="1087"/>
      <c r="B80" s="312" t="s">
        <v>1201</v>
      </c>
      <c r="C80" s="107"/>
      <c r="D80" s="1890">
        <f>ROUND(SUM(D41:D79),1)</f>
        <v>1557.2</v>
      </c>
      <c r="E80" s="911"/>
      <c r="F80" s="1890">
        <f>ROUND(SUM(F41:F79),1)</f>
        <v>1411.2</v>
      </c>
      <c r="G80" s="911"/>
      <c r="H80" s="1890">
        <f>ROUND(SUM(H41:H79),1)</f>
        <v>1509.6</v>
      </c>
      <c r="I80" s="911"/>
      <c r="J80" s="1890">
        <f>ROUND(SUM(J41:J79),1)</f>
        <v>1531.9</v>
      </c>
      <c r="K80" s="118"/>
      <c r="L80" s="1583">
        <f>ROUND(SUM(L41:L79),1)</f>
        <v>1421.4</v>
      </c>
      <c r="M80" s="118"/>
      <c r="N80" s="1583">
        <f>ROUND(SUM(N41:N79),1)</f>
        <v>1874.2</v>
      </c>
      <c r="O80" s="118"/>
      <c r="P80" s="1497">
        <f>ROUND(SUM(P41:P79),1)</f>
        <v>1601.4</v>
      </c>
      <c r="Q80" s="2049"/>
      <c r="R80" s="1497">
        <f>ROUND(SUM(R41:R79),1)</f>
        <v>1233.7</v>
      </c>
      <c r="S80" s="2049"/>
      <c r="T80" s="1497">
        <f>ROUND(SUM(T41:T79),1)</f>
        <v>1448.9</v>
      </c>
      <c r="U80" s="2049"/>
      <c r="V80" s="1497">
        <f>ROUND(SUM(V41:V79),1)</f>
        <v>2198.8000000000002</v>
      </c>
      <c r="W80" s="2049"/>
      <c r="X80" s="1497">
        <f>ROUND(SUM(X41:X79),1)</f>
        <v>0</v>
      </c>
      <c r="Y80" s="2049"/>
      <c r="Z80" s="1497">
        <f>ROUND(SUM(Z41:Z79),1)</f>
        <v>0</v>
      </c>
      <c r="AA80" s="1499"/>
      <c r="AB80" s="2049"/>
      <c r="AC80" s="2093"/>
      <c r="AD80" s="1497">
        <f>ROUND(SUM(AD41:AD79),1)</f>
        <v>15788.3</v>
      </c>
      <c r="AE80" s="2049"/>
      <c r="AF80" s="2051"/>
      <c r="AG80" s="1497">
        <f>ROUND(SUM(AG41:AG79),1)</f>
        <v>16332.4</v>
      </c>
      <c r="AH80" s="1090"/>
      <c r="AI80" s="67"/>
      <c r="AJ80" s="1583">
        <f>ROUND(SUM(AJ41:AJ79),1)</f>
        <v>-544.1</v>
      </c>
      <c r="AK80" s="911"/>
      <c r="AL80" s="1870">
        <f>ROUND(SUM(+AJ80/AG80),3)</f>
        <v>-3.3000000000000002E-2</v>
      </c>
      <c r="AM80" s="1869"/>
    </row>
    <row r="81" spans="1:39" s="903" customFormat="1" ht="15" customHeight="1">
      <c r="A81" s="1087"/>
      <c r="B81" s="312"/>
      <c r="C81" s="107"/>
      <c r="D81" s="115"/>
      <c r="E81" s="911"/>
      <c r="F81" s="115"/>
      <c r="G81" s="911"/>
      <c r="H81" s="115"/>
      <c r="I81" s="911"/>
      <c r="J81" s="115"/>
      <c r="K81" s="118"/>
      <c r="L81" s="115"/>
      <c r="M81" s="118"/>
      <c r="N81" s="115"/>
      <c r="O81" s="118"/>
      <c r="P81" s="1499"/>
      <c r="Q81" s="2049"/>
      <c r="R81" s="1499"/>
      <c r="S81" s="2049"/>
      <c r="T81" s="1499"/>
      <c r="U81" s="2049"/>
      <c r="V81" s="1499"/>
      <c r="W81" s="2049"/>
      <c r="X81" s="1499"/>
      <c r="Y81" s="2049"/>
      <c r="Z81" s="1499"/>
      <c r="AA81" s="1499"/>
      <c r="AB81" s="2049"/>
      <c r="AC81" s="2093"/>
      <c r="AD81" s="1499"/>
      <c r="AE81" s="2049"/>
      <c r="AF81" s="2051"/>
      <c r="AG81" s="1499"/>
      <c r="AH81" s="1090"/>
      <c r="AI81" s="67"/>
      <c r="AJ81" s="115"/>
      <c r="AK81" s="911"/>
      <c r="AL81" s="1871"/>
      <c r="AM81" s="1869"/>
    </row>
    <row r="82" spans="1:39" s="903" customFormat="1" ht="15" customHeight="1">
      <c r="A82" s="1087"/>
      <c r="B82" s="1866" t="s">
        <v>150</v>
      </c>
      <c r="C82" s="107"/>
      <c r="D82" s="912">
        <v>0</v>
      </c>
      <c r="E82" s="911"/>
      <c r="F82" s="912">
        <v>0</v>
      </c>
      <c r="G82" s="911"/>
      <c r="H82" s="912">
        <v>-0.9</v>
      </c>
      <c r="I82" s="911"/>
      <c r="J82" s="912">
        <v>9.9999999999999978E-2</v>
      </c>
      <c r="K82" s="1581"/>
      <c r="L82" s="912">
        <v>18.299999999999997</v>
      </c>
      <c r="M82" s="1581"/>
      <c r="N82" s="912">
        <v>0.10000000000000142</v>
      </c>
      <c r="O82" s="1581"/>
      <c r="P82" s="1839">
        <v>0</v>
      </c>
      <c r="Q82" s="2052"/>
      <c r="R82" s="1839">
        <v>9.9999999999997868E-2</v>
      </c>
      <c r="S82" s="2052"/>
      <c r="T82" s="1839">
        <v>0</v>
      </c>
      <c r="U82" s="2052"/>
      <c r="V82" s="1839">
        <f t="shared" ref="V82" si="11">$AD82-$D82-$F82-$H82-$J82-$L82-$N82-$P82-$R82-$T82</f>
        <v>-26.699999999999996</v>
      </c>
      <c r="W82" s="2052"/>
      <c r="X82" s="1839"/>
      <c r="Y82" s="2052"/>
      <c r="Z82" s="1839"/>
      <c r="AA82" s="2053"/>
      <c r="AB82" s="2054"/>
      <c r="AC82" s="2056"/>
      <c r="AD82" s="1839">
        <v>-9</v>
      </c>
      <c r="AE82" s="2086"/>
      <c r="AF82" s="3303"/>
      <c r="AG82" s="1839">
        <v>-2.4</v>
      </c>
      <c r="AH82" s="1090"/>
      <c r="AI82" s="67"/>
      <c r="AJ82" s="1040">
        <f>ROUND(SUM(+AD82-AG82),1)</f>
        <v>-6.6</v>
      </c>
      <c r="AK82" s="911"/>
      <c r="AL82" s="1774">
        <f>ROUND(IF(AG82=0,1,AJ82/ABS(AG82)),3)</f>
        <v>-2.75</v>
      </c>
      <c r="AM82" s="1869"/>
    </row>
    <row r="83" spans="1:39" ht="15" customHeight="1">
      <c r="A83" s="150"/>
      <c r="B83" s="31"/>
      <c r="C83" s="31"/>
      <c r="D83" s="702"/>
      <c r="E83" s="1575"/>
      <c r="F83" s="702"/>
      <c r="G83" s="1575"/>
      <c r="H83" s="702"/>
      <c r="I83" s="1575"/>
      <c r="J83" s="702"/>
      <c r="K83" s="66"/>
      <c r="L83" s="88"/>
      <c r="M83" s="66"/>
      <c r="N83" s="88"/>
      <c r="O83" s="66"/>
      <c r="P83" s="2059"/>
      <c r="Q83" s="2060"/>
      <c r="R83" s="2059"/>
      <c r="S83" s="2060"/>
      <c r="T83" s="2059"/>
      <c r="U83" s="2060"/>
      <c r="V83" s="2059"/>
      <c r="W83" s="2060"/>
      <c r="X83" s="2059"/>
      <c r="Y83" s="2060"/>
      <c r="Z83" s="2059"/>
      <c r="AA83" s="2061"/>
      <c r="AB83" s="2060"/>
      <c r="AC83" s="2091"/>
      <c r="AD83" s="2105"/>
      <c r="AE83" s="2030"/>
      <c r="AF83" s="2051"/>
      <c r="AG83" s="2105"/>
      <c r="AH83" s="276"/>
      <c r="AI83" s="56"/>
      <c r="AJ83" s="1440"/>
      <c r="AK83" s="936"/>
      <c r="AL83" s="1483"/>
      <c r="AM83" s="799"/>
    </row>
    <row r="84" spans="1:39" ht="15" customHeight="1">
      <c r="A84" s="150"/>
      <c r="B84" s="29" t="s">
        <v>151</v>
      </c>
      <c r="C84" s="31"/>
      <c r="D84" s="938">
        <f>ROUND(SUM(D37+D80+D82),1)</f>
        <v>1959</v>
      </c>
      <c r="E84" s="938"/>
      <c r="F84" s="938">
        <f>ROUND(SUM(F37+F80+F82),1)</f>
        <v>1598.5</v>
      </c>
      <c r="G84" s="938"/>
      <c r="H84" s="938">
        <f>ROUND(SUM(H37+H80+H82),1)</f>
        <v>1972.1</v>
      </c>
      <c r="I84" s="938"/>
      <c r="J84" s="938">
        <f>ROUND(SUM(J37+J80+J82),1)</f>
        <v>1780.2</v>
      </c>
      <c r="K84" s="938"/>
      <c r="L84" s="938">
        <f>ROUND(SUM(L37+L80+L82),1)</f>
        <v>1658</v>
      </c>
      <c r="M84" s="938"/>
      <c r="N84" s="938">
        <f>ROUND(SUM(N37+N80+N82),1)</f>
        <v>2330.4</v>
      </c>
      <c r="O84" s="938"/>
      <c r="P84" s="1498">
        <f>ROUND(SUM(P37+P80+P82),1)</f>
        <v>1832.3</v>
      </c>
      <c r="Q84" s="1498"/>
      <c r="R84" s="1498">
        <f>ROUND(SUM(R37+R80+R82),1)</f>
        <v>1461.6</v>
      </c>
      <c r="S84" s="1498"/>
      <c r="T84" s="1498">
        <f>ROUND(SUM(T37+T80+T82),1)</f>
        <v>1980.8</v>
      </c>
      <c r="U84" s="1498"/>
      <c r="V84" s="1498">
        <f>ROUND(SUM(V37+V80+V82),1)</f>
        <v>4507.7</v>
      </c>
      <c r="W84" s="1498"/>
      <c r="X84" s="1498">
        <f>ROUND(SUM(X37+X80+X82),1)</f>
        <v>0</v>
      </c>
      <c r="Y84" s="1498"/>
      <c r="Z84" s="1498">
        <f>ROUND(SUM(Z37+Z80+Z82),1)</f>
        <v>0</v>
      </c>
      <c r="AA84" s="1498"/>
      <c r="AB84" s="1498"/>
      <c r="AC84" s="2094"/>
      <c r="AD84" s="2104">
        <f>ROUND(SUM(AD37+AD80+AD82),1)</f>
        <v>21080.6</v>
      </c>
      <c r="AE84" s="1499"/>
      <c r="AF84" s="3287"/>
      <c r="AG84" s="2104">
        <f>ROUND(SUM(AG37+AG80+AG82),1)</f>
        <v>21798.1</v>
      </c>
      <c r="AH84" s="283"/>
      <c r="AI84" s="76"/>
      <c r="AJ84" s="844">
        <f>ROUND(SUM(AJ37+AJ80+AJ82),1)</f>
        <v>-717.5</v>
      </c>
      <c r="AK84" s="285"/>
      <c r="AL84" s="1472">
        <f>ROUND(SUM((AD84-AG84)/ABS(AG84)),3)</f>
        <v>-3.3000000000000002E-2</v>
      </c>
      <c r="AM84" s="799"/>
    </row>
    <row r="85" spans="1:39" ht="15" customHeight="1">
      <c r="A85" s="150"/>
      <c r="B85" s="31"/>
      <c r="C85" s="31"/>
      <c r="D85" s="702"/>
      <c r="E85" s="1575"/>
      <c r="F85" s="702"/>
      <c r="G85" s="1575"/>
      <c r="H85" s="702"/>
      <c r="I85" s="1575"/>
      <c r="J85" s="702"/>
      <c r="K85" s="66"/>
      <c r="L85" s="88"/>
      <c r="M85" s="66"/>
      <c r="N85" s="88"/>
      <c r="O85" s="66"/>
      <c r="P85" s="2059"/>
      <c r="Q85" s="2060"/>
      <c r="R85" s="2059"/>
      <c r="S85" s="2060"/>
      <c r="T85" s="2059"/>
      <c r="U85" s="2060"/>
      <c r="V85" s="2059"/>
      <c r="W85" s="2060"/>
      <c r="X85" s="2059"/>
      <c r="Y85" s="2060"/>
      <c r="Z85" s="2059"/>
      <c r="AA85" s="2061"/>
      <c r="AB85" s="2060"/>
      <c r="AC85" s="2091"/>
      <c r="AD85" s="2105"/>
      <c r="AE85" s="2030"/>
      <c r="AF85" s="2051"/>
      <c r="AG85" s="2105"/>
      <c r="AH85" s="276"/>
      <c r="AI85" s="56"/>
      <c r="AJ85" s="656"/>
      <c r="AK85" s="936"/>
      <c r="AL85" s="1468"/>
      <c r="AM85" s="799"/>
    </row>
    <row r="86" spans="1:39" ht="15" customHeight="1">
      <c r="A86" s="150"/>
      <c r="B86" s="173" t="s">
        <v>23</v>
      </c>
      <c r="C86" s="31"/>
      <c r="D86" s="1575"/>
      <c r="E86" s="1575"/>
      <c r="F86" s="1575"/>
      <c r="G86" s="1575"/>
      <c r="H86" s="1575"/>
      <c r="I86" s="1575"/>
      <c r="J86" s="1575"/>
      <c r="K86" s="66"/>
      <c r="L86" s="66"/>
      <c r="M86" s="66"/>
      <c r="N86" s="66"/>
      <c r="O86" s="66"/>
      <c r="P86" s="2060"/>
      <c r="Q86" s="2060"/>
      <c r="R86" s="2060"/>
      <c r="S86" s="2060"/>
      <c r="T86" s="2060"/>
      <c r="U86" s="2060"/>
      <c r="V86" s="2060"/>
      <c r="W86" s="2060"/>
      <c r="X86" s="2060"/>
      <c r="Y86" s="2060"/>
      <c r="Z86" s="2060"/>
      <c r="AA86" s="2060"/>
      <c r="AB86" s="2060"/>
      <c r="AC86" s="2091"/>
      <c r="AD86" s="2049"/>
      <c r="AE86" s="2030"/>
      <c r="AF86" s="2051"/>
      <c r="AG86" s="2049"/>
      <c r="AH86" s="276"/>
      <c r="AI86" s="56"/>
      <c r="AJ86" s="656"/>
      <c r="AK86" s="936"/>
      <c r="AL86" s="1468"/>
      <c r="AM86" s="799"/>
    </row>
    <row r="87" spans="1:39" ht="12.75" customHeight="1">
      <c r="A87" s="150"/>
      <c r="B87" s="704" t="s">
        <v>152</v>
      </c>
      <c r="C87" s="31"/>
      <c r="D87" s="695"/>
      <c r="E87" s="1575"/>
      <c r="F87" s="695"/>
      <c r="G87" s="1575"/>
      <c r="H87" s="1575"/>
      <c r="I87" s="1575"/>
      <c r="J87" s="695"/>
      <c r="K87" s="66"/>
      <c r="L87" s="77"/>
      <c r="M87" s="66"/>
      <c r="N87" s="77"/>
      <c r="O87" s="66"/>
      <c r="P87" s="2069"/>
      <c r="Q87" s="2060"/>
      <c r="R87" s="2069"/>
      <c r="S87" s="2060"/>
      <c r="T87" s="2069"/>
      <c r="U87" s="2060"/>
      <c r="V87" s="2060"/>
      <c r="W87" s="2060"/>
      <c r="X87" s="2069"/>
      <c r="Y87" s="2060"/>
      <c r="Z87" s="2060"/>
      <c r="AA87" s="2060"/>
      <c r="AB87" s="2060"/>
      <c r="AC87" s="2091"/>
      <c r="AD87" s="2047"/>
      <c r="AE87" s="2049"/>
      <c r="AF87" s="2051"/>
      <c r="AG87" s="2047"/>
      <c r="AH87" s="276"/>
      <c r="AI87" s="56"/>
      <c r="AJ87" s="656"/>
      <c r="AK87" s="936"/>
      <c r="AL87" s="1484"/>
      <c r="AM87" s="799"/>
    </row>
    <row r="88" spans="1:39" s="903" customFormat="1" ht="15" customHeight="1">
      <c r="A88" s="1087"/>
      <c r="B88" s="1863" t="s">
        <v>25</v>
      </c>
      <c r="C88" s="107"/>
      <c r="D88" s="912">
        <v>0.2</v>
      </c>
      <c r="E88" s="1575"/>
      <c r="F88" s="912">
        <v>0.49999999999999994</v>
      </c>
      <c r="G88" s="1575"/>
      <c r="H88" s="912">
        <v>349.3</v>
      </c>
      <c r="I88" s="1575"/>
      <c r="J88" s="912">
        <v>0.19999999999998863</v>
      </c>
      <c r="K88" s="1581"/>
      <c r="L88" s="912">
        <v>1.5</v>
      </c>
      <c r="M88" s="1581"/>
      <c r="N88" s="912">
        <v>2511.4</v>
      </c>
      <c r="O88" s="1581"/>
      <c r="P88" s="1839">
        <v>147.90000000000009</v>
      </c>
      <c r="Q88" s="2052"/>
      <c r="R88" s="1839">
        <v>149.40000000000009</v>
      </c>
      <c r="S88" s="2052"/>
      <c r="T88" s="1839">
        <v>183.79999999999973</v>
      </c>
      <c r="U88" s="2052"/>
      <c r="V88" s="1839">
        <f t="shared" ref="V88:V97" si="12">$AD88-$D88-$F88-$H88-$J88-$L88-$N88-$P88-$R88-$T88</f>
        <v>2254.8000000000002</v>
      </c>
      <c r="W88" s="2052"/>
      <c r="X88" s="1839"/>
      <c r="Y88" s="2052"/>
      <c r="Z88" s="1839"/>
      <c r="AA88" s="2053"/>
      <c r="AB88" s="2054"/>
      <c r="AC88" s="2056"/>
      <c r="AD88" s="1839">
        <v>5599</v>
      </c>
      <c r="AE88" s="2086"/>
      <c r="AF88" s="3303"/>
      <c r="AG88" s="1839">
        <v>5370.7</v>
      </c>
      <c r="AH88" s="1090"/>
      <c r="AI88" s="67"/>
      <c r="AJ88" s="911">
        <f>ROUND(SUM(+AD88-AG88),1)</f>
        <v>228.3</v>
      </c>
      <c r="AK88" s="911"/>
      <c r="AL88" s="1779">
        <f>ROUND(IF(AG88=0,1,AJ88/ABS(AG88)),3)</f>
        <v>4.2999999999999997E-2</v>
      </c>
      <c r="AM88" s="1869"/>
    </row>
    <row r="89" spans="1:39" s="903" customFormat="1" ht="15" customHeight="1">
      <c r="A89" s="1087"/>
      <c r="B89" s="1863" t="s">
        <v>26</v>
      </c>
      <c r="C89" s="107"/>
      <c r="D89" s="912">
        <v>0.1</v>
      </c>
      <c r="E89" s="1575"/>
      <c r="F89" s="912">
        <v>0</v>
      </c>
      <c r="G89" s="1575"/>
      <c r="H89" s="912">
        <v>0.5</v>
      </c>
      <c r="I89" s="1575"/>
      <c r="J89" s="912">
        <v>-9.9999999999999978E-2</v>
      </c>
      <c r="K89" s="1581"/>
      <c r="L89" s="912">
        <v>9.9999999999999978E-2</v>
      </c>
      <c r="M89" s="1581"/>
      <c r="N89" s="912">
        <v>0.20000000000000007</v>
      </c>
      <c r="O89" s="1581"/>
      <c r="P89" s="1839">
        <v>0</v>
      </c>
      <c r="Q89" s="2052"/>
      <c r="R89" s="1839">
        <v>0.19999999999999996</v>
      </c>
      <c r="S89" s="2052"/>
      <c r="T89" s="1839">
        <v>0.49999999999999989</v>
      </c>
      <c r="U89" s="2052"/>
      <c r="V89" s="1839">
        <f t="shared" si="12"/>
        <v>0.49999999999999989</v>
      </c>
      <c r="W89" s="2052"/>
      <c r="X89" s="1839"/>
      <c r="Y89" s="2052"/>
      <c r="Z89" s="1839"/>
      <c r="AA89" s="2053"/>
      <c r="AB89" s="2054"/>
      <c r="AC89" s="2056"/>
      <c r="AD89" s="1839">
        <v>2</v>
      </c>
      <c r="AE89" s="2086"/>
      <c r="AF89" s="3303"/>
      <c r="AG89" s="1839">
        <v>3.9</v>
      </c>
      <c r="AH89" s="1090"/>
      <c r="AI89" s="67"/>
      <c r="AJ89" s="911">
        <f>ROUND(SUM(+AD89-AG89),1)</f>
        <v>-1.9</v>
      </c>
      <c r="AK89" s="911"/>
      <c r="AL89" s="1868">
        <f>ROUND(IF(AG89=0,1,AJ89/ABS(AG89)),3)</f>
        <v>-0.48699999999999999</v>
      </c>
      <c r="AM89" s="1869"/>
    </row>
    <row r="90" spans="1:39" s="903" customFormat="1" ht="15" customHeight="1">
      <c r="A90" s="1087"/>
      <c r="B90" s="1863" t="s">
        <v>27</v>
      </c>
      <c r="C90" s="107"/>
      <c r="D90" s="912">
        <v>25.4</v>
      </c>
      <c r="E90" s="1575"/>
      <c r="F90" s="912">
        <v>18.700000000000003</v>
      </c>
      <c r="G90" s="1575"/>
      <c r="H90" s="912">
        <v>1.7999999999999972</v>
      </c>
      <c r="I90" s="1575"/>
      <c r="J90" s="912">
        <v>20.199999999999996</v>
      </c>
      <c r="K90" s="1581"/>
      <c r="L90" s="912">
        <v>12.5</v>
      </c>
      <c r="M90" s="1581"/>
      <c r="N90" s="912">
        <v>22.9</v>
      </c>
      <c r="O90" s="1581"/>
      <c r="P90" s="1839">
        <v>14.099999999999994</v>
      </c>
      <c r="Q90" s="2052"/>
      <c r="R90" s="1839">
        <v>20.200000000000024</v>
      </c>
      <c r="S90" s="2052"/>
      <c r="T90" s="1839">
        <v>27.099999999999994</v>
      </c>
      <c r="U90" s="2052"/>
      <c r="V90" s="1839">
        <f t="shared" si="12"/>
        <v>20.39999999999997</v>
      </c>
      <c r="W90" s="2052"/>
      <c r="X90" s="1839"/>
      <c r="Y90" s="2052"/>
      <c r="Z90" s="1839"/>
      <c r="AA90" s="2053"/>
      <c r="AB90" s="2054"/>
      <c r="AC90" s="2056"/>
      <c r="AD90" s="1839">
        <v>183.29999999999998</v>
      </c>
      <c r="AE90" s="2086"/>
      <c r="AF90" s="3303"/>
      <c r="AG90" s="1839">
        <v>125.3</v>
      </c>
      <c r="AH90" s="1090"/>
      <c r="AI90" s="67"/>
      <c r="AJ90" s="911">
        <f>ROUND(SUM(+AD90-AG90),1)</f>
        <v>58</v>
      </c>
      <c r="AK90" s="911"/>
      <c r="AL90" s="1868">
        <f>ROUND(IF(AG90=0,0,AJ90/ABS(AG90)),3)</f>
        <v>0.46300000000000002</v>
      </c>
      <c r="AM90" s="1869"/>
    </row>
    <row r="91" spans="1:39" s="903" customFormat="1" ht="15" customHeight="1">
      <c r="A91" s="1087"/>
      <c r="B91" s="704" t="s">
        <v>1311</v>
      </c>
      <c r="C91" s="107"/>
      <c r="D91" s="912" t="s">
        <v>15</v>
      </c>
      <c r="E91" s="1575"/>
      <c r="F91" s="912"/>
      <c r="G91" s="1575"/>
      <c r="H91" s="912"/>
      <c r="I91" s="1575"/>
      <c r="J91" s="912"/>
      <c r="K91" s="1581"/>
      <c r="L91" s="912"/>
      <c r="M91" s="1581"/>
      <c r="N91" s="912"/>
      <c r="O91" s="1581"/>
      <c r="P91" s="1839"/>
      <c r="Q91" s="2052"/>
      <c r="R91" s="1839"/>
      <c r="S91" s="2052"/>
      <c r="T91" s="1839"/>
      <c r="U91" s="2052"/>
      <c r="V91" s="1839"/>
      <c r="W91" s="2052"/>
      <c r="X91" s="1839"/>
      <c r="Y91" s="2052"/>
      <c r="Z91" s="1839"/>
      <c r="AA91" s="2053"/>
      <c r="AB91" s="2054"/>
      <c r="AC91" s="2056"/>
      <c r="AD91" s="1839"/>
      <c r="AE91" s="2086"/>
      <c r="AF91" s="3303"/>
      <c r="AG91" s="1839"/>
      <c r="AH91" s="1090"/>
      <c r="AI91" s="67"/>
      <c r="AJ91" s="911"/>
      <c r="AK91" s="907"/>
      <c r="AL91" s="1868"/>
      <c r="AM91" s="1869"/>
    </row>
    <row r="92" spans="1:39" s="903" customFormat="1" ht="15" customHeight="1">
      <c r="A92" s="1087"/>
      <c r="B92" s="1864" t="s">
        <v>29</v>
      </c>
      <c r="C92" s="107"/>
      <c r="D92" s="912">
        <v>-1.1000000000000001</v>
      </c>
      <c r="E92" s="1575"/>
      <c r="F92" s="912">
        <v>881.9</v>
      </c>
      <c r="G92" s="1575"/>
      <c r="H92" s="912">
        <v>365.29999999999984</v>
      </c>
      <c r="I92" s="1575"/>
      <c r="J92" s="912">
        <v>582.80000000000018</v>
      </c>
      <c r="K92" s="1581"/>
      <c r="L92" s="912">
        <v>686.19999999999982</v>
      </c>
      <c r="M92" s="1581"/>
      <c r="N92" s="912">
        <v>607.5</v>
      </c>
      <c r="O92" s="1581"/>
      <c r="P92" s="1839">
        <v>469.70000000000027</v>
      </c>
      <c r="Q92" s="2052"/>
      <c r="R92" s="1839">
        <v>408.09999999999991</v>
      </c>
      <c r="S92" s="2052"/>
      <c r="T92" s="1839">
        <v>434.30000000000018</v>
      </c>
      <c r="U92" s="2052"/>
      <c r="V92" s="1839">
        <f t="shared" si="12"/>
        <v>583.70000000000027</v>
      </c>
      <c r="W92" s="2052"/>
      <c r="X92" s="1839"/>
      <c r="Y92" s="2052"/>
      <c r="Z92" s="1839"/>
      <c r="AA92" s="2053"/>
      <c r="AB92" s="2054"/>
      <c r="AC92" s="2056"/>
      <c r="AD92" s="1839">
        <v>5018.3999999999996</v>
      </c>
      <c r="AE92" s="2086"/>
      <c r="AF92" s="3303"/>
      <c r="AG92" s="1839">
        <v>4724.3999999999996</v>
      </c>
      <c r="AH92" s="1090"/>
      <c r="AI92" s="67"/>
      <c r="AJ92" s="911">
        <f t="shared" ref="AJ92:AJ97" si="13">ROUND(SUM(+AD92-AG92),1)</f>
        <v>294</v>
      </c>
      <c r="AK92" s="911"/>
      <c r="AL92" s="1868">
        <f t="shared" ref="AL92:AL97" si="14">ROUND(IF(AG92=0,0,AJ92/ABS(AG92)),3)</f>
        <v>6.2E-2</v>
      </c>
      <c r="AM92" s="1869"/>
    </row>
    <row r="93" spans="1:39" s="903" customFormat="1" ht="15" customHeight="1">
      <c r="A93" s="1087"/>
      <c r="B93" s="1863" t="s">
        <v>30</v>
      </c>
      <c r="C93" s="107"/>
      <c r="D93" s="912">
        <v>60.1</v>
      </c>
      <c r="E93" s="1575"/>
      <c r="F93" s="912">
        <v>32.699999999999996</v>
      </c>
      <c r="G93" s="1575"/>
      <c r="H93" s="912">
        <v>104.70000000000002</v>
      </c>
      <c r="I93" s="1575"/>
      <c r="J93" s="912">
        <v>43.5</v>
      </c>
      <c r="K93" s="1581"/>
      <c r="L93" s="912">
        <v>165.1</v>
      </c>
      <c r="M93" s="1581"/>
      <c r="N93" s="912">
        <v>54.19999999999996</v>
      </c>
      <c r="O93" s="1581"/>
      <c r="P93" s="1839">
        <v>56.300000000000068</v>
      </c>
      <c r="Q93" s="2052"/>
      <c r="R93" s="1839">
        <v>41.600000000000023</v>
      </c>
      <c r="S93" s="2052"/>
      <c r="T93" s="1839">
        <v>100.29999999999984</v>
      </c>
      <c r="U93" s="2052"/>
      <c r="V93" s="1839">
        <f t="shared" si="12"/>
        <v>103.79999999999995</v>
      </c>
      <c r="W93" s="2052"/>
      <c r="X93" s="1839"/>
      <c r="Y93" s="2052"/>
      <c r="Z93" s="1839"/>
      <c r="AA93" s="2053"/>
      <c r="AB93" s="2054"/>
      <c r="AC93" s="2056"/>
      <c r="AD93" s="1839">
        <v>762.3</v>
      </c>
      <c r="AE93" s="2086"/>
      <c r="AF93" s="3303"/>
      <c r="AG93" s="1839">
        <v>725.8</v>
      </c>
      <c r="AH93" s="1090"/>
      <c r="AI93" s="67"/>
      <c r="AJ93" s="911">
        <f t="shared" si="13"/>
        <v>36.5</v>
      </c>
      <c r="AK93" s="911"/>
      <c r="AL93" s="1868">
        <f t="shared" si="14"/>
        <v>0.05</v>
      </c>
      <c r="AM93" s="1869"/>
    </row>
    <row r="94" spans="1:39" s="903" customFormat="1" ht="15" customHeight="1">
      <c r="A94" s="1087"/>
      <c r="B94" s="1863" t="s">
        <v>31</v>
      </c>
      <c r="C94" s="107"/>
      <c r="D94" s="912">
        <v>20.100000000000001</v>
      </c>
      <c r="E94" s="1575"/>
      <c r="F94" s="912">
        <v>14.399999999999999</v>
      </c>
      <c r="G94" s="1575"/>
      <c r="H94" s="912">
        <v>16.100000000000001</v>
      </c>
      <c r="I94" s="1575"/>
      <c r="J94" s="912">
        <v>9.5</v>
      </c>
      <c r="K94" s="1581"/>
      <c r="L94" s="912">
        <v>20.100000000000001</v>
      </c>
      <c r="M94" s="1581"/>
      <c r="N94" s="912">
        <v>16.999999999999993</v>
      </c>
      <c r="O94" s="1581"/>
      <c r="P94" s="1839">
        <v>16.300000000000004</v>
      </c>
      <c r="Q94" s="2052"/>
      <c r="R94" s="1839">
        <v>12.29999999999999</v>
      </c>
      <c r="S94" s="2052"/>
      <c r="T94" s="1839">
        <v>12.400000000000006</v>
      </c>
      <c r="U94" s="2052"/>
      <c r="V94" s="1839">
        <f t="shared" si="12"/>
        <v>-26.000000000000007</v>
      </c>
      <c r="W94" s="2052"/>
      <c r="X94" s="1839"/>
      <c r="Y94" s="2052"/>
      <c r="Z94" s="1839"/>
      <c r="AA94" s="2053"/>
      <c r="AB94" s="2054"/>
      <c r="AC94" s="2056"/>
      <c r="AD94" s="1839">
        <v>112.2</v>
      </c>
      <c r="AE94" s="2086"/>
      <c r="AF94" s="3303"/>
      <c r="AG94" s="1839">
        <v>130.5</v>
      </c>
      <c r="AH94" s="1090"/>
      <c r="AI94" s="67"/>
      <c r="AJ94" s="911">
        <f t="shared" si="13"/>
        <v>-18.3</v>
      </c>
      <c r="AK94" s="911"/>
      <c r="AL94" s="1868">
        <f t="shared" si="14"/>
        <v>-0.14000000000000001</v>
      </c>
      <c r="AM94" s="1869"/>
    </row>
    <row r="95" spans="1:39" s="903" customFormat="1" ht="15" customHeight="1">
      <c r="A95" s="1087"/>
      <c r="B95" s="1863" t="s">
        <v>32</v>
      </c>
      <c r="C95" s="107"/>
      <c r="D95" s="912">
        <v>0.9</v>
      </c>
      <c r="E95" s="1575"/>
      <c r="F95" s="912">
        <v>0.79999999999999993</v>
      </c>
      <c r="G95" s="1575"/>
      <c r="H95" s="912">
        <v>0.50000000000000033</v>
      </c>
      <c r="I95" s="1575"/>
      <c r="J95" s="912">
        <v>0.50000000000000011</v>
      </c>
      <c r="K95" s="1581"/>
      <c r="L95" s="912">
        <v>0.8999999999999998</v>
      </c>
      <c r="M95" s="1581"/>
      <c r="N95" s="912">
        <v>-0.70000000000000007</v>
      </c>
      <c r="O95" s="1581"/>
      <c r="P95" s="1839">
        <v>0.3999999999999998</v>
      </c>
      <c r="Q95" s="2052"/>
      <c r="R95" s="1839">
        <v>1.2000000000000002</v>
      </c>
      <c r="S95" s="2052"/>
      <c r="T95" s="1839">
        <v>-0.40000000000000024</v>
      </c>
      <c r="U95" s="2052"/>
      <c r="V95" s="1839">
        <f t="shared" si="12"/>
        <v>-0.39999999999999958</v>
      </c>
      <c r="W95" s="2052"/>
      <c r="X95" s="1839"/>
      <c r="Y95" s="2052"/>
      <c r="Z95" s="1839"/>
      <c r="AA95" s="2053"/>
      <c r="AB95" s="2054"/>
      <c r="AC95" s="2056"/>
      <c r="AD95" s="1839">
        <v>3.7</v>
      </c>
      <c r="AE95" s="2086"/>
      <c r="AF95" s="3303"/>
      <c r="AG95" s="1839">
        <v>3.9</v>
      </c>
      <c r="AH95" s="1090"/>
      <c r="AI95" s="67"/>
      <c r="AJ95" s="911">
        <f t="shared" si="13"/>
        <v>-0.2</v>
      </c>
      <c r="AK95" s="911"/>
      <c r="AL95" s="1868">
        <f t="shared" si="14"/>
        <v>-5.0999999999999997E-2</v>
      </c>
      <c r="AM95" s="1869"/>
    </row>
    <row r="96" spans="1:39" s="903" customFormat="1" ht="15" customHeight="1">
      <c r="A96" s="1087"/>
      <c r="B96" s="1863" t="s">
        <v>33</v>
      </c>
      <c r="C96" s="107"/>
      <c r="D96" s="912">
        <v>1.1000000000000001</v>
      </c>
      <c r="E96" s="1575"/>
      <c r="F96" s="912">
        <v>6.6999999999999993</v>
      </c>
      <c r="G96" s="1575"/>
      <c r="H96" s="912">
        <v>1.3000000000000007</v>
      </c>
      <c r="I96" s="1575"/>
      <c r="J96" s="912">
        <v>5.8000000000000007</v>
      </c>
      <c r="K96" s="1581"/>
      <c r="L96" s="912">
        <v>3.3999999999999986</v>
      </c>
      <c r="M96" s="1581"/>
      <c r="N96" s="912">
        <v>4.3999999999999986</v>
      </c>
      <c r="O96" s="1581"/>
      <c r="P96" s="1839">
        <v>1.5</v>
      </c>
      <c r="Q96" s="2052"/>
      <c r="R96" s="1839">
        <v>13.900000000000002</v>
      </c>
      <c r="S96" s="2052"/>
      <c r="T96" s="1839">
        <v>6</v>
      </c>
      <c r="U96" s="2052"/>
      <c r="V96" s="1839">
        <f t="shared" si="12"/>
        <v>1.2000000000000028</v>
      </c>
      <c r="W96" s="2052"/>
      <c r="X96" s="1839"/>
      <c r="Y96" s="2052"/>
      <c r="Z96" s="1839"/>
      <c r="AA96" s="2053"/>
      <c r="AB96" s="2054"/>
      <c r="AC96" s="2056"/>
      <c r="AD96" s="1839">
        <v>45.3</v>
      </c>
      <c r="AE96" s="2086"/>
      <c r="AF96" s="3303"/>
      <c r="AG96" s="1839">
        <v>55.8</v>
      </c>
      <c r="AH96" s="1090"/>
      <c r="AI96" s="67"/>
      <c r="AJ96" s="911">
        <f t="shared" si="13"/>
        <v>-10.5</v>
      </c>
      <c r="AK96" s="911"/>
      <c r="AL96" s="1879">
        <f>ROUND(IF(AG96=0,0,AJ96/ABS(AG96)),3)</f>
        <v>-0.188</v>
      </c>
      <c r="AM96" s="1869"/>
    </row>
    <row r="97" spans="1:39" s="903" customFormat="1" ht="15" customHeight="1">
      <c r="A97" s="1087"/>
      <c r="B97" s="1863" t="s">
        <v>34</v>
      </c>
      <c r="C97" s="107"/>
      <c r="D97" s="912">
        <v>68.3</v>
      </c>
      <c r="E97" s="1575"/>
      <c r="F97" s="912">
        <v>402.7</v>
      </c>
      <c r="G97" s="1575"/>
      <c r="H97" s="912">
        <v>265.3</v>
      </c>
      <c r="I97" s="1575"/>
      <c r="J97" s="912">
        <v>274.10000000000008</v>
      </c>
      <c r="K97" s="1581"/>
      <c r="L97" s="912">
        <v>364.50000000000006</v>
      </c>
      <c r="M97" s="1581"/>
      <c r="N97" s="912">
        <v>327.19999999999976</v>
      </c>
      <c r="O97" s="1581"/>
      <c r="P97" s="1839">
        <v>279.80000000000024</v>
      </c>
      <c r="Q97" s="2052"/>
      <c r="R97" s="1839">
        <v>474.79999999999944</v>
      </c>
      <c r="S97" s="2052"/>
      <c r="T97" s="1839">
        <v>728.10000000000014</v>
      </c>
      <c r="U97" s="2052"/>
      <c r="V97" s="1839">
        <f t="shared" si="12"/>
        <v>62.500000000000455</v>
      </c>
      <c r="W97" s="2052"/>
      <c r="X97" s="1839"/>
      <c r="Y97" s="2052"/>
      <c r="Z97" s="1839"/>
      <c r="AA97" s="2053"/>
      <c r="AB97" s="2054"/>
      <c r="AC97" s="2056"/>
      <c r="AD97" s="1839">
        <v>3247.3</v>
      </c>
      <c r="AE97" s="2086"/>
      <c r="AF97" s="3303"/>
      <c r="AG97" s="1839">
        <v>3352.1</v>
      </c>
      <c r="AH97" s="1090"/>
      <c r="AI97" s="67"/>
      <c r="AJ97" s="911">
        <f t="shared" si="13"/>
        <v>-104.8</v>
      </c>
      <c r="AK97" s="911"/>
      <c r="AL97" s="1868">
        <f t="shared" si="14"/>
        <v>-3.1E-2</v>
      </c>
      <c r="AM97" s="1869"/>
    </row>
    <row r="98" spans="1:39" ht="15" customHeight="1">
      <c r="A98" s="150"/>
      <c r="B98" s="29" t="s">
        <v>1202</v>
      </c>
      <c r="C98" s="31"/>
      <c r="D98" s="296">
        <f>ROUND(SUM(D88:D97),1)</f>
        <v>175.1</v>
      </c>
      <c r="E98" s="938"/>
      <c r="F98" s="296">
        <f>ROUND(SUM(F88:F97),1)</f>
        <v>1358.4</v>
      </c>
      <c r="G98" s="938"/>
      <c r="H98" s="296">
        <f>ROUND(SUM(H88:H97),1)</f>
        <v>1104.8</v>
      </c>
      <c r="I98" s="938"/>
      <c r="J98" s="296">
        <f>ROUND(SUM(J88:J97),1)</f>
        <v>936.5</v>
      </c>
      <c r="K98" s="938"/>
      <c r="L98" s="296">
        <f>ROUND(SUM(L88:L97),1)</f>
        <v>1254.3</v>
      </c>
      <c r="M98" s="938"/>
      <c r="N98" s="296">
        <f>ROUND(SUM(N88:N97),1)</f>
        <v>3544.1</v>
      </c>
      <c r="O98" s="938"/>
      <c r="P98" s="2070">
        <f>ROUND(SUM(P88:P97),1)</f>
        <v>986</v>
      </c>
      <c r="Q98" s="1498"/>
      <c r="R98" s="2070">
        <f>ROUND(SUM(R88:R97),1)</f>
        <v>1121.7</v>
      </c>
      <c r="S98" s="1498"/>
      <c r="T98" s="2070">
        <f>ROUND(SUM(T88:T97),1)</f>
        <v>1492.1</v>
      </c>
      <c r="U98" s="1498"/>
      <c r="V98" s="2070">
        <f>ROUND(SUM(V88:V97),1)</f>
        <v>3000.5</v>
      </c>
      <c r="W98" s="1498"/>
      <c r="X98" s="2070">
        <f>ROUND(SUM(X88:X97),1)</f>
        <v>0</v>
      </c>
      <c r="Y98" s="1498"/>
      <c r="Z98" s="2070">
        <f>ROUND(SUM(Z88:Z97),1)</f>
        <v>0</v>
      </c>
      <c r="AA98" s="1481"/>
      <c r="AB98" s="1498"/>
      <c r="AC98" s="2094"/>
      <c r="AD98" s="2071">
        <f>ROUND(SUM(AD88:AD97),1)</f>
        <v>14973.5</v>
      </c>
      <c r="AE98" s="1499"/>
      <c r="AF98" s="3287"/>
      <c r="AG98" s="2071">
        <f>ROUND(SUM(AG88:AG97),1)</f>
        <v>14492.4</v>
      </c>
      <c r="AH98" s="283"/>
      <c r="AI98" s="76"/>
      <c r="AJ98" s="61">
        <f>ROUND(SUM(AD98-AG98),1)</f>
        <v>481.1</v>
      </c>
      <c r="AK98" s="166"/>
      <c r="AL98" s="1471">
        <f>ROUND(SUM((AD98-AG98)/ABS(AG98)),3)</f>
        <v>3.3000000000000002E-2</v>
      </c>
      <c r="AM98" s="799"/>
    </row>
    <row r="99" spans="1:39" ht="15" customHeight="1">
      <c r="A99" s="150"/>
      <c r="B99" s="31" t="s">
        <v>170</v>
      </c>
      <c r="C99" s="31"/>
      <c r="D99" s="1575"/>
      <c r="E99" s="1575"/>
      <c r="F99" s="1575"/>
      <c r="G99" s="1575"/>
      <c r="H99" s="1575"/>
      <c r="I99" s="1575"/>
      <c r="J99" s="1575"/>
      <c r="K99" s="66"/>
      <c r="L99" s="66"/>
      <c r="M99" s="66"/>
      <c r="N99" s="66"/>
      <c r="O99" s="66"/>
      <c r="P99" s="2060"/>
      <c r="Q99" s="2060"/>
      <c r="R99" s="2060"/>
      <c r="S99" s="2060"/>
      <c r="T99" s="2060"/>
      <c r="U99" s="2060"/>
      <c r="V99" s="2060"/>
      <c r="W99" s="2060"/>
      <c r="X99" s="2060"/>
      <c r="Y99" s="2060"/>
      <c r="Z99" s="2060"/>
      <c r="AA99" s="2060"/>
      <c r="AB99" s="2060"/>
      <c r="AC99" s="2091"/>
      <c r="AD99" s="2049"/>
      <c r="AE99" s="2049"/>
      <c r="AF99" s="2051"/>
      <c r="AG99" s="2049"/>
      <c r="AH99" s="276"/>
      <c r="AI99" s="56"/>
      <c r="AJ99" s="656"/>
      <c r="AK99" s="936"/>
      <c r="AL99" s="1468"/>
      <c r="AM99" s="799"/>
    </row>
    <row r="100" spans="1:39" s="903" customFormat="1" ht="15" customHeight="1">
      <c r="A100" s="1087"/>
      <c r="B100" s="107" t="s">
        <v>154</v>
      </c>
      <c r="C100" s="107"/>
      <c r="D100" s="912">
        <v>401.7</v>
      </c>
      <c r="E100" s="1575"/>
      <c r="F100" s="912">
        <v>580</v>
      </c>
      <c r="G100" s="1575"/>
      <c r="H100" s="912">
        <v>393.59999999999991</v>
      </c>
      <c r="I100" s="1575"/>
      <c r="J100" s="912">
        <v>449.40000000000009</v>
      </c>
      <c r="K100" s="1581"/>
      <c r="L100" s="912">
        <v>352.39999999999986</v>
      </c>
      <c r="M100" s="1581"/>
      <c r="N100" s="912">
        <v>388.2000000000005</v>
      </c>
      <c r="O100" s="1581"/>
      <c r="P100" s="1839">
        <v>559.19999999999982</v>
      </c>
      <c r="Q100" s="2052"/>
      <c r="R100" s="1839">
        <v>398.5</v>
      </c>
      <c r="S100" s="2052"/>
      <c r="T100" s="1839">
        <v>408</v>
      </c>
      <c r="U100" s="2052"/>
      <c r="V100" s="1839">
        <f t="shared" ref="V100:V103" si="15">$AD100-$D100-$F100-$H100-$J100-$L100-$N100-$P100-$R100-$T100</f>
        <v>399.10000000000059</v>
      </c>
      <c r="W100" s="2052"/>
      <c r="X100" s="1839"/>
      <c r="Y100" s="2052"/>
      <c r="Z100" s="1839"/>
      <c r="AA100" s="2053"/>
      <c r="AB100" s="2054"/>
      <c r="AC100" s="2056"/>
      <c r="AD100" s="1839">
        <v>4330.1000000000004</v>
      </c>
      <c r="AE100" s="2086"/>
      <c r="AF100" s="3303"/>
      <c r="AG100" s="1839">
        <v>4188.8999999999996</v>
      </c>
      <c r="AH100" s="1090"/>
      <c r="AI100" s="67"/>
      <c r="AJ100" s="911">
        <f>ROUND(SUM(+AD100-AG100),1)</f>
        <v>141.19999999999999</v>
      </c>
      <c r="AK100" s="911"/>
      <c r="AL100" s="1868">
        <f>ROUND(IF(AG100=0,0,AJ100/ABS(AG100)),3)</f>
        <v>3.4000000000000002E-2</v>
      </c>
      <c r="AM100" s="1869"/>
    </row>
    <row r="101" spans="1:39" s="903" customFormat="1" ht="15" customHeight="1">
      <c r="A101" s="1087"/>
      <c r="B101" s="107" t="s">
        <v>171</v>
      </c>
      <c r="C101" s="107"/>
      <c r="D101" s="912">
        <v>244.3</v>
      </c>
      <c r="E101" s="1575"/>
      <c r="F101" s="912">
        <v>248.5</v>
      </c>
      <c r="G101" s="1575"/>
      <c r="H101" s="912">
        <v>197.99999999999994</v>
      </c>
      <c r="I101" s="1575"/>
      <c r="J101" s="912">
        <v>228.40000000000015</v>
      </c>
      <c r="K101" s="1581"/>
      <c r="L101" s="912">
        <v>254.59999999999991</v>
      </c>
      <c r="M101" s="1581"/>
      <c r="N101" s="912">
        <v>216.2</v>
      </c>
      <c r="O101" s="1581"/>
      <c r="P101" s="1839">
        <v>257.2000000000001</v>
      </c>
      <c r="Q101" s="2052"/>
      <c r="R101" s="1839">
        <v>281.7999999999999</v>
      </c>
      <c r="S101" s="2052"/>
      <c r="T101" s="1839">
        <v>218.90000000000009</v>
      </c>
      <c r="U101" s="2052"/>
      <c r="V101" s="1839">
        <f t="shared" si="15"/>
        <v>306.59999999999968</v>
      </c>
      <c r="W101" s="2052"/>
      <c r="X101" s="1839"/>
      <c r="Y101" s="2052"/>
      <c r="Z101" s="1839"/>
      <c r="AA101" s="2053"/>
      <c r="AB101" s="2054"/>
      <c r="AC101" s="2056"/>
      <c r="AD101" s="1839">
        <v>2454.5</v>
      </c>
      <c r="AE101" s="2086"/>
      <c r="AF101" s="3303"/>
      <c r="AG101" s="1839">
        <v>2273.4</v>
      </c>
      <c r="AH101" s="1090"/>
      <c r="AI101" s="67"/>
      <c r="AJ101" s="911">
        <f>ROUND(SUM(+AD101-AG101),1)</f>
        <v>181.1</v>
      </c>
      <c r="AK101" s="911"/>
      <c r="AL101" s="1868">
        <f>ROUND(IF(AG101=0,0,AJ101/ABS(AG101)),3)</f>
        <v>0.08</v>
      </c>
      <c r="AM101" s="1869"/>
    </row>
    <row r="102" spans="1:39" s="903" customFormat="1" ht="15" customHeight="1">
      <c r="A102" s="1087"/>
      <c r="B102" s="107" t="s">
        <v>172</v>
      </c>
      <c r="C102" s="107"/>
      <c r="D102" s="912">
        <v>64</v>
      </c>
      <c r="E102" s="1575"/>
      <c r="F102" s="912">
        <v>87.199999999999989</v>
      </c>
      <c r="G102" s="1575"/>
      <c r="H102" s="912">
        <v>55.700000000000017</v>
      </c>
      <c r="I102" s="1575"/>
      <c r="J102" s="912">
        <v>78.599999999999994</v>
      </c>
      <c r="K102" s="1581"/>
      <c r="L102" s="912">
        <v>95.899999999999977</v>
      </c>
      <c r="M102" s="1581"/>
      <c r="N102" s="912">
        <v>71.200000000000045</v>
      </c>
      <c r="O102" s="1581"/>
      <c r="P102" s="1839">
        <v>66.500000000000028</v>
      </c>
      <c r="Q102" s="2052"/>
      <c r="R102" s="1839">
        <v>129.6999999999999</v>
      </c>
      <c r="S102" s="2052"/>
      <c r="T102" s="1839">
        <v>105.10000000000002</v>
      </c>
      <c r="U102" s="2052"/>
      <c r="V102" s="1839">
        <f t="shared" si="15"/>
        <v>82.399999999999892</v>
      </c>
      <c r="W102" s="2052"/>
      <c r="X102" s="1839"/>
      <c r="Y102" s="2052"/>
      <c r="Z102" s="1839"/>
      <c r="AA102" s="2053"/>
      <c r="AB102" s="2054"/>
      <c r="AC102" s="2056"/>
      <c r="AD102" s="1839">
        <v>836.3</v>
      </c>
      <c r="AE102" s="2086"/>
      <c r="AF102" s="3303"/>
      <c r="AG102" s="1839">
        <v>888.9</v>
      </c>
      <c r="AH102" s="1090"/>
      <c r="AI102" s="67"/>
      <c r="AJ102" s="911">
        <f>ROUND(SUM(+AD102-AG102),1)</f>
        <v>-52.6</v>
      </c>
      <c r="AK102" s="911"/>
      <c r="AL102" s="1868">
        <f>ROUND(IF(AG102=0,0,AJ102/ABS(AG102)),3)</f>
        <v>-5.8999999999999997E-2</v>
      </c>
      <c r="AM102" s="1869"/>
    </row>
    <row r="103" spans="1:39" s="903" customFormat="1" ht="15" customHeight="1">
      <c r="A103" s="1087"/>
      <c r="B103" s="107" t="s">
        <v>173</v>
      </c>
      <c r="C103" s="107"/>
      <c r="D103" s="912">
        <v>0</v>
      </c>
      <c r="E103" s="1575"/>
      <c r="F103" s="912">
        <v>0</v>
      </c>
      <c r="G103" s="1575"/>
      <c r="H103" s="912">
        <v>0.1</v>
      </c>
      <c r="I103" s="1575"/>
      <c r="J103" s="912">
        <v>0</v>
      </c>
      <c r="K103" s="1581"/>
      <c r="L103" s="912">
        <v>-0.1</v>
      </c>
      <c r="M103" s="1581"/>
      <c r="N103" s="912">
        <v>0</v>
      </c>
      <c r="O103" s="1581"/>
      <c r="P103" s="1839">
        <v>0</v>
      </c>
      <c r="Q103" s="2052"/>
      <c r="R103" s="1839">
        <v>0</v>
      </c>
      <c r="S103" s="2052"/>
      <c r="T103" s="1839">
        <v>0</v>
      </c>
      <c r="U103" s="2052"/>
      <c r="V103" s="1839">
        <f t="shared" si="15"/>
        <v>0</v>
      </c>
      <c r="W103" s="2052"/>
      <c r="X103" s="1839"/>
      <c r="Y103" s="2052"/>
      <c r="Z103" s="1839"/>
      <c r="AA103" s="2053"/>
      <c r="AB103" s="2054"/>
      <c r="AC103" s="2056"/>
      <c r="AD103" s="1839">
        <v>0</v>
      </c>
      <c r="AE103" s="2086"/>
      <c r="AF103" s="3303"/>
      <c r="AG103" s="1839">
        <v>0</v>
      </c>
      <c r="AH103" s="1090"/>
      <c r="AI103" s="67"/>
      <c r="AJ103" s="911">
        <f>ROUND(SUM(+AD103-AG103),1)</f>
        <v>0</v>
      </c>
      <c r="AK103" s="911"/>
      <c r="AL103" s="1774">
        <f>ROUND(IF(AG103=0,0,AJ103/ABS(AG103)),3)</f>
        <v>0</v>
      </c>
      <c r="AM103" s="1869"/>
    </row>
    <row r="104" spans="1:39" ht="15" customHeight="1">
      <c r="A104" s="150"/>
      <c r="B104" s="31"/>
      <c r="C104" s="31"/>
      <c r="D104" s="702"/>
      <c r="E104" s="1575"/>
      <c r="F104" s="702"/>
      <c r="G104" s="1575"/>
      <c r="H104" s="702"/>
      <c r="I104" s="1575"/>
      <c r="J104" s="702"/>
      <c r="K104" s="66"/>
      <c r="L104" s="88"/>
      <c r="M104" s="66"/>
      <c r="N104" s="88"/>
      <c r="O104" s="66"/>
      <c r="P104" s="2059"/>
      <c r="Q104" s="2060"/>
      <c r="R104" s="2059"/>
      <c r="S104" s="2060"/>
      <c r="T104" s="2059"/>
      <c r="U104" s="2060"/>
      <c r="V104" s="2059"/>
      <c r="W104" s="2060"/>
      <c r="X104" s="2059"/>
      <c r="Y104" s="2060"/>
      <c r="Z104" s="2059"/>
      <c r="AA104" s="2061"/>
      <c r="AB104" s="2060"/>
      <c r="AC104" s="2091"/>
      <c r="AD104" s="2105"/>
      <c r="AE104" s="2030"/>
      <c r="AF104" s="2051"/>
      <c r="AG104" s="2105"/>
      <c r="AH104" s="276"/>
      <c r="AI104" s="56"/>
      <c r="AJ104" s="1440"/>
      <c r="AK104" s="936"/>
      <c r="AL104" s="1483"/>
      <c r="AM104" s="799"/>
    </row>
    <row r="105" spans="1:39" ht="15" customHeight="1">
      <c r="A105" s="150"/>
      <c r="B105" s="29" t="s">
        <v>157</v>
      </c>
      <c r="C105" s="31"/>
      <c r="D105" s="938">
        <f>ROUND(SUM(D98:D103),1)</f>
        <v>885.1</v>
      </c>
      <c r="E105" s="938"/>
      <c r="F105" s="938">
        <f>ROUND(SUM(F98:F103),1)</f>
        <v>2274.1</v>
      </c>
      <c r="G105" s="938"/>
      <c r="H105" s="938">
        <f>ROUND(SUM(H98:H103),1)</f>
        <v>1752.2</v>
      </c>
      <c r="I105" s="938"/>
      <c r="J105" s="938">
        <f>ROUND(SUM(J98:J103),1)</f>
        <v>1692.9</v>
      </c>
      <c r="K105" s="938"/>
      <c r="L105" s="938">
        <f>ROUND(SUM(L98:L103),1)</f>
        <v>1957.1</v>
      </c>
      <c r="M105" s="938"/>
      <c r="N105" s="938">
        <f>ROUND(SUM(N98:N103),1)</f>
        <v>4219.7</v>
      </c>
      <c r="O105" s="938"/>
      <c r="P105" s="1498">
        <f>ROUND(SUM(P98:P103),1)</f>
        <v>1868.9</v>
      </c>
      <c r="Q105" s="1498"/>
      <c r="R105" s="1498">
        <f>ROUND(SUM(R98:R103),1)</f>
        <v>1931.7</v>
      </c>
      <c r="S105" s="1498"/>
      <c r="T105" s="1498">
        <f>ROUND(SUM(T98:T103),1)</f>
        <v>2224.1</v>
      </c>
      <c r="U105" s="1498"/>
      <c r="V105" s="1498">
        <f>ROUND(SUM(V98:V103),1)</f>
        <v>3788.6</v>
      </c>
      <c r="W105" s="1498"/>
      <c r="X105" s="1498">
        <f>ROUND(SUM(X98:X103),1)</f>
        <v>0</v>
      </c>
      <c r="Y105" s="1498"/>
      <c r="Z105" s="1498">
        <f>ROUND(SUM(Z98:Z103),1)</f>
        <v>0</v>
      </c>
      <c r="AA105" s="1498"/>
      <c r="AB105" s="1498"/>
      <c r="AC105" s="2094"/>
      <c r="AD105" s="2104">
        <f>ROUND(SUM(AD98:AD103),1)</f>
        <v>22594.400000000001</v>
      </c>
      <c r="AE105" s="1499"/>
      <c r="AF105" s="3287"/>
      <c r="AG105" s="2104">
        <f>ROUND(SUM(AG98:AG103),1)</f>
        <v>21843.599999999999</v>
      </c>
      <c r="AH105" s="283"/>
      <c r="AI105" s="76"/>
      <c r="AJ105" s="74">
        <f>ROUND(SUM(AD105-AG105),1)</f>
        <v>750.8</v>
      </c>
      <c r="AK105" s="210"/>
      <c r="AL105" s="1472">
        <f>ROUND(SUM((AD105-AG105)/ABS(AG105)),3)</f>
        <v>3.4000000000000002E-2</v>
      </c>
      <c r="AM105" s="799"/>
    </row>
    <row r="106" spans="1:39" ht="15" customHeight="1">
      <c r="A106" s="150"/>
      <c r="B106" s="31"/>
      <c r="C106" s="31"/>
      <c r="D106" s="702"/>
      <c r="E106" s="1575"/>
      <c r="F106" s="702"/>
      <c r="G106" s="1575"/>
      <c r="H106" s="702"/>
      <c r="I106" s="1575"/>
      <c r="J106" s="702"/>
      <c r="K106" s="66"/>
      <c r="L106" s="88"/>
      <c r="M106" s="66"/>
      <c r="N106" s="88"/>
      <c r="O106" s="66"/>
      <c r="P106" s="2059"/>
      <c r="Q106" s="2060"/>
      <c r="R106" s="2059"/>
      <c r="S106" s="2060"/>
      <c r="T106" s="2059"/>
      <c r="U106" s="2060"/>
      <c r="V106" s="2059"/>
      <c r="W106" s="2060"/>
      <c r="X106" s="2059"/>
      <c r="Y106" s="2060"/>
      <c r="Z106" s="2059"/>
      <c r="AA106" s="2061"/>
      <c r="AB106" s="2060"/>
      <c r="AC106" s="2091"/>
      <c r="AD106" s="2105"/>
      <c r="AE106" s="2030"/>
      <c r="AF106" s="2051"/>
      <c r="AG106" s="2105"/>
      <c r="AH106" s="276"/>
      <c r="AI106" s="56"/>
      <c r="AJ106" s="656"/>
      <c r="AK106" s="936"/>
      <c r="AL106" s="1468"/>
      <c r="AM106" s="799"/>
    </row>
    <row r="107" spans="1:39" ht="15" customHeight="1">
      <c r="A107" s="150"/>
      <c r="B107" s="29" t="s">
        <v>158</v>
      </c>
      <c r="C107" s="31"/>
      <c r="D107" s="1575"/>
      <c r="E107" s="1575"/>
      <c r="F107" s="1575"/>
      <c r="G107" s="1575"/>
      <c r="H107" s="1575"/>
      <c r="I107" s="1575"/>
      <c r="J107" s="1575"/>
      <c r="K107" s="66"/>
      <c r="L107" s="66"/>
      <c r="M107" s="66"/>
      <c r="N107" s="66"/>
      <c r="O107" s="66"/>
      <c r="P107" s="2060"/>
      <c r="Q107" s="2060"/>
      <c r="R107" s="2060"/>
      <c r="S107" s="2060"/>
      <c r="T107" s="2060"/>
      <c r="U107" s="2060"/>
      <c r="V107" s="2060"/>
      <c r="W107" s="2060"/>
      <c r="X107" s="2060"/>
      <c r="Y107" s="2060"/>
      <c r="Z107" s="2060"/>
      <c r="AA107" s="2060"/>
      <c r="AB107" s="2060"/>
      <c r="AC107" s="2091"/>
      <c r="AD107" s="2049"/>
      <c r="AE107" s="2030"/>
      <c r="AF107" s="2051"/>
      <c r="AG107" s="2049"/>
      <c r="AH107" s="276"/>
      <c r="AI107" s="56"/>
      <c r="AJ107" s="959"/>
      <c r="AK107" s="936"/>
      <c r="AL107" s="1468"/>
      <c r="AM107" s="799"/>
    </row>
    <row r="108" spans="1:39" ht="15" customHeight="1">
      <c r="A108" s="150"/>
      <c r="B108" s="29" t="s">
        <v>45</v>
      </c>
      <c r="C108" s="31"/>
      <c r="D108" s="938">
        <f>ROUND(SUM(D84-D105),1)</f>
        <v>1073.9000000000001</v>
      </c>
      <c r="E108" s="938"/>
      <c r="F108" s="938">
        <f>ROUND(SUM(F84-F105),1)</f>
        <v>-675.6</v>
      </c>
      <c r="G108" s="938"/>
      <c r="H108" s="938">
        <f>ROUND(SUM(H84-H105),1)</f>
        <v>219.9</v>
      </c>
      <c r="I108" s="938"/>
      <c r="J108" s="938">
        <f>ROUND(SUM(J84-J105),1)</f>
        <v>87.3</v>
      </c>
      <c r="K108" s="938"/>
      <c r="L108" s="938">
        <f>ROUND(SUM(L84-L105),1)</f>
        <v>-299.10000000000002</v>
      </c>
      <c r="M108" s="938"/>
      <c r="N108" s="938">
        <f>ROUND(SUM(N84-N105),1)</f>
        <v>-1889.3</v>
      </c>
      <c r="O108" s="938"/>
      <c r="P108" s="1498">
        <f>ROUND(SUM(P84-P105),1)</f>
        <v>-36.6</v>
      </c>
      <c r="Q108" s="1498"/>
      <c r="R108" s="1498">
        <f>ROUND(SUM(R84-R105),1)</f>
        <v>-470.1</v>
      </c>
      <c r="S108" s="1498"/>
      <c r="T108" s="1498">
        <f>ROUND(SUM(T84-T105),1)</f>
        <v>-243.3</v>
      </c>
      <c r="U108" s="1498"/>
      <c r="V108" s="1498">
        <f>ROUND(SUM(V84-V105),1)</f>
        <v>719.1</v>
      </c>
      <c r="W108" s="1498"/>
      <c r="X108" s="1498">
        <f>ROUND(SUM(X84-X105),1)</f>
        <v>0</v>
      </c>
      <c r="Y108" s="1498"/>
      <c r="Z108" s="1498">
        <f>ROUND(SUM(Z84-Z105),1)</f>
        <v>0</v>
      </c>
      <c r="AA108" s="1498"/>
      <c r="AB108" s="1498"/>
      <c r="AC108" s="2094"/>
      <c r="AD108" s="2104">
        <f>ROUND(SUM(AD84-AD105),1)</f>
        <v>-1513.8</v>
      </c>
      <c r="AE108" s="1499"/>
      <c r="AF108" s="3287"/>
      <c r="AG108" s="2104">
        <f>ROUND(SUM(AG84-AG105),1)</f>
        <v>-45.5</v>
      </c>
      <c r="AH108" s="283"/>
      <c r="AI108" s="76"/>
      <c r="AJ108" s="74">
        <f>ROUND(SUM(AD108-AG108),1)</f>
        <v>-1468.3</v>
      </c>
      <c r="AK108" s="209"/>
      <c r="AL108" s="3768">
        <f>ROUND(IF(AG108=0,0,AJ108/ABS(AG108)),3)</f>
        <v>-32.270000000000003</v>
      </c>
      <c r="AM108" s="799"/>
    </row>
    <row r="109" spans="1:39" ht="15" customHeight="1">
      <c r="A109" s="150"/>
      <c r="B109" s="31"/>
      <c r="C109" s="31"/>
      <c r="D109" s="702"/>
      <c r="E109" s="1575"/>
      <c r="F109" s="702"/>
      <c r="G109" s="1575"/>
      <c r="H109" s="702"/>
      <c r="I109" s="1575"/>
      <c r="J109" s="702"/>
      <c r="K109" s="66"/>
      <c r="L109" s="88"/>
      <c r="M109" s="66"/>
      <c r="N109" s="88"/>
      <c r="O109" s="66"/>
      <c r="P109" s="2059"/>
      <c r="Q109" s="2060"/>
      <c r="R109" s="2059"/>
      <c r="S109" s="2060"/>
      <c r="T109" s="2059"/>
      <c r="U109" s="2060"/>
      <c r="V109" s="2059"/>
      <c r="W109" s="2060"/>
      <c r="X109" s="2059"/>
      <c r="Y109" s="2060"/>
      <c r="Z109" s="2059"/>
      <c r="AA109" s="2061"/>
      <c r="AB109" s="2060"/>
      <c r="AC109" s="2091"/>
      <c r="AD109" s="2105"/>
      <c r="AE109" s="2030"/>
      <c r="AF109" s="2051"/>
      <c r="AG109" s="2105"/>
      <c r="AH109" s="276"/>
      <c r="AI109" s="56"/>
      <c r="AJ109" s="656"/>
      <c r="AK109" s="936"/>
      <c r="AL109" s="1468"/>
      <c r="AM109" s="799"/>
    </row>
    <row r="110" spans="1:39" ht="15" customHeight="1">
      <c r="A110" s="150"/>
      <c r="B110" s="29" t="s">
        <v>46</v>
      </c>
      <c r="C110" s="31"/>
      <c r="D110" s="1575"/>
      <c r="E110" s="1575"/>
      <c r="F110" s="1575"/>
      <c r="G110" s="1575"/>
      <c r="H110" s="1575"/>
      <c r="I110" s="1575"/>
      <c r="J110" s="1575"/>
      <c r="K110" s="66"/>
      <c r="L110" s="66"/>
      <c r="M110" s="66"/>
      <c r="N110" s="66"/>
      <c r="O110" s="66"/>
      <c r="P110" s="2060"/>
      <c r="Q110" s="2060"/>
      <c r="R110" s="2060"/>
      <c r="S110" s="2060"/>
      <c r="T110" s="2060"/>
      <c r="U110" s="2060"/>
      <c r="V110" s="2060"/>
      <c r="W110" s="2060"/>
      <c r="X110" s="2060"/>
      <c r="Y110" s="2060"/>
      <c r="Z110" s="2060"/>
      <c r="AA110" s="2060"/>
      <c r="AB110" s="2060"/>
      <c r="AC110" s="2091"/>
      <c r="AD110" s="2049"/>
      <c r="AE110" s="2030"/>
      <c r="AF110" s="2051"/>
      <c r="AG110" s="2049"/>
      <c r="AH110" s="276"/>
      <c r="AI110" s="56"/>
      <c r="AJ110" s="656"/>
      <c r="AK110" s="936"/>
      <c r="AL110" s="1468"/>
      <c r="AM110" s="799"/>
    </row>
    <row r="111" spans="1:39" s="903" customFormat="1" ht="15" customHeight="1">
      <c r="A111" s="1087"/>
      <c r="B111" s="107" t="s">
        <v>177</v>
      </c>
      <c r="C111" s="107"/>
      <c r="D111" s="912">
        <v>308.3</v>
      </c>
      <c r="E111" s="1575"/>
      <c r="F111" s="912">
        <v>585.29999999999995</v>
      </c>
      <c r="G111" s="1575"/>
      <c r="H111" s="912">
        <v>566.5</v>
      </c>
      <c r="I111" s="1575"/>
      <c r="J111" s="912">
        <v>215.40000000000009</v>
      </c>
      <c r="K111" s="1581"/>
      <c r="L111" s="912">
        <v>160.20000000000005</v>
      </c>
      <c r="M111" s="1581"/>
      <c r="N111" s="912">
        <v>168.60000000000014</v>
      </c>
      <c r="O111" s="1581"/>
      <c r="P111" s="1839">
        <v>119.5</v>
      </c>
      <c r="Q111" s="2052"/>
      <c r="R111" s="1839">
        <v>185.69999999999982</v>
      </c>
      <c r="S111" s="2052"/>
      <c r="T111" s="1839">
        <v>111.89999999999986</v>
      </c>
      <c r="U111" s="2052"/>
      <c r="V111" s="1839">
        <f t="shared" ref="V111:V112" si="16">$AD111-$D111-$F111-$H111-$J111-$L111-$N111-$P111-$R111-$T111</f>
        <v>84.099999999999909</v>
      </c>
      <c r="W111" s="2052"/>
      <c r="X111" s="1839"/>
      <c r="Y111" s="2052"/>
      <c r="Z111" s="1839"/>
      <c r="AA111" s="2053"/>
      <c r="AB111" s="2054"/>
      <c r="AC111" s="2056"/>
      <c r="AD111" s="1839">
        <v>2505.5</v>
      </c>
      <c r="AE111" s="2086"/>
      <c r="AF111" s="3303"/>
      <c r="AG111" s="1839">
        <v>2250.3000000000002</v>
      </c>
      <c r="AH111" s="1090"/>
      <c r="AI111" s="67"/>
      <c r="AJ111" s="911">
        <f>ROUND(SUM(+AD111-AG111),1)</f>
        <v>255.2</v>
      </c>
      <c r="AK111" s="911"/>
      <c r="AL111" s="1868">
        <f>ROUND(IF(AG111=0,0,AJ111/ABS(AG111)),3)</f>
        <v>0.113</v>
      </c>
      <c r="AM111" s="1869"/>
    </row>
    <row r="112" spans="1:39" s="903" customFormat="1" ht="15" customHeight="1">
      <c r="A112" s="1087"/>
      <c r="B112" s="107" t="s">
        <v>175</v>
      </c>
      <c r="C112" s="107"/>
      <c r="D112" s="912">
        <v>-38.299999999999997</v>
      </c>
      <c r="E112" s="1575"/>
      <c r="F112" s="912">
        <v>-6.3000000000000043</v>
      </c>
      <c r="G112" s="1575"/>
      <c r="H112" s="912">
        <v>-29.300000000000004</v>
      </c>
      <c r="I112" s="1575"/>
      <c r="J112" s="912">
        <v>-120.79999999999995</v>
      </c>
      <c r="K112" s="1581"/>
      <c r="L112" s="912">
        <v>-33.5</v>
      </c>
      <c r="M112" s="1581"/>
      <c r="N112" s="912">
        <v>-107.19999999999999</v>
      </c>
      <c r="O112" s="1581"/>
      <c r="P112" s="1839">
        <v>-9.2000000000000455</v>
      </c>
      <c r="Q112" s="2052"/>
      <c r="R112" s="1839">
        <v>-4.7999999999999545</v>
      </c>
      <c r="S112" s="2052"/>
      <c r="T112" s="1839">
        <v>-71.5</v>
      </c>
      <c r="U112" s="2052"/>
      <c r="V112" s="1839">
        <f t="shared" si="16"/>
        <v>-52</v>
      </c>
      <c r="W112" s="2052"/>
      <c r="X112" s="1839"/>
      <c r="Y112" s="2052"/>
      <c r="Z112" s="1839"/>
      <c r="AA112" s="2053"/>
      <c r="AB112" s="2054"/>
      <c r="AC112" s="2056"/>
      <c r="AD112" s="1839">
        <v>-472.9</v>
      </c>
      <c r="AE112" s="2086"/>
      <c r="AF112" s="3303"/>
      <c r="AG112" s="3582">
        <v>-260.7</v>
      </c>
      <c r="AH112" s="1090"/>
      <c r="AI112" s="67"/>
      <c r="AJ112" s="1040">
        <f>ROUND(SUM(+AD112-AG112)*-1,1)</f>
        <v>212.2</v>
      </c>
      <c r="AK112" s="1040"/>
      <c r="AL112" s="2184">
        <f>ROUND(IF(AG112=0,0,AJ112/ABS(AG112)),3)</f>
        <v>0.81399999999999995</v>
      </c>
      <c r="AM112" s="1869"/>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89"/>
      <c r="AG113" s="67"/>
      <c r="AH113" s="276"/>
      <c r="AI113" s="56"/>
      <c r="AJ113" s="1440"/>
      <c r="AK113" s="936"/>
      <c r="AL113" s="1483"/>
      <c r="AM113" s="799"/>
    </row>
    <row r="114" spans="1:52" ht="15" customHeight="1">
      <c r="A114" s="150"/>
      <c r="B114" s="29" t="s">
        <v>1203</v>
      </c>
      <c r="C114" s="31"/>
      <c r="D114" s="938">
        <f>ROUND(SUM(D111:D113),1)</f>
        <v>270</v>
      </c>
      <c r="E114" s="938"/>
      <c r="F114" s="938">
        <f>ROUND(SUM(F111:F113),1)</f>
        <v>579</v>
      </c>
      <c r="G114" s="938"/>
      <c r="H114" s="938">
        <f>ROUND(SUM(H111:H113),1)</f>
        <v>537.20000000000005</v>
      </c>
      <c r="I114" s="938"/>
      <c r="J114" s="938">
        <f>ROUND(SUM(J111:J113),1)</f>
        <v>94.6</v>
      </c>
      <c r="K114" s="938"/>
      <c r="L114" s="938">
        <f>ROUND(SUM(L111:L113),1)</f>
        <v>126.7</v>
      </c>
      <c r="M114" s="938"/>
      <c r="N114" s="938">
        <f>ROUND(SUM(N111:N113),1)</f>
        <v>61.4</v>
      </c>
      <c r="O114" s="938"/>
      <c r="P114" s="938">
        <f>ROUND(SUM(P111:P113),1)</f>
        <v>110.3</v>
      </c>
      <c r="Q114" s="938"/>
      <c r="R114" s="938">
        <f>ROUND(SUM(R111:R113),1)</f>
        <v>180.9</v>
      </c>
      <c r="S114" s="938"/>
      <c r="T114" s="938">
        <f>ROUND(SUM(T111:T113),1)</f>
        <v>40.4</v>
      </c>
      <c r="U114" s="938"/>
      <c r="V114" s="938">
        <f>ROUND(SUM(V111:V113),1)</f>
        <v>32.1</v>
      </c>
      <c r="W114" s="938"/>
      <c r="X114" s="938">
        <f>ROUND(SUM(X111:X113),1)</f>
        <v>0</v>
      </c>
      <c r="Y114" s="938"/>
      <c r="Z114" s="938">
        <f>ROUND(SUM(Z111:Z113),1)</f>
        <v>0</v>
      </c>
      <c r="AA114" s="938"/>
      <c r="AB114" s="938"/>
      <c r="AC114" s="64"/>
      <c r="AD114" s="112">
        <f>ROUND(SUM(AD111:AD113),1)</f>
        <v>2032.6</v>
      </c>
      <c r="AE114" s="115"/>
      <c r="AF114" s="3306"/>
      <c r="AG114" s="112">
        <f>ROUND(SUM(AG111:AG113),1)</f>
        <v>1989.6</v>
      </c>
      <c r="AH114" s="283"/>
      <c r="AI114" s="76"/>
      <c r="AJ114" s="74">
        <f>ROUND(SUM(AD114-AG114),1)</f>
        <v>43</v>
      </c>
      <c r="AK114" s="166"/>
      <c r="AL114" s="1472">
        <f>ROUND(SUM((AD114-AG114)/ABS(AG114)),3)</f>
        <v>2.1999999999999999E-2</v>
      </c>
      <c r="AM114" s="1405"/>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89"/>
      <c r="AG115" s="126"/>
      <c r="AH115" s="276"/>
      <c r="AI115" s="56"/>
      <c r="AJ115" s="656"/>
      <c r="AK115" s="936"/>
      <c r="AL115" s="1468"/>
      <c r="AM115" s="799"/>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89"/>
      <c r="AG116" s="118"/>
      <c r="AH116" s="276"/>
      <c r="AI116" s="56"/>
      <c r="AJ116" s="656"/>
      <c r="AK116" s="936"/>
      <c r="AL116" s="1468"/>
      <c r="AM116" s="799"/>
    </row>
    <row r="117" spans="1:52" ht="15" customHeight="1">
      <c r="A117" s="150"/>
      <c r="B117" s="29" t="s">
        <v>1253</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89"/>
      <c r="AG117" s="139"/>
      <c r="AH117" s="276"/>
      <c r="AI117" s="56"/>
      <c r="AJ117" s="656"/>
      <c r="AK117" s="936"/>
      <c r="AL117" s="1468"/>
      <c r="AM117" s="799"/>
    </row>
    <row r="118" spans="1:52" ht="15" customHeight="1">
      <c r="A118" s="150"/>
      <c r="B118" s="29" t="s">
        <v>1199</v>
      </c>
      <c r="C118" s="31"/>
      <c r="D118" s="844">
        <f>ROUND(SUM(D108+D114),1)</f>
        <v>1343.9</v>
      </c>
      <c r="E118" s="1576"/>
      <c r="F118" s="844">
        <f>ROUND(SUM(F108+F114),1)</f>
        <v>-96.6</v>
      </c>
      <c r="G118" s="1576"/>
      <c r="H118" s="844">
        <f>ROUND(SUM(H108+H114),1)</f>
        <v>757.1</v>
      </c>
      <c r="I118" s="1576"/>
      <c r="J118" s="844">
        <f>ROUND(SUM(J108+J114),1)</f>
        <v>181.9</v>
      </c>
      <c r="K118" s="1576"/>
      <c r="L118" s="844">
        <f>ROUND(SUM(L108+L114),1)</f>
        <v>-172.4</v>
      </c>
      <c r="M118" s="1576"/>
      <c r="N118" s="844">
        <f>ROUND(SUM(N108+N114),1)</f>
        <v>-1827.9</v>
      </c>
      <c r="O118" s="1576"/>
      <c r="P118" s="844">
        <f>ROUND(SUM(P108+P114),1)</f>
        <v>73.7</v>
      </c>
      <c r="Q118" s="1576"/>
      <c r="R118" s="844">
        <f>ROUND(SUM(R108+R114),1)</f>
        <v>-289.2</v>
      </c>
      <c r="S118" s="1576"/>
      <c r="T118" s="844">
        <f>ROUND(SUM(T108+T114),1)</f>
        <v>-202.9</v>
      </c>
      <c r="U118" s="1576"/>
      <c r="V118" s="844">
        <f>ROUND(SUM(V108+V114),1)</f>
        <v>751.2</v>
      </c>
      <c r="W118" s="1576"/>
      <c r="X118" s="844">
        <f>ROUND(SUM(X108+X114),1)</f>
        <v>0</v>
      </c>
      <c r="Y118" s="1576"/>
      <c r="Z118" s="844">
        <f>ROUND(SUM(Z108+Z114),1)</f>
        <v>0</v>
      </c>
      <c r="AA118" s="1576"/>
      <c r="AB118" s="1911"/>
      <c r="AC118" s="1576"/>
      <c r="AD118" s="1126">
        <f>ROUND(SUM(AD108+AD114),1)</f>
        <v>518.79999999999995</v>
      </c>
      <c r="AE118" s="3296"/>
      <c r="AF118" s="115"/>
      <c r="AG118" s="1126">
        <f>ROUND(SUM(AG108+AG114),1)</f>
        <v>1944.1</v>
      </c>
      <c r="AH118" s="276"/>
      <c r="AI118" s="1576"/>
      <c r="AJ118" s="844">
        <f>ROUND(SUM(AJ108+AJ114),1)</f>
        <v>-1425.3</v>
      </c>
      <c r="AK118" s="1576"/>
      <c r="AL118" s="1910">
        <f>ROUND(IF(AG118=0,0,AJ118/ABS(AG118)),3)</f>
        <v>-0.73299999999999998</v>
      </c>
      <c r="AM118" s="799"/>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29"/>
      <c r="AD119" s="117"/>
      <c r="AE119" s="117"/>
      <c r="AF119" s="3307"/>
      <c r="AG119" s="117"/>
      <c r="AH119" s="59"/>
      <c r="AI119" s="272"/>
      <c r="AJ119" s="1442"/>
      <c r="AK119" s="1442"/>
      <c r="AL119" s="1484"/>
      <c r="AM119" s="799"/>
    </row>
    <row r="120" spans="1:52" ht="17.25" customHeight="1" thickBot="1">
      <c r="A120" s="150"/>
      <c r="B120" s="29" t="s">
        <v>1209</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5276.8</v>
      </c>
      <c r="O120" s="165"/>
      <c r="P120" s="267">
        <f>ROUND(SUM(+P118+P13),1)</f>
        <v>5350.5</v>
      </c>
      <c r="Q120" s="165"/>
      <c r="R120" s="267">
        <f>ROUND(SUM(+R118+R13),1)</f>
        <v>5061.3</v>
      </c>
      <c r="S120" s="165"/>
      <c r="T120" s="267">
        <f>ROUND(SUM(+T118+T13),1)</f>
        <v>4858.3999999999996</v>
      </c>
      <c r="U120" s="165"/>
      <c r="V120" s="267">
        <f>ROUND(SUM(+V118+V13),1)</f>
        <v>5609.6</v>
      </c>
      <c r="W120" s="165"/>
      <c r="X120" s="267">
        <f>ROUND(SUM(+X118+X13),1)</f>
        <v>0</v>
      </c>
      <c r="Y120" s="165"/>
      <c r="Z120" s="267">
        <f>ROUND(SUM(+Z118+Z13),1)</f>
        <v>0</v>
      </c>
      <c r="AA120" s="165"/>
      <c r="AB120" s="165"/>
      <c r="AC120" s="2029"/>
      <c r="AD120" s="262">
        <f>ROUND(SUM(+AD118+AD13),1)</f>
        <v>5609.6</v>
      </c>
      <c r="AE120" s="117"/>
      <c r="AF120" s="3307"/>
      <c r="AG120" s="262">
        <f>ROUND(SUM(+AG118+AG13),1)</f>
        <v>5952.6</v>
      </c>
      <c r="AH120" s="59"/>
      <c r="AI120" s="272"/>
      <c r="AJ120" s="267">
        <f>ROUND(SUM(+AJ118+AJ13),1)</f>
        <v>-343</v>
      </c>
      <c r="AK120" s="1442"/>
      <c r="AL120" s="1908">
        <f>ROUND(IF(AG120=0,0,AJ120/ABS(AG120)),3)</f>
        <v>-5.8000000000000003E-2</v>
      </c>
      <c r="AM120" s="799"/>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2"/>
      <c r="AK121" s="1442"/>
      <c r="AL121" s="1484"/>
      <c r="AM121" s="799"/>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2"/>
      <c r="AK122" s="1442"/>
      <c r="AL122" s="1484"/>
      <c r="AM122" s="799"/>
    </row>
    <row r="123" spans="1:52" ht="15" customHeight="1">
      <c r="B123" s="936"/>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78"/>
      <c r="AE123" s="2178"/>
      <c r="AF123" s="2178"/>
      <c r="AG123" s="2178"/>
      <c r="AH123" s="269"/>
      <c r="AI123" s="269"/>
      <c r="AJ123" s="1441"/>
      <c r="AK123" s="1441"/>
      <c r="AL123" s="1468"/>
      <c r="AM123" s="799"/>
      <c r="AN123" s="297"/>
      <c r="AO123" s="297"/>
      <c r="AP123" s="297"/>
      <c r="AQ123" s="297"/>
      <c r="AR123" s="297"/>
      <c r="AS123" s="297"/>
      <c r="AT123" s="297"/>
      <c r="AU123" s="297"/>
      <c r="AV123" s="297"/>
      <c r="AW123" s="297"/>
      <c r="AX123" s="297"/>
      <c r="AY123" s="297"/>
      <c r="AZ123" s="297"/>
    </row>
    <row r="124" spans="1:52" ht="15" customHeight="1">
      <c r="B124" s="30"/>
      <c r="AL124" s="1486"/>
      <c r="AM124" s="799"/>
    </row>
    <row r="125" spans="1:52" ht="15" customHeight="1">
      <c r="B125" s="30"/>
      <c r="AL125" s="1486"/>
      <c r="AM125" s="799"/>
    </row>
    <row r="126" spans="1:52">
      <c r="AL126" s="1486"/>
      <c r="AM126" s="799"/>
    </row>
    <row r="127" spans="1:52" ht="15" customHeight="1">
      <c r="AL127" s="1486"/>
      <c r="AM127" s="799"/>
    </row>
    <row r="128" spans="1:52" ht="15" customHeight="1">
      <c r="D128" s="936"/>
      <c r="F128" s="936"/>
      <c r="H128" s="936"/>
      <c r="AJ128" s="1909"/>
      <c r="AL128" s="1486"/>
      <c r="AM128" s="799"/>
    </row>
    <row r="129" spans="38:39" ht="15" customHeight="1">
      <c r="AL129" s="799"/>
      <c r="AM129" s="799"/>
    </row>
    <row r="130" spans="38:39" ht="15" customHeight="1">
      <c r="AL130" s="799"/>
      <c r="AM130" s="799"/>
    </row>
    <row r="131" spans="38:39" ht="15" customHeight="1">
      <c r="AL131" s="799"/>
      <c r="AM131" s="799"/>
    </row>
    <row r="132" spans="38:39" ht="15" customHeight="1">
      <c r="AL132" s="799"/>
      <c r="AM132" s="799"/>
    </row>
    <row r="133" spans="38:39" ht="15" customHeight="1">
      <c r="AL133" s="799"/>
      <c r="AM133" s="799"/>
    </row>
    <row r="134" spans="38:39" ht="15" customHeight="1">
      <c r="AL134" s="799"/>
      <c r="AM134" s="799"/>
    </row>
    <row r="135" spans="38:39" ht="15" customHeight="1">
      <c r="AL135" s="799"/>
      <c r="AM135" s="799"/>
    </row>
    <row r="136" spans="38:39" ht="15" customHeight="1">
      <c r="AL136" s="799"/>
      <c r="AM136" s="799"/>
    </row>
    <row r="137" spans="38:39" ht="15" customHeight="1">
      <c r="AL137" s="799"/>
      <c r="AM137" s="799"/>
    </row>
    <row r="138" spans="38:39" ht="15" customHeight="1">
      <c r="AL138" s="799"/>
      <c r="AM138" s="799"/>
    </row>
    <row r="139" spans="38:39" ht="15" customHeight="1">
      <c r="AL139" s="799"/>
      <c r="AM139" s="799"/>
    </row>
    <row r="140" spans="38:39" ht="15" customHeight="1">
      <c r="AL140" s="799"/>
      <c r="AM140" s="799"/>
    </row>
    <row r="141" spans="38:39" ht="15" customHeight="1">
      <c r="AL141" s="799"/>
      <c r="AM141" s="799"/>
    </row>
    <row r="142" spans="38:39" ht="15" customHeight="1">
      <c r="AL142" s="799"/>
      <c r="AM142" s="799"/>
    </row>
    <row r="143" spans="38:39" ht="15" customHeight="1">
      <c r="AL143" s="799"/>
      <c r="AM143" s="799"/>
    </row>
    <row r="144" spans="38:39" ht="15" customHeight="1">
      <c r="AL144" s="799"/>
      <c r="AM144" s="799"/>
    </row>
    <row r="145" spans="38:39" ht="15" customHeight="1">
      <c r="AL145" s="799"/>
      <c r="AM145" s="799"/>
    </row>
    <row r="146" spans="38:39" ht="15" customHeight="1">
      <c r="AL146" s="799"/>
      <c r="AM146" s="799"/>
    </row>
    <row r="147" spans="38:39" ht="15" customHeight="1">
      <c r="AL147" s="799"/>
      <c r="AM147" s="799"/>
    </row>
    <row r="148" spans="38:39" ht="15" customHeight="1">
      <c r="AL148" s="799"/>
      <c r="AM148" s="799"/>
    </row>
    <row r="149" spans="38:39" ht="15" customHeight="1">
      <c r="AL149" s="799"/>
      <c r="AM149" s="799"/>
    </row>
    <row r="150" spans="38:39" ht="15" customHeight="1">
      <c r="AL150" s="799"/>
      <c r="AM150" s="799"/>
    </row>
    <row r="151" spans="38:39" ht="15" customHeight="1">
      <c r="AL151" s="799"/>
      <c r="AM151" s="799"/>
    </row>
    <row r="152" spans="38:39" ht="15" customHeight="1">
      <c r="AL152" s="799"/>
      <c r="AM152" s="799"/>
    </row>
    <row r="153" spans="38:39" ht="15" customHeight="1">
      <c r="AL153" s="799"/>
      <c r="AM153" s="799"/>
    </row>
    <row r="154" spans="38:39" ht="15" customHeight="1">
      <c r="AL154" s="799"/>
      <c r="AM154" s="799"/>
    </row>
    <row r="155" spans="38:39" ht="11.25" customHeight="1">
      <c r="AL155" s="799"/>
      <c r="AM155" s="799"/>
    </row>
    <row r="156" spans="38:39" ht="15" customHeight="1">
      <c r="AL156" s="799"/>
      <c r="AM156" s="799"/>
    </row>
    <row r="157" spans="38:39" ht="15" customHeight="1">
      <c r="AL157" s="799"/>
      <c r="AM157" s="799"/>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88671875" defaultRowHeight="12.75"/>
  <cols>
    <col min="1" max="1" width="1.88671875" style="247" customWidth="1"/>
    <col min="2" max="2" width="44.88671875" style="247" customWidth="1"/>
    <col min="3" max="3" width="1.88671875" style="247" customWidth="1"/>
    <col min="4" max="4" width="15.109375" style="247" bestFit="1" customWidth="1"/>
    <col min="5" max="5" width="1.88671875" style="247" customWidth="1"/>
    <col min="6" max="6" width="12" style="247" customWidth="1"/>
    <col min="7" max="7" width="1.88671875" style="247" customWidth="1"/>
    <col min="8" max="8" width="11.109375" style="247" bestFit="1" customWidth="1"/>
    <col min="9" max="9" width="1.88671875" style="247" customWidth="1"/>
    <col min="10" max="10" width="11" style="247" customWidth="1"/>
    <col min="11" max="11" width="1.88671875" style="247" customWidth="1"/>
    <col min="12" max="12" width="11.109375" style="247" customWidth="1"/>
    <col min="13" max="13" width="1.88671875" style="247" customWidth="1"/>
    <col min="14" max="14" width="12.109375" style="247" customWidth="1"/>
    <col min="15" max="15" width="1.88671875" style="247" customWidth="1"/>
    <col min="16" max="16" width="11" style="247" bestFit="1" customWidth="1"/>
    <col min="17" max="17" width="1.88671875" style="247" customWidth="1"/>
    <col min="18" max="18" width="11.5546875" style="247" bestFit="1" customWidth="1"/>
    <col min="19" max="19" width="1.88671875" style="247" customWidth="1"/>
    <col min="20" max="20" width="11.44140625" style="247" customWidth="1"/>
    <col min="21" max="21" width="1.88671875" style="247" customWidth="1"/>
    <col min="22" max="22" width="11.109375" style="247" customWidth="1"/>
    <col min="23" max="23" width="1.88671875" style="247" customWidth="1"/>
    <col min="24" max="24" width="11.109375" style="247" bestFit="1" customWidth="1"/>
    <col min="25" max="25" width="1.88671875" style="247" customWidth="1"/>
    <col min="26" max="26" width="10.88671875" style="247" bestFit="1" customWidth="1"/>
    <col min="27" max="27" width="1" style="247" customWidth="1"/>
    <col min="28" max="29" width="1.88671875" style="247" customWidth="1"/>
    <col min="30" max="30" width="12.109375" style="903" customWidth="1"/>
    <col min="31" max="32" width="1.109375" style="903" customWidth="1"/>
    <col min="33" max="33" width="11.88671875" style="903" customWidth="1"/>
    <col min="34" max="34" width="1.44140625" style="247" customWidth="1"/>
    <col min="35" max="35" width="0.88671875" style="247" customWidth="1"/>
    <col min="36" max="36" width="13.109375" style="247" bestFit="1" customWidth="1"/>
    <col min="37" max="37" width="0.88671875" style="247" customWidth="1"/>
    <col min="38" max="38" width="13.88671875" style="799" bestFit="1" customWidth="1"/>
    <col min="39" max="16384" width="8.88671875" style="247"/>
  </cols>
  <sheetData>
    <row r="1" spans="1:41" ht="15">
      <c r="B1" s="657" t="s">
        <v>979</v>
      </c>
    </row>
    <row r="2" spans="1:41" ht="15.75">
      <c r="A2" s="246"/>
      <c r="M2" s="29"/>
      <c r="N2" s="29"/>
      <c r="O2" s="265"/>
    </row>
    <row r="3" spans="1:41" ht="18">
      <c r="A3" s="246"/>
      <c r="B3" s="249" t="s">
        <v>0</v>
      </c>
      <c r="M3" s="29"/>
      <c r="N3" s="29"/>
      <c r="O3" s="265"/>
      <c r="AF3" s="3234"/>
      <c r="AG3" s="3614"/>
      <c r="AH3" s="289"/>
      <c r="AI3" s="289"/>
      <c r="AJ3" s="289"/>
      <c r="AK3" s="289"/>
      <c r="AL3" s="250" t="s">
        <v>169</v>
      </c>
    </row>
    <row r="4" spans="1:41" ht="18">
      <c r="A4" s="246"/>
      <c r="B4" s="249" t="s">
        <v>178</v>
      </c>
      <c r="L4" s="29"/>
      <c r="M4" s="29"/>
      <c r="O4" s="265"/>
    </row>
    <row r="5" spans="1:41" ht="18">
      <c r="A5" s="246"/>
      <c r="B5" s="1578" t="s">
        <v>149</v>
      </c>
      <c r="L5" s="265"/>
      <c r="M5" s="265"/>
      <c r="O5" s="265"/>
      <c r="X5" s="290"/>
    </row>
    <row r="6" spans="1:41" ht="20.25">
      <c r="A6" s="246"/>
      <c r="B6" s="1578" t="str">
        <f>'Cashflow Governmental'!A6</f>
        <v xml:space="preserve">FISCAL YEAR 2019-2020   </v>
      </c>
      <c r="L6" s="265"/>
      <c r="M6" s="265"/>
      <c r="O6" s="265"/>
      <c r="AL6" s="800"/>
    </row>
    <row r="7" spans="1:41" ht="18">
      <c r="A7" s="246"/>
      <c r="B7" s="249" t="s">
        <v>1419</v>
      </c>
      <c r="AI7" s="150"/>
      <c r="AJ7" s="150"/>
      <c r="AK7" s="150"/>
      <c r="AL7" s="801"/>
    </row>
    <row r="8" spans="1:41" ht="13.5" customHeight="1">
      <c r="A8" s="246"/>
      <c r="B8" s="298"/>
      <c r="AI8" s="150"/>
      <c r="AJ8" s="150"/>
      <c r="AK8" s="150"/>
      <c r="AL8" s="801"/>
    </row>
    <row r="9" spans="1:41" ht="15.75">
      <c r="A9" s="246"/>
      <c r="L9" s="265"/>
      <c r="M9" s="265"/>
      <c r="N9" s="265"/>
      <c r="O9" s="265"/>
      <c r="AC9" s="3912" t="str">
        <f>'Exhibit G'!AC9:AL9</f>
        <v>10 Months Ended January 31</v>
      </c>
      <c r="AD9" s="3912"/>
      <c r="AE9" s="3912"/>
      <c r="AF9" s="3912"/>
      <c r="AG9" s="3912"/>
      <c r="AH9" s="3912"/>
      <c r="AI9" s="3912"/>
      <c r="AJ9" s="3912"/>
      <c r="AK9" s="3912"/>
      <c r="AL9" s="3912"/>
    </row>
    <row r="10" spans="1:41" ht="15.75">
      <c r="A10" s="246"/>
      <c r="B10" s="30"/>
      <c r="C10" s="30"/>
      <c r="D10" s="761" t="str">
        <f>'Cashflow Governmental'!C13</f>
        <v>2019</v>
      </c>
      <c r="E10" s="29"/>
      <c r="F10" s="29"/>
      <c r="G10" s="29"/>
      <c r="H10" s="29"/>
      <c r="I10" s="29"/>
      <c r="J10" s="29"/>
      <c r="K10" s="29"/>
      <c r="L10" s="29"/>
      <c r="M10" s="29"/>
      <c r="N10" s="29"/>
      <c r="O10" s="29"/>
      <c r="P10" s="29"/>
      <c r="Q10" s="29"/>
      <c r="R10" s="29"/>
      <c r="S10" s="29"/>
      <c r="T10" s="29"/>
      <c r="U10" s="29"/>
      <c r="V10" s="761" t="str">
        <f>'Cashflow Governmental'!U13</f>
        <v>2020</v>
      </c>
      <c r="W10" s="29"/>
      <c r="X10" s="29"/>
      <c r="Y10" s="29"/>
      <c r="Z10" s="29"/>
      <c r="AA10" s="29"/>
      <c r="AB10" s="29"/>
      <c r="AC10" s="29"/>
      <c r="AD10" s="3291"/>
      <c r="AE10" s="3291"/>
      <c r="AF10" s="3291"/>
      <c r="AG10" s="3291"/>
      <c r="AH10" s="210"/>
      <c r="AI10" s="209"/>
      <c r="AJ10" s="765" t="s">
        <v>8</v>
      </c>
      <c r="AK10" s="765"/>
      <c r="AL10" s="802" t="s">
        <v>9</v>
      </c>
      <c r="AM10" s="768"/>
      <c r="AN10" s="768"/>
      <c r="AO10" s="768"/>
    </row>
    <row r="11" spans="1:41" ht="15.75">
      <c r="A11" s="246"/>
      <c r="B11" s="30"/>
      <c r="C11" s="30"/>
      <c r="D11" s="752" t="s">
        <v>125</v>
      </c>
      <c r="E11" s="29"/>
      <c r="F11" s="752" t="s">
        <v>126</v>
      </c>
      <c r="G11" s="29"/>
      <c r="H11" s="752" t="s">
        <v>127</v>
      </c>
      <c r="I11" s="29"/>
      <c r="J11" s="752" t="s">
        <v>128</v>
      </c>
      <c r="K11" s="29"/>
      <c r="L11" s="752" t="s">
        <v>129</v>
      </c>
      <c r="M11" s="29"/>
      <c r="N11" s="752" t="s">
        <v>144</v>
      </c>
      <c r="O11" s="29"/>
      <c r="P11" s="752" t="s">
        <v>145</v>
      </c>
      <c r="Q11" s="29"/>
      <c r="R11" s="752" t="s">
        <v>132</v>
      </c>
      <c r="S11" s="29"/>
      <c r="T11" s="752" t="s">
        <v>133</v>
      </c>
      <c r="U11" s="29"/>
      <c r="V11" s="752" t="s">
        <v>134</v>
      </c>
      <c r="W11" s="29"/>
      <c r="X11" s="752" t="s">
        <v>135</v>
      </c>
      <c r="Y11" s="29"/>
      <c r="Z11" s="752" t="s">
        <v>186</v>
      </c>
      <c r="AA11" s="752"/>
      <c r="AB11" s="29"/>
      <c r="AC11" s="29"/>
      <c r="AD11" s="756">
        <f>'Cashflow Governmental'!AB14</f>
        <v>2020</v>
      </c>
      <c r="AE11" s="756"/>
      <c r="AF11" s="105" t="s">
        <v>15</v>
      </c>
      <c r="AG11" s="756">
        <f>'Cashflow Governmental'!AE14</f>
        <v>2019</v>
      </c>
      <c r="AH11" s="751"/>
      <c r="AI11" s="209"/>
      <c r="AJ11" s="770" t="s">
        <v>12</v>
      </c>
      <c r="AK11" s="764"/>
      <c r="AL11" s="803" t="s">
        <v>13</v>
      </c>
      <c r="AM11" s="768"/>
      <c r="AN11" s="768"/>
      <c r="AO11" s="768"/>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6"/>
      <c r="AD12" s="3308"/>
      <c r="AE12" s="3308"/>
      <c r="AF12" s="3298"/>
      <c r="AG12" s="3308"/>
      <c r="AH12" s="37"/>
      <c r="AI12" s="272"/>
      <c r="AJ12" s="30"/>
      <c r="AK12" s="30"/>
      <c r="AL12" s="264"/>
    </row>
    <row r="13" spans="1:41" ht="15.75">
      <c r="A13" s="246"/>
      <c r="B13" s="1903" t="s">
        <v>1279</v>
      </c>
      <c r="C13" s="30"/>
      <c r="D13" s="308">
        <v>-1248.3999999999999</v>
      </c>
      <c r="E13" s="30"/>
      <c r="F13" s="219">
        <f>D92</f>
        <v>567.70000000000005</v>
      </c>
      <c r="G13" s="30"/>
      <c r="H13" s="219">
        <f>F92</f>
        <v>-69.2</v>
      </c>
      <c r="I13" s="30"/>
      <c r="J13" s="219">
        <f>H92</f>
        <v>891.4</v>
      </c>
      <c r="K13" s="30"/>
      <c r="L13" s="219">
        <f>J92</f>
        <v>-396.5</v>
      </c>
      <c r="M13" s="30"/>
      <c r="N13" s="219">
        <f>L92</f>
        <v>356.6</v>
      </c>
      <c r="O13" s="30"/>
      <c r="P13" s="219">
        <f>N92</f>
        <v>964.7</v>
      </c>
      <c r="Q13" s="30"/>
      <c r="R13" s="219">
        <f>P92</f>
        <v>516.1</v>
      </c>
      <c r="S13" s="30"/>
      <c r="T13" s="219">
        <f>R92</f>
        <v>538.20000000000005</v>
      </c>
      <c r="U13" s="30"/>
      <c r="V13" s="219">
        <f>T92</f>
        <v>2004.4</v>
      </c>
      <c r="W13" s="30"/>
      <c r="X13" s="219"/>
      <c r="Y13" s="30"/>
      <c r="Z13" s="219"/>
      <c r="AA13" s="37"/>
      <c r="AB13" s="30"/>
      <c r="AC13" s="1076"/>
      <c r="AD13" s="139">
        <f>D13</f>
        <v>-1248.3999999999999</v>
      </c>
      <c r="AE13" s="1108"/>
      <c r="AF13" s="3298"/>
      <c r="AG13" s="139">
        <v>293.60000000000002</v>
      </c>
      <c r="AH13" s="37"/>
      <c r="AI13" s="272"/>
      <c r="AJ13" s="94">
        <f>+AD13-AG13</f>
        <v>-1542</v>
      </c>
      <c r="AK13" s="30"/>
      <c r="AL13" s="274">
        <f>+AJ13/AG13</f>
        <v>-5.2520435967302452</v>
      </c>
    </row>
    <row r="14" spans="1:41" ht="15.75">
      <c r="A14" s="246"/>
      <c r="B14" s="1903"/>
      <c r="C14" s="30"/>
      <c r="D14" s="37"/>
      <c r="E14" s="30"/>
      <c r="F14" s="37"/>
      <c r="G14" s="30"/>
      <c r="H14" s="37"/>
      <c r="I14" s="30"/>
      <c r="J14" s="37"/>
      <c r="K14" s="30"/>
      <c r="L14" s="37"/>
      <c r="M14" s="30"/>
      <c r="N14" s="1075"/>
      <c r="O14" s="30"/>
      <c r="P14" s="37"/>
      <c r="Q14" s="30"/>
      <c r="R14" s="37"/>
      <c r="S14" s="30"/>
      <c r="T14" s="37"/>
      <c r="U14" s="30"/>
      <c r="V14" s="37"/>
      <c r="W14" s="30"/>
      <c r="X14" s="37"/>
      <c r="Y14" s="30"/>
      <c r="Z14" s="37"/>
      <c r="AA14" s="37"/>
      <c r="AB14" s="1913"/>
      <c r="AC14" s="37"/>
      <c r="AD14" s="1108"/>
      <c r="AE14" s="1108"/>
      <c r="AF14" s="3298"/>
      <c r="AG14" s="1108"/>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299"/>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09"/>
      <c r="AF16" s="3312"/>
      <c r="AG16" s="362"/>
      <c r="AH16" s="294"/>
      <c r="AI16" s="37"/>
      <c r="AJ16" s="959"/>
      <c r="AK16" s="656"/>
      <c r="AL16" s="926"/>
    </row>
    <row r="17" spans="1:39" ht="15" customHeight="1">
      <c r="A17" s="150"/>
      <c r="B17" s="261" t="s">
        <v>1033</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89"/>
      <c r="AG17" s="118"/>
      <c r="AH17" s="276"/>
      <c r="AI17" s="56"/>
      <c r="AJ17" s="959"/>
      <c r="AK17" s="959"/>
      <c r="AL17" s="683"/>
    </row>
    <row r="18" spans="1:39" ht="15" customHeight="1">
      <c r="A18" s="150"/>
      <c r="B18" s="908" t="s">
        <v>1154</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89"/>
      <c r="AG18" s="118"/>
      <c r="AH18" s="276"/>
      <c r="AI18" s="56"/>
      <c r="AJ18" s="959"/>
      <c r="AK18" s="959"/>
      <c r="AL18" s="683"/>
    </row>
    <row r="19" spans="1:39" ht="15" customHeight="1">
      <c r="A19" s="150"/>
      <c r="B19" s="908" t="s">
        <v>1066</v>
      </c>
      <c r="C19" s="31"/>
      <c r="D19" s="698">
        <v>0</v>
      </c>
      <c r="E19" s="910"/>
      <c r="F19" s="698">
        <v>0</v>
      </c>
      <c r="G19" s="911"/>
      <c r="H19" s="698">
        <v>0</v>
      </c>
      <c r="I19" s="911"/>
      <c r="J19" s="698">
        <v>0</v>
      </c>
      <c r="K19" s="1581"/>
      <c r="L19" s="698">
        <v>0</v>
      </c>
      <c r="M19" s="1581"/>
      <c r="N19" s="698">
        <v>0</v>
      </c>
      <c r="O19" s="1846"/>
      <c r="P19" s="1839">
        <v>0</v>
      </c>
      <c r="Q19" s="2041"/>
      <c r="R19" s="1839">
        <v>0</v>
      </c>
      <c r="S19" s="2041"/>
      <c r="T19" s="1839">
        <v>0</v>
      </c>
      <c r="U19" s="2041"/>
      <c r="V19" s="1839">
        <f>$AD19-$D19-$F19-$H19-$J19-$L19-$N19-$P19-$R19-$T19</f>
        <v>0</v>
      </c>
      <c r="W19" s="2041"/>
      <c r="X19" s="1839"/>
      <c r="Y19" s="2041"/>
      <c r="Z19" s="1839"/>
      <c r="AA19" s="2042"/>
      <c r="AB19" s="1894"/>
      <c r="AC19" s="2043"/>
      <c r="AD19" s="1839">
        <v>0</v>
      </c>
      <c r="AE19" s="2054"/>
      <c r="AF19" s="2056"/>
      <c r="AG19" s="1839">
        <v>0</v>
      </c>
      <c r="AH19" s="1412"/>
      <c r="AI19" s="959"/>
      <c r="AJ19" s="911">
        <f>ROUND(SUM(+AD19-AG19),1)</f>
        <v>0</v>
      </c>
      <c r="AK19" s="959"/>
      <c r="AL19" s="1475">
        <f>ROUND(IF(AG19=0,0,AJ19/ABS(AG19)),3)</f>
        <v>0</v>
      </c>
    </row>
    <row r="20" spans="1:39" s="903" customFormat="1" ht="15" customHeight="1">
      <c r="A20" s="1087"/>
      <c r="B20" s="908" t="s">
        <v>1155</v>
      </c>
      <c r="C20" s="107"/>
      <c r="D20" s="698" t="s">
        <v>15</v>
      </c>
      <c r="E20" s="830"/>
      <c r="F20" s="698"/>
      <c r="G20" s="830"/>
      <c r="H20" s="698"/>
      <c r="I20" s="830"/>
      <c r="J20" s="698"/>
      <c r="K20" s="140"/>
      <c r="L20" s="698"/>
      <c r="M20" s="140"/>
      <c r="N20" s="698"/>
      <c r="O20" s="140"/>
      <c r="P20" s="1839"/>
      <c r="Q20" s="2045"/>
      <c r="R20" s="1839"/>
      <c r="S20" s="2045"/>
      <c r="T20" s="1839"/>
      <c r="U20" s="2045"/>
      <c r="V20" s="1839"/>
      <c r="W20" s="2049"/>
      <c r="X20" s="1839"/>
      <c r="Y20" s="2049"/>
      <c r="Z20" s="1839"/>
      <c r="AA20" s="2048"/>
      <c r="AB20" s="2045"/>
      <c r="AC20" s="2050"/>
      <c r="AD20" s="2049"/>
      <c r="AE20" s="2049"/>
      <c r="AF20" s="2051"/>
      <c r="AG20" s="2049"/>
      <c r="AH20" s="1090"/>
      <c r="AI20" s="67"/>
      <c r="AJ20" s="1040"/>
      <c r="AK20" s="1040"/>
      <c r="AL20" s="1485"/>
    </row>
    <row r="21" spans="1:39" s="903" customFormat="1" ht="15" customHeight="1">
      <c r="A21" s="1087"/>
      <c r="B21" s="908" t="s">
        <v>1068</v>
      </c>
      <c r="C21" s="107"/>
      <c r="D21" s="698">
        <v>4.5</v>
      </c>
      <c r="E21" s="830"/>
      <c r="F21" s="698">
        <v>39.1</v>
      </c>
      <c r="G21" s="830"/>
      <c r="H21" s="698">
        <v>0.19999999999999574</v>
      </c>
      <c r="I21" s="830"/>
      <c r="J21" s="698">
        <v>2.8000000000000043</v>
      </c>
      <c r="K21" s="1581"/>
      <c r="L21" s="698">
        <v>10.699999999999996</v>
      </c>
      <c r="M21" s="1581"/>
      <c r="N21" s="698">
        <v>0.20000000000000284</v>
      </c>
      <c r="O21" s="1581"/>
      <c r="P21" s="1839">
        <v>2.2999999999999972</v>
      </c>
      <c r="Q21" s="2052"/>
      <c r="R21" s="1839">
        <v>6.5</v>
      </c>
      <c r="S21" s="2052"/>
      <c r="T21" s="1839">
        <v>0.10000000000000853</v>
      </c>
      <c r="U21" s="2052"/>
      <c r="V21" s="1839">
        <f t="shared" ref="V21:V51" si="0">$AD21-$D21-$F21-$H21-$J21-$L21-$N21-$P21-$R21-$T21</f>
        <v>1.5999999999999943</v>
      </c>
      <c r="W21" s="2052"/>
      <c r="X21" s="1839"/>
      <c r="Y21" s="2052"/>
      <c r="Z21" s="1839"/>
      <c r="AA21" s="2053"/>
      <c r="AB21" s="2054"/>
      <c r="AC21" s="2055"/>
      <c r="AD21" s="1839">
        <v>68</v>
      </c>
      <c r="AE21" s="2054"/>
      <c r="AF21" s="2056"/>
      <c r="AG21" s="1839">
        <v>65</v>
      </c>
      <c r="AH21" s="1090"/>
      <c r="AI21" s="67"/>
      <c r="AJ21" s="1040">
        <f t="shared" ref="AJ21:AJ51" si="1">ROUND(SUM(+AD21-AG21),1)</f>
        <v>3</v>
      </c>
      <c r="AK21" s="1040"/>
      <c r="AL21" s="1774">
        <f>ROUND(IF(AG21=0,0,AJ21/ABS(AG21)),3)</f>
        <v>4.5999999999999999E-2</v>
      </c>
      <c r="AM21" s="1858"/>
    </row>
    <row r="22" spans="1:39" ht="15" customHeight="1">
      <c r="A22" s="150"/>
      <c r="B22" s="908" t="s">
        <v>1069</v>
      </c>
      <c r="C22" s="31"/>
      <c r="D22" s="698">
        <v>0</v>
      </c>
      <c r="E22" s="830"/>
      <c r="F22" s="698">
        <v>0</v>
      </c>
      <c r="G22" s="830"/>
      <c r="H22" s="698">
        <v>0</v>
      </c>
      <c r="I22" s="830"/>
      <c r="J22" s="698">
        <v>0</v>
      </c>
      <c r="K22" s="1581"/>
      <c r="L22" s="698">
        <v>0</v>
      </c>
      <c r="M22" s="1581"/>
      <c r="N22" s="698">
        <v>0</v>
      </c>
      <c r="O22" s="1581"/>
      <c r="P22" s="1839">
        <v>0</v>
      </c>
      <c r="Q22" s="2052"/>
      <c r="R22" s="1839">
        <v>0</v>
      </c>
      <c r="S22" s="2052"/>
      <c r="T22" s="1839">
        <v>0</v>
      </c>
      <c r="U22" s="2052"/>
      <c r="V22" s="1839">
        <f t="shared" si="0"/>
        <v>0</v>
      </c>
      <c r="W22" s="2052"/>
      <c r="X22" s="1839"/>
      <c r="Y22" s="2052"/>
      <c r="Z22" s="1839"/>
      <c r="AA22" s="2053"/>
      <c r="AB22" s="2054"/>
      <c r="AC22" s="2055"/>
      <c r="AD22" s="1839">
        <v>0</v>
      </c>
      <c r="AE22" s="2054"/>
      <c r="AF22" s="2056"/>
      <c r="AG22" s="1839">
        <v>0</v>
      </c>
      <c r="AH22" s="276"/>
      <c r="AI22" s="56"/>
      <c r="AJ22" s="959">
        <f t="shared" si="1"/>
        <v>0</v>
      </c>
      <c r="AK22" s="959"/>
      <c r="AL22" s="1475">
        <f>ROUND(IF(AG22=0,0,AJ22/ABS(AG22)),3)</f>
        <v>0</v>
      </c>
    </row>
    <row r="23" spans="1:39" ht="15" customHeight="1">
      <c r="A23" s="150"/>
      <c r="B23" s="908" t="s">
        <v>1070</v>
      </c>
      <c r="C23" s="31"/>
      <c r="D23" s="698">
        <v>0</v>
      </c>
      <c r="E23" s="830"/>
      <c r="F23" s="698">
        <v>0</v>
      </c>
      <c r="G23" s="830"/>
      <c r="H23" s="698">
        <v>0</v>
      </c>
      <c r="I23" s="830"/>
      <c r="J23" s="698">
        <v>0</v>
      </c>
      <c r="K23" s="1581"/>
      <c r="L23" s="698">
        <v>0</v>
      </c>
      <c r="M23" s="1581"/>
      <c r="N23" s="698">
        <v>0</v>
      </c>
      <c r="O23" s="1581"/>
      <c r="P23" s="1839">
        <v>0</v>
      </c>
      <c r="Q23" s="2052"/>
      <c r="R23" s="1839">
        <v>0</v>
      </c>
      <c r="S23" s="2052"/>
      <c r="T23" s="1839">
        <v>0</v>
      </c>
      <c r="U23" s="2052"/>
      <c r="V23" s="1839">
        <f t="shared" si="0"/>
        <v>0</v>
      </c>
      <c r="W23" s="2052"/>
      <c r="X23" s="1839"/>
      <c r="Y23" s="2052"/>
      <c r="Z23" s="1839"/>
      <c r="AA23" s="2053"/>
      <c r="AB23" s="2054"/>
      <c r="AC23" s="2055"/>
      <c r="AD23" s="1839">
        <v>0</v>
      </c>
      <c r="AE23" s="2054"/>
      <c r="AF23" s="2056"/>
      <c r="AG23" s="1839">
        <v>0</v>
      </c>
      <c r="AH23" s="276"/>
      <c r="AI23" s="56"/>
      <c r="AJ23" s="959">
        <f t="shared" si="1"/>
        <v>0</v>
      </c>
      <c r="AK23" s="959"/>
      <c r="AL23" s="1475">
        <f>ROUND(IF(AG23=0,0,AJ23/ABS(AG23)),3)</f>
        <v>0</v>
      </c>
    </row>
    <row r="24" spans="1:39" ht="15" customHeight="1">
      <c r="A24" s="150"/>
      <c r="B24" s="908" t="s">
        <v>1071</v>
      </c>
      <c r="C24" s="31"/>
      <c r="D24" s="698">
        <v>0</v>
      </c>
      <c r="E24" s="830"/>
      <c r="F24" s="698">
        <v>0</v>
      </c>
      <c r="G24" s="830"/>
      <c r="H24" s="698">
        <v>0</v>
      </c>
      <c r="I24" s="830"/>
      <c r="J24" s="698">
        <v>0</v>
      </c>
      <c r="K24" s="1581"/>
      <c r="L24" s="698">
        <v>0</v>
      </c>
      <c r="M24" s="1581"/>
      <c r="N24" s="698">
        <v>0</v>
      </c>
      <c r="O24" s="1581"/>
      <c r="P24" s="1839">
        <v>0</v>
      </c>
      <c r="Q24" s="2052"/>
      <c r="R24" s="1839">
        <v>0</v>
      </c>
      <c r="S24" s="2052"/>
      <c r="T24" s="1839">
        <v>0</v>
      </c>
      <c r="U24" s="2052"/>
      <c r="V24" s="1839">
        <f t="shared" si="0"/>
        <v>0</v>
      </c>
      <c r="W24" s="2052"/>
      <c r="X24" s="1839"/>
      <c r="Y24" s="2052"/>
      <c r="Z24" s="1839"/>
      <c r="AA24" s="2053"/>
      <c r="AB24" s="2054"/>
      <c r="AC24" s="2055"/>
      <c r="AD24" s="1839">
        <v>0</v>
      </c>
      <c r="AE24" s="2054"/>
      <c r="AF24" s="2056"/>
      <c r="AG24" s="1839">
        <v>0</v>
      </c>
      <c r="AH24" s="276"/>
      <c r="AI24" s="56"/>
      <c r="AJ24" s="959">
        <f t="shared" si="1"/>
        <v>0</v>
      </c>
      <c r="AK24" s="959"/>
      <c r="AL24" s="1475">
        <f>ROUND(IF(AG24=0,0,AJ24/ABS(AG24)),3)</f>
        <v>0</v>
      </c>
    </row>
    <row r="25" spans="1:39" ht="15" customHeight="1">
      <c r="A25" s="150"/>
      <c r="B25" s="908" t="s">
        <v>1160</v>
      </c>
      <c r="C25" s="31"/>
      <c r="D25" s="698" t="s">
        <v>15</v>
      </c>
      <c r="E25" s="830"/>
      <c r="F25" s="698"/>
      <c r="G25" s="830"/>
      <c r="H25" s="698"/>
      <c r="I25" s="830"/>
      <c r="J25" s="698"/>
      <c r="K25" s="140"/>
      <c r="L25" s="698"/>
      <c r="M25" s="140"/>
      <c r="N25" s="698"/>
      <c r="O25" s="140"/>
      <c r="P25" s="1839"/>
      <c r="Q25" s="2045"/>
      <c r="R25" s="1839"/>
      <c r="S25" s="2045"/>
      <c r="T25" s="1839"/>
      <c r="U25" s="2045"/>
      <c r="V25" s="1839"/>
      <c r="W25" s="2049"/>
      <c r="X25" s="1839"/>
      <c r="Y25" s="2049"/>
      <c r="Z25" s="1839"/>
      <c r="AA25" s="2048"/>
      <c r="AB25" s="2045"/>
      <c r="AC25" s="2050"/>
      <c r="AD25" s="2049"/>
      <c r="AE25" s="2049"/>
      <c r="AF25" s="2051"/>
      <c r="AG25" s="2049"/>
      <c r="AH25" s="276"/>
      <c r="AI25" s="56"/>
      <c r="AJ25" s="959"/>
      <c r="AK25" s="959"/>
      <c r="AL25" s="1475"/>
    </row>
    <row r="26" spans="1:39" ht="15" customHeight="1">
      <c r="A26" s="150"/>
      <c r="B26" s="908" t="s">
        <v>1072</v>
      </c>
      <c r="C26" s="31"/>
      <c r="D26" s="698">
        <v>0</v>
      </c>
      <c r="E26" s="830"/>
      <c r="F26" s="698">
        <v>0</v>
      </c>
      <c r="G26" s="830"/>
      <c r="H26" s="698">
        <v>0</v>
      </c>
      <c r="I26" s="830"/>
      <c r="J26" s="698">
        <v>0</v>
      </c>
      <c r="K26" s="1581"/>
      <c r="L26" s="698">
        <v>0</v>
      </c>
      <c r="M26" s="1581"/>
      <c r="N26" s="698">
        <v>0</v>
      </c>
      <c r="O26" s="1581"/>
      <c r="P26" s="1839">
        <v>0</v>
      </c>
      <c r="Q26" s="2052"/>
      <c r="R26" s="1839">
        <v>0</v>
      </c>
      <c r="S26" s="2052"/>
      <c r="T26" s="1839">
        <v>0</v>
      </c>
      <c r="U26" s="2052"/>
      <c r="V26" s="1839">
        <f t="shared" si="0"/>
        <v>0</v>
      </c>
      <c r="W26" s="2052"/>
      <c r="X26" s="1839"/>
      <c r="Y26" s="2052"/>
      <c r="Z26" s="1839"/>
      <c r="AA26" s="2053"/>
      <c r="AB26" s="2054"/>
      <c r="AC26" s="2055"/>
      <c r="AD26" s="1839">
        <v>0</v>
      </c>
      <c r="AE26" s="2054"/>
      <c r="AF26" s="2056"/>
      <c r="AG26" s="1839">
        <v>0</v>
      </c>
      <c r="AH26" s="276"/>
      <c r="AI26" s="56"/>
      <c r="AJ26" s="959">
        <f t="shared" si="1"/>
        <v>0</v>
      </c>
      <c r="AK26" s="959"/>
      <c r="AL26" s="1475">
        <f t="shared" ref="AL26:AL31" si="2">ROUND(IF(AG26=0,0,AJ26/ABS(AG26)),3)</f>
        <v>0</v>
      </c>
    </row>
    <row r="27" spans="1:39" ht="15" customHeight="1">
      <c r="A27" s="150"/>
      <c r="B27" s="908" t="s">
        <v>1073</v>
      </c>
      <c r="C27" s="31"/>
      <c r="D27" s="698">
        <v>0</v>
      </c>
      <c r="E27" s="830"/>
      <c r="F27" s="698">
        <v>0</v>
      </c>
      <c r="G27" s="830"/>
      <c r="H27" s="698">
        <v>0</v>
      </c>
      <c r="I27" s="830"/>
      <c r="J27" s="698">
        <v>0</v>
      </c>
      <c r="K27" s="1581"/>
      <c r="L27" s="698">
        <v>0</v>
      </c>
      <c r="M27" s="1581"/>
      <c r="N27" s="698">
        <v>0</v>
      </c>
      <c r="O27" s="1581"/>
      <c r="P27" s="1839">
        <v>0</v>
      </c>
      <c r="Q27" s="2052"/>
      <c r="R27" s="1839">
        <v>0</v>
      </c>
      <c r="S27" s="2052"/>
      <c r="T27" s="1839">
        <v>0</v>
      </c>
      <c r="U27" s="2052"/>
      <c r="V27" s="1839">
        <f t="shared" si="0"/>
        <v>0</v>
      </c>
      <c r="W27" s="2052"/>
      <c r="X27" s="1839"/>
      <c r="Y27" s="2052"/>
      <c r="Z27" s="1839"/>
      <c r="AA27" s="2053"/>
      <c r="AB27" s="2054"/>
      <c r="AC27" s="2055"/>
      <c r="AD27" s="1839">
        <v>0</v>
      </c>
      <c r="AE27" s="2054"/>
      <c r="AF27" s="2056"/>
      <c r="AG27" s="1839">
        <v>0</v>
      </c>
      <c r="AH27" s="276"/>
      <c r="AI27" s="56"/>
      <c r="AJ27" s="959">
        <f t="shared" si="1"/>
        <v>0</v>
      </c>
      <c r="AK27" s="959"/>
      <c r="AL27" s="1475">
        <f t="shared" si="2"/>
        <v>0</v>
      </c>
    </row>
    <row r="28" spans="1:39" ht="15" customHeight="1">
      <c r="A28" s="150"/>
      <c r="B28" s="908" t="s">
        <v>1074</v>
      </c>
      <c r="C28" s="31"/>
      <c r="D28" s="698">
        <v>0</v>
      </c>
      <c r="E28" s="830"/>
      <c r="F28" s="698">
        <v>0</v>
      </c>
      <c r="G28" s="830"/>
      <c r="H28" s="698">
        <v>0</v>
      </c>
      <c r="I28" s="830"/>
      <c r="J28" s="698">
        <v>0</v>
      </c>
      <c r="K28" s="1581"/>
      <c r="L28" s="698">
        <v>0</v>
      </c>
      <c r="M28" s="1581"/>
      <c r="N28" s="698">
        <v>0</v>
      </c>
      <c r="O28" s="1581"/>
      <c r="P28" s="1839">
        <v>0</v>
      </c>
      <c r="Q28" s="2052"/>
      <c r="R28" s="1839">
        <v>0</v>
      </c>
      <c r="S28" s="2052"/>
      <c r="T28" s="1839">
        <v>0</v>
      </c>
      <c r="U28" s="2052"/>
      <c r="V28" s="1839">
        <f t="shared" si="0"/>
        <v>0</v>
      </c>
      <c r="W28" s="2052"/>
      <c r="X28" s="1839"/>
      <c r="Y28" s="2052"/>
      <c r="Z28" s="1839"/>
      <c r="AA28" s="2053"/>
      <c r="AB28" s="2054"/>
      <c r="AC28" s="2055"/>
      <c r="AD28" s="1839">
        <v>0</v>
      </c>
      <c r="AE28" s="2054"/>
      <c r="AF28" s="2056"/>
      <c r="AG28" s="1839">
        <v>0</v>
      </c>
      <c r="AH28" s="276"/>
      <c r="AI28" s="56"/>
      <c r="AJ28" s="959">
        <f t="shared" si="1"/>
        <v>0</v>
      </c>
      <c r="AK28" s="959"/>
      <c r="AL28" s="1475">
        <f t="shared" si="2"/>
        <v>0</v>
      </c>
    </row>
    <row r="29" spans="1:39" ht="15" customHeight="1">
      <c r="A29" s="150"/>
      <c r="B29" s="908" t="s">
        <v>1075</v>
      </c>
      <c r="C29" s="31"/>
      <c r="D29" s="698">
        <v>0</v>
      </c>
      <c r="E29" s="830"/>
      <c r="F29" s="698">
        <v>0</v>
      </c>
      <c r="G29" s="830"/>
      <c r="H29" s="698">
        <v>0</v>
      </c>
      <c r="I29" s="830"/>
      <c r="J29" s="698">
        <v>0</v>
      </c>
      <c r="K29" s="1581"/>
      <c r="L29" s="698">
        <v>0</v>
      </c>
      <c r="M29" s="1581"/>
      <c r="N29" s="698">
        <v>0</v>
      </c>
      <c r="O29" s="1581"/>
      <c r="P29" s="1839">
        <v>0</v>
      </c>
      <c r="Q29" s="2052"/>
      <c r="R29" s="1839">
        <v>0</v>
      </c>
      <c r="S29" s="2052"/>
      <c r="T29" s="1839">
        <v>0</v>
      </c>
      <c r="U29" s="2052"/>
      <c r="V29" s="1839">
        <f t="shared" si="0"/>
        <v>0</v>
      </c>
      <c r="W29" s="2052"/>
      <c r="X29" s="1839"/>
      <c r="Y29" s="2052"/>
      <c r="Z29" s="1839"/>
      <c r="AA29" s="2053"/>
      <c r="AB29" s="2054"/>
      <c r="AC29" s="2055"/>
      <c r="AD29" s="1839">
        <v>0</v>
      </c>
      <c r="AE29" s="2054"/>
      <c r="AF29" s="2056"/>
      <c r="AG29" s="1839">
        <v>0</v>
      </c>
      <c r="AH29" s="276"/>
      <c r="AI29" s="56"/>
      <c r="AJ29" s="959">
        <f t="shared" si="1"/>
        <v>0</v>
      </c>
      <c r="AK29" s="959"/>
      <c r="AL29" s="1475">
        <f t="shared" si="2"/>
        <v>0</v>
      </c>
    </row>
    <row r="30" spans="1:39" ht="15" customHeight="1">
      <c r="A30" s="150"/>
      <c r="B30" s="908" t="s">
        <v>1076</v>
      </c>
      <c r="C30" s="31"/>
      <c r="D30" s="698">
        <v>0</v>
      </c>
      <c r="E30" s="830"/>
      <c r="F30" s="698">
        <v>0</v>
      </c>
      <c r="G30" s="830"/>
      <c r="H30" s="698">
        <v>0</v>
      </c>
      <c r="I30" s="830"/>
      <c r="J30" s="698">
        <v>0</v>
      </c>
      <c r="K30" s="1581"/>
      <c r="L30" s="698">
        <v>0</v>
      </c>
      <c r="M30" s="1581"/>
      <c r="N30" s="698">
        <v>0</v>
      </c>
      <c r="O30" s="1581"/>
      <c r="P30" s="1839">
        <v>0</v>
      </c>
      <c r="Q30" s="2052"/>
      <c r="R30" s="1839">
        <v>0</v>
      </c>
      <c r="S30" s="2052"/>
      <c r="T30" s="1839">
        <v>0</v>
      </c>
      <c r="U30" s="2052"/>
      <c r="V30" s="1839">
        <f t="shared" si="0"/>
        <v>0</v>
      </c>
      <c r="W30" s="2052"/>
      <c r="X30" s="1839"/>
      <c r="Y30" s="2052"/>
      <c r="Z30" s="1839"/>
      <c r="AA30" s="2053"/>
      <c r="AB30" s="2054"/>
      <c r="AC30" s="2055"/>
      <c r="AD30" s="1839">
        <v>0</v>
      </c>
      <c r="AE30" s="2054"/>
      <c r="AF30" s="2056"/>
      <c r="AG30" s="1839">
        <v>0</v>
      </c>
      <c r="AH30" s="276"/>
      <c r="AI30" s="56"/>
      <c r="AJ30" s="959">
        <f t="shared" si="1"/>
        <v>0</v>
      </c>
      <c r="AK30" s="959"/>
      <c r="AL30" s="1475">
        <f t="shared" si="2"/>
        <v>0</v>
      </c>
    </row>
    <row r="31" spans="1:39" ht="15" customHeight="1">
      <c r="A31" s="150"/>
      <c r="B31" s="908" t="s">
        <v>1034</v>
      </c>
      <c r="C31" s="31"/>
      <c r="D31" s="698">
        <v>0.7</v>
      </c>
      <c r="E31" s="830"/>
      <c r="F31" s="698">
        <v>0.8</v>
      </c>
      <c r="G31" s="830"/>
      <c r="H31" s="698">
        <v>0.5</v>
      </c>
      <c r="I31" s="830"/>
      <c r="J31" s="698">
        <v>0.39999999999999991</v>
      </c>
      <c r="K31" s="1581"/>
      <c r="L31" s="698">
        <v>0.7000000000000004</v>
      </c>
      <c r="M31" s="1581"/>
      <c r="N31" s="698">
        <v>0.39999999999999947</v>
      </c>
      <c r="O31" s="1581"/>
      <c r="P31" s="1839">
        <v>0.40000000000000058</v>
      </c>
      <c r="Q31" s="2052"/>
      <c r="R31" s="1839">
        <v>0.39999999999999947</v>
      </c>
      <c r="S31" s="2052"/>
      <c r="T31" s="1839">
        <v>0.40000000000000036</v>
      </c>
      <c r="U31" s="2052"/>
      <c r="V31" s="1839">
        <f t="shared" si="0"/>
        <v>0.39999999999999947</v>
      </c>
      <c r="W31" s="2052"/>
      <c r="X31" s="1839"/>
      <c r="Y31" s="2052"/>
      <c r="Z31" s="1839"/>
      <c r="AA31" s="2053"/>
      <c r="AB31" s="2054"/>
      <c r="AC31" s="2055"/>
      <c r="AD31" s="1839">
        <v>5.0999999999999996</v>
      </c>
      <c r="AE31" s="2054"/>
      <c r="AF31" s="2056"/>
      <c r="AG31" s="1839">
        <v>6.5000000000000009</v>
      </c>
      <c r="AH31" s="276"/>
      <c r="AI31" s="56"/>
      <c r="AJ31" s="959">
        <f>ROUND(SUM(+AD31-AG31),1)</f>
        <v>-1.4</v>
      </c>
      <c r="AK31" s="959"/>
      <c r="AL31" s="1475">
        <f t="shared" si="2"/>
        <v>-0.215</v>
      </c>
    </row>
    <row r="32" spans="1:39" s="903" customFormat="1" ht="15" customHeight="1">
      <c r="A32" s="1087"/>
      <c r="B32" s="908" t="s">
        <v>1035</v>
      </c>
      <c r="C32" s="107"/>
      <c r="D32" s="698">
        <v>1.5</v>
      </c>
      <c r="E32" s="830"/>
      <c r="F32" s="698">
        <v>2.8</v>
      </c>
      <c r="G32" s="830"/>
      <c r="H32" s="698">
        <v>2.2999999999999998</v>
      </c>
      <c r="I32" s="830"/>
      <c r="J32" s="698">
        <v>2</v>
      </c>
      <c r="K32" s="1581"/>
      <c r="L32" s="698">
        <v>3.0999999999999996</v>
      </c>
      <c r="M32" s="1581"/>
      <c r="N32" s="698">
        <v>2.6000000000000005</v>
      </c>
      <c r="O32" s="1581"/>
      <c r="P32" s="1839">
        <v>2.099999999999997</v>
      </c>
      <c r="Q32" s="2052"/>
      <c r="R32" s="1839">
        <v>2.9000000000000021</v>
      </c>
      <c r="S32" s="2052"/>
      <c r="T32" s="1839">
        <v>2.0999999999999979</v>
      </c>
      <c r="U32" s="2052"/>
      <c r="V32" s="1839">
        <f t="shared" si="0"/>
        <v>2.3000000000000016</v>
      </c>
      <c r="W32" s="2052"/>
      <c r="X32" s="1839"/>
      <c r="Y32" s="2052"/>
      <c r="Z32" s="1839"/>
      <c r="AA32" s="2053"/>
      <c r="AB32" s="2054"/>
      <c r="AC32" s="2055"/>
      <c r="AD32" s="1839">
        <v>23.7</v>
      </c>
      <c r="AE32" s="2054"/>
      <c r="AF32" s="2056"/>
      <c r="AG32" s="1839">
        <v>13.9</v>
      </c>
      <c r="AH32" s="1090"/>
      <c r="AI32" s="67"/>
      <c r="AJ32" s="1040">
        <f t="shared" si="1"/>
        <v>9.8000000000000007</v>
      </c>
      <c r="AK32" s="1040"/>
      <c r="AL32" s="1774">
        <f>ROUND(IF(AG32=0,1,AJ32/ABS(AG32)),3)</f>
        <v>0.70499999999999996</v>
      </c>
    </row>
    <row r="33" spans="1:38" s="903" customFormat="1" ht="15" customHeight="1">
      <c r="A33" s="1087"/>
      <c r="B33" s="908" t="s">
        <v>1158</v>
      </c>
      <c r="C33" s="107"/>
      <c r="D33" s="698" t="s">
        <v>15</v>
      </c>
      <c r="E33" s="830"/>
      <c r="F33" s="698"/>
      <c r="G33" s="830"/>
      <c r="H33" s="698"/>
      <c r="I33" s="830"/>
      <c r="J33" s="698"/>
      <c r="K33" s="140"/>
      <c r="L33" s="698"/>
      <c r="M33" s="140"/>
      <c r="N33" s="698"/>
      <c r="O33" s="140"/>
      <c r="P33" s="1839"/>
      <c r="Q33" s="2045"/>
      <c r="R33" s="1839"/>
      <c r="S33" s="2045"/>
      <c r="T33" s="1839"/>
      <c r="U33" s="2045"/>
      <c r="V33" s="1839"/>
      <c r="W33" s="2049"/>
      <c r="X33" s="1839"/>
      <c r="Y33" s="2049"/>
      <c r="Z33" s="1839"/>
      <c r="AA33" s="2048"/>
      <c r="AB33" s="2045"/>
      <c r="AC33" s="2050"/>
      <c r="AD33" s="2049"/>
      <c r="AE33" s="2049"/>
      <c r="AF33" s="2051"/>
      <c r="AG33" s="2049"/>
      <c r="AH33" s="1090"/>
      <c r="AI33" s="67"/>
      <c r="AJ33" s="1040"/>
      <c r="AK33" s="1040"/>
      <c r="AL33" s="1485"/>
    </row>
    <row r="34" spans="1:38" s="903" customFormat="1" ht="15" customHeight="1">
      <c r="A34" s="1087"/>
      <c r="B34" s="908" t="s">
        <v>1080</v>
      </c>
      <c r="C34" s="107"/>
      <c r="D34" s="698">
        <v>0</v>
      </c>
      <c r="E34" s="830"/>
      <c r="F34" s="698">
        <v>0</v>
      </c>
      <c r="G34" s="830"/>
      <c r="H34" s="698">
        <v>0</v>
      </c>
      <c r="I34" s="830"/>
      <c r="J34" s="698">
        <v>0</v>
      </c>
      <c r="K34" s="1581"/>
      <c r="L34" s="698">
        <v>0</v>
      </c>
      <c r="M34" s="1581"/>
      <c r="N34" s="698">
        <v>0</v>
      </c>
      <c r="O34" s="1581"/>
      <c r="P34" s="1839">
        <v>0</v>
      </c>
      <c r="Q34" s="2052"/>
      <c r="R34" s="1839">
        <v>0</v>
      </c>
      <c r="S34" s="2052"/>
      <c r="T34" s="1839">
        <v>0</v>
      </c>
      <c r="U34" s="2052"/>
      <c r="V34" s="1839">
        <f t="shared" si="0"/>
        <v>0</v>
      </c>
      <c r="W34" s="2052"/>
      <c r="X34" s="1839"/>
      <c r="Y34" s="2052"/>
      <c r="Z34" s="1839"/>
      <c r="AA34" s="2053"/>
      <c r="AB34" s="2054"/>
      <c r="AC34" s="2055"/>
      <c r="AD34" s="1839">
        <v>0</v>
      </c>
      <c r="AE34" s="2054"/>
      <c r="AF34" s="2056"/>
      <c r="AG34" s="1839">
        <v>0</v>
      </c>
      <c r="AH34" s="1090"/>
      <c r="AI34" s="67"/>
      <c r="AJ34" s="1040">
        <f t="shared" si="1"/>
        <v>0</v>
      </c>
      <c r="AK34" s="1040"/>
      <c r="AL34" s="1774">
        <f t="shared" ref="AL34:AL39" si="3">ROUND(IF(AG34=0,0,AJ34/ABS(AG34)),3)</f>
        <v>0</v>
      </c>
    </row>
    <row r="35" spans="1:38" s="903" customFormat="1" ht="15" customHeight="1">
      <c r="A35" s="1087"/>
      <c r="B35" s="908" t="s">
        <v>1081</v>
      </c>
      <c r="C35" s="107"/>
      <c r="D35" s="698">
        <v>0</v>
      </c>
      <c r="E35" s="830"/>
      <c r="F35" s="698">
        <v>0</v>
      </c>
      <c r="G35" s="830"/>
      <c r="H35" s="698">
        <v>0</v>
      </c>
      <c r="I35" s="830"/>
      <c r="J35" s="698">
        <v>0</v>
      </c>
      <c r="K35" s="1581"/>
      <c r="L35" s="698">
        <v>0</v>
      </c>
      <c r="M35" s="1581"/>
      <c r="N35" s="698">
        <v>0</v>
      </c>
      <c r="O35" s="1581"/>
      <c r="P35" s="1839">
        <v>0</v>
      </c>
      <c r="Q35" s="2052"/>
      <c r="R35" s="1839">
        <v>0</v>
      </c>
      <c r="S35" s="2052"/>
      <c r="T35" s="1839">
        <v>0</v>
      </c>
      <c r="U35" s="2052"/>
      <c r="V35" s="1839">
        <f t="shared" si="0"/>
        <v>0</v>
      </c>
      <c r="W35" s="2052"/>
      <c r="X35" s="1839"/>
      <c r="Y35" s="2052"/>
      <c r="Z35" s="1839"/>
      <c r="AA35" s="2053"/>
      <c r="AB35" s="2054"/>
      <c r="AC35" s="2055"/>
      <c r="AD35" s="1839">
        <v>0</v>
      </c>
      <c r="AE35" s="2054"/>
      <c r="AF35" s="2056"/>
      <c r="AG35" s="1839">
        <v>0</v>
      </c>
      <c r="AH35" s="1090"/>
      <c r="AI35" s="67"/>
      <c r="AJ35" s="1040">
        <f t="shared" si="1"/>
        <v>0</v>
      </c>
      <c r="AK35" s="1040"/>
      <c r="AL35" s="1774">
        <f t="shared" si="3"/>
        <v>0</v>
      </c>
    </row>
    <row r="36" spans="1:38" s="903" customFormat="1" ht="15" customHeight="1">
      <c r="A36" s="1087"/>
      <c r="B36" s="908" t="s">
        <v>1082</v>
      </c>
      <c r="C36" s="107"/>
      <c r="D36" s="698">
        <v>0</v>
      </c>
      <c r="E36" s="830"/>
      <c r="F36" s="698">
        <v>0</v>
      </c>
      <c r="G36" s="830"/>
      <c r="H36" s="698">
        <v>0</v>
      </c>
      <c r="I36" s="830"/>
      <c r="J36" s="698">
        <v>0</v>
      </c>
      <c r="K36" s="1581"/>
      <c r="L36" s="698">
        <v>0</v>
      </c>
      <c r="M36" s="1581"/>
      <c r="N36" s="698">
        <v>0</v>
      </c>
      <c r="O36" s="1581"/>
      <c r="P36" s="1839">
        <v>0</v>
      </c>
      <c r="Q36" s="2052"/>
      <c r="R36" s="1839">
        <v>0</v>
      </c>
      <c r="S36" s="2052"/>
      <c r="T36" s="1839">
        <v>0</v>
      </c>
      <c r="U36" s="2052"/>
      <c r="V36" s="1839">
        <f t="shared" si="0"/>
        <v>0</v>
      </c>
      <c r="W36" s="2052"/>
      <c r="X36" s="1839"/>
      <c r="Y36" s="2052"/>
      <c r="Z36" s="1839"/>
      <c r="AA36" s="2053"/>
      <c r="AB36" s="2054"/>
      <c r="AC36" s="2055"/>
      <c r="AD36" s="1839">
        <v>0</v>
      </c>
      <c r="AE36" s="2054"/>
      <c r="AF36" s="2056"/>
      <c r="AG36" s="1839">
        <v>0</v>
      </c>
      <c r="AH36" s="1090"/>
      <c r="AI36" s="67"/>
      <c r="AJ36" s="1040">
        <f t="shared" si="1"/>
        <v>0</v>
      </c>
      <c r="AK36" s="1040"/>
      <c r="AL36" s="1774">
        <f t="shared" si="3"/>
        <v>0</v>
      </c>
    </row>
    <row r="37" spans="1:38" s="903" customFormat="1" ht="15" customHeight="1">
      <c r="A37" s="1087"/>
      <c r="B37" s="908" t="s">
        <v>1083</v>
      </c>
      <c r="C37" s="107"/>
      <c r="D37" s="698">
        <v>0</v>
      </c>
      <c r="E37" s="830"/>
      <c r="F37" s="698">
        <v>0</v>
      </c>
      <c r="G37" s="830"/>
      <c r="H37" s="698">
        <v>0</v>
      </c>
      <c r="I37" s="830"/>
      <c r="J37" s="698">
        <v>0</v>
      </c>
      <c r="K37" s="1581"/>
      <c r="L37" s="698">
        <v>0</v>
      </c>
      <c r="M37" s="1581"/>
      <c r="N37" s="698">
        <v>0</v>
      </c>
      <c r="O37" s="1581"/>
      <c r="P37" s="1839">
        <v>0</v>
      </c>
      <c r="Q37" s="2052"/>
      <c r="R37" s="1839">
        <v>0</v>
      </c>
      <c r="S37" s="2052"/>
      <c r="T37" s="1839">
        <v>0</v>
      </c>
      <c r="U37" s="2052"/>
      <c r="V37" s="1839">
        <f t="shared" si="0"/>
        <v>0</v>
      </c>
      <c r="W37" s="2052"/>
      <c r="X37" s="1839"/>
      <c r="Y37" s="2052"/>
      <c r="Z37" s="1839"/>
      <c r="AA37" s="2053"/>
      <c r="AB37" s="2054"/>
      <c r="AC37" s="2055"/>
      <c r="AD37" s="1839">
        <v>0</v>
      </c>
      <c r="AE37" s="2054"/>
      <c r="AF37" s="2056"/>
      <c r="AG37" s="1839">
        <v>0</v>
      </c>
      <c r="AH37" s="1090"/>
      <c r="AI37" s="67"/>
      <c r="AJ37" s="1040">
        <f t="shared" si="1"/>
        <v>0</v>
      </c>
      <c r="AK37" s="1040"/>
      <c r="AL37" s="1774">
        <f t="shared" si="3"/>
        <v>0</v>
      </c>
    </row>
    <row r="38" spans="1:38" s="903" customFormat="1" ht="15" customHeight="1">
      <c r="A38" s="1087"/>
      <c r="B38" s="908" t="s">
        <v>1053</v>
      </c>
      <c r="C38" s="107"/>
      <c r="D38" s="698">
        <v>0</v>
      </c>
      <c r="E38" s="830"/>
      <c r="F38" s="698">
        <v>0</v>
      </c>
      <c r="G38" s="830"/>
      <c r="H38" s="698">
        <v>0</v>
      </c>
      <c r="I38" s="830"/>
      <c r="J38" s="698">
        <v>0</v>
      </c>
      <c r="K38" s="1581"/>
      <c r="L38" s="698">
        <v>0</v>
      </c>
      <c r="M38" s="1581"/>
      <c r="N38" s="698">
        <v>0</v>
      </c>
      <c r="O38" s="1581"/>
      <c r="P38" s="1839">
        <v>0</v>
      </c>
      <c r="Q38" s="2052"/>
      <c r="R38" s="1839">
        <v>0</v>
      </c>
      <c r="S38" s="2052"/>
      <c r="T38" s="1839">
        <v>0</v>
      </c>
      <c r="U38" s="2052"/>
      <c r="V38" s="1839">
        <f t="shared" si="0"/>
        <v>0</v>
      </c>
      <c r="W38" s="2052"/>
      <c r="X38" s="1839"/>
      <c r="Y38" s="2052"/>
      <c r="Z38" s="1839"/>
      <c r="AA38" s="2053"/>
      <c r="AB38" s="2054"/>
      <c r="AC38" s="2055"/>
      <c r="AD38" s="1839">
        <v>0</v>
      </c>
      <c r="AE38" s="2054"/>
      <c r="AF38" s="2056"/>
      <c r="AG38" s="1839">
        <v>0</v>
      </c>
      <c r="AH38" s="1090"/>
      <c r="AI38" s="67"/>
      <c r="AJ38" s="1040">
        <f t="shared" si="1"/>
        <v>0</v>
      </c>
      <c r="AK38" s="1040"/>
      <c r="AL38" s="1774">
        <f t="shared" si="3"/>
        <v>0</v>
      </c>
    </row>
    <row r="39" spans="1:38" s="903" customFormat="1" ht="15" customHeight="1">
      <c r="A39" s="1087"/>
      <c r="B39" s="908" t="s">
        <v>1054</v>
      </c>
      <c r="C39" s="107"/>
      <c r="D39" s="698">
        <v>0</v>
      </c>
      <c r="E39" s="830"/>
      <c r="F39" s="698">
        <v>0</v>
      </c>
      <c r="G39" s="830"/>
      <c r="H39" s="698">
        <v>0</v>
      </c>
      <c r="I39" s="830"/>
      <c r="J39" s="698">
        <v>0</v>
      </c>
      <c r="K39" s="1581"/>
      <c r="L39" s="698">
        <v>0</v>
      </c>
      <c r="M39" s="1581"/>
      <c r="N39" s="698">
        <v>0</v>
      </c>
      <c r="O39" s="1581"/>
      <c r="P39" s="1839">
        <v>0</v>
      </c>
      <c r="Q39" s="2052"/>
      <c r="R39" s="1839">
        <v>0</v>
      </c>
      <c r="S39" s="2052"/>
      <c r="T39" s="1839">
        <v>0</v>
      </c>
      <c r="U39" s="2052"/>
      <c r="V39" s="1839">
        <f t="shared" si="0"/>
        <v>0</v>
      </c>
      <c r="W39" s="2052"/>
      <c r="X39" s="1839"/>
      <c r="Y39" s="2052"/>
      <c r="Z39" s="1839"/>
      <c r="AA39" s="2053"/>
      <c r="AB39" s="2054"/>
      <c r="AC39" s="2055"/>
      <c r="AD39" s="1839">
        <v>0</v>
      </c>
      <c r="AE39" s="2054"/>
      <c r="AF39" s="2056"/>
      <c r="AG39" s="1839">
        <v>0</v>
      </c>
      <c r="AH39" s="1090"/>
      <c r="AI39" s="67"/>
      <c r="AJ39" s="1040">
        <f t="shared" si="1"/>
        <v>0</v>
      </c>
      <c r="AK39" s="1040"/>
      <c r="AL39" s="1774">
        <f t="shared" si="3"/>
        <v>0</v>
      </c>
    </row>
    <row r="40" spans="1:38" s="903" customFormat="1" ht="15" customHeight="1">
      <c r="A40" s="1087"/>
      <c r="B40" s="908" t="s">
        <v>1159</v>
      </c>
      <c r="C40" s="107"/>
      <c r="D40" s="698" t="s">
        <v>15</v>
      </c>
      <c r="E40" s="830"/>
      <c r="F40" s="698"/>
      <c r="G40" s="830"/>
      <c r="H40" s="698"/>
      <c r="I40" s="830"/>
      <c r="J40" s="698"/>
      <c r="K40" s="140"/>
      <c r="L40" s="698"/>
      <c r="M40" s="140"/>
      <c r="N40" s="698"/>
      <c r="O40" s="140"/>
      <c r="P40" s="1839"/>
      <c r="Q40" s="2045"/>
      <c r="R40" s="1839"/>
      <c r="S40" s="2045"/>
      <c r="T40" s="1839"/>
      <c r="U40" s="2045"/>
      <c r="V40" s="1839"/>
      <c r="W40" s="2049"/>
      <c r="X40" s="1839"/>
      <c r="Y40" s="2049"/>
      <c r="Z40" s="1839"/>
      <c r="AA40" s="2048"/>
      <c r="AB40" s="2045"/>
      <c r="AC40" s="2050"/>
      <c r="AD40" s="2049"/>
      <c r="AE40" s="2049"/>
      <c r="AF40" s="2051"/>
      <c r="AG40" s="2049"/>
      <c r="AH40" s="1090"/>
      <c r="AI40" s="67"/>
      <c r="AJ40" s="1040"/>
      <c r="AK40" s="1040"/>
      <c r="AL40" s="1485"/>
    </row>
    <row r="41" spans="1:38" s="903" customFormat="1" ht="15" customHeight="1">
      <c r="A41" s="1087"/>
      <c r="B41" s="908" t="s">
        <v>1084</v>
      </c>
      <c r="C41" s="107"/>
      <c r="D41" s="698">
        <v>0</v>
      </c>
      <c r="E41" s="830"/>
      <c r="F41" s="698">
        <v>0</v>
      </c>
      <c r="G41" s="830"/>
      <c r="H41" s="698">
        <v>0</v>
      </c>
      <c r="I41" s="830"/>
      <c r="J41" s="698">
        <v>0</v>
      </c>
      <c r="K41" s="1581"/>
      <c r="L41" s="698">
        <v>0</v>
      </c>
      <c r="M41" s="1581"/>
      <c r="N41" s="698">
        <v>0</v>
      </c>
      <c r="O41" s="1581"/>
      <c r="P41" s="1839">
        <v>0</v>
      </c>
      <c r="Q41" s="2052"/>
      <c r="R41" s="1839">
        <v>0</v>
      </c>
      <c r="S41" s="2052"/>
      <c r="T41" s="1839">
        <v>0</v>
      </c>
      <c r="U41" s="2052"/>
      <c r="V41" s="1839">
        <f t="shared" si="0"/>
        <v>0</v>
      </c>
      <c r="W41" s="2052"/>
      <c r="X41" s="1839"/>
      <c r="Y41" s="2052"/>
      <c r="Z41" s="1839"/>
      <c r="AA41" s="2053"/>
      <c r="AB41" s="2054"/>
      <c r="AC41" s="2055"/>
      <c r="AD41" s="1839">
        <v>0</v>
      </c>
      <c r="AE41" s="2054"/>
      <c r="AF41" s="2056"/>
      <c r="AG41" s="1839">
        <v>0</v>
      </c>
      <c r="AH41" s="1090"/>
      <c r="AI41" s="67"/>
      <c r="AJ41" s="1040">
        <f t="shared" si="1"/>
        <v>0</v>
      </c>
      <c r="AK41" s="1040"/>
      <c r="AL41" s="1774">
        <f t="shared" ref="AL41:AL48" si="4">ROUND(IF(AG41=0,0,AJ41/ABS(AG41)),3)</f>
        <v>0</v>
      </c>
    </row>
    <row r="42" spans="1:38" s="903" customFormat="1" ht="15" customHeight="1">
      <c r="A42" s="1087"/>
      <c r="B42" s="908" t="s">
        <v>1085</v>
      </c>
      <c r="C42" s="107"/>
      <c r="D42" s="698">
        <v>0</v>
      </c>
      <c r="E42" s="830"/>
      <c r="F42" s="698">
        <v>0</v>
      </c>
      <c r="G42" s="830"/>
      <c r="H42" s="698">
        <v>0</v>
      </c>
      <c r="I42" s="830"/>
      <c r="J42" s="698">
        <v>0</v>
      </c>
      <c r="K42" s="1581"/>
      <c r="L42" s="698">
        <v>0</v>
      </c>
      <c r="M42" s="1581"/>
      <c r="N42" s="698">
        <v>0</v>
      </c>
      <c r="O42" s="1581"/>
      <c r="P42" s="1839">
        <v>0</v>
      </c>
      <c r="Q42" s="2052"/>
      <c r="R42" s="1839">
        <v>0</v>
      </c>
      <c r="S42" s="2052"/>
      <c r="T42" s="1839">
        <v>0</v>
      </c>
      <c r="U42" s="2052"/>
      <c r="V42" s="1839">
        <f t="shared" si="0"/>
        <v>0</v>
      </c>
      <c r="W42" s="2052"/>
      <c r="X42" s="1839"/>
      <c r="Y42" s="2052"/>
      <c r="Z42" s="1839"/>
      <c r="AA42" s="2053"/>
      <c r="AB42" s="2054"/>
      <c r="AC42" s="2055"/>
      <c r="AD42" s="1839">
        <v>0</v>
      </c>
      <c r="AE42" s="2054"/>
      <c r="AF42" s="2056"/>
      <c r="AG42" s="1839">
        <v>0</v>
      </c>
      <c r="AH42" s="1090"/>
      <c r="AI42" s="67"/>
      <c r="AJ42" s="1040">
        <f t="shared" si="1"/>
        <v>0</v>
      </c>
      <c r="AK42" s="1040"/>
      <c r="AL42" s="1774">
        <f t="shared" si="4"/>
        <v>0</v>
      </c>
    </row>
    <row r="43" spans="1:38" s="903" customFormat="1" ht="15" customHeight="1">
      <c r="A43" s="1087"/>
      <c r="B43" s="908" t="s">
        <v>1086</v>
      </c>
      <c r="C43" s="107"/>
      <c r="D43" s="698">
        <v>0</v>
      </c>
      <c r="E43" s="830"/>
      <c r="F43" s="698">
        <v>0</v>
      </c>
      <c r="G43" s="830"/>
      <c r="H43" s="698">
        <v>0</v>
      </c>
      <c r="I43" s="830"/>
      <c r="J43" s="698">
        <v>0</v>
      </c>
      <c r="K43" s="1581"/>
      <c r="L43" s="698">
        <v>0</v>
      </c>
      <c r="M43" s="1581"/>
      <c r="N43" s="698">
        <v>0</v>
      </c>
      <c r="O43" s="1581"/>
      <c r="P43" s="1839">
        <v>0</v>
      </c>
      <c r="Q43" s="2052"/>
      <c r="R43" s="1839">
        <v>0</v>
      </c>
      <c r="S43" s="2052"/>
      <c r="T43" s="1839">
        <v>0</v>
      </c>
      <c r="U43" s="2052"/>
      <c r="V43" s="1839">
        <f t="shared" si="0"/>
        <v>0</v>
      </c>
      <c r="W43" s="2052"/>
      <c r="X43" s="1839"/>
      <c r="Y43" s="2052"/>
      <c r="Z43" s="1839"/>
      <c r="AA43" s="2053"/>
      <c r="AB43" s="2054"/>
      <c r="AC43" s="2055"/>
      <c r="AD43" s="1839">
        <v>0</v>
      </c>
      <c r="AE43" s="2054"/>
      <c r="AF43" s="2056"/>
      <c r="AG43" s="1839">
        <v>0</v>
      </c>
      <c r="AH43" s="1090"/>
      <c r="AI43" s="67"/>
      <c r="AJ43" s="1040">
        <f t="shared" si="1"/>
        <v>0</v>
      </c>
      <c r="AK43" s="1040"/>
      <c r="AL43" s="1774">
        <f t="shared" si="4"/>
        <v>0</v>
      </c>
    </row>
    <row r="44" spans="1:38" s="903" customFormat="1" ht="15" customHeight="1">
      <c r="A44" s="1087"/>
      <c r="B44" s="908" t="s">
        <v>1087</v>
      </c>
      <c r="C44" s="107"/>
      <c r="D44" s="698">
        <v>0</v>
      </c>
      <c r="E44" s="830"/>
      <c r="F44" s="698">
        <v>0</v>
      </c>
      <c r="G44" s="830"/>
      <c r="H44" s="698">
        <v>0</v>
      </c>
      <c r="I44" s="830"/>
      <c r="J44" s="698">
        <v>0</v>
      </c>
      <c r="K44" s="1581"/>
      <c r="L44" s="698">
        <v>0</v>
      </c>
      <c r="M44" s="1581"/>
      <c r="N44" s="698">
        <v>0</v>
      </c>
      <c r="O44" s="1581"/>
      <c r="P44" s="1839">
        <v>0</v>
      </c>
      <c r="Q44" s="2052"/>
      <c r="R44" s="1839">
        <v>0</v>
      </c>
      <c r="S44" s="2052"/>
      <c r="T44" s="1839">
        <v>0</v>
      </c>
      <c r="U44" s="2052"/>
      <c r="V44" s="1839">
        <f t="shared" si="0"/>
        <v>0</v>
      </c>
      <c r="W44" s="2052"/>
      <c r="X44" s="1839"/>
      <c r="Y44" s="2052"/>
      <c r="Z44" s="1839"/>
      <c r="AA44" s="2053"/>
      <c r="AB44" s="2054"/>
      <c r="AC44" s="2055"/>
      <c r="AD44" s="1839">
        <v>0</v>
      </c>
      <c r="AE44" s="2054"/>
      <c r="AF44" s="2056"/>
      <c r="AG44" s="1839">
        <v>0</v>
      </c>
      <c r="AH44" s="1090"/>
      <c r="AI44" s="67"/>
      <c r="AJ44" s="1040">
        <f t="shared" si="1"/>
        <v>0</v>
      </c>
      <c r="AK44" s="1040"/>
      <c r="AL44" s="1774">
        <f t="shared" si="4"/>
        <v>0</v>
      </c>
    </row>
    <row r="45" spans="1:38" s="903" customFormat="1" ht="15" customHeight="1">
      <c r="A45" s="1087"/>
      <c r="B45" s="908" t="s">
        <v>1088</v>
      </c>
      <c r="C45" s="107"/>
      <c r="D45" s="698">
        <v>0</v>
      </c>
      <c r="E45" s="830"/>
      <c r="F45" s="698">
        <v>0</v>
      </c>
      <c r="G45" s="830"/>
      <c r="H45" s="698">
        <v>0</v>
      </c>
      <c r="I45" s="830"/>
      <c r="J45" s="698">
        <v>0</v>
      </c>
      <c r="K45" s="1581"/>
      <c r="L45" s="698">
        <v>0</v>
      </c>
      <c r="M45" s="1581"/>
      <c r="N45" s="698">
        <v>0</v>
      </c>
      <c r="O45" s="1581"/>
      <c r="P45" s="1839">
        <v>0</v>
      </c>
      <c r="Q45" s="2052"/>
      <c r="R45" s="1839">
        <v>0</v>
      </c>
      <c r="S45" s="2052"/>
      <c r="T45" s="1839">
        <v>0</v>
      </c>
      <c r="U45" s="2052"/>
      <c r="V45" s="1839">
        <f t="shared" si="0"/>
        <v>0</v>
      </c>
      <c r="W45" s="2052"/>
      <c r="X45" s="1839"/>
      <c r="Y45" s="2052"/>
      <c r="Z45" s="1839"/>
      <c r="AA45" s="2053"/>
      <c r="AB45" s="2054"/>
      <c r="AC45" s="2055"/>
      <c r="AD45" s="1839">
        <v>0</v>
      </c>
      <c r="AE45" s="2054"/>
      <c r="AF45" s="2056"/>
      <c r="AG45" s="1839">
        <v>0</v>
      </c>
      <c r="AH45" s="1090"/>
      <c r="AI45" s="67"/>
      <c r="AJ45" s="1040">
        <f t="shared" si="1"/>
        <v>0</v>
      </c>
      <c r="AK45" s="1040"/>
      <c r="AL45" s="1774">
        <f t="shared" si="4"/>
        <v>0</v>
      </c>
    </row>
    <row r="46" spans="1:38" s="903" customFormat="1" ht="15" customHeight="1">
      <c r="A46" s="1087"/>
      <c r="B46" s="908" t="s">
        <v>1089</v>
      </c>
      <c r="C46" s="107"/>
      <c r="D46" s="698">
        <v>7.7</v>
      </c>
      <c r="E46" s="830"/>
      <c r="F46" s="698">
        <v>8.6999999999999993</v>
      </c>
      <c r="G46" s="830"/>
      <c r="H46" s="698">
        <v>8.5</v>
      </c>
      <c r="I46" s="830"/>
      <c r="J46" s="698">
        <v>8.7000000000000028</v>
      </c>
      <c r="K46" s="1581"/>
      <c r="L46" s="698">
        <v>8.0999999999999979</v>
      </c>
      <c r="M46" s="1581"/>
      <c r="N46" s="698">
        <v>8.2999999999999936</v>
      </c>
      <c r="O46" s="1581"/>
      <c r="P46" s="1839">
        <v>8.1000000000000085</v>
      </c>
      <c r="Q46" s="2052"/>
      <c r="R46" s="1839">
        <v>8.0999999999999943</v>
      </c>
      <c r="S46" s="2052"/>
      <c r="T46" s="1839">
        <v>8.3000000000000007</v>
      </c>
      <c r="U46" s="2052"/>
      <c r="V46" s="1839">
        <f t="shared" si="0"/>
        <v>7.9999999999999964</v>
      </c>
      <c r="W46" s="2052"/>
      <c r="X46" s="1839"/>
      <c r="Y46" s="2052"/>
      <c r="Z46" s="1839"/>
      <c r="AA46" s="2053"/>
      <c r="AB46" s="2054"/>
      <c r="AC46" s="2055"/>
      <c r="AD46" s="1839">
        <v>82.5</v>
      </c>
      <c r="AE46" s="2054"/>
      <c r="AF46" s="2056"/>
      <c r="AG46" s="1839">
        <v>86.4</v>
      </c>
      <c r="AH46" s="1090"/>
      <c r="AI46" s="67"/>
      <c r="AJ46" s="1040">
        <f t="shared" si="1"/>
        <v>-3.9</v>
      </c>
      <c r="AK46" s="1040"/>
      <c r="AL46" s="1774">
        <f t="shared" si="4"/>
        <v>-4.4999999999999998E-2</v>
      </c>
    </row>
    <row r="47" spans="1:38" ht="15" customHeight="1">
      <c r="A47" s="150"/>
      <c r="B47" s="908" t="s">
        <v>1090</v>
      </c>
      <c r="C47" s="31"/>
      <c r="D47" s="698">
        <v>0</v>
      </c>
      <c r="E47" s="830"/>
      <c r="F47" s="698">
        <v>0</v>
      </c>
      <c r="G47" s="830"/>
      <c r="H47" s="698">
        <v>0</v>
      </c>
      <c r="I47" s="830"/>
      <c r="J47" s="698">
        <v>0</v>
      </c>
      <c r="K47" s="1581"/>
      <c r="L47" s="698">
        <v>0</v>
      </c>
      <c r="M47" s="1581"/>
      <c r="N47" s="698">
        <v>0</v>
      </c>
      <c r="O47" s="1581"/>
      <c r="P47" s="1839">
        <v>0</v>
      </c>
      <c r="Q47" s="2052"/>
      <c r="R47" s="1839">
        <v>0</v>
      </c>
      <c r="S47" s="2052"/>
      <c r="T47" s="1839">
        <v>0</v>
      </c>
      <c r="U47" s="2052"/>
      <c r="V47" s="1839">
        <f t="shared" si="0"/>
        <v>0</v>
      </c>
      <c r="W47" s="2052"/>
      <c r="X47" s="1839"/>
      <c r="Y47" s="2052"/>
      <c r="Z47" s="1839"/>
      <c r="AA47" s="2053"/>
      <c r="AB47" s="2054"/>
      <c r="AC47" s="2055"/>
      <c r="AD47" s="1839">
        <v>0</v>
      </c>
      <c r="AE47" s="2054"/>
      <c r="AF47" s="2056"/>
      <c r="AG47" s="1839">
        <v>0</v>
      </c>
      <c r="AH47" s="276"/>
      <c r="AI47" s="56"/>
      <c r="AJ47" s="959">
        <f t="shared" si="1"/>
        <v>0</v>
      </c>
      <c r="AK47" s="959"/>
      <c r="AL47" s="1475">
        <f t="shared" si="4"/>
        <v>0</v>
      </c>
    </row>
    <row r="48" spans="1:38" ht="15" customHeight="1">
      <c r="A48" s="150"/>
      <c r="B48" s="908" t="s">
        <v>1091</v>
      </c>
      <c r="C48" s="31"/>
      <c r="D48" s="698">
        <v>0</v>
      </c>
      <c r="E48" s="830"/>
      <c r="F48" s="698">
        <v>0</v>
      </c>
      <c r="G48" s="830"/>
      <c r="H48" s="698">
        <v>0</v>
      </c>
      <c r="I48" s="830"/>
      <c r="J48" s="698">
        <v>0</v>
      </c>
      <c r="K48" s="1581"/>
      <c r="L48" s="698">
        <v>0</v>
      </c>
      <c r="M48" s="1581"/>
      <c r="N48" s="698">
        <v>0</v>
      </c>
      <c r="O48" s="1581"/>
      <c r="P48" s="1839">
        <v>0</v>
      </c>
      <c r="Q48" s="2052"/>
      <c r="R48" s="1839">
        <v>0</v>
      </c>
      <c r="S48" s="2052"/>
      <c r="T48" s="1839">
        <v>0</v>
      </c>
      <c r="U48" s="2052"/>
      <c r="V48" s="1839">
        <f t="shared" si="0"/>
        <v>0</v>
      </c>
      <c r="W48" s="2052"/>
      <c r="X48" s="1839"/>
      <c r="Y48" s="2052"/>
      <c r="Z48" s="1839"/>
      <c r="AA48" s="2053"/>
      <c r="AB48" s="2054"/>
      <c r="AC48" s="2055"/>
      <c r="AD48" s="1839">
        <v>0</v>
      </c>
      <c r="AE48" s="2054"/>
      <c r="AF48" s="2056"/>
      <c r="AG48" s="1839">
        <v>0</v>
      </c>
      <c r="AH48" s="276"/>
      <c r="AI48" s="56"/>
      <c r="AJ48" s="959">
        <f t="shared" si="1"/>
        <v>0</v>
      </c>
      <c r="AK48" s="959"/>
      <c r="AL48" s="1475">
        <f t="shared" si="4"/>
        <v>0</v>
      </c>
    </row>
    <row r="49" spans="1:38" s="903" customFormat="1" ht="15" customHeight="1">
      <c r="A49" s="1087"/>
      <c r="B49" s="908" t="s">
        <v>1092</v>
      </c>
      <c r="C49" s="107"/>
      <c r="D49" s="698">
        <v>0.30000000000000004</v>
      </c>
      <c r="E49" s="830"/>
      <c r="F49" s="698">
        <v>0</v>
      </c>
      <c r="G49" s="830"/>
      <c r="H49" s="698">
        <v>0.19999999999999996</v>
      </c>
      <c r="I49" s="830"/>
      <c r="J49" s="698">
        <v>0</v>
      </c>
      <c r="K49" s="1581"/>
      <c r="L49" s="698">
        <v>9.9999999999999978E-2</v>
      </c>
      <c r="M49" s="1581"/>
      <c r="N49" s="698">
        <v>0</v>
      </c>
      <c r="O49" s="1581"/>
      <c r="P49" s="1839">
        <v>9.9999999999999978E-2</v>
      </c>
      <c r="Q49" s="2052"/>
      <c r="R49" s="1839">
        <v>1.1999999999999997</v>
      </c>
      <c r="S49" s="2052"/>
      <c r="T49" s="1839">
        <v>2.8000000000000012</v>
      </c>
      <c r="U49" s="2052"/>
      <c r="V49" s="1839">
        <f t="shared" si="0"/>
        <v>0.20000000000000018</v>
      </c>
      <c r="W49" s="2052"/>
      <c r="X49" s="1839"/>
      <c r="Y49" s="2052"/>
      <c r="Z49" s="1839"/>
      <c r="AA49" s="2053"/>
      <c r="AB49" s="2054"/>
      <c r="AC49" s="2055"/>
      <c r="AD49" s="1839">
        <v>4.9000000000000004</v>
      </c>
      <c r="AE49" s="2054"/>
      <c r="AF49" s="2056"/>
      <c r="AG49" s="1839">
        <v>3.2</v>
      </c>
      <c r="AH49" s="1090"/>
      <c r="AI49" s="67"/>
      <c r="AJ49" s="1040">
        <f t="shared" si="1"/>
        <v>1.7</v>
      </c>
      <c r="AK49" s="1040"/>
      <c r="AL49" s="1774">
        <f>ROUND(IF(AG49=0,1,AJ49/ABS(AG49)),3)</f>
        <v>0.53100000000000003</v>
      </c>
    </row>
    <row r="50" spans="1:38" s="903" customFormat="1" ht="15" customHeight="1">
      <c r="A50" s="1087"/>
      <c r="B50" s="908" t="s">
        <v>1064</v>
      </c>
      <c r="C50" s="107"/>
      <c r="D50" s="698">
        <v>0</v>
      </c>
      <c r="E50" s="830"/>
      <c r="F50" s="698">
        <v>0</v>
      </c>
      <c r="G50" s="830"/>
      <c r="H50" s="698">
        <v>0</v>
      </c>
      <c r="I50" s="830"/>
      <c r="J50" s="698">
        <v>0</v>
      </c>
      <c r="K50" s="1581"/>
      <c r="L50" s="698">
        <v>0</v>
      </c>
      <c r="M50" s="1581"/>
      <c r="N50" s="698">
        <v>0</v>
      </c>
      <c r="O50" s="1581"/>
      <c r="P50" s="1839">
        <v>0</v>
      </c>
      <c r="Q50" s="2052"/>
      <c r="R50" s="1839">
        <v>0</v>
      </c>
      <c r="S50" s="2052"/>
      <c r="T50" s="1839">
        <v>0</v>
      </c>
      <c r="U50" s="2052"/>
      <c r="V50" s="1839">
        <f t="shared" si="0"/>
        <v>0.1</v>
      </c>
      <c r="W50" s="2052"/>
      <c r="X50" s="1839"/>
      <c r="Y50" s="2052"/>
      <c r="Z50" s="1839"/>
      <c r="AA50" s="2053"/>
      <c r="AB50" s="2054"/>
      <c r="AC50" s="2055"/>
      <c r="AD50" s="1839">
        <v>0.1</v>
      </c>
      <c r="AE50" s="2054"/>
      <c r="AF50" s="2056"/>
      <c r="AG50" s="1839">
        <v>0.1</v>
      </c>
      <c r="AH50" s="1090"/>
      <c r="AI50" s="67"/>
      <c r="AJ50" s="1040">
        <f t="shared" si="1"/>
        <v>0</v>
      </c>
      <c r="AK50" s="1040"/>
      <c r="AL50" s="1774">
        <f>ROUND(IF(AG50=0,0,AJ50/ABS(AG50)),3)</f>
        <v>0</v>
      </c>
    </row>
    <row r="51" spans="1:38" s="903" customFormat="1" ht="15" customHeight="1">
      <c r="A51" s="1087"/>
      <c r="B51" s="908" t="s">
        <v>1065</v>
      </c>
      <c r="C51" s="107"/>
      <c r="D51" s="698">
        <v>0</v>
      </c>
      <c r="E51" s="830"/>
      <c r="F51" s="698">
        <v>0</v>
      </c>
      <c r="G51" s="830"/>
      <c r="H51" s="698">
        <v>0</v>
      </c>
      <c r="I51" s="830"/>
      <c r="J51" s="698">
        <v>0</v>
      </c>
      <c r="K51" s="1581"/>
      <c r="L51" s="698">
        <v>0</v>
      </c>
      <c r="M51" s="1581"/>
      <c r="N51" s="698">
        <v>0</v>
      </c>
      <c r="O51" s="1581"/>
      <c r="P51" s="1839">
        <v>0</v>
      </c>
      <c r="Q51" s="2052"/>
      <c r="R51" s="1839">
        <v>0</v>
      </c>
      <c r="S51" s="2052"/>
      <c r="T51" s="1839">
        <v>0</v>
      </c>
      <c r="U51" s="2052"/>
      <c r="V51" s="1839">
        <f t="shared" si="0"/>
        <v>0</v>
      </c>
      <c r="W51" s="2052"/>
      <c r="X51" s="1839"/>
      <c r="Y51" s="2052"/>
      <c r="Z51" s="1839"/>
      <c r="AA51" s="2053"/>
      <c r="AB51" s="2054"/>
      <c r="AC51" s="2055"/>
      <c r="AD51" s="1839">
        <v>0</v>
      </c>
      <c r="AE51" s="2054"/>
      <c r="AF51" s="2056"/>
      <c r="AG51" s="1839">
        <v>0</v>
      </c>
      <c r="AH51" s="1090"/>
      <c r="AI51" s="67"/>
      <c r="AJ51" s="1040">
        <f t="shared" si="1"/>
        <v>0</v>
      </c>
      <c r="AK51" s="1040"/>
      <c r="AL51" s="1774">
        <f>ROUND(IF(AG51=0,0,AJ51/ABS(AG51)),3)</f>
        <v>0</v>
      </c>
    </row>
    <row r="52" spans="1:38" s="903" customFormat="1" ht="15" customHeight="1">
      <c r="A52" s="1087"/>
      <c r="B52" s="312" t="s">
        <v>1201</v>
      </c>
      <c r="C52" s="107"/>
      <c r="D52" s="1091">
        <f>ROUND(SUM(D19:D51),1)</f>
        <v>14.7</v>
      </c>
      <c r="E52" s="907"/>
      <c r="F52" s="1091">
        <f>ROUND(SUM(F19:F51),1)</f>
        <v>51.4</v>
      </c>
      <c r="G52" s="907"/>
      <c r="H52" s="1091">
        <f>ROUND(SUM(H19:H51),1)</f>
        <v>11.7</v>
      </c>
      <c r="I52" s="907"/>
      <c r="J52" s="1091">
        <f>ROUND(SUM(J19:J51),1)</f>
        <v>13.9</v>
      </c>
      <c r="K52" s="140"/>
      <c r="L52" s="1091">
        <f>ROUND(SUM(L19:L51),1)</f>
        <v>22.7</v>
      </c>
      <c r="M52" s="140"/>
      <c r="N52" s="1091">
        <f>ROUND(SUM(N19:N51),1)</f>
        <v>11.5</v>
      </c>
      <c r="O52" s="140"/>
      <c r="P52" s="2057">
        <f>ROUND(SUM(P19:P51),1)</f>
        <v>13</v>
      </c>
      <c r="Q52" s="2045"/>
      <c r="R52" s="2057">
        <f>ROUND(SUM(R19:R51),1)</f>
        <v>19.100000000000001</v>
      </c>
      <c r="S52" s="2045"/>
      <c r="T52" s="2057">
        <f>ROUND(SUM(T19:T51),1)</f>
        <v>13.7</v>
      </c>
      <c r="U52" s="2045"/>
      <c r="V52" s="2057">
        <f>ROUND(SUM(V19:V51),1)</f>
        <v>12.6</v>
      </c>
      <c r="W52" s="2049"/>
      <c r="X52" s="2057">
        <f>ROUND(SUM(X19:X51),1)</f>
        <v>0</v>
      </c>
      <c r="Y52" s="2049"/>
      <c r="Z52" s="2057">
        <f>ROUND(SUM(Z19:Z51),1)</f>
        <v>0</v>
      </c>
      <c r="AA52" s="2058"/>
      <c r="AB52" s="2045"/>
      <c r="AC52" s="2050"/>
      <c r="AD52" s="2057">
        <f>ROUND(SUM(AD19:AD51),1)</f>
        <v>184.3</v>
      </c>
      <c r="AE52" s="2049"/>
      <c r="AF52" s="2051"/>
      <c r="AG52" s="2057">
        <f>ROUND(SUM(AG19:AG51),1)</f>
        <v>175.1</v>
      </c>
      <c r="AH52" s="1090"/>
      <c r="AI52" s="67"/>
      <c r="AJ52" s="1091">
        <f>ROUND(SUM(AJ19:AJ51),1)</f>
        <v>9.1999999999999993</v>
      </c>
      <c r="AK52" s="1040"/>
      <c r="AL52" s="1487">
        <f>ROUND(SUM((AD52-AG52)/ABS(AG52)),3)</f>
        <v>5.2999999999999999E-2</v>
      </c>
    </row>
    <row r="53" spans="1:38" s="903" customFormat="1" ht="15" customHeight="1">
      <c r="A53" s="1087"/>
      <c r="B53" s="908"/>
      <c r="C53" s="107"/>
      <c r="D53" s="698"/>
      <c r="E53" s="907"/>
      <c r="F53" s="1141"/>
      <c r="G53" s="907"/>
      <c r="H53" s="911"/>
      <c r="I53" s="907"/>
      <c r="J53" s="911"/>
      <c r="K53" s="140"/>
      <c r="L53" s="118"/>
      <c r="M53" s="140"/>
      <c r="N53" s="118"/>
      <c r="O53" s="140"/>
      <c r="P53" s="2044"/>
      <c r="Q53" s="2045"/>
      <c r="R53" s="2046"/>
      <c r="S53" s="2045"/>
      <c r="T53" s="2047"/>
      <c r="U53" s="2045"/>
      <c r="V53" s="2048"/>
      <c r="W53" s="2049"/>
      <c r="X53" s="2048"/>
      <c r="Y53" s="2049"/>
      <c r="Z53" s="2048"/>
      <c r="AA53" s="2048"/>
      <c r="AB53" s="2045"/>
      <c r="AC53" s="2050"/>
      <c r="AD53" s="2049"/>
      <c r="AE53" s="2049"/>
      <c r="AF53" s="2051"/>
      <c r="AG53" s="2049"/>
      <c r="AH53" s="1090"/>
      <c r="AI53" s="67"/>
      <c r="AJ53" s="1040"/>
      <c r="AK53" s="1040"/>
      <c r="AL53" s="1485"/>
    </row>
    <row r="54" spans="1:38" ht="15" customHeight="1">
      <c r="A54" s="150"/>
      <c r="B54" s="281" t="s">
        <v>150</v>
      </c>
      <c r="C54" s="31"/>
      <c r="D54" s="698">
        <v>6203.7</v>
      </c>
      <c r="E54" s="830"/>
      <c r="F54" s="698">
        <v>4816.3</v>
      </c>
      <c r="G54" s="830"/>
      <c r="H54" s="698">
        <v>5672.4999999999991</v>
      </c>
      <c r="I54" s="830"/>
      <c r="J54" s="698">
        <v>3118.0000000000009</v>
      </c>
      <c r="K54" s="1581"/>
      <c r="L54" s="698">
        <v>5855.0999999999976</v>
      </c>
      <c r="M54" s="1581"/>
      <c r="N54" s="698">
        <v>5483.9000000000024</v>
      </c>
      <c r="O54" s="1581"/>
      <c r="P54" s="1839">
        <v>5367.9000000000005</v>
      </c>
      <c r="Q54" s="2052"/>
      <c r="R54" s="1839">
        <v>5209.8</v>
      </c>
      <c r="S54" s="2052"/>
      <c r="T54" s="1839">
        <v>6447.1000000000013</v>
      </c>
      <c r="U54" s="2052"/>
      <c r="V54" s="1839">
        <f t="shared" ref="V54" si="5">$AD54-$D54-$F54-$H54-$J54-$L54-$N54-$P54-$R54-$T54</f>
        <v>5409.699999999998</v>
      </c>
      <c r="W54" s="2052"/>
      <c r="X54" s="1839"/>
      <c r="Y54" s="2052"/>
      <c r="Z54" s="1839"/>
      <c r="AA54" s="2053"/>
      <c r="AB54" s="2054"/>
      <c r="AC54" s="2055"/>
      <c r="AD54" s="1839">
        <v>53584</v>
      </c>
      <c r="AE54" s="2054"/>
      <c r="AF54" s="2056"/>
      <c r="AG54" s="1839">
        <v>49379.1</v>
      </c>
      <c r="AH54" s="276"/>
      <c r="AI54" s="56"/>
      <c r="AJ54" s="959">
        <f>ROUND(SUM(+AD54-AG54),1)</f>
        <v>4204.8999999999996</v>
      </c>
      <c r="AK54" s="959"/>
      <c r="AL54" s="1488">
        <f>ROUND(SUM((AD54-AG54)/ABS(AG54)),3)</f>
        <v>8.5000000000000006E-2</v>
      </c>
    </row>
    <row r="55" spans="1:38" ht="15" customHeight="1">
      <c r="A55" s="150"/>
      <c r="B55" s="31"/>
      <c r="C55" s="31"/>
      <c r="D55" s="1892"/>
      <c r="E55" s="830"/>
      <c r="F55" s="1892"/>
      <c r="G55" s="830"/>
      <c r="H55" s="1892"/>
      <c r="I55" s="830"/>
      <c r="J55" s="1892"/>
      <c r="K55" s="165"/>
      <c r="L55" s="168"/>
      <c r="M55" s="165"/>
      <c r="N55" s="168"/>
      <c r="O55" s="165"/>
      <c r="P55" s="1505"/>
      <c r="Q55" s="1500"/>
      <c r="R55" s="1505"/>
      <c r="S55" s="1500"/>
      <c r="T55" s="2059"/>
      <c r="U55" s="1500"/>
      <c r="V55" s="2059"/>
      <c r="W55" s="2060"/>
      <c r="X55" s="2059"/>
      <c r="Y55" s="2060"/>
      <c r="Z55" s="2059"/>
      <c r="AA55" s="2061"/>
      <c r="AB55" s="1500"/>
      <c r="AC55" s="2062"/>
      <c r="AD55" s="2105"/>
      <c r="AE55" s="2030"/>
      <c r="AF55" s="2051"/>
      <c r="AG55" s="2105"/>
      <c r="AH55" s="276"/>
      <c r="AI55" s="56"/>
      <c r="AJ55" s="1445"/>
      <c r="AK55" s="1446"/>
      <c r="AL55" s="1489"/>
    </row>
    <row r="56" spans="1:38" ht="15" customHeight="1">
      <c r="A56" s="150"/>
      <c r="B56" s="29" t="s">
        <v>151</v>
      </c>
      <c r="C56" s="31"/>
      <c r="D56" s="938">
        <f>ROUND(SUM(+D52+D54),2)</f>
        <v>6218.4</v>
      </c>
      <c r="E56" s="207"/>
      <c r="F56" s="938">
        <f>ROUND(SUM(+F52+F54),2)</f>
        <v>4867.7</v>
      </c>
      <c r="G56" s="207"/>
      <c r="H56" s="938">
        <f>ROUND(SUM(+H52+H54),2)</f>
        <v>5684.2</v>
      </c>
      <c r="I56" s="207"/>
      <c r="J56" s="938">
        <f>ROUND(SUM(+J52+J54),2)</f>
        <v>3131.9</v>
      </c>
      <c r="K56" s="207"/>
      <c r="L56" s="938">
        <f>ROUND(SUM(+L52+L54),2)</f>
        <v>5877.8</v>
      </c>
      <c r="M56" s="207"/>
      <c r="N56" s="938">
        <f>ROUND(SUM(+N52+N54),2)</f>
        <v>5495.4</v>
      </c>
      <c r="O56" s="207"/>
      <c r="P56" s="1498">
        <f>ROUND(SUM(+P52+P54),2)</f>
        <v>5380.9</v>
      </c>
      <c r="Q56" s="2064"/>
      <c r="R56" s="1498">
        <f>ROUND(SUM(+R52+R54),2)</f>
        <v>5228.8999999999996</v>
      </c>
      <c r="S56" s="2064"/>
      <c r="T56" s="1498">
        <f>ROUND(SUM(+T52+T54),2)</f>
        <v>6460.8</v>
      </c>
      <c r="U56" s="2064"/>
      <c r="V56" s="1498">
        <f>ROUND(SUM(+V52+V54),2)</f>
        <v>5422.3</v>
      </c>
      <c r="W56" s="1498"/>
      <c r="X56" s="1498">
        <f>ROUND(SUM(+X52+X54),2)</f>
        <v>0</v>
      </c>
      <c r="Y56" s="1498"/>
      <c r="Z56" s="1498">
        <f>ROUND(SUM(+Z52+Z54),2)</f>
        <v>0</v>
      </c>
      <c r="AA56" s="1498"/>
      <c r="AB56" s="2064"/>
      <c r="AC56" s="2065"/>
      <c r="AD56" s="2104">
        <f>ROUND(SUM(+AD52+AD54),1)</f>
        <v>53768.3</v>
      </c>
      <c r="AE56" s="1499"/>
      <c r="AF56" s="3287"/>
      <c r="AG56" s="2104">
        <f>ROUND(SUM(+AG52+AG54),1)</f>
        <v>49554.2</v>
      </c>
      <c r="AH56" s="283"/>
      <c r="AI56" s="76"/>
      <c r="AJ56" s="844">
        <f>ROUND(SUM(+AJ52+AJ54),1)</f>
        <v>4214.1000000000004</v>
      </c>
      <c r="AK56" s="285"/>
      <c r="AL56" s="1490">
        <f>ROUND(SUM((AD56-AG56)/ABS(AG56)),3)</f>
        <v>8.5000000000000006E-2</v>
      </c>
    </row>
    <row r="57" spans="1:38" ht="15" customHeight="1">
      <c r="A57" s="150"/>
      <c r="B57" s="31"/>
      <c r="C57" s="31"/>
      <c r="D57" s="1892"/>
      <c r="E57" s="830"/>
      <c r="F57" s="702"/>
      <c r="G57" s="830"/>
      <c r="H57" s="702"/>
      <c r="I57" s="830"/>
      <c r="J57" s="702"/>
      <c r="K57" s="165"/>
      <c r="L57" s="88"/>
      <c r="M57" s="165"/>
      <c r="N57" s="88"/>
      <c r="O57" s="165"/>
      <c r="P57" s="2059"/>
      <c r="Q57" s="1500"/>
      <c r="R57" s="2059"/>
      <c r="S57" s="1500"/>
      <c r="T57" s="2059"/>
      <c r="U57" s="1500"/>
      <c r="V57" s="2105"/>
      <c r="W57" s="2049"/>
      <c r="X57" s="2105"/>
      <c r="Y57" s="2049"/>
      <c r="Z57" s="2105"/>
      <c r="AA57" s="2030"/>
      <c r="AB57" s="2045"/>
      <c r="AC57" s="2050"/>
      <c r="AD57" s="2229"/>
      <c r="AE57" s="2072"/>
      <c r="AF57" s="3313"/>
      <c r="AG57" s="2229"/>
      <c r="AH57" s="1859"/>
      <c r="AI57" s="1108"/>
      <c r="AJ57" s="1860"/>
      <c r="AK57" s="1860"/>
      <c r="AL57" s="1861"/>
    </row>
    <row r="58" spans="1:38" ht="15" customHeight="1">
      <c r="A58" s="150"/>
      <c r="B58" s="173" t="s">
        <v>23</v>
      </c>
      <c r="C58" s="31"/>
      <c r="D58" s="830"/>
      <c r="E58" s="830"/>
      <c r="F58" s="1575"/>
      <c r="G58" s="830"/>
      <c r="H58" s="1575"/>
      <c r="I58" s="830"/>
      <c r="J58" s="1575"/>
      <c r="K58" s="165"/>
      <c r="L58" s="66"/>
      <c r="M58" s="165"/>
      <c r="N58" s="66"/>
      <c r="O58" s="165"/>
      <c r="P58" s="2060"/>
      <c r="Q58" s="1500"/>
      <c r="R58" s="2060"/>
      <c r="S58" s="1500"/>
      <c r="T58" s="2060"/>
      <c r="U58" s="1500"/>
      <c r="V58" s="2049"/>
      <c r="W58" s="2049"/>
      <c r="X58" s="2049"/>
      <c r="Y58" s="2049"/>
      <c r="Z58" s="2049"/>
      <c r="AA58" s="2049"/>
      <c r="AB58" s="2045"/>
      <c r="AC58" s="2050"/>
      <c r="AD58" s="2045"/>
      <c r="AE58" s="2072"/>
      <c r="AF58" s="3313"/>
      <c r="AG58" s="2045"/>
      <c r="AH58" s="1859"/>
      <c r="AI58" s="1108"/>
      <c r="AJ58" s="1860"/>
      <c r="AK58" s="1860"/>
      <c r="AL58" s="1861"/>
    </row>
    <row r="59" spans="1:38" ht="15" customHeight="1">
      <c r="A59" s="150"/>
      <c r="B59" s="704" t="s">
        <v>152</v>
      </c>
      <c r="C59" s="31"/>
      <c r="D59" s="695"/>
      <c r="E59" s="830"/>
      <c r="F59" s="695"/>
      <c r="G59" s="830"/>
      <c r="H59" s="698"/>
      <c r="I59" s="830"/>
      <c r="J59" s="698"/>
      <c r="K59" s="165"/>
      <c r="L59" s="119"/>
      <c r="M59" s="165"/>
      <c r="N59" s="119"/>
      <c r="O59" s="165"/>
      <c r="P59" s="2068"/>
      <c r="Q59" s="1500"/>
      <c r="R59" s="2069"/>
      <c r="S59" s="1500"/>
      <c r="T59" s="2069"/>
      <c r="U59" s="1500"/>
      <c r="V59" s="2049"/>
      <c r="W59" s="2049"/>
      <c r="X59" s="2049"/>
      <c r="Y59" s="2049"/>
      <c r="Z59" s="2049"/>
      <c r="AA59" s="2049"/>
      <c r="AB59" s="2045"/>
      <c r="AC59" s="2050"/>
      <c r="AD59" s="2045"/>
      <c r="AE59" s="2072"/>
      <c r="AF59" s="3313"/>
      <c r="AG59" s="2045"/>
      <c r="AH59" s="1859"/>
      <c r="AI59" s="1108"/>
      <c r="AJ59" s="1847"/>
      <c r="AK59" s="1860"/>
      <c r="AL59" s="1865"/>
    </row>
    <row r="60" spans="1:38" s="903" customFormat="1" ht="15" customHeight="1">
      <c r="A60" s="1087"/>
      <c r="B60" s="1863" t="s">
        <v>25</v>
      </c>
      <c r="C60" s="107"/>
      <c r="D60" s="698">
        <v>337.5</v>
      </c>
      <c r="E60" s="830"/>
      <c r="F60" s="698">
        <v>590.6</v>
      </c>
      <c r="G60" s="830"/>
      <c r="H60" s="698">
        <v>262.10000000000002</v>
      </c>
      <c r="I60" s="830"/>
      <c r="J60" s="698">
        <v>287.89999999999986</v>
      </c>
      <c r="K60" s="1581"/>
      <c r="L60" s="698">
        <v>232.30000000000018</v>
      </c>
      <c r="M60" s="1581"/>
      <c r="N60" s="698">
        <v>187.39999999999986</v>
      </c>
      <c r="O60" s="1581"/>
      <c r="P60" s="1839">
        <v>206.70000000000016</v>
      </c>
      <c r="Q60" s="2052"/>
      <c r="R60" s="1839">
        <v>229.19999999999993</v>
      </c>
      <c r="S60" s="2052"/>
      <c r="T60" s="1839">
        <v>326</v>
      </c>
      <c r="U60" s="2052"/>
      <c r="V60" s="1839">
        <f t="shared" ref="V60:V69" si="6">$AD60-$D60-$F60-$H60-$J60-$L60-$N60-$P60-$R60-$T60</f>
        <v>300.10000000000036</v>
      </c>
      <c r="W60" s="2052"/>
      <c r="X60" s="1839"/>
      <c r="Y60" s="2052"/>
      <c r="Z60" s="1839"/>
      <c r="AA60" s="2053"/>
      <c r="AB60" s="2054"/>
      <c r="AC60" s="2055"/>
      <c r="AD60" s="1839">
        <v>2959.8</v>
      </c>
      <c r="AE60" s="2054"/>
      <c r="AF60" s="2056"/>
      <c r="AG60" s="1839">
        <v>3141.2</v>
      </c>
      <c r="AH60" s="1090"/>
      <c r="AI60" s="67"/>
      <c r="AJ60" s="911">
        <f>ROUND(SUM(+AD60-AG60),1)</f>
        <v>-181.4</v>
      </c>
      <c r="AK60" s="911"/>
      <c r="AL60" s="1774">
        <f>ROUND(IF(AG60=0,0,AJ60/ABS(AG60)),3)</f>
        <v>-5.8000000000000003E-2</v>
      </c>
    </row>
    <row r="61" spans="1:38" ht="15" customHeight="1">
      <c r="A61" s="150"/>
      <c r="B61" s="179" t="s">
        <v>26</v>
      </c>
      <c r="C61" s="31"/>
      <c r="D61" s="698">
        <v>0.1</v>
      </c>
      <c r="E61" s="830"/>
      <c r="F61" s="698">
        <v>0.1</v>
      </c>
      <c r="G61" s="830"/>
      <c r="H61" s="698">
        <v>0</v>
      </c>
      <c r="I61" s="830"/>
      <c r="J61" s="698">
        <v>0</v>
      </c>
      <c r="K61" s="1581"/>
      <c r="L61" s="698">
        <v>9.9999999999999978E-2</v>
      </c>
      <c r="M61" s="1581"/>
      <c r="N61" s="698">
        <v>0.30000000000000004</v>
      </c>
      <c r="O61" s="1581"/>
      <c r="P61" s="1839">
        <v>9.9999999999999978E-2</v>
      </c>
      <c r="Q61" s="2052"/>
      <c r="R61" s="1839">
        <v>0</v>
      </c>
      <c r="S61" s="2052"/>
      <c r="T61" s="1839">
        <v>0.20000000000000007</v>
      </c>
      <c r="U61" s="2052"/>
      <c r="V61" s="1839">
        <f t="shared" si="6"/>
        <v>0</v>
      </c>
      <c r="W61" s="2052"/>
      <c r="X61" s="1839"/>
      <c r="Y61" s="2052"/>
      <c r="Z61" s="1839"/>
      <c r="AA61" s="2053"/>
      <c r="AB61" s="2054"/>
      <c r="AC61" s="2055"/>
      <c r="AD61" s="1839">
        <v>0.9</v>
      </c>
      <c r="AE61" s="2054"/>
      <c r="AF61" s="2056"/>
      <c r="AG61" s="1839">
        <v>2.1</v>
      </c>
      <c r="AH61" s="1090"/>
      <c r="AI61" s="67"/>
      <c r="AJ61" s="911">
        <f>ROUND(SUM(+AD61-AG61),1)</f>
        <v>-1.2</v>
      </c>
      <c r="AK61" s="911"/>
      <c r="AL61" s="1879">
        <f>ROUND(IF(AG61=0,1,AJ61/ABS(AG61)),3)</f>
        <v>-0.57099999999999995</v>
      </c>
    </row>
    <row r="62" spans="1:38" s="903" customFormat="1" ht="15" customHeight="1">
      <c r="A62" s="1087"/>
      <c r="B62" s="1863" t="s">
        <v>27</v>
      </c>
      <c r="C62" s="107"/>
      <c r="D62" s="698">
        <v>2</v>
      </c>
      <c r="E62" s="830"/>
      <c r="F62" s="698">
        <v>3.5</v>
      </c>
      <c r="G62" s="830"/>
      <c r="H62" s="698">
        <v>8.6999999999999993</v>
      </c>
      <c r="I62" s="830"/>
      <c r="J62" s="698">
        <v>1.2000000000000011</v>
      </c>
      <c r="K62" s="1581"/>
      <c r="L62" s="698">
        <v>11.700000000000001</v>
      </c>
      <c r="M62" s="1581"/>
      <c r="N62" s="698">
        <v>2.0999999999999979</v>
      </c>
      <c r="O62" s="1581"/>
      <c r="P62" s="1839">
        <v>2.1000000000000014</v>
      </c>
      <c r="Q62" s="2052"/>
      <c r="R62" s="1839">
        <v>2.4000000000000039</v>
      </c>
      <c r="S62" s="2052"/>
      <c r="T62" s="1839">
        <v>11.799999999999995</v>
      </c>
      <c r="U62" s="2052"/>
      <c r="V62" s="1839">
        <f t="shared" si="6"/>
        <v>1.7999999999999901</v>
      </c>
      <c r="W62" s="2052"/>
      <c r="X62" s="1839"/>
      <c r="Y62" s="2052"/>
      <c r="Z62" s="1839"/>
      <c r="AA62" s="2053"/>
      <c r="AB62" s="2054"/>
      <c r="AC62" s="2055"/>
      <c r="AD62" s="1839">
        <v>47.3</v>
      </c>
      <c r="AE62" s="2054"/>
      <c r="AF62" s="2056"/>
      <c r="AG62" s="1839">
        <v>56.4</v>
      </c>
      <c r="AH62" s="1090"/>
      <c r="AI62" s="67"/>
      <c r="AJ62" s="911">
        <f>ROUND(SUM(+AD62-AG62),1)</f>
        <v>-9.1</v>
      </c>
      <c r="AK62" s="911"/>
      <c r="AL62" s="1774">
        <f>ROUND(IF(AG62=0,0,AJ62/ABS(AG62)),3)</f>
        <v>-0.161</v>
      </c>
    </row>
    <row r="63" spans="1:38" s="903" customFormat="1" ht="15" customHeight="1">
      <c r="A63" s="1087"/>
      <c r="B63" s="1863" t="s">
        <v>28</v>
      </c>
      <c r="C63" s="107"/>
      <c r="D63" s="698" t="s">
        <v>15</v>
      </c>
      <c r="E63" s="830"/>
      <c r="F63" s="698"/>
      <c r="G63" s="830"/>
      <c r="H63" s="698"/>
      <c r="I63" s="830"/>
      <c r="J63" s="698"/>
      <c r="K63" s="1581"/>
      <c r="L63" s="698"/>
      <c r="M63" s="1581"/>
      <c r="N63" s="698"/>
      <c r="O63" s="1581"/>
      <c r="P63" s="1839"/>
      <c r="Q63" s="2052"/>
      <c r="R63" s="1839"/>
      <c r="S63" s="2052"/>
      <c r="T63" s="1839"/>
      <c r="U63" s="2052"/>
      <c r="V63" s="1839"/>
      <c r="W63" s="2052"/>
      <c r="X63" s="1839"/>
      <c r="Y63" s="2052"/>
      <c r="Z63" s="1839"/>
      <c r="AA63" s="2053"/>
      <c r="AB63" s="2054"/>
      <c r="AC63" s="2055"/>
      <c r="AD63" s="1839"/>
      <c r="AE63" s="2054"/>
      <c r="AF63" s="2056"/>
      <c r="AG63" s="1839"/>
      <c r="AH63" s="1090"/>
      <c r="AI63" s="67"/>
      <c r="AJ63" s="698"/>
      <c r="AK63" s="1847"/>
      <c r="AL63" s="1865"/>
    </row>
    <row r="64" spans="1:38" s="903" customFormat="1" ht="15" customHeight="1">
      <c r="A64" s="1087"/>
      <c r="B64" s="1864" t="s">
        <v>29</v>
      </c>
      <c r="C64" s="107"/>
      <c r="D64" s="698">
        <v>3116.5</v>
      </c>
      <c r="E64" s="830"/>
      <c r="F64" s="698">
        <v>3681.2</v>
      </c>
      <c r="G64" s="830"/>
      <c r="H64" s="698">
        <v>3098.7</v>
      </c>
      <c r="I64" s="830"/>
      <c r="J64" s="698">
        <v>3002.7000000000007</v>
      </c>
      <c r="K64" s="1581"/>
      <c r="L64" s="698">
        <v>3746.9999999999973</v>
      </c>
      <c r="M64" s="1581"/>
      <c r="N64" s="698">
        <v>3144.7</v>
      </c>
      <c r="O64" s="1581"/>
      <c r="P64" s="1839">
        <v>3559.6000000000022</v>
      </c>
      <c r="Q64" s="2052"/>
      <c r="R64" s="1839">
        <v>3605.5999999999995</v>
      </c>
      <c r="S64" s="2052"/>
      <c r="T64" s="1839">
        <v>3261.9000000000005</v>
      </c>
      <c r="U64" s="2052"/>
      <c r="V64" s="1839">
        <f t="shared" si="6"/>
        <v>3907.6999999999971</v>
      </c>
      <c r="W64" s="2052"/>
      <c r="X64" s="1839"/>
      <c r="Y64" s="2052"/>
      <c r="Z64" s="1839"/>
      <c r="AA64" s="2053"/>
      <c r="AB64" s="2054"/>
      <c r="AC64" s="2055"/>
      <c r="AD64" s="1839">
        <v>34125.599999999999</v>
      </c>
      <c r="AE64" s="2054"/>
      <c r="AF64" s="2056"/>
      <c r="AG64" s="1839">
        <v>32405</v>
      </c>
      <c r="AH64" s="1090"/>
      <c r="AI64" s="67"/>
      <c r="AJ64" s="911">
        <f t="shared" ref="AJ64:AJ69" si="7">ROUND(SUM(+AD64-AG64),1)</f>
        <v>1720.6</v>
      </c>
      <c r="AK64" s="911"/>
      <c r="AL64" s="1774">
        <f t="shared" ref="AL64:AL69" si="8">ROUND(IF(AG64=0,0,AJ64/ABS(AG64)),3)</f>
        <v>5.2999999999999999E-2</v>
      </c>
    </row>
    <row r="65" spans="1:38" s="903" customFormat="1" ht="15" customHeight="1">
      <c r="A65" s="1087"/>
      <c r="B65" s="1863" t="s">
        <v>30</v>
      </c>
      <c r="C65" s="107"/>
      <c r="D65" s="698">
        <v>483.3</v>
      </c>
      <c r="E65" s="830"/>
      <c r="F65" s="698">
        <v>487.8</v>
      </c>
      <c r="G65" s="830"/>
      <c r="H65" s="698">
        <v>700.80000000000018</v>
      </c>
      <c r="I65" s="830"/>
      <c r="J65" s="698">
        <v>465.09999999999991</v>
      </c>
      <c r="K65" s="1581"/>
      <c r="L65" s="698">
        <v>487.79999999999995</v>
      </c>
      <c r="M65" s="1581"/>
      <c r="N65" s="698">
        <v>666.7999999999995</v>
      </c>
      <c r="O65" s="1581"/>
      <c r="P65" s="1839">
        <v>453.30000000000018</v>
      </c>
      <c r="Q65" s="2052"/>
      <c r="R65" s="1839">
        <v>413.79999999999973</v>
      </c>
      <c r="S65" s="2052"/>
      <c r="T65" s="1839">
        <v>621.50000000000023</v>
      </c>
      <c r="U65" s="2052"/>
      <c r="V65" s="1839">
        <f t="shared" si="6"/>
        <v>513.60000000000036</v>
      </c>
      <c r="W65" s="2052"/>
      <c r="X65" s="1839"/>
      <c r="Y65" s="2052"/>
      <c r="Z65" s="1839"/>
      <c r="AA65" s="2053"/>
      <c r="AB65" s="2054"/>
      <c r="AC65" s="2055"/>
      <c r="AD65" s="1839">
        <v>5293.8</v>
      </c>
      <c r="AE65" s="2054"/>
      <c r="AF65" s="2056"/>
      <c r="AG65" s="1839">
        <v>5414.7</v>
      </c>
      <c r="AH65" s="1090"/>
      <c r="AI65" s="67"/>
      <c r="AJ65" s="911">
        <f t="shared" si="7"/>
        <v>-120.9</v>
      </c>
      <c r="AK65" s="911"/>
      <c r="AL65" s="1774">
        <f t="shared" si="8"/>
        <v>-2.1999999999999999E-2</v>
      </c>
    </row>
    <row r="66" spans="1:38" s="903" customFormat="1" ht="15" customHeight="1">
      <c r="A66" s="1087"/>
      <c r="B66" s="1863" t="s">
        <v>31</v>
      </c>
      <c r="C66" s="107"/>
      <c r="D66" s="698">
        <v>116.2</v>
      </c>
      <c r="E66" s="830"/>
      <c r="F66" s="698">
        <v>150.5</v>
      </c>
      <c r="G66" s="830"/>
      <c r="H66" s="698">
        <v>42.699999999999989</v>
      </c>
      <c r="I66" s="830"/>
      <c r="J66" s="698">
        <v>59.800000000000011</v>
      </c>
      <c r="K66" s="1581"/>
      <c r="L66" s="698">
        <v>66.300000000000011</v>
      </c>
      <c r="M66" s="1581"/>
      <c r="N66" s="698">
        <v>49.899999999999977</v>
      </c>
      <c r="O66" s="1581"/>
      <c r="P66" s="1839">
        <v>139.70000000000005</v>
      </c>
      <c r="Q66" s="2052"/>
      <c r="R66" s="1839">
        <v>179.89999999999992</v>
      </c>
      <c r="S66" s="2052"/>
      <c r="T66" s="1839">
        <v>97.100000000000136</v>
      </c>
      <c r="U66" s="2052"/>
      <c r="V66" s="1839">
        <f t="shared" si="6"/>
        <v>214.3</v>
      </c>
      <c r="W66" s="2052"/>
      <c r="X66" s="1839"/>
      <c r="Y66" s="2052"/>
      <c r="Z66" s="1839"/>
      <c r="AA66" s="2053"/>
      <c r="AB66" s="2054"/>
      <c r="AC66" s="2055"/>
      <c r="AD66" s="1839">
        <v>1116.4000000000001</v>
      </c>
      <c r="AE66" s="2054"/>
      <c r="AF66" s="2056"/>
      <c r="AG66" s="1839">
        <v>1010.5</v>
      </c>
      <c r="AH66" s="1090"/>
      <c r="AI66" s="67"/>
      <c r="AJ66" s="911">
        <f t="shared" si="7"/>
        <v>105.9</v>
      </c>
      <c r="AK66" s="911"/>
      <c r="AL66" s="1774">
        <f t="shared" si="8"/>
        <v>0.105</v>
      </c>
    </row>
    <row r="67" spans="1:38" s="903" customFormat="1" ht="15" customHeight="1">
      <c r="A67" s="1087"/>
      <c r="B67" s="1863" t="s">
        <v>32</v>
      </c>
      <c r="C67" s="107"/>
      <c r="D67" s="698">
        <v>151.4</v>
      </c>
      <c r="E67" s="830"/>
      <c r="F67" s="698">
        <v>119.20000000000002</v>
      </c>
      <c r="G67" s="830"/>
      <c r="H67" s="698">
        <v>270.69999999999993</v>
      </c>
      <c r="I67" s="830"/>
      <c r="J67" s="698">
        <v>317.90000000000009</v>
      </c>
      <c r="K67" s="1581"/>
      <c r="L67" s="698">
        <v>184.29999999999995</v>
      </c>
      <c r="M67" s="1581"/>
      <c r="N67" s="698">
        <v>493.69999999999993</v>
      </c>
      <c r="O67" s="1581"/>
      <c r="P67" s="1839">
        <v>1063</v>
      </c>
      <c r="Q67" s="2052"/>
      <c r="R67" s="1839">
        <v>513.60000000000036</v>
      </c>
      <c r="S67" s="2052"/>
      <c r="T67" s="1839">
        <v>114.69999999999982</v>
      </c>
      <c r="U67" s="2052"/>
      <c r="V67" s="1839">
        <f t="shared" si="6"/>
        <v>402.80000000000018</v>
      </c>
      <c r="W67" s="2052"/>
      <c r="X67" s="1839"/>
      <c r="Y67" s="2052"/>
      <c r="Z67" s="1839"/>
      <c r="AA67" s="2053"/>
      <c r="AB67" s="2054"/>
      <c r="AC67" s="2055"/>
      <c r="AD67" s="1839">
        <v>3631.3</v>
      </c>
      <c r="AE67" s="2054"/>
      <c r="AF67" s="2056"/>
      <c r="AG67" s="1839">
        <v>4048</v>
      </c>
      <c r="AH67" s="1090"/>
      <c r="AI67" s="67"/>
      <c r="AJ67" s="911">
        <f t="shared" si="7"/>
        <v>-416.7</v>
      </c>
      <c r="AK67" s="911"/>
      <c r="AL67" s="1774">
        <f t="shared" si="8"/>
        <v>-0.10299999999999999</v>
      </c>
    </row>
    <row r="68" spans="1:38" s="903" customFormat="1" ht="15" customHeight="1">
      <c r="A68" s="1087"/>
      <c r="B68" s="1863" t="s">
        <v>33</v>
      </c>
      <c r="C68" s="107"/>
      <c r="D68" s="698">
        <v>0.3</v>
      </c>
      <c r="E68" s="830"/>
      <c r="F68" s="698">
        <v>1.2</v>
      </c>
      <c r="G68" s="830"/>
      <c r="H68" s="698">
        <v>0.19999999999999996</v>
      </c>
      <c r="I68" s="830"/>
      <c r="J68" s="698">
        <v>0.80000000000000027</v>
      </c>
      <c r="K68" s="1581"/>
      <c r="L68" s="698">
        <v>2.2999999999999994</v>
      </c>
      <c r="M68" s="1581"/>
      <c r="N68" s="698">
        <v>0.79999999999999982</v>
      </c>
      <c r="O68" s="1581"/>
      <c r="P68" s="1839">
        <v>0.40000000000000036</v>
      </c>
      <c r="Q68" s="2052"/>
      <c r="R68" s="1839">
        <v>1.9000000000000008</v>
      </c>
      <c r="S68" s="2052"/>
      <c r="T68" s="1839">
        <v>0</v>
      </c>
      <c r="U68" s="2052"/>
      <c r="V68" s="1839">
        <f t="shared" si="6"/>
        <v>-9.9999999999999645E-2</v>
      </c>
      <c r="W68" s="2052"/>
      <c r="X68" s="1839"/>
      <c r="Y68" s="2052"/>
      <c r="Z68" s="1839"/>
      <c r="AA68" s="2053"/>
      <c r="AB68" s="2054"/>
      <c r="AC68" s="2055"/>
      <c r="AD68" s="1840">
        <v>7.8000000000000007</v>
      </c>
      <c r="AE68" s="2054"/>
      <c r="AF68" s="2056"/>
      <c r="AG68" s="1839">
        <v>7.7</v>
      </c>
      <c r="AH68" s="1090"/>
      <c r="AI68" s="67"/>
      <c r="AJ68" s="911">
        <f t="shared" si="7"/>
        <v>0.1</v>
      </c>
      <c r="AK68" s="911"/>
      <c r="AL68" s="1774">
        <f>ROUND(IF(AG68=0,1,AJ68/ABS(AG68)),3)</f>
        <v>1.2999999999999999E-2</v>
      </c>
    </row>
    <row r="69" spans="1:38" s="903" customFormat="1" ht="15" customHeight="1">
      <c r="A69" s="1087"/>
      <c r="B69" s="1863" t="s">
        <v>34</v>
      </c>
      <c r="C69" s="107"/>
      <c r="D69" s="698">
        <v>4</v>
      </c>
      <c r="E69" s="830"/>
      <c r="F69" s="698">
        <v>5.8000000000000007</v>
      </c>
      <c r="G69" s="830"/>
      <c r="H69" s="698">
        <v>4.3999999999999986</v>
      </c>
      <c r="I69" s="830"/>
      <c r="J69" s="698">
        <v>4</v>
      </c>
      <c r="K69" s="1581"/>
      <c r="L69" s="698">
        <v>4.5</v>
      </c>
      <c r="M69" s="1581"/>
      <c r="N69" s="698">
        <v>3.3000000000000007</v>
      </c>
      <c r="O69" s="1581"/>
      <c r="P69" s="1839">
        <v>4.1999999999999993</v>
      </c>
      <c r="Q69" s="2052"/>
      <c r="R69" s="1839">
        <v>4.6999999999999993</v>
      </c>
      <c r="S69" s="2052"/>
      <c r="T69" s="1839">
        <v>6.5</v>
      </c>
      <c r="U69" s="2052"/>
      <c r="V69" s="1839">
        <f t="shared" si="6"/>
        <v>8.4000000000000021</v>
      </c>
      <c r="W69" s="2052"/>
      <c r="X69" s="1839"/>
      <c r="Y69" s="2052"/>
      <c r="Z69" s="1839"/>
      <c r="AA69" s="2053"/>
      <c r="AB69" s="2054"/>
      <c r="AC69" s="2055"/>
      <c r="AD69" s="1839">
        <v>49.8</v>
      </c>
      <c r="AE69" s="2054"/>
      <c r="AF69" s="2056"/>
      <c r="AG69" s="1839">
        <v>47.6</v>
      </c>
      <c r="AH69" s="1090"/>
      <c r="AI69" s="67"/>
      <c r="AJ69" s="911">
        <f t="shared" si="7"/>
        <v>2.2000000000000002</v>
      </c>
      <c r="AK69" s="1040"/>
      <c r="AL69" s="1862">
        <f t="shared" si="8"/>
        <v>4.5999999999999999E-2</v>
      </c>
    </row>
    <row r="70" spans="1:38" ht="15" customHeight="1">
      <c r="A70" s="150"/>
      <c r="B70" s="29" t="s">
        <v>1204</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70">
        <f>ROUND(SUM(P60:P69),2)</f>
        <v>5429.1</v>
      </c>
      <c r="Q70" s="2064"/>
      <c r="R70" s="2070">
        <f>ROUND(SUM(R60:R69),2)</f>
        <v>4951.1000000000004</v>
      </c>
      <c r="S70" s="2064"/>
      <c r="T70" s="2070">
        <f>ROUND(SUM(T60:T69),2)</f>
        <v>4439.7</v>
      </c>
      <c r="U70" s="2064"/>
      <c r="V70" s="2230">
        <f>ROUND(SUM(V60:V69),2)</f>
        <v>5348.6</v>
      </c>
      <c r="W70" s="2104"/>
      <c r="X70" s="2230">
        <f>ROUND(SUM(X60:X69),2)</f>
        <v>0</v>
      </c>
      <c r="Y70" s="2104"/>
      <c r="Z70" s="2230">
        <f>ROUND(SUM(Z60:Z69),2)</f>
        <v>0</v>
      </c>
      <c r="AA70" s="1499"/>
      <c r="AB70" s="2231"/>
      <c r="AC70" s="2232"/>
      <c r="AD70" s="2071">
        <f>ROUND(SUM(AD60:AD69),1)</f>
        <v>47232.7</v>
      </c>
      <c r="AE70" s="1499"/>
      <c r="AF70" s="3287"/>
      <c r="AG70" s="2071">
        <f>ROUND(SUM(AG60:AG69),1)</f>
        <v>46133.2</v>
      </c>
      <c r="AH70" s="1867"/>
      <c r="AI70" s="115"/>
      <c r="AJ70" s="111">
        <f>ROUND(SUM(AD70-AG70),1)</f>
        <v>1099.5</v>
      </c>
      <c r="AK70" s="2233"/>
      <c r="AL70" s="2234">
        <f>ROUND(SUM((AD70-AG70)/ABS(AG70)),3)</f>
        <v>2.4E-2</v>
      </c>
    </row>
    <row r="71" spans="1:38" s="903" customFormat="1" ht="15" customHeight="1">
      <c r="A71" s="1087"/>
      <c r="B71" s="107" t="s">
        <v>153</v>
      </c>
      <c r="C71" s="107"/>
      <c r="D71" s="830"/>
      <c r="E71" s="830"/>
      <c r="F71" s="1575"/>
      <c r="G71" s="830"/>
      <c r="H71" s="1575"/>
      <c r="I71" s="830"/>
      <c r="J71" s="1575"/>
      <c r="K71" s="140"/>
      <c r="L71" s="118"/>
      <c r="M71" s="140"/>
      <c r="N71" s="118"/>
      <c r="O71" s="140"/>
      <c r="P71" s="2049"/>
      <c r="Q71" s="2045"/>
      <c r="R71" s="2049"/>
      <c r="S71" s="2045"/>
      <c r="T71" s="2049"/>
      <c r="U71" s="2045"/>
      <c r="V71" s="2049"/>
      <c r="W71" s="2049"/>
      <c r="X71" s="2049"/>
      <c r="Y71" s="2049"/>
      <c r="Z71" s="2049"/>
      <c r="AA71" s="2049"/>
      <c r="AB71" s="2045"/>
      <c r="AC71" s="2050"/>
      <c r="AD71" s="2045"/>
      <c r="AE71" s="2072"/>
      <c r="AF71" s="3313"/>
      <c r="AG71" s="2045"/>
      <c r="AH71" s="1859"/>
      <c r="AI71" s="1108"/>
      <c r="AJ71" s="1860"/>
      <c r="AK71" s="1860"/>
      <c r="AL71" s="1861"/>
    </row>
    <row r="72" spans="1:38" s="903" customFormat="1" ht="15" customHeight="1">
      <c r="A72" s="1087"/>
      <c r="B72" s="107" t="s">
        <v>154</v>
      </c>
      <c r="C72" s="107"/>
      <c r="D72" s="698">
        <v>49.3</v>
      </c>
      <c r="E72" s="830"/>
      <c r="F72" s="698">
        <v>65.8</v>
      </c>
      <c r="G72" s="830"/>
      <c r="H72" s="698">
        <v>55.099999999999994</v>
      </c>
      <c r="I72" s="830"/>
      <c r="J72" s="698">
        <v>44.3</v>
      </c>
      <c r="K72" s="1581"/>
      <c r="L72" s="698">
        <v>47.700000000000031</v>
      </c>
      <c r="M72" s="1581"/>
      <c r="N72" s="698">
        <v>50.899999999999977</v>
      </c>
      <c r="O72" s="1581"/>
      <c r="P72" s="1839">
        <v>75.799999999999969</v>
      </c>
      <c r="Q72" s="2052"/>
      <c r="R72" s="1839">
        <v>46.699999999999974</v>
      </c>
      <c r="S72" s="2052"/>
      <c r="T72" s="1839">
        <v>52.899999999999977</v>
      </c>
      <c r="U72" s="2052"/>
      <c r="V72" s="1839">
        <f t="shared" ref="V72:V75" si="9">$AD72-$D72-$F72-$H72-$J72-$L72-$N72-$P72-$R72-$T72</f>
        <v>48.600000000000037</v>
      </c>
      <c r="W72" s="2052"/>
      <c r="X72" s="1839"/>
      <c r="Y72" s="2052"/>
      <c r="Z72" s="1839"/>
      <c r="AA72" s="2053"/>
      <c r="AB72" s="2054"/>
      <c r="AC72" s="2055"/>
      <c r="AD72" s="1839">
        <v>537.1</v>
      </c>
      <c r="AE72" s="2054"/>
      <c r="AF72" s="2056"/>
      <c r="AG72" s="1839">
        <v>540.20000000000005</v>
      </c>
      <c r="AH72" s="1090"/>
      <c r="AI72" s="67"/>
      <c r="AJ72" s="911">
        <f>ROUND(SUM(+AD72-AG72),1)</f>
        <v>-3.1</v>
      </c>
      <c r="AK72" s="911"/>
      <c r="AL72" s="1774">
        <f>ROUND(IF(AG72=0,0,AJ72/ABS(AG72)),3)</f>
        <v>-6.0000000000000001E-3</v>
      </c>
    </row>
    <row r="73" spans="1:38" s="903" customFormat="1" ht="15" customHeight="1">
      <c r="A73" s="1087"/>
      <c r="B73" s="107" t="s">
        <v>180</v>
      </c>
      <c r="C73" s="107"/>
      <c r="D73" s="698">
        <v>70.099999999999994</v>
      </c>
      <c r="E73" s="830"/>
      <c r="F73" s="698">
        <v>76.300000000000011</v>
      </c>
      <c r="G73" s="830"/>
      <c r="H73" s="698">
        <v>96.4</v>
      </c>
      <c r="I73" s="830"/>
      <c r="J73" s="698">
        <v>81.599999999999966</v>
      </c>
      <c r="K73" s="1581"/>
      <c r="L73" s="698">
        <v>105.49999999999997</v>
      </c>
      <c r="M73" s="1581"/>
      <c r="N73" s="698">
        <v>186.40000000000006</v>
      </c>
      <c r="O73" s="1581"/>
      <c r="P73" s="1839">
        <v>133.10000000000005</v>
      </c>
      <c r="Q73" s="2052"/>
      <c r="R73" s="1839">
        <v>82.799999999999955</v>
      </c>
      <c r="S73" s="2052"/>
      <c r="T73" s="1839">
        <v>125.49999999999986</v>
      </c>
      <c r="U73" s="2052"/>
      <c r="V73" s="1839">
        <f t="shared" si="9"/>
        <v>142.90000000000012</v>
      </c>
      <c r="W73" s="2052"/>
      <c r="X73" s="1839"/>
      <c r="Y73" s="2052"/>
      <c r="Z73" s="1839"/>
      <c r="AA73" s="2053"/>
      <c r="AB73" s="2054"/>
      <c r="AC73" s="2055"/>
      <c r="AD73" s="1839">
        <v>1100.5999999999999</v>
      </c>
      <c r="AE73" s="2054"/>
      <c r="AF73" s="2056"/>
      <c r="AG73" s="1839">
        <v>1032.8999999999999</v>
      </c>
      <c r="AH73" s="1090"/>
      <c r="AI73" s="67"/>
      <c r="AJ73" s="911">
        <f>ROUND(SUM(+AD73-AG73),1)</f>
        <v>67.7</v>
      </c>
      <c r="AK73" s="911"/>
      <c r="AL73" s="1774">
        <f>ROUND(IF(AG73=0,0,AJ73/ABS(AG73)),3)</f>
        <v>6.6000000000000003E-2</v>
      </c>
    </row>
    <row r="74" spans="1:38" s="903" customFormat="1" ht="15" customHeight="1">
      <c r="A74" s="1087"/>
      <c r="B74" s="107" t="s">
        <v>156</v>
      </c>
      <c r="C74" s="107"/>
      <c r="D74" s="698">
        <v>21.4</v>
      </c>
      <c r="E74" s="830"/>
      <c r="F74" s="698">
        <v>24.1</v>
      </c>
      <c r="G74" s="830"/>
      <c r="H74" s="698">
        <v>34</v>
      </c>
      <c r="I74" s="830"/>
      <c r="J74" s="698">
        <v>35.599999999999994</v>
      </c>
      <c r="K74" s="1581"/>
      <c r="L74" s="698">
        <v>24.5</v>
      </c>
      <c r="M74" s="1581"/>
      <c r="N74" s="698">
        <v>24.5</v>
      </c>
      <c r="O74" s="1581"/>
      <c r="P74" s="1839">
        <v>26</v>
      </c>
      <c r="Q74" s="2052"/>
      <c r="R74" s="1839">
        <v>26.200000000000017</v>
      </c>
      <c r="S74" s="2052"/>
      <c r="T74" s="1839">
        <v>25.5</v>
      </c>
      <c r="U74" s="2052"/>
      <c r="V74" s="1839">
        <f t="shared" si="9"/>
        <v>36.700000000000017</v>
      </c>
      <c r="W74" s="2052"/>
      <c r="X74" s="1839"/>
      <c r="Y74" s="2052"/>
      <c r="Z74" s="1839"/>
      <c r="AA74" s="2053"/>
      <c r="AB74" s="2054"/>
      <c r="AC74" s="2055"/>
      <c r="AD74" s="1839">
        <v>278.5</v>
      </c>
      <c r="AE74" s="2054"/>
      <c r="AF74" s="2056"/>
      <c r="AG74" s="1839">
        <v>367.4</v>
      </c>
      <c r="AH74" s="1090"/>
      <c r="AI74" s="67"/>
      <c r="AJ74" s="911">
        <f>ROUND(SUM(+AD74-AG74),1)</f>
        <v>-88.9</v>
      </c>
      <c r="AK74" s="911"/>
      <c r="AL74" s="1774">
        <f>ROUND(IF(AG74=0,0,AJ74/ABS(AG74)),3)</f>
        <v>-0.24199999999999999</v>
      </c>
    </row>
    <row r="75" spans="1:38" s="903" customFormat="1" ht="15" customHeight="1">
      <c r="A75" s="1087"/>
      <c r="B75" s="107" t="s">
        <v>181</v>
      </c>
      <c r="C75" s="107"/>
      <c r="D75" s="698">
        <v>0</v>
      </c>
      <c r="E75" s="830"/>
      <c r="F75" s="698">
        <v>0</v>
      </c>
      <c r="G75" s="830"/>
      <c r="H75" s="698">
        <v>0</v>
      </c>
      <c r="I75" s="830"/>
      <c r="J75" s="698">
        <v>0</v>
      </c>
      <c r="K75" s="1581"/>
      <c r="L75" s="698">
        <v>0</v>
      </c>
      <c r="M75" s="1581"/>
      <c r="N75" s="698">
        <v>0</v>
      </c>
      <c r="O75" s="1581"/>
      <c r="P75" s="1839">
        <v>0</v>
      </c>
      <c r="Q75" s="2052"/>
      <c r="R75" s="1839">
        <v>0</v>
      </c>
      <c r="S75" s="2052"/>
      <c r="T75" s="1839">
        <v>0</v>
      </c>
      <c r="U75" s="2052"/>
      <c r="V75" s="1839">
        <f t="shared" si="9"/>
        <v>0</v>
      </c>
      <c r="W75" s="2052"/>
      <c r="X75" s="1839"/>
      <c r="Y75" s="2052"/>
      <c r="Z75" s="1839"/>
      <c r="AA75" s="2053"/>
      <c r="AB75" s="2054"/>
      <c r="AC75" s="2055"/>
      <c r="AD75" s="1839">
        <v>0</v>
      </c>
      <c r="AE75" s="2054"/>
      <c r="AF75" s="2056"/>
      <c r="AG75" s="1839">
        <v>0</v>
      </c>
      <c r="AH75" s="1090"/>
      <c r="AI75" s="67"/>
      <c r="AJ75" s="911">
        <f>ROUND(SUM(+AD75-AG75),1)</f>
        <v>0</v>
      </c>
      <c r="AK75" s="1040"/>
      <c r="AL75" s="1862">
        <f>ROUND(IF(AG75=0,0,AJ75/ABS(AG75)),3)</f>
        <v>0</v>
      </c>
    </row>
    <row r="76" spans="1:38" ht="15" customHeight="1">
      <c r="A76" s="150"/>
      <c r="B76" s="31"/>
      <c r="C76" s="31"/>
      <c r="D76" s="1892"/>
      <c r="E76" s="830"/>
      <c r="F76" s="702"/>
      <c r="G76" s="830"/>
      <c r="H76" s="702"/>
      <c r="I76" s="830"/>
      <c r="J76" s="702"/>
      <c r="K76" s="165"/>
      <c r="L76" s="88"/>
      <c r="M76" s="165"/>
      <c r="N76" s="88"/>
      <c r="O76" s="165"/>
      <c r="P76" s="2059"/>
      <c r="Q76" s="1500"/>
      <c r="R76" s="2059"/>
      <c r="S76" s="1500"/>
      <c r="T76" s="2059"/>
      <c r="U76" s="1500"/>
      <c r="V76" s="2105"/>
      <c r="W76" s="2049"/>
      <c r="X76" s="2105"/>
      <c r="Y76" s="2049"/>
      <c r="Z76" s="2105"/>
      <c r="AA76" s="2030"/>
      <c r="AB76" s="2045"/>
      <c r="AC76" s="2050"/>
      <c r="AD76" s="2105"/>
      <c r="AE76" s="2030"/>
      <c r="AF76" s="2051"/>
      <c r="AG76" s="2105"/>
      <c r="AH76" s="1090"/>
      <c r="AI76" s="67"/>
      <c r="AJ76" s="1058"/>
      <c r="AK76" s="1860"/>
      <c r="AL76" s="1485"/>
    </row>
    <row r="77" spans="1:38" ht="15" customHeight="1">
      <c r="A77" s="150"/>
      <c r="B77" s="29" t="s">
        <v>157</v>
      </c>
      <c r="C77" s="31"/>
      <c r="D77" s="938">
        <f>ROUND(SUM(D70:D75),1)</f>
        <v>4352.1000000000004</v>
      </c>
      <c r="E77" s="207"/>
      <c r="F77" s="938">
        <f>ROUND(SUM(F70:F75),1)</f>
        <v>5206.1000000000004</v>
      </c>
      <c r="G77" s="207"/>
      <c r="H77" s="938">
        <f>ROUND(SUM(H70:H75),1)</f>
        <v>4573.8</v>
      </c>
      <c r="I77" s="207"/>
      <c r="J77" s="938">
        <f>ROUND(SUM(J70:J75),1)</f>
        <v>4300.8999999999996</v>
      </c>
      <c r="K77" s="207"/>
      <c r="L77" s="938">
        <f>ROUND(SUM(L70:L75),1)</f>
        <v>4914</v>
      </c>
      <c r="M77" s="207"/>
      <c r="N77" s="938">
        <f>ROUND(SUM(N70:N75),1)</f>
        <v>4810.8</v>
      </c>
      <c r="O77" s="207"/>
      <c r="P77" s="1498">
        <f>ROUND(SUM(P70:P75),1)</f>
        <v>5664</v>
      </c>
      <c r="Q77" s="2064"/>
      <c r="R77" s="1498">
        <f>ROUND(SUM(R70:R75),1)</f>
        <v>5106.8</v>
      </c>
      <c r="S77" s="2064"/>
      <c r="T77" s="1498">
        <f>ROUND(SUM(T70:T75),1)</f>
        <v>4643.6000000000004</v>
      </c>
      <c r="U77" s="2064"/>
      <c r="V77" s="2104">
        <f>ROUND(SUM(V70:V75),1)</f>
        <v>5576.8</v>
      </c>
      <c r="W77" s="2104"/>
      <c r="X77" s="2104">
        <f>ROUND(SUM(X70:X75),1)</f>
        <v>0</v>
      </c>
      <c r="Y77" s="2104"/>
      <c r="Z77" s="2104">
        <f>ROUND(SUM(Z70:Z75),1)</f>
        <v>0</v>
      </c>
      <c r="AA77" s="2104"/>
      <c r="AB77" s="2231"/>
      <c r="AC77" s="2232"/>
      <c r="AD77" s="2104">
        <f>ROUND(SUM(AD70:AD75),1)</f>
        <v>49148.9</v>
      </c>
      <c r="AE77" s="1499"/>
      <c r="AF77" s="3287"/>
      <c r="AG77" s="2104">
        <f>ROUND(SUM(AG70:AG75),1)</f>
        <v>48073.7</v>
      </c>
      <c r="AH77" s="1867"/>
      <c r="AI77" s="115"/>
      <c r="AJ77" s="120">
        <f>ROUND(SUM(AD77-AG77),1)</f>
        <v>1075.2</v>
      </c>
      <c r="AK77" s="2235"/>
      <c r="AL77" s="2236">
        <f>ROUND(SUM((AD77-AG77)/ABS(AG77)),3)</f>
        <v>2.1999999999999999E-2</v>
      </c>
    </row>
    <row r="78" spans="1:38" ht="15" customHeight="1">
      <c r="A78" s="150"/>
      <c r="B78" s="31"/>
      <c r="C78" s="31"/>
      <c r="D78" s="1892"/>
      <c r="E78" s="830"/>
      <c r="F78" s="702"/>
      <c r="G78" s="830"/>
      <c r="H78" s="702"/>
      <c r="I78" s="830"/>
      <c r="J78" s="702"/>
      <c r="K78" s="165"/>
      <c r="L78" s="88"/>
      <c r="M78" s="165"/>
      <c r="N78" s="88"/>
      <c r="O78" s="165"/>
      <c r="P78" s="2059"/>
      <c r="Q78" s="1500"/>
      <c r="R78" s="2059"/>
      <c r="S78" s="1500"/>
      <c r="T78" s="2059"/>
      <c r="U78" s="1500"/>
      <c r="V78" s="2105"/>
      <c r="W78" s="2049"/>
      <c r="X78" s="2105"/>
      <c r="Y78" s="2049"/>
      <c r="Z78" s="2105"/>
      <c r="AA78" s="2030"/>
      <c r="AB78" s="2045"/>
      <c r="AC78" s="2050"/>
      <c r="AD78" s="2105"/>
      <c r="AE78" s="2030"/>
      <c r="AF78" s="2051"/>
      <c r="AG78" s="2105"/>
      <c r="AH78" s="1090"/>
      <c r="AI78" s="1106"/>
      <c r="AJ78" s="698"/>
      <c r="AK78" s="1860"/>
      <c r="AL78" s="1861"/>
    </row>
    <row r="79" spans="1:38" ht="15" customHeight="1">
      <c r="A79" s="150"/>
      <c r="B79" s="29" t="s">
        <v>158</v>
      </c>
      <c r="C79" s="31"/>
      <c r="D79" s="830"/>
      <c r="E79" s="830"/>
      <c r="F79" s="1575"/>
      <c r="G79" s="830"/>
      <c r="H79" s="1575"/>
      <c r="I79" s="830"/>
      <c r="J79" s="1575"/>
      <c r="K79" s="165"/>
      <c r="L79" s="66"/>
      <c r="M79" s="165"/>
      <c r="N79" s="66"/>
      <c r="O79" s="165"/>
      <c r="P79" s="2060"/>
      <c r="Q79" s="1500"/>
      <c r="R79" s="2060"/>
      <c r="S79" s="1500"/>
      <c r="T79" s="2060"/>
      <c r="U79" s="1500"/>
      <c r="V79" s="2049"/>
      <c r="W79" s="2049"/>
      <c r="X79" s="2049"/>
      <c r="Y79" s="2049"/>
      <c r="Z79" s="2049"/>
      <c r="AA79" s="2049"/>
      <c r="AB79" s="2045"/>
      <c r="AC79" s="2050"/>
      <c r="AD79" s="2030"/>
      <c r="AE79" s="3310"/>
      <c r="AF79" s="3314"/>
      <c r="AG79" s="2030"/>
      <c r="AH79" s="1090"/>
      <c r="AI79" s="2237"/>
      <c r="AJ79" s="698"/>
      <c r="AK79" s="1860"/>
      <c r="AL79" s="1861"/>
    </row>
    <row r="80" spans="1:38" ht="15" customHeight="1">
      <c r="A80" s="150"/>
      <c r="B80" s="29" t="s">
        <v>45</v>
      </c>
      <c r="C80" s="31"/>
      <c r="D80" s="938">
        <f>ROUND(SUM(D56-D77),1)</f>
        <v>1866.3</v>
      </c>
      <c r="E80" s="207"/>
      <c r="F80" s="938">
        <f>ROUND(SUM(F56-F77),1)</f>
        <v>-338.4</v>
      </c>
      <c r="G80" s="207"/>
      <c r="H80" s="938">
        <f>ROUND(SUM(H56-H77),1)</f>
        <v>1110.4000000000001</v>
      </c>
      <c r="I80" s="207"/>
      <c r="J80" s="938">
        <f>ROUND(SUM(J56-J77),1)</f>
        <v>-1169</v>
      </c>
      <c r="K80" s="207"/>
      <c r="L80" s="938">
        <f>ROUND(SUM(L56-L77),1)</f>
        <v>963.8</v>
      </c>
      <c r="M80" s="207"/>
      <c r="N80" s="938">
        <f>ROUND(SUM(N56-N77),1)</f>
        <v>684.6</v>
      </c>
      <c r="O80" s="207"/>
      <c r="P80" s="1498">
        <f>ROUND(SUM(P56-P77),1)</f>
        <v>-283.10000000000002</v>
      </c>
      <c r="Q80" s="2064"/>
      <c r="R80" s="1498">
        <f>ROUND(SUM(R56-R77),1)</f>
        <v>122.1</v>
      </c>
      <c r="S80" s="2064"/>
      <c r="T80" s="1498">
        <f>ROUND(SUM(T56-T77),1)</f>
        <v>1817.2</v>
      </c>
      <c r="U80" s="2064"/>
      <c r="V80" s="2104">
        <f>ROUND(SUM(V56-V77),1)</f>
        <v>-154.5</v>
      </c>
      <c r="W80" s="2104"/>
      <c r="X80" s="2104">
        <f>ROUND(SUM(X56-X77),1)</f>
        <v>0</v>
      </c>
      <c r="Y80" s="2104"/>
      <c r="Z80" s="2104">
        <f>ROUND(SUM(Z56-Z77),1)</f>
        <v>0</v>
      </c>
      <c r="AA80" s="2104"/>
      <c r="AB80" s="2231"/>
      <c r="AC80" s="2232"/>
      <c r="AD80" s="2104">
        <f>ROUND(SUM(AD56-AD77),1)</f>
        <v>4619.3999999999996</v>
      </c>
      <c r="AE80" s="1499"/>
      <c r="AF80" s="3287"/>
      <c r="AG80" s="2104">
        <f>ROUND(SUM(AG56-AG77),1)</f>
        <v>1480.5</v>
      </c>
      <c r="AH80" s="1867"/>
      <c r="AI80" s="115"/>
      <c r="AJ80" s="120">
        <f>ROUND(SUM(AD80-AG80),1)</f>
        <v>3138.9</v>
      </c>
      <c r="AK80" s="2238"/>
      <c r="AL80" s="3737">
        <f>ROUND(SUM((AD80-AG80)/ABS(AG80)),3)</f>
        <v>2.12</v>
      </c>
    </row>
    <row r="81" spans="1:51" ht="15" customHeight="1">
      <c r="A81" s="150"/>
      <c r="B81" s="31"/>
      <c r="C81" s="31"/>
      <c r="D81" s="1892"/>
      <c r="E81" s="830"/>
      <c r="F81" s="702"/>
      <c r="G81" s="830"/>
      <c r="H81" s="702"/>
      <c r="I81" s="830"/>
      <c r="J81" s="702"/>
      <c r="K81" s="165"/>
      <c r="L81" s="88"/>
      <c r="M81" s="165"/>
      <c r="N81" s="88"/>
      <c r="O81" s="165"/>
      <c r="P81" s="2059"/>
      <c r="Q81" s="1500"/>
      <c r="R81" s="2059"/>
      <c r="S81" s="1500"/>
      <c r="T81" s="2059"/>
      <c r="U81" s="1500"/>
      <c r="V81" s="2105"/>
      <c r="W81" s="2049"/>
      <c r="X81" s="2105"/>
      <c r="Y81" s="2049"/>
      <c r="Z81" s="2105"/>
      <c r="AA81" s="2030"/>
      <c r="AB81" s="2045"/>
      <c r="AC81" s="2050"/>
      <c r="AD81" s="2105"/>
      <c r="AE81" s="2030"/>
      <c r="AF81" s="2051"/>
      <c r="AG81" s="2105"/>
      <c r="AH81" s="1090"/>
      <c r="AI81" s="67"/>
      <c r="AJ81" s="698"/>
      <c r="AK81" s="1860"/>
      <c r="AL81" s="1861"/>
    </row>
    <row r="82" spans="1:51" ht="15" customHeight="1">
      <c r="A82" s="150"/>
      <c r="B82" s="29" t="s">
        <v>46</v>
      </c>
      <c r="C82" s="31"/>
      <c r="D82" s="830"/>
      <c r="E82" s="830"/>
      <c r="F82" s="1575"/>
      <c r="G82" s="830"/>
      <c r="H82" s="1575"/>
      <c r="I82" s="830"/>
      <c r="J82" s="1575"/>
      <c r="K82" s="165"/>
      <c r="L82" s="66"/>
      <c r="M82" s="165"/>
      <c r="N82" s="66"/>
      <c r="O82" s="165"/>
      <c r="P82" s="2060"/>
      <c r="Q82" s="1500"/>
      <c r="R82" s="2060"/>
      <c r="S82" s="1500"/>
      <c r="T82" s="2060"/>
      <c r="U82" s="1500"/>
      <c r="V82" s="2049"/>
      <c r="W82" s="2049"/>
      <c r="X82" s="2049"/>
      <c r="Y82" s="2049"/>
      <c r="Z82" s="2049"/>
      <c r="AA82" s="2049"/>
      <c r="AB82" s="2045"/>
      <c r="AC82" s="2050"/>
      <c r="AD82" s="2049"/>
      <c r="AE82" s="2030"/>
      <c r="AF82" s="2051"/>
      <c r="AG82" s="2049"/>
      <c r="AH82" s="1090"/>
      <c r="AI82" s="67"/>
      <c r="AJ82" s="698"/>
      <c r="AK82" s="1860"/>
      <c r="AL82" s="1861"/>
    </row>
    <row r="83" spans="1:51" s="903" customFormat="1" ht="15" customHeight="1">
      <c r="A83" s="1087"/>
      <c r="B83" s="107" t="s">
        <v>182</v>
      </c>
      <c r="C83" s="107"/>
      <c r="D83" s="698">
        <v>0</v>
      </c>
      <c r="E83" s="830"/>
      <c r="F83" s="698">
        <v>0</v>
      </c>
      <c r="G83" s="830"/>
      <c r="H83" s="698">
        <v>0</v>
      </c>
      <c r="I83" s="830"/>
      <c r="J83" s="698">
        <v>0</v>
      </c>
      <c r="K83" s="1581"/>
      <c r="L83" s="698">
        <v>0</v>
      </c>
      <c r="M83" s="1581"/>
      <c r="N83" s="698">
        <v>0</v>
      </c>
      <c r="O83" s="1581"/>
      <c r="P83" s="1839">
        <v>0</v>
      </c>
      <c r="Q83" s="2052"/>
      <c r="R83" s="1839">
        <v>0</v>
      </c>
      <c r="S83" s="2052"/>
      <c r="T83" s="1839">
        <v>0</v>
      </c>
      <c r="U83" s="2052"/>
      <c r="V83" s="1839">
        <f t="shared" ref="V83:V84" si="10">$AD83-$D83-$F83-$H83-$J83-$L83-$N83-$P83-$R83-$T83</f>
        <v>0</v>
      </c>
      <c r="W83" s="2052"/>
      <c r="X83" s="1839"/>
      <c r="Y83" s="2052"/>
      <c r="Z83" s="1839"/>
      <c r="AA83" s="2053"/>
      <c r="AB83" s="2054"/>
      <c r="AC83" s="2055"/>
      <c r="AD83" s="1839">
        <v>0</v>
      </c>
      <c r="AE83" s="2054"/>
      <c r="AF83" s="2056"/>
      <c r="AG83" s="1839">
        <v>0</v>
      </c>
      <c r="AH83" s="1090"/>
      <c r="AI83" s="67"/>
      <c r="AJ83" s="1584">
        <f>ROUND(SUM(+AD83-AG83),1)</f>
        <v>0</v>
      </c>
      <c r="AK83" s="1040"/>
      <c r="AL83" s="1774">
        <f>-ROUND(IF(AG83=0,0,AJ83/ABS(AG83)),3)</f>
        <v>0</v>
      </c>
    </row>
    <row r="84" spans="1:51" s="903" customFormat="1" ht="15" customHeight="1">
      <c r="A84" s="1087"/>
      <c r="B84" s="107" t="s">
        <v>183</v>
      </c>
      <c r="C84" s="107"/>
      <c r="D84" s="698">
        <v>-50.2</v>
      </c>
      <c r="E84" s="830"/>
      <c r="F84" s="698">
        <v>-298.5</v>
      </c>
      <c r="G84" s="830"/>
      <c r="H84" s="698">
        <v>-149.80000000000001</v>
      </c>
      <c r="I84" s="830"/>
      <c r="J84" s="698">
        <v>-118.89999999999992</v>
      </c>
      <c r="K84" s="1581"/>
      <c r="L84" s="698">
        <v>-210.70000000000005</v>
      </c>
      <c r="M84" s="1581"/>
      <c r="N84" s="698">
        <v>-76.5</v>
      </c>
      <c r="O84" s="1581"/>
      <c r="P84" s="1839">
        <v>-165.50000000000017</v>
      </c>
      <c r="Q84" s="2052"/>
      <c r="R84" s="1839">
        <v>-99.999999999999829</v>
      </c>
      <c r="S84" s="2052"/>
      <c r="T84" s="1839">
        <v>-351</v>
      </c>
      <c r="U84" s="2052"/>
      <c r="V84" s="1839">
        <f t="shared" si="10"/>
        <v>-284.10000000000014</v>
      </c>
      <c r="W84" s="2052"/>
      <c r="X84" s="1839"/>
      <c r="Y84" s="2052"/>
      <c r="Z84" s="1839"/>
      <c r="AA84" s="2053"/>
      <c r="AB84" s="2054"/>
      <c r="AC84" s="2055"/>
      <c r="AD84" s="1839">
        <v>-1805.2</v>
      </c>
      <c r="AE84" s="2054"/>
      <c r="AF84" s="2056"/>
      <c r="AG84" s="3582">
        <v>-1551.9</v>
      </c>
      <c r="AH84" s="1090"/>
      <c r="AI84" s="67"/>
      <c r="AJ84" s="1040">
        <f>ROUND(SUM(+AD84-AG84)*-1,1)</f>
        <v>253.3</v>
      </c>
      <c r="AK84" s="1040"/>
      <c r="AL84" s="1774">
        <f>ROUND(IF(AG84=0,0,AJ84/ABS(AG84)),3)</f>
        <v>0.16300000000000001</v>
      </c>
    </row>
    <row r="85" spans="1:51" ht="15" customHeight="1">
      <c r="A85" s="150"/>
      <c r="B85" s="31"/>
      <c r="C85" s="31"/>
      <c r="D85" s="168"/>
      <c r="E85" s="165"/>
      <c r="F85" s="88"/>
      <c r="G85" s="165"/>
      <c r="H85" s="88"/>
      <c r="I85" s="165"/>
      <c r="J85" s="88"/>
      <c r="K85" s="165"/>
      <c r="L85" s="3168"/>
      <c r="M85" s="165"/>
      <c r="N85" s="88"/>
      <c r="O85" s="165"/>
      <c r="P85" s="2059"/>
      <c r="Q85" s="1500"/>
      <c r="R85" s="2059"/>
      <c r="S85" s="1500"/>
      <c r="T85" s="2059"/>
      <c r="U85" s="1500"/>
      <c r="V85" s="2105"/>
      <c r="W85" s="2049"/>
      <c r="X85" s="2105"/>
      <c r="Y85" s="2049"/>
      <c r="Z85" s="2105"/>
      <c r="AA85" s="2030"/>
      <c r="AB85" s="2045"/>
      <c r="AC85" s="2050"/>
      <c r="AD85" s="2105"/>
      <c r="AE85" s="2030"/>
      <c r="AF85" s="2051"/>
      <c r="AG85" s="2030"/>
      <c r="AH85" s="1090"/>
      <c r="AI85" s="67"/>
      <c r="AJ85" s="2239"/>
      <c r="AK85" s="1860"/>
      <c r="AL85" s="2240"/>
    </row>
    <row r="86" spans="1:51" ht="15" customHeight="1">
      <c r="A86" s="150"/>
      <c r="B86" s="29" t="s">
        <v>1198</v>
      </c>
      <c r="C86" s="31"/>
      <c r="D86" s="62">
        <f>ROUND(SUM(D83:D85),1)</f>
        <v>-50.2</v>
      </c>
      <c r="E86" s="207"/>
      <c r="F86" s="62">
        <f>ROUND(SUM(F83:F85),1)</f>
        <v>-298.5</v>
      </c>
      <c r="G86" s="207"/>
      <c r="H86" s="62">
        <f>ROUND(SUM(H83:H85),1)</f>
        <v>-149.80000000000001</v>
      </c>
      <c r="I86" s="207"/>
      <c r="J86" s="62">
        <f>ROUND(SUM(J83:J85),1)</f>
        <v>-118.9</v>
      </c>
      <c r="K86" s="207"/>
      <c r="L86" s="938">
        <f>ROUND(SUM(L83:L85),1)</f>
        <v>-210.7</v>
      </c>
      <c r="M86" s="207"/>
      <c r="N86" s="62">
        <f>ROUND(SUM(N83:N85),1)</f>
        <v>-76.5</v>
      </c>
      <c r="O86" s="207"/>
      <c r="P86" s="1498">
        <f>ROUND(SUM(P83:P85),1)</f>
        <v>-165.5</v>
      </c>
      <c r="Q86" s="2064"/>
      <c r="R86" s="1498">
        <f>ROUND(SUM(R83:R85),1)</f>
        <v>-100</v>
      </c>
      <c r="S86" s="2064"/>
      <c r="T86" s="1498">
        <f>ROUND(SUM(T83:T85),1)</f>
        <v>-351</v>
      </c>
      <c r="U86" s="2064"/>
      <c r="V86" s="2104">
        <f>ROUND(SUM(V83:V85),1)</f>
        <v>-284.10000000000002</v>
      </c>
      <c r="W86" s="2104"/>
      <c r="X86" s="2104">
        <f>ROUND(SUM(X83:X85),1)</f>
        <v>0</v>
      </c>
      <c r="Y86" s="2104"/>
      <c r="Z86" s="2104">
        <f>ROUND(SUM(Z83:Z85),1)</f>
        <v>0</v>
      </c>
      <c r="AA86" s="2104"/>
      <c r="AB86" s="2231"/>
      <c r="AC86" s="2232"/>
      <c r="AD86" s="2104">
        <f>ROUND(SUM(AD83:AD85),1)</f>
        <v>-1805.2</v>
      </c>
      <c r="AE86" s="1499"/>
      <c r="AF86" s="3287"/>
      <c r="AG86" s="2104">
        <f>ROUND(SUM(AG83:AG84),1)</f>
        <v>-1551.9</v>
      </c>
      <c r="AH86" s="1867"/>
      <c r="AI86" s="115"/>
      <c r="AJ86" s="120">
        <f>-ROUND(SUM(AD86-AG86),1)</f>
        <v>253.3</v>
      </c>
      <c r="AK86" s="2233"/>
      <c r="AL86" s="2236">
        <f>ROUND(SUM((AD86-AG86)/(AG86)),3)</f>
        <v>0.16300000000000001</v>
      </c>
    </row>
    <row r="87" spans="1:51" ht="15" customHeight="1">
      <c r="A87" s="150"/>
      <c r="B87" s="31"/>
      <c r="C87" s="31"/>
      <c r="D87" s="168"/>
      <c r="E87" s="165"/>
      <c r="F87" s="168"/>
      <c r="G87" s="165"/>
      <c r="H87" s="168"/>
      <c r="I87" s="165"/>
      <c r="J87" s="168"/>
      <c r="K87" s="165"/>
      <c r="L87" s="168"/>
      <c r="M87" s="165"/>
      <c r="N87" s="168"/>
      <c r="O87" s="165"/>
      <c r="P87" s="1505"/>
      <c r="Q87" s="1500"/>
      <c r="R87" s="1505"/>
      <c r="S87" s="1500"/>
      <c r="T87" s="1505"/>
      <c r="U87" s="1500"/>
      <c r="V87" s="2105"/>
      <c r="W87" s="2049"/>
      <c r="X87" s="2105"/>
      <c r="Y87" s="2049"/>
      <c r="Z87" s="2105"/>
      <c r="AA87" s="2030"/>
      <c r="AB87" s="2045"/>
      <c r="AC87" s="2050"/>
      <c r="AD87" s="2105"/>
      <c r="AE87" s="2030"/>
      <c r="AF87" s="2051"/>
      <c r="AG87" s="2105"/>
      <c r="AH87" s="1090"/>
      <c r="AI87" s="67"/>
      <c r="AJ87" s="698"/>
      <c r="AK87" s="1860"/>
      <c r="AL87" s="1861"/>
    </row>
    <row r="88" spans="1:51" ht="15" customHeight="1">
      <c r="A88" s="150"/>
      <c r="B88" s="29" t="s">
        <v>166</v>
      </c>
      <c r="C88" s="31"/>
      <c r="D88" s="165"/>
      <c r="E88" s="165"/>
      <c r="F88" s="165"/>
      <c r="G88" s="165"/>
      <c r="H88" s="165"/>
      <c r="I88" s="165"/>
      <c r="J88" s="165"/>
      <c r="K88" s="165"/>
      <c r="L88" s="165"/>
      <c r="M88" s="165"/>
      <c r="N88" s="165"/>
      <c r="O88" s="165"/>
      <c r="P88" s="1500"/>
      <c r="Q88" s="1500"/>
      <c r="R88" s="1500"/>
      <c r="S88" s="1500"/>
      <c r="T88" s="1500"/>
      <c r="U88" s="1500"/>
      <c r="V88" s="2045"/>
      <c r="W88" s="2045"/>
      <c r="X88" s="2045"/>
      <c r="Y88" s="2045"/>
      <c r="Z88" s="2045"/>
      <c r="AA88" s="2045"/>
      <c r="AB88" s="2045"/>
      <c r="AC88" s="2050"/>
      <c r="AD88" s="2045"/>
      <c r="AE88" s="2072"/>
      <c r="AF88" s="3313"/>
      <c r="AG88" s="2045"/>
      <c r="AH88" s="1859"/>
      <c r="AI88" s="1108"/>
      <c r="AJ88" s="1860"/>
      <c r="AK88" s="1860"/>
      <c r="AL88" s="1861"/>
    </row>
    <row r="89" spans="1:51" ht="15" customHeight="1">
      <c r="A89" s="150"/>
      <c r="B89" s="29" t="s">
        <v>167</v>
      </c>
      <c r="C89" s="31"/>
      <c r="D89" s="165"/>
      <c r="E89" s="165"/>
      <c r="F89" s="165"/>
      <c r="G89" s="165"/>
      <c r="H89" s="165"/>
      <c r="I89" s="165"/>
      <c r="J89" s="165"/>
      <c r="K89" s="165"/>
      <c r="L89" s="165"/>
      <c r="M89" s="165"/>
      <c r="N89" s="165"/>
      <c r="O89" s="165"/>
      <c r="P89" s="1500"/>
      <c r="Q89" s="1500"/>
      <c r="R89" s="1500"/>
      <c r="S89" s="1500"/>
      <c r="T89" s="1500"/>
      <c r="U89" s="1500"/>
      <c r="V89" s="2045"/>
      <c r="W89" s="2045"/>
      <c r="X89" s="2045"/>
      <c r="Y89" s="2045"/>
      <c r="Z89" s="2045"/>
      <c r="AA89" s="2045"/>
      <c r="AB89" s="2045"/>
      <c r="AC89" s="2050"/>
      <c r="AD89" s="2045"/>
      <c r="AE89" s="2072"/>
      <c r="AF89" s="3313"/>
      <c r="AG89" s="3637"/>
      <c r="AH89" s="1859"/>
      <c r="AI89" s="1108"/>
      <c r="AJ89" s="1860"/>
      <c r="AK89" s="1860"/>
      <c r="AL89" s="1861"/>
    </row>
    <row r="90" spans="1:51" ht="15" customHeight="1">
      <c r="A90" s="150"/>
      <c r="B90" s="29" t="s">
        <v>1199</v>
      </c>
      <c r="C90" s="31"/>
      <c r="D90" s="844">
        <f>ROUND(SUM(D80+D86),1)</f>
        <v>1816.1</v>
      </c>
      <c r="E90" s="165"/>
      <c r="F90" s="2114">
        <f>ROUND(SUM(F80+F86),1)</f>
        <v>-636.9</v>
      </c>
      <c r="G90" s="165"/>
      <c r="H90" s="844">
        <f>ROUND(SUM(H80+H86),1)</f>
        <v>960.6</v>
      </c>
      <c r="I90" s="56"/>
      <c r="J90" s="844">
        <f>ROUND(SUM(J80+J86),1)</f>
        <v>-1287.9000000000001</v>
      </c>
      <c r="K90" s="56"/>
      <c r="L90" s="844">
        <f>ROUND(SUM(L80+L86),1)</f>
        <v>753.1</v>
      </c>
      <c r="M90" s="56"/>
      <c r="N90" s="844">
        <f>ROUND(SUM(N80+N86),1)</f>
        <v>608.1</v>
      </c>
      <c r="O90" s="56"/>
      <c r="P90" s="2074">
        <f>ROUND(SUM(P80+P86),1)</f>
        <v>-448.6</v>
      </c>
      <c r="Q90" s="2061"/>
      <c r="R90" s="2074">
        <f>ROUND(SUM(R80+R86),1)</f>
        <v>22.1</v>
      </c>
      <c r="S90" s="2061"/>
      <c r="T90" s="2074">
        <f>ROUND(SUM(T80+T86),1)</f>
        <v>1466.2</v>
      </c>
      <c r="U90" s="2061"/>
      <c r="V90" s="1606">
        <f>ROUND(SUM(V80+V86),1)</f>
        <v>-438.6</v>
      </c>
      <c r="W90" s="2030"/>
      <c r="X90" s="1606">
        <f>ROUND(SUM(X80+X86),1)</f>
        <v>0</v>
      </c>
      <c r="Y90" s="2030"/>
      <c r="Z90" s="1606">
        <f>ROUND(SUM(Z80+Z86),1)</f>
        <v>0</v>
      </c>
      <c r="AA90" s="2030"/>
      <c r="AB90" s="2241"/>
      <c r="AC90" s="2030"/>
      <c r="AD90" s="1606">
        <f>ROUND(SUM(AD80+AD86),1)</f>
        <v>2814.2</v>
      </c>
      <c r="AE90" s="3311"/>
      <c r="AF90" s="2030"/>
      <c r="AG90" s="1606">
        <f>ROUND(SUM(AG80+AG86),1)</f>
        <v>-71.400000000000006</v>
      </c>
      <c r="AH90" s="1859"/>
      <c r="AI90" s="67"/>
      <c r="AJ90" s="1126">
        <f>ROUND(SUM(AJ80-AJ86),1)</f>
        <v>2885.6</v>
      </c>
      <c r="AK90" s="1047"/>
      <c r="AL90" s="2242">
        <f>ROUND(SUM((AD90-AG90)/ABS(AG90)),3)</f>
        <v>40.414999999999999</v>
      </c>
    </row>
    <row r="91" spans="1:51" ht="15" customHeight="1">
      <c r="A91" s="150"/>
      <c r="B91" s="31"/>
      <c r="C91" s="31"/>
      <c r="D91" s="37"/>
      <c r="E91" s="30"/>
      <c r="F91" s="37"/>
      <c r="G91" s="30"/>
      <c r="H91" s="37"/>
      <c r="I91" s="30"/>
      <c r="J91" s="37"/>
      <c r="K91" s="30"/>
      <c r="L91" s="37"/>
      <c r="M91" s="30"/>
      <c r="N91" s="37"/>
      <c r="O91" s="30"/>
      <c r="P91" s="2075"/>
      <c r="Q91" s="2076"/>
      <c r="R91" s="2075"/>
      <c r="S91" s="2076"/>
      <c r="T91" s="2073"/>
      <c r="U91" s="2076"/>
      <c r="V91" s="2243"/>
      <c r="W91" s="2244"/>
      <c r="X91" s="2243"/>
      <c r="Y91" s="2244"/>
      <c r="Z91" s="2243"/>
      <c r="AA91" s="2243"/>
      <c r="AB91" s="2244"/>
      <c r="AC91" s="2245"/>
      <c r="AD91" s="2243"/>
      <c r="AE91" s="2243"/>
      <c r="AF91" s="2245"/>
      <c r="AG91" s="2243"/>
      <c r="AH91" s="1108"/>
      <c r="AI91" s="2246"/>
      <c r="AJ91" s="2247"/>
      <c r="AK91" s="1860"/>
      <c r="AL91" s="1861" t="s">
        <v>15</v>
      </c>
    </row>
    <row r="92" spans="1:51" ht="20.25" customHeight="1" thickBot="1">
      <c r="A92" s="150"/>
      <c r="B92" s="29" t="s">
        <v>1209</v>
      </c>
      <c r="C92" s="31"/>
      <c r="D92" s="1912">
        <f>ROUND(SUM(+D13+D90),1)</f>
        <v>567.70000000000005</v>
      </c>
      <c r="E92" s="30"/>
      <c r="F92" s="1912">
        <f>ROUND(SUM(+F13+F90),1)</f>
        <v>-69.2</v>
      </c>
      <c r="G92" s="30"/>
      <c r="H92" s="1912">
        <f>ROUND(SUM(+H13+H90),1)</f>
        <v>891.4</v>
      </c>
      <c r="I92" s="30"/>
      <c r="J92" s="1912">
        <f>ROUND(SUM(+J13+J90),1)</f>
        <v>-396.5</v>
      </c>
      <c r="K92" s="30"/>
      <c r="L92" s="1912">
        <f>ROUND(SUM(+L13+L90),1)</f>
        <v>356.6</v>
      </c>
      <c r="M92" s="30"/>
      <c r="N92" s="1912">
        <f>ROUND(SUM(+N13+N90),1)</f>
        <v>964.7</v>
      </c>
      <c r="O92" s="30"/>
      <c r="P92" s="2077">
        <f>ROUND(SUM(+P13+P90),1)</f>
        <v>516.1</v>
      </c>
      <c r="Q92" s="2076"/>
      <c r="R92" s="2077">
        <f>ROUND(SUM(+R13+R90),1)</f>
        <v>538.20000000000005</v>
      </c>
      <c r="S92" s="2076"/>
      <c r="T92" s="2077">
        <f>ROUND(SUM(+T13+T90),1)</f>
        <v>2004.4</v>
      </c>
      <c r="U92" s="2076"/>
      <c r="V92" s="2248">
        <f>ROUND(SUM(+V13+V90),1)</f>
        <v>1565.8</v>
      </c>
      <c r="W92" s="2244"/>
      <c r="X92" s="2248">
        <f>ROUND(SUM(+X13+X90),1)</f>
        <v>0</v>
      </c>
      <c r="Y92" s="2244"/>
      <c r="Z92" s="2248">
        <f>ROUND(SUM(+Z13+Z90),1)</f>
        <v>0</v>
      </c>
      <c r="AA92" s="2243"/>
      <c r="AB92" s="2244"/>
      <c r="AC92" s="2245"/>
      <c r="AD92" s="2248">
        <f>ROUND(SUM(+AD13+AD90),1)</f>
        <v>1565.8</v>
      </c>
      <c r="AE92" s="2243"/>
      <c r="AF92" s="2245"/>
      <c r="AG92" s="2248">
        <f>ROUND(SUM(+AG13+AG90),1)</f>
        <v>222.2</v>
      </c>
      <c r="AH92" s="1108"/>
      <c r="AI92" s="2246"/>
      <c r="AJ92" s="1902">
        <f>ROUND(SUM(+AJ13+AJ90),1)</f>
        <v>1343.6</v>
      </c>
      <c r="AK92" s="1860"/>
      <c r="AL92" s="2249">
        <f>ROUND(+AJ92/ABS(AG92),3)</f>
        <v>6.0469999999999997</v>
      </c>
    </row>
    <row r="93" spans="1:51" ht="15" customHeight="1" thickTop="1">
      <c r="B93" s="30"/>
      <c r="C93" s="30"/>
      <c r="D93" s="269"/>
      <c r="E93" s="269"/>
      <c r="F93" s="269"/>
      <c r="G93" s="269"/>
      <c r="H93" s="269"/>
      <c r="I93" s="269"/>
      <c r="J93" s="269"/>
      <c r="K93" s="269"/>
      <c r="L93" s="269"/>
      <c r="M93" s="269"/>
      <c r="N93" s="269"/>
      <c r="O93" s="269"/>
      <c r="P93" s="2078"/>
      <c r="Q93" s="2078"/>
      <c r="R93" s="2078"/>
      <c r="S93" s="2078"/>
      <c r="T93" s="2078"/>
      <c r="U93" s="2078"/>
      <c r="V93" s="2250"/>
      <c r="W93" s="2250"/>
      <c r="X93" s="2250"/>
      <c r="Y93" s="2250"/>
      <c r="Z93" s="2250"/>
      <c r="AA93" s="2250"/>
      <c r="AB93" s="2250"/>
      <c r="AC93" s="2250"/>
      <c r="AD93" s="2250"/>
      <c r="AE93" s="2250"/>
      <c r="AF93" s="2250"/>
      <c r="AG93" s="2250"/>
      <c r="AH93" s="2178"/>
      <c r="AI93" s="2178"/>
      <c r="AJ93" s="1037"/>
      <c r="AK93" s="1037"/>
      <c r="AL93" s="1868"/>
      <c r="AM93" s="297"/>
      <c r="AN93" s="297"/>
      <c r="AO93" s="297"/>
      <c r="AP93" s="297"/>
      <c r="AQ93" s="297"/>
      <c r="AR93" s="297"/>
      <c r="AS93" s="297"/>
      <c r="AT93" s="297"/>
      <c r="AU93" s="297"/>
      <c r="AV93" s="297"/>
      <c r="AW93" s="297"/>
      <c r="AX93" s="297"/>
      <c r="AY93" s="297"/>
    </row>
    <row r="94" spans="1:51" ht="15" customHeight="1">
      <c r="B94" s="936"/>
      <c r="C94" s="30"/>
      <c r="D94" s="30"/>
      <c r="E94" s="30"/>
      <c r="F94" s="30"/>
      <c r="G94" s="30"/>
      <c r="H94" s="30"/>
      <c r="I94" s="30"/>
      <c r="J94" s="30"/>
      <c r="K94" s="30"/>
      <c r="L94" s="30"/>
      <c r="M94" s="30"/>
      <c r="N94" s="30"/>
      <c r="O94" s="30"/>
      <c r="P94" s="2076"/>
      <c r="Q94" s="2076"/>
      <c r="R94" s="2076"/>
      <c r="S94" s="2076"/>
      <c r="T94" s="2076"/>
      <c r="U94" s="2076"/>
      <c r="V94" s="2244"/>
      <c r="W94" s="2244"/>
      <c r="X94" s="2244"/>
      <c r="Y94" s="2244"/>
      <c r="Z94" s="2244"/>
      <c r="AA94" s="2244"/>
      <c r="AB94" s="2244"/>
      <c r="AC94" s="2244"/>
      <c r="AD94" s="2244"/>
      <c r="AE94" s="2244"/>
      <c r="AF94" s="2244"/>
      <c r="AG94" s="2244"/>
      <c r="AH94" s="106"/>
      <c r="AI94" s="106"/>
      <c r="AJ94" s="904"/>
      <c r="AK94" s="904"/>
      <c r="AL94" s="1868"/>
    </row>
    <row r="95" spans="1:51" ht="15" customHeight="1">
      <c r="B95" s="30"/>
      <c r="P95" s="2079"/>
      <c r="Q95" s="2079"/>
      <c r="R95" s="2079"/>
      <c r="S95" s="2079"/>
      <c r="T95" s="2079"/>
      <c r="U95" s="2079"/>
      <c r="V95" s="2251"/>
      <c r="W95" s="2251"/>
      <c r="X95" s="2251"/>
      <c r="Y95" s="2251"/>
      <c r="Z95" s="2251"/>
      <c r="AA95" s="2251"/>
      <c r="AB95" s="2251"/>
      <c r="AC95" s="2251"/>
      <c r="AD95" s="2251"/>
      <c r="AE95" s="2251"/>
      <c r="AF95" s="2251"/>
      <c r="AG95" s="2251"/>
      <c r="AH95" s="903"/>
      <c r="AI95" s="903"/>
      <c r="AJ95" s="903"/>
      <c r="AK95" s="903"/>
      <c r="AL95" s="2252"/>
    </row>
    <row r="96" spans="1:51" ht="15" customHeight="1">
      <c r="B96" s="30"/>
      <c r="P96" s="2079"/>
      <c r="Q96" s="2079"/>
      <c r="R96" s="2079"/>
      <c r="S96" s="2079"/>
      <c r="T96" s="2079"/>
      <c r="U96" s="2079"/>
      <c r="V96" s="2251"/>
      <c r="W96" s="2251"/>
      <c r="X96" s="2251"/>
      <c r="Y96" s="2251"/>
      <c r="Z96" s="2251"/>
      <c r="AA96" s="2251"/>
      <c r="AB96" s="2251"/>
      <c r="AC96" s="2251"/>
      <c r="AD96" s="2251"/>
      <c r="AE96" s="2251"/>
      <c r="AF96" s="2251"/>
      <c r="AG96" s="2251"/>
      <c r="AH96" s="903"/>
      <c r="AI96" s="903"/>
      <c r="AJ96" s="903"/>
      <c r="AK96" s="903"/>
      <c r="AL96" s="2252"/>
    </row>
    <row r="97" spans="16:38" ht="15" customHeight="1">
      <c r="P97" s="2079"/>
      <c r="Q97" s="2079"/>
      <c r="R97" s="2079"/>
      <c r="S97" s="2079"/>
      <c r="T97" s="2079"/>
      <c r="U97" s="2079"/>
      <c r="V97" s="2251"/>
      <c r="W97" s="2251"/>
      <c r="X97" s="2251"/>
      <c r="Y97" s="2251"/>
      <c r="Z97" s="2251"/>
      <c r="AA97" s="2251"/>
      <c r="AB97" s="2251"/>
      <c r="AC97" s="2251"/>
      <c r="AD97" s="2251"/>
      <c r="AE97" s="2251"/>
      <c r="AF97" s="2251"/>
      <c r="AG97" s="2251"/>
      <c r="AH97" s="903"/>
      <c r="AI97" s="903"/>
      <c r="AJ97" s="903"/>
      <c r="AK97" s="903"/>
      <c r="AL97" s="2252"/>
    </row>
    <row r="98" spans="16:38" ht="15" customHeight="1">
      <c r="P98" s="2079"/>
      <c r="Q98" s="2079"/>
      <c r="R98" s="2079"/>
      <c r="S98" s="2079"/>
      <c r="T98" s="2079"/>
      <c r="U98" s="2079"/>
      <c r="V98" s="2251"/>
      <c r="W98" s="2251"/>
      <c r="X98" s="2251"/>
      <c r="Y98" s="2251"/>
      <c r="Z98" s="2251"/>
      <c r="AA98" s="2251"/>
      <c r="AB98" s="2251"/>
      <c r="AC98" s="2251"/>
      <c r="AD98" s="2251"/>
      <c r="AE98" s="2251"/>
      <c r="AF98" s="2251"/>
      <c r="AG98" s="2251"/>
      <c r="AH98" s="903"/>
      <c r="AI98" s="903"/>
      <c r="AJ98" s="903"/>
      <c r="AK98" s="903"/>
      <c r="AL98" s="2252"/>
    </row>
    <row r="99" spans="16:38" ht="15" customHeight="1">
      <c r="P99" s="2079"/>
      <c r="Q99" s="2079"/>
      <c r="R99" s="2079"/>
      <c r="S99" s="2079"/>
      <c r="T99" s="2079"/>
      <c r="U99" s="2079"/>
      <c r="V99" s="2251"/>
      <c r="W99" s="2251"/>
      <c r="X99" s="2251"/>
      <c r="Y99" s="2251"/>
      <c r="Z99" s="2251"/>
      <c r="AA99" s="2251"/>
      <c r="AB99" s="2251"/>
      <c r="AC99" s="2251"/>
      <c r="AD99" s="2251"/>
      <c r="AE99" s="2251"/>
      <c r="AF99" s="2251"/>
      <c r="AG99" s="2251"/>
      <c r="AH99" s="903"/>
      <c r="AI99" s="903"/>
      <c r="AJ99" s="903"/>
      <c r="AK99" s="903"/>
      <c r="AL99" s="2252"/>
    </row>
    <row r="100" spans="16:38" ht="15" customHeight="1">
      <c r="V100" s="903"/>
      <c r="W100" s="903"/>
      <c r="X100" s="903"/>
      <c r="Y100" s="903"/>
      <c r="Z100" s="903"/>
      <c r="AA100" s="903"/>
      <c r="AB100" s="903"/>
      <c r="AC100" s="903"/>
      <c r="AH100" s="903"/>
      <c r="AI100" s="903"/>
      <c r="AJ100" s="903"/>
      <c r="AK100" s="903"/>
      <c r="AL100" s="2252"/>
    </row>
    <row r="101" spans="16:38" ht="15" customHeight="1">
      <c r="V101" s="903"/>
      <c r="W101" s="903"/>
      <c r="X101" s="903"/>
      <c r="Y101" s="903"/>
      <c r="Z101" s="903"/>
      <c r="AA101" s="903"/>
      <c r="AB101" s="903"/>
      <c r="AC101" s="903"/>
      <c r="AH101" s="903"/>
      <c r="AI101" s="903"/>
      <c r="AJ101" s="903"/>
      <c r="AK101" s="903"/>
      <c r="AL101" s="2252"/>
    </row>
    <row r="102" spans="16:38" ht="15" customHeight="1">
      <c r="V102" s="903"/>
      <c r="W102" s="903"/>
      <c r="X102" s="903"/>
      <c r="Y102" s="903"/>
      <c r="Z102" s="903"/>
      <c r="AA102" s="903"/>
      <c r="AB102" s="903"/>
      <c r="AC102" s="903"/>
      <c r="AH102" s="903"/>
      <c r="AI102" s="903"/>
      <c r="AJ102" s="903"/>
      <c r="AK102" s="903"/>
      <c r="AL102" s="2252"/>
    </row>
    <row r="103" spans="16:38" ht="15" customHeight="1">
      <c r="V103" s="903"/>
      <c r="W103" s="903"/>
      <c r="X103" s="903"/>
      <c r="Y103" s="903"/>
      <c r="Z103" s="903"/>
      <c r="AA103" s="903"/>
      <c r="AB103" s="903"/>
      <c r="AC103" s="903"/>
      <c r="AH103" s="903"/>
      <c r="AI103" s="903"/>
      <c r="AJ103" s="903"/>
      <c r="AK103" s="903"/>
      <c r="AL103" s="2252"/>
    </row>
    <row r="104" spans="16:38" ht="15" customHeight="1">
      <c r="V104" s="903"/>
      <c r="W104" s="903"/>
      <c r="X104" s="903"/>
      <c r="Y104" s="903"/>
      <c r="Z104" s="903"/>
      <c r="AA104" s="903"/>
      <c r="AB104" s="903"/>
      <c r="AC104" s="903"/>
      <c r="AH104" s="903"/>
      <c r="AI104" s="903"/>
      <c r="AJ104" s="903"/>
      <c r="AK104" s="903"/>
      <c r="AL104" s="2252"/>
    </row>
    <row r="105" spans="16:38" ht="15" customHeight="1">
      <c r="AL105" s="1486"/>
    </row>
    <row r="106" spans="16:38" ht="15" customHeight="1">
      <c r="AL106" s="1486"/>
    </row>
    <row r="107" spans="16:38" ht="15" customHeight="1">
      <c r="AL107" s="1486"/>
    </row>
    <row r="108" spans="16:38" ht="15" customHeight="1">
      <c r="AL108" s="1486"/>
    </row>
    <row r="109" spans="16:38" ht="15" customHeight="1">
      <c r="AL109" s="1486"/>
    </row>
    <row r="110" spans="16:38" ht="15" customHeight="1">
      <c r="AL110" s="1486"/>
    </row>
    <row r="111" spans="16:38" ht="15" customHeight="1">
      <c r="AL111" s="1486"/>
    </row>
    <row r="112" spans="16:38" ht="15" customHeight="1">
      <c r="AL112" s="1486"/>
    </row>
    <row r="113" spans="38:38" ht="15" customHeight="1">
      <c r="AL113" s="1486"/>
    </row>
    <row r="114" spans="38:38" ht="15" customHeight="1">
      <c r="AL114" s="1486"/>
    </row>
    <row r="115" spans="38:38" ht="15" customHeight="1">
      <c r="AL115" s="1486"/>
    </row>
    <row r="116" spans="38:38" ht="15" customHeight="1">
      <c r="AL116" s="1486"/>
    </row>
    <row r="117" spans="38:38" ht="15" customHeight="1">
      <c r="AL117" s="1486"/>
    </row>
    <row r="118" spans="38:38" ht="15" customHeight="1">
      <c r="AL118" s="1486"/>
    </row>
    <row r="119" spans="38:38" ht="15" customHeight="1">
      <c r="AL119" s="1486"/>
    </row>
    <row r="120" spans="38:38" ht="15" customHeight="1">
      <c r="AL120" s="1486"/>
    </row>
    <row r="121" spans="38:38" ht="15" customHeight="1">
      <c r="AL121" s="1486"/>
    </row>
    <row r="122" spans="38:38" ht="15" customHeight="1">
      <c r="AL122" s="1486"/>
    </row>
    <row r="123" spans="38:38" ht="15" customHeight="1">
      <c r="AL123" s="1486"/>
    </row>
    <row r="124" spans="38:38" ht="15" customHeight="1">
      <c r="AL124" s="1486"/>
    </row>
    <row r="125" spans="38:38" ht="15" customHeight="1">
      <c r="AL125" s="1486"/>
    </row>
    <row r="126" spans="38:38" ht="15" customHeight="1">
      <c r="AL126" s="1486"/>
    </row>
    <row r="127" spans="38:38" ht="15" customHeight="1">
      <c r="AL127" s="1486"/>
    </row>
    <row r="128" spans="38:38" ht="15" customHeight="1">
      <c r="AL128" s="1486"/>
    </row>
    <row r="129" spans="38:38" ht="15" customHeight="1">
      <c r="AL129" s="1486"/>
    </row>
    <row r="130" spans="38:38" ht="15" customHeight="1">
      <c r="AL130" s="1486"/>
    </row>
    <row r="131" spans="38:38" ht="15" customHeight="1">
      <c r="AL131" s="1486"/>
    </row>
    <row r="132" spans="38:38" ht="15" customHeight="1">
      <c r="AL132" s="1486"/>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52" customWidth="1"/>
    <col min="2" max="2" width="10.44140625" style="2752" customWidth="1"/>
    <col min="3" max="3" width="1.109375" style="2752" customWidth="1"/>
    <col min="4" max="4" width="10" style="2752" customWidth="1"/>
    <col min="5" max="5" width="1.109375" style="2752" customWidth="1"/>
    <col min="6" max="6" width="9.109375" style="2753" customWidth="1"/>
    <col min="7" max="7" width="1.109375" style="2752" customWidth="1"/>
    <col min="8" max="8" width="10" style="2752" customWidth="1"/>
    <col min="9" max="9" width="1.109375" style="2752" customWidth="1"/>
    <col min="10" max="10" width="9.44140625" style="2752" customWidth="1"/>
    <col min="11" max="11" width="1.109375" style="2752" customWidth="1"/>
    <col min="12" max="12" width="11.109375" style="2752" customWidth="1"/>
    <col min="13" max="13" width="1.109375" style="2752" customWidth="1"/>
    <col min="14" max="14" width="10.88671875" style="2752" customWidth="1"/>
    <col min="15" max="15" width="1.88671875" style="2752" customWidth="1"/>
    <col min="16" max="16" width="11" style="2752" customWidth="1"/>
    <col min="17" max="17" width="1.109375" style="2752" customWidth="1"/>
    <col min="18" max="18" width="10.88671875" style="2752" customWidth="1"/>
    <col min="19" max="19" width="1.109375" style="2752" customWidth="1"/>
    <col min="20" max="20" width="10" style="2752" customWidth="1"/>
    <col min="21" max="21" width="1.109375" style="2752" customWidth="1"/>
    <col min="22" max="22" width="12.88671875" style="2752" customWidth="1"/>
    <col min="23" max="23" width="1.109375" style="2752" customWidth="1"/>
    <col min="24" max="24" width="11.109375" style="2752" bestFit="1" customWidth="1"/>
    <col min="25" max="25" width="1.109375" style="2752" customWidth="1"/>
    <col min="26" max="26" width="0.88671875" style="2752" customWidth="1"/>
    <col min="27" max="27" width="10.5546875" style="2752" customWidth="1"/>
    <col min="28" max="28" width="2.109375" style="2752" customWidth="1"/>
    <col min="29" max="29" width="0.88671875" style="2752" customWidth="1"/>
    <col min="30" max="30" width="11" style="2752" bestFit="1" customWidth="1"/>
    <col min="31" max="32" width="0.88671875" style="2752" customWidth="1"/>
    <col min="33" max="33" width="9.88671875" style="2752" customWidth="1"/>
    <col min="34" max="34" width="1.109375" style="2752" customWidth="1"/>
    <col min="35" max="35" width="11" style="2752" customWidth="1"/>
    <col min="36" max="36" width="14.5546875" style="2754" customWidth="1"/>
    <col min="37" max="252" width="8.88671875" style="2752"/>
    <col min="253" max="253" width="38.44140625" style="2752" customWidth="1"/>
    <col min="254" max="254" width="8.5546875" style="2752" customWidth="1"/>
    <col min="255" max="255" width="1.109375" style="2752" customWidth="1"/>
    <col min="256" max="256" width="8.88671875" style="2752" customWidth="1"/>
    <col min="257" max="257" width="1.109375" style="2752" customWidth="1"/>
    <col min="258" max="258" width="9.109375" style="2752" customWidth="1"/>
    <col min="259" max="259" width="1.109375" style="2752" customWidth="1"/>
    <col min="260" max="260" width="10" style="2752" customWidth="1"/>
    <col min="261" max="261" width="1.109375" style="2752" customWidth="1"/>
    <col min="262" max="262" width="9.109375" style="2752" customWidth="1"/>
    <col min="263" max="263" width="1.109375" style="2752" customWidth="1"/>
    <col min="264" max="264" width="11.109375" style="2752" customWidth="1"/>
    <col min="265" max="265" width="1.109375" style="2752" customWidth="1"/>
    <col min="266" max="266" width="9.109375" style="2752" customWidth="1"/>
    <col min="267" max="267" width="1.88671875" style="2752" customWidth="1"/>
    <col min="268" max="268" width="11" style="2752" customWidth="1"/>
    <col min="269" max="269" width="1.109375" style="2752" customWidth="1"/>
    <col min="270" max="270" width="10.88671875" style="2752" customWidth="1"/>
    <col min="271" max="271" width="1.109375" style="2752" customWidth="1"/>
    <col min="272" max="272" width="10" style="2752" customWidth="1"/>
    <col min="273" max="273" width="1.109375" style="2752" customWidth="1"/>
    <col min="274" max="274" width="9.109375" style="2752" customWidth="1"/>
    <col min="275" max="275" width="1.109375" style="2752" customWidth="1"/>
    <col min="276" max="276" width="7.88671875" style="2752" customWidth="1"/>
    <col min="277" max="277" width="1.109375" style="2752" customWidth="1"/>
    <col min="278" max="278" width="0.88671875" style="2752" customWidth="1"/>
    <col min="279" max="279" width="9.109375" style="2752" customWidth="1"/>
    <col min="280" max="280" width="1.109375" style="2752" customWidth="1"/>
    <col min="281" max="281" width="0.88671875" style="2752" customWidth="1"/>
    <col min="282" max="282" width="9.5546875" style="2752" bestFit="1" customWidth="1"/>
    <col min="283" max="284" width="0.88671875" style="2752" customWidth="1"/>
    <col min="285" max="285" width="9.88671875" style="2752" customWidth="1"/>
    <col min="286" max="286" width="1.109375" style="2752" customWidth="1"/>
    <col min="287" max="287" width="8.5546875" style="2752" customWidth="1"/>
    <col min="288" max="288" width="14.5546875" style="2752" customWidth="1"/>
    <col min="289" max="289" width="10" style="2752" customWidth="1"/>
    <col min="290" max="290" width="7.88671875" style="2752" bestFit="1" customWidth="1"/>
    <col min="291" max="291" width="9.88671875" style="2752" customWidth="1"/>
    <col min="292" max="508" width="8.88671875" style="2752"/>
    <col min="509" max="509" width="38.44140625" style="2752" customWidth="1"/>
    <col min="510" max="510" width="8.5546875" style="2752" customWidth="1"/>
    <col min="511" max="511" width="1.109375" style="2752" customWidth="1"/>
    <col min="512" max="512" width="8.88671875" style="2752" customWidth="1"/>
    <col min="513" max="513" width="1.109375" style="2752" customWidth="1"/>
    <col min="514" max="514" width="9.109375" style="2752" customWidth="1"/>
    <col min="515" max="515" width="1.109375" style="2752" customWidth="1"/>
    <col min="516" max="516" width="10" style="2752" customWidth="1"/>
    <col min="517" max="517" width="1.109375" style="2752" customWidth="1"/>
    <col min="518" max="518" width="9.109375" style="2752" customWidth="1"/>
    <col min="519" max="519" width="1.109375" style="2752" customWidth="1"/>
    <col min="520" max="520" width="11.109375" style="2752" customWidth="1"/>
    <col min="521" max="521" width="1.109375" style="2752" customWidth="1"/>
    <col min="522" max="522" width="9.109375" style="2752" customWidth="1"/>
    <col min="523" max="523" width="1.88671875" style="2752" customWidth="1"/>
    <col min="524" max="524" width="11" style="2752" customWidth="1"/>
    <col min="525" max="525" width="1.109375" style="2752" customWidth="1"/>
    <col min="526" max="526" width="10.88671875" style="2752" customWidth="1"/>
    <col min="527" max="527" width="1.109375" style="2752" customWidth="1"/>
    <col min="528" max="528" width="10" style="2752" customWidth="1"/>
    <col min="529" max="529" width="1.109375" style="2752" customWidth="1"/>
    <col min="530" max="530" width="9.109375" style="2752" customWidth="1"/>
    <col min="531" max="531" width="1.109375" style="2752" customWidth="1"/>
    <col min="532" max="532" width="7.88671875" style="2752" customWidth="1"/>
    <col min="533" max="533" width="1.109375" style="2752" customWidth="1"/>
    <col min="534" max="534" width="0.88671875" style="2752" customWidth="1"/>
    <col min="535" max="535" width="9.109375" style="2752" customWidth="1"/>
    <col min="536" max="536" width="1.109375" style="2752" customWidth="1"/>
    <col min="537" max="537" width="0.88671875" style="2752" customWidth="1"/>
    <col min="538" max="538" width="9.5546875" style="2752" bestFit="1" customWidth="1"/>
    <col min="539" max="540" width="0.88671875" style="2752" customWidth="1"/>
    <col min="541" max="541" width="9.88671875" style="2752" customWidth="1"/>
    <col min="542" max="542" width="1.109375" style="2752" customWidth="1"/>
    <col min="543" max="543" width="8.5546875" style="2752" customWidth="1"/>
    <col min="544" max="544" width="14.5546875" style="2752" customWidth="1"/>
    <col min="545" max="545" width="10" style="2752" customWidth="1"/>
    <col min="546" max="546" width="7.88671875" style="2752" bestFit="1" customWidth="1"/>
    <col min="547" max="547" width="9.88671875" style="2752" customWidth="1"/>
    <col min="548" max="764" width="8.88671875" style="2752"/>
    <col min="765" max="765" width="38.44140625" style="2752" customWidth="1"/>
    <col min="766" max="766" width="8.5546875" style="2752" customWidth="1"/>
    <col min="767" max="767" width="1.109375" style="2752" customWidth="1"/>
    <col min="768" max="768" width="8.88671875" style="2752" customWidth="1"/>
    <col min="769" max="769" width="1.109375" style="2752" customWidth="1"/>
    <col min="770" max="770" width="9.109375" style="2752" customWidth="1"/>
    <col min="771" max="771" width="1.109375" style="2752" customWidth="1"/>
    <col min="772" max="772" width="10" style="2752" customWidth="1"/>
    <col min="773" max="773" width="1.109375" style="2752" customWidth="1"/>
    <col min="774" max="774" width="9.109375" style="2752" customWidth="1"/>
    <col min="775" max="775" width="1.109375" style="2752" customWidth="1"/>
    <col min="776" max="776" width="11.109375" style="2752" customWidth="1"/>
    <col min="777" max="777" width="1.109375" style="2752" customWidth="1"/>
    <col min="778" max="778" width="9.109375" style="2752" customWidth="1"/>
    <col min="779" max="779" width="1.88671875" style="2752" customWidth="1"/>
    <col min="780" max="780" width="11" style="2752" customWidth="1"/>
    <col min="781" max="781" width="1.109375" style="2752" customWidth="1"/>
    <col min="782" max="782" width="10.88671875" style="2752" customWidth="1"/>
    <col min="783" max="783" width="1.109375" style="2752" customWidth="1"/>
    <col min="784" max="784" width="10" style="2752" customWidth="1"/>
    <col min="785" max="785" width="1.109375" style="2752" customWidth="1"/>
    <col min="786" max="786" width="9.109375" style="2752" customWidth="1"/>
    <col min="787" max="787" width="1.109375" style="2752" customWidth="1"/>
    <col min="788" max="788" width="7.88671875" style="2752" customWidth="1"/>
    <col min="789" max="789" width="1.109375" style="2752" customWidth="1"/>
    <col min="790" max="790" width="0.88671875" style="2752" customWidth="1"/>
    <col min="791" max="791" width="9.109375" style="2752" customWidth="1"/>
    <col min="792" max="792" width="1.109375" style="2752" customWidth="1"/>
    <col min="793" max="793" width="0.88671875" style="2752" customWidth="1"/>
    <col min="794" max="794" width="9.5546875" style="2752" bestFit="1" customWidth="1"/>
    <col min="795" max="796" width="0.88671875" style="2752" customWidth="1"/>
    <col min="797" max="797" width="9.88671875" style="2752" customWidth="1"/>
    <col min="798" max="798" width="1.109375" style="2752" customWidth="1"/>
    <col min="799" max="799" width="8.5546875" style="2752" customWidth="1"/>
    <col min="800" max="800" width="14.5546875" style="2752" customWidth="1"/>
    <col min="801" max="801" width="10" style="2752" customWidth="1"/>
    <col min="802" max="802" width="7.88671875" style="2752" bestFit="1" customWidth="1"/>
    <col min="803" max="803" width="9.88671875" style="2752" customWidth="1"/>
    <col min="804" max="1020" width="8.88671875" style="2752"/>
    <col min="1021" max="1021" width="38.44140625" style="2752" customWidth="1"/>
    <col min="1022" max="1022" width="8.5546875" style="2752" customWidth="1"/>
    <col min="1023" max="1023" width="1.109375" style="2752" customWidth="1"/>
    <col min="1024" max="1024" width="8.88671875" style="2752" customWidth="1"/>
    <col min="1025" max="1025" width="1.109375" style="2752" customWidth="1"/>
    <col min="1026" max="1026" width="9.109375" style="2752" customWidth="1"/>
    <col min="1027" max="1027" width="1.109375" style="2752" customWidth="1"/>
    <col min="1028" max="1028" width="10" style="2752" customWidth="1"/>
    <col min="1029" max="1029" width="1.109375" style="2752" customWidth="1"/>
    <col min="1030" max="1030" width="9.109375" style="2752" customWidth="1"/>
    <col min="1031" max="1031" width="1.109375" style="2752" customWidth="1"/>
    <col min="1032" max="1032" width="11.109375" style="2752" customWidth="1"/>
    <col min="1033" max="1033" width="1.109375" style="2752" customWidth="1"/>
    <col min="1034" max="1034" width="9.109375" style="2752" customWidth="1"/>
    <col min="1035" max="1035" width="1.88671875" style="2752" customWidth="1"/>
    <col min="1036" max="1036" width="11" style="2752" customWidth="1"/>
    <col min="1037" max="1037" width="1.109375" style="2752" customWidth="1"/>
    <col min="1038" max="1038" width="10.88671875" style="2752" customWidth="1"/>
    <col min="1039" max="1039" width="1.109375" style="2752" customWidth="1"/>
    <col min="1040" max="1040" width="10" style="2752" customWidth="1"/>
    <col min="1041" max="1041" width="1.109375" style="2752" customWidth="1"/>
    <col min="1042" max="1042" width="9.109375" style="2752" customWidth="1"/>
    <col min="1043" max="1043" width="1.109375" style="2752" customWidth="1"/>
    <col min="1044" max="1044" width="7.88671875" style="2752" customWidth="1"/>
    <col min="1045" max="1045" width="1.109375" style="2752" customWidth="1"/>
    <col min="1046" max="1046" width="0.88671875" style="2752" customWidth="1"/>
    <col min="1047" max="1047" width="9.109375" style="2752" customWidth="1"/>
    <col min="1048" max="1048" width="1.109375" style="2752" customWidth="1"/>
    <col min="1049" max="1049" width="0.88671875" style="2752" customWidth="1"/>
    <col min="1050" max="1050" width="9.5546875" style="2752" bestFit="1" customWidth="1"/>
    <col min="1051" max="1052" width="0.88671875" style="2752" customWidth="1"/>
    <col min="1053" max="1053" width="9.88671875" style="2752" customWidth="1"/>
    <col min="1054" max="1054" width="1.109375" style="2752" customWidth="1"/>
    <col min="1055" max="1055" width="8.5546875" style="2752" customWidth="1"/>
    <col min="1056" max="1056" width="14.5546875" style="2752" customWidth="1"/>
    <col min="1057" max="1057" width="10" style="2752" customWidth="1"/>
    <col min="1058" max="1058" width="7.88671875" style="2752" bestFit="1" customWidth="1"/>
    <col min="1059" max="1059" width="9.88671875" style="2752" customWidth="1"/>
    <col min="1060" max="1276" width="8.88671875" style="2752"/>
    <col min="1277" max="1277" width="38.44140625" style="2752" customWidth="1"/>
    <col min="1278" max="1278" width="8.5546875" style="2752" customWidth="1"/>
    <col min="1279" max="1279" width="1.109375" style="2752" customWidth="1"/>
    <col min="1280" max="1280" width="8.88671875" style="2752" customWidth="1"/>
    <col min="1281" max="1281" width="1.109375" style="2752" customWidth="1"/>
    <col min="1282" max="1282" width="9.109375" style="2752" customWidth="1"/>
    <col min="1283" max="1283" width="1.109375" style="2752" customWidth="1"/>
    <col min="1284" max="1284" width="10" style="2752" customWidth="1"/>
    <col min="1285" max="1285" width="1.109375" style="2752" customWidth="1"/>
    <col min="1286" max="1286" width="9.109375" style="2752" customWidth="1"/>
    <col min="1287" max="1287" width="1.109375" style="2752" customWidth="1"/>
    <col min="1288" max="1288" width="11.109375" style="2752" customWidth="1"/>
    <col min="1289" max="1289" width="1.109375" style="2752" customWidth="1"/>
    <col min="1290" max="1290" width="9.109375" style="2752" customWidth="1"/>
    <col min="1291" max="1291" width="1.88671875" style="2752" customWidth="1"/>
    <col min="1292" max="1292" width="11" style="2752" customWidth="1"/>
    <col min="1293" max="1293" width="1.109375" style="2752" customWidth="1"/>
    <col min="1294" max="1294" width="10.88671875" style="2752" customWidth="1"/>
    <col min="1295" max="1295" width="1.109375" style="2752" customWidth="1"/>
    <col min="1296" max="1296" width="10" style="2752" customWidth="1"/>
    <col min="1297" max="1297" width="1.109375" style="2752" customWidth="1"/>
    <col min="1298" max="1298" width="9.109375" style="2752" customWidth="1"/>
    <col min="1299" max="1299" width="1.109375" style="2752" customWidth="1"/>
    <col min="1300" max="1300" width="7.88671875" style="2752" customWidth="1"/>
    <col min="1301" max="1301" width="1.109375" style="2752" customWidth="1"/>
    <col min="1302" max="1302" width="0.88671875" style="2752" customWidth="1"/>
    <col min="1303" max="1303" width="9.109375" style="2752" customWidth="1"/>
    <col min="1304" max="1304" width="1.109375" style="2752" customWidth="1"/>
    <col min="1305" max="1305" width="0.88671875" style="2752" customWidth="1"/>
    <col min="1306" max="1306" width="9.5546875" style="2752" bestFit="1" customWidth="1"/>
    <col min="1307" max="1308" width="0.88671875" style="2752" customWidth="1"/>
    <col min="1309" max="1309" width="9.88671875" style="2752" customWidth="1"/>
    <col min="1310" max="1310" width="1.109375" style="2752" customWidth="1"/>
    <col min="1311" max="1311" width="8.5546875" style="2752" customWidth="1"/>
    <col min="1312" max="1312" width="14.5546875" style="2752" customWidth="1"/>
    <col min="1313" max="1313" width="10" style="2752" customWidth="1"/>
    <col min="1314" max="1314" width="7.88671875" style="2752" bestFit="1" customWidth="1"/>
    <col min="1315" max="1315" width="9.88671875" style="2752" customWidth="1"/>
    <col min="1316" max="1532" width="8.88671875" style="2752"/>
    <col min="1533" max="1533" width="38.44140625" style="2752" customWidth="1"/>
    <col min="1534" max="1534" width="8.5546875" style="2752" customWidth="1"/>
    <col min="1535" max="1535" width="1.109375" style="2752" customWidth="1"/>
    <col min="1536" max="1536" width="8.88671875" style="2752" customWidth="1"/>
    <col min="1537" max="1537" width="1.109375" style="2752" customWidth="1"/>
    <col min="1538" max="1538" width="9.109375" style="2752" customWidth="1"/>
    <col min="1539" max="1539" width="1.109375" style="2752" customWidth="1"/>
    <col min="1540" max="1540" width="10" style="2752" customWidth="1"/>
    <col min="1541" max="1541" width="1.109375" style="2752" customWidth="1"/>
    <col min="1542" max="1542" width="9.109375" style="2752" customWidth="1"/>
    <col min="1543" max="1543" width="1.109375" style="2752" customWidth="1"/>
    <col min="1544" max="1544" width="11.109375" style="2752" customWidth="1"/>
    <col min="1545" max="1545" width="1.109375" style="2752" customWidth="1"/>
    <col min="1546" max="1546" width="9.109375" style="2752" customWidth="1"/>
    <col min="1547" max="1547" width="1.88671875" style="2752" customWidth="1"/>
    <col min="1548" max="1548" width="11" style="2752" customWidth="1"/>
    <col min="1549" max="1549" width="1.109375" style="2752" customWidth="1"/>
    <col min="1550" max="1550" width="10.88671875" style="2752" customWidth="1"/>
    <col min="1551" max="1551" width="1.109375" style="2752" customWidth="1"/>
    <col min="1552" max="1552" width="10" style="2752" customWidth="1"/>
    <col min="1553" max="1553" width="1.109375" style="2752" customWidth="1"/>
    <col min="1554" max="1554" width="9.109375" style="2752" customWidth="1"/>
    <col min="1555" max="1555" width="1.109375" style="2752" customWidth="1"/>
    <col min="1556" max="1556" width="7.88671875" style="2752" customWidth="1"/>
    <col min="1557" max="1557" width="1.109375" style="2752" customWidth="1"/>
    <col min="1558" max="1558" width="0.88671875" style="2752" customWidth="1"/>
    <col min="1559" max="1559" width="9.109375" style="2752" customWidth="1"/>
    <col min="1560" max="1560" width="1.109375" style="2752" customWidth="1"/>
    <col min="1561" max="1561" width="0.88671875" style="2752" customWidth="1"/>
    <col min="1562" max="1562" width="9.5546875" style="2752" bestFit="1" customWidth="1"/>
    <col min="1563" max="1564" width="0.88671875" style="2752" customWidth="1"/>
    <col min="1565" max="1565" width="9.88671875" style="2752" customWidth="1"/>
    <col min="1566" max="1566" width="1.109375" style="2752" customWidth="1"/>
    <col min="1567" max="1567" width="8.5546875" style="2752" customWidth="1"/>
    <col min="1568" max="1568" width="14.5546875" style="2752" customWidth="1"/>
    <col min="1569" max="1569" width="10" style="2752" customWidth="1"/>
    <col min="1570" max="1570" width="7.88671875" style="2752" bestFit="1" customWidth="1"/>
    <col min="1571" max="1571" width="9.88671875" style="2752" customWidth="1"/>
    <col min="1572" max="1788" width="8.88671875" style="2752"/>
    <col min="1789" max="1789" width="38.44140625" style="2752" customWidth="1"/>
    <col min="1790" max="1790" width="8.5546875" style="2752" customWidth="1"/>
    <col min="1791" max="1791" width="1.109375" style="2752" customWidth="1"/>
    <col min="1792" max="1792" width="8.88671875" style="2752" customWidth="1"/>
    <col min="1793" max="1793" width="1.109375" style="2752" customWidth="1"/>
    <col min="1794" max="1794" width="9.109375" style="2752" customWidth="1"/>
    <col min="1795" max="1795" width="1.109375" style="2752" customWidth="1"/>
    <col min="1796" max="1796" width="10" style="2752" customWidth="1"/>
    <col min="1797" max="1797" width="1.109375" style="2752" customWidth="1"/>
    <col min="1798" max="1798" width="9.109375" style="2752" customWidth="1"/>
    <col min="1799" max="1799" width="1.109375" style="2752" customWidth="1"/>
    <col min="1800" max="1800" width="11.109375" style="2752" customWidth="1"/>
    <col min="1801" max="1801" width="1.109375" style="2752" customWidth="1"/>
    <col min="1802" max="1802" width="9.109375" style="2752" customWidth="1"/>
    <col min="1803" max="1803" width="1.88671875" style="2752" customWidth="1"/>
    <col min="1804" max="1804" width="11" style="2752" customWidth="1"/>
    <col min="1805" max="1805" width="1.109375" style="2752" customWidth="1"/>
    <col min="1806" max="1806" width="10.88671875" style="2752" customWidth="1"/>
    <col min="1807" max="1807" width="1.109375" style="2752" customWidth="1"/>
    <col min="1808" max="1808" width="10" style="2752" customWidth="1"/>
    <col min="1809" max="1809" width="1.109375" style="2752" customWidth="1"/>
    <col min="1810" max="1810" width="9.109375" style="2752" customWidth="1"/>
    <col min="1811" max="1811" width="1.109375" style="2752" customWidth="1"/>
    <col min="1812" max="1812" width="7.88671875" style="2752" customWidth="1"/>
    <col min="1813" max="1813" width="1.109375" style="2752" customWidth="1"/>
    <col min="1814" max="1814" width="0.88671875" style="2752" customWidth="1"/>
    <col min="1815" max="1815" width="9.109375" style="2752" customWidth="1"/>
    <col min="1816" max="1816" width="1.109375" style="2752" customWidth="1"/>
    <col min="1817" max="1817" width="0.88671875" style="2752" customWidth="1"/>
    <col min="1818" max="1818" width="9.5546875" style="2752" bestFit="1" customWidth="1"/>
    <col min="1819" max="1820" width="0.88671875" style="2752" customWidth="1"/>
    <col min="1821" max="1821" width="9.88671875" style="2752" customWidth="1"/>
    <col min="1822" max="1822" width="1.109375" style="2752" customWidth="1"/>
    <col min="1823" max="1823" width="8.5546875" style="2752" customWidth="1"/>
    <col min="1824" max="1824" width="14.5546875" style="2752" customWidth="1"/>
    <col min="1825" max="1825" width="10" style="2752" customWidth="1"/>
    <col min="1826" max="1826" width="7.88671875" style="2752" bestFit="1" customWidth="1"/>
    <col min="1827" max="1827" width="9.88671875" style="2752" customWidth="1"/>
    <col min="1828" max="2044" width="8.88671875" style="2752"/>
    <col min="2045" max="2045" width="38.44140625" style="2752" customWidth="1"/>
    <col min="2046" max="2046" width="8.5546875" style="2752" customWidth="1"/>
    <col min="2047" max="2047" width="1.109375" style="2752" customWidth="1"/>
    <col min="2048" max="2048" width="8.88671875" style="2752" customWidth="1"/>
    <col min="2049" max="2049" width="1.109375" style="2752" customWidth="1"/>
    <col min="2050" max="2050" width="9.109375" style="2752" customWidth="1"/>
    <col min="2051" max="2051" width="1.109375" style="2752" customWidth="1"/>
    <col min="2052" max="2052" width="10" style="2752" customWidth="1"/>
    <col min="2053" max="2053" width="1.109375" style="2752" customWidth="1"/>
    <col min="2054" max="2054" width="9.109375" style="2752" customWidth="1"/>
    <col min="2055" max="2055" width="1.109375" style="2752" customWidth="1"/>
    <col min="2056" max="2056" width="11.109375" style="2752" customWidth="1"/>
    <col min="2057" max="2057" width="1.109375" style="2752" customWidth="1"/>
    <col min="2058" max="2058" width="9.109375" style="2752" customWidth="1"/>
    <col min="2059" max="2059" width="1.88671875" style="2752" customWidth="1"/>
    <col min="2060" max="2060" width="11" style="2752" customWidth="1"/>
    <col min="2061" max="2061" width="1.109375" style="2752" customWidth="1"/>
    <col min="2062" max="2062" width="10.88671875" style="2752" customWidth="1"/>
    <col min="2063" max="2063" width="1.109375" style="2752" customWidth="1"/>
    <col min="2064" max="2064" width="10" style="2752" customWidth="1"/>
    <col min="2065" max="2065" width="1.109375" style="2752" customWidth="1"/>
    <col min="2066" max="2066" width="9.109375" style="2752" customWidth="1"/>
    <col min="2067" max="2067" width="1.109375" style="2752" customWidth="1"/>
    <col min="2068" max="2068" width="7.88671875" style="2752" customWidth="1"/>
    <col min="2069" max="2069" width="1.109375" style="2752" customWidth="1"/>
    <col min="2070" max="2070" width="0.88671875" style="2752" customWidth="1"/>
    <col min="2071" max="2071" width="9.109375" style="2752" customWidth="1"/>
    <col min="2072" max="2072" width="1.109375" style="2752" customWidth="1"/>
    <col min="2073" max="2073" width="0.88671875" style="2752" customWidth="1"/>
    <col min="2074" max="2074" width="9.5546875" style="2752" bestFit="1" customWidth="1"/>
    <col min="2075" max="2076" width="0.88671875" style="2752" customWidth="1"/>
    <col min="2077" max="2077" width="9.88671875" style="2752" customWidth="1"/>
    <col min="2078" max="2078" width="1.109375" style="2752" customWidth="1"/>
    <col min="2079" max="2079" width="8.5546875" style="2752" customWidth="1"/>
    <col min="2080" max="2080" width="14.5546875" style="2752" customWidth="1"/>
    <col min="2081" max="2081" width="10" style="2752" customWidth="1"/>
    <col min="2082" max="2082" width="7.88671875" style="2752" bestFit="1" customWidth="1"/>
    <col min="2083" max="2083" width="9.88671875" style="2752" customWidth="1"/>
    <col min="2084" max="2300" width="8.88671875" style="2752"/>
    <col min="2301" max="2301" width="38.44140625" style="2752" customWidth="1"/>
    <col min="2302" max="2302" width="8.5546875" style="2752" customWidth="1"/>
    <col min="2303" max="2303" width="1.109375" style="2752" customWidth="1"/>
    <col min="2304" max="2304" width="8.88671875" style="2752" customWidth="1"/>
    <col min="2305" max="2305" width="1.109375" style="2752" customWidth="1"/>
    <col min="2306" max="2306" width="9.109375" style="2752" customWidth="1"/>
    <col min="2307" max="2307" width="1.109375" style="2752" customWidth="1"/>
    <col min="2308" max="2308" width="10" style="2752" customWidth="1"/>
    <col min="2309" max="2309" width="1.109375" style="2752" customWidth="1"/>
    <col min="2310" max="2310" width="9.109375" style="2752" customWidth="1"/>
    <col min="2311" max="2311" width="1.109375" style="2752" customWidth="1"/>
    <col min="2312" max="2312" width="11.109375" style="2752" customWidth="1"/>
    <col min="2313" max="2313" width="1.109375" style="2752" customWidth="1"/>
    <col min="2314" max="2314" width="9.109375" style="2752" customWidth="1"/>
    <col min="2315" max="2315" width="1.88671875" style="2752" customWidth="1"/>
    <col min="2316" max="2316" width="11" style="2752" customWidth="1"/>
    <col min="2317" max="2317" width="1.109375" style="2752" customWidth="1"/>
    <col min="2318" max="2318" width="10.88671875" style="2752" customWidth="1"/>
    <col min="2319" max="2319" width="1.109375" style="2752" customWidth="1"/>
    <col min="2320" max="2320" width="10" style="2752" customWidth="1"/>
    <col min="2321" max="2321" width="1.109375" style="2752" customWidth="1"/>
    <col min="2322" max="2322" width="9.109375" style="2752" customWidth="1"/>
    <col min="2323" max="2323" width="1.109375" style="2752" customWidth="1"/>
    <col min="2324" max="2324" width="7.88671875" style="2752" customWidth="1"/>
    <col min="2325" max="2325" width="1.109375" style="2752" customWidth="1"/>
    <col min="2326" max="2326" width="0.88671875" style="2752" customWidth="1"/>
    <col min="2327" max="2327" width="9.109375" style="2752" customWidth="1"/>
    <col min="2328" max="2328" width="1.109375" style="2752" customWidth="1"/>
    <col min="2329" max="2329" width="0.88671875" style="2752" customWidth="1"/>
    <col min="2330" max="2330" width="9.5546875" style="2752" bestFit="1" customWidth="1"/>
    <col min="2331" max="2332" width="0.88671875" style="2752" customWidth="1"/>
    <col min="2333" max="2333" width="9.88671875" style="2752" customWidth="1"/>
    <col min="2334" max="2334" width="1.109375" style="2752" customWidth="1"/>
    <col min="2335" max="2335" width="8.5546875" style="2752" customWidth="1"/>
    <col min="2336" max="2336" width="14.5546875" style="2752" customWidth="1"/>
    <col min="2337" max="2337" width="10" style="2752" customWidth="1"/>
    <col min="2338" max="2338" width="7.88671875" style="2752" bestFit="1" customWidth="1"/>
    <col min="2339" max="2339" width="9.88671875" style="2752" customWidth="1"/>
    <col min="2340" max="2556" width="8.88671875" style="2752"/>
    <col min="2557" max="2557" width="38.44140625" style="2752" customWidth="1"/>
    <col min="2558" max="2558" width="8.5546875" style="2752" customWidth="1"/>
    <col min="2559" max="2559" width="1.109375" style="2752" customWidth="1"/>
    <col min="2560" max="2560" width="8.88671875" style="2752" customWidth="1"/>
    <col min="2561" max="2561" width="1.109375" style="2752" customWidth="1"/>
    <col min="2562" max="2562" width="9.109375" style="2752" customWidth="1"/>
    <col min="2563" max="2563" width="1.109375" style="2752" customWidth="1"/>
    <col min="2564" max="2564" width="10" style="2752" customWidth="1"/>
    <col min="2565" max="2565" width="1.109375" style="2752" customWidth="1"/>
    <col min="2566" max="2566" width="9.109375" style="2752" customWidth="1"/>
    <col min="2567" max="2567" width="1.109375" style="2752" customWidth="1"/>
    <col min="2568" max="2568" width="11.109375" style="2752" customWidth="1"/>
    <col min="2569" max="2569" width="1.109375" style="2752" customWidth="1"/>
    <col min="2570" max="2570" width="9.109375" style="2752" customWidth="1"/>
    <col min="2571" max="2571" width="1.88671875" style="2752" customWidth="1"/>
    <col min="2572" max="2572" width="11" style="2752" customWidth="1"/>
    <col min="2573" max="2573" width="1.109375" style="2752" customWidth="1"/>
    <col min="2574" max="2574" width="10.88671875" style="2752" customWidth="1"/>
    <col min="2575" max="2575" width="1.109375" style="2752" customWidth="1"/>
    <col min="2576" max="2576" width="10" style="2752" customWidth="1"/>
    <col min="2577" max="2577" width="1.109375" style="2752" customWidth="1"/>
    <col min="2578" max="2578" width="9.109375" style="2752" customWidth="1"/>
    <col min="2579" max="2579" width="1.109375" style="2752" customWidth="1"/>
    <col min="2580" max="2580" width="7.88671875" style="2752" customWidth="1"/>
    <col min="2581" max="2581" width="1.109375" style="2752" customWidth="1"/>
    <col min="2582" max="2582" width="0.88671875" style="2752" customWidth="1"/>
    <col min="2583" max="2583" width="9.109375" style="2752" customWidth="1"/>
    <col min="2584" max="2584" width="1.109375" style="2752" customWidth="1"/>
    <col min="2585" max="2585" width="0.88671875" style="2752" customWidth="1"/>
    <col min="2586" max="2586" width="9.5546875" style="2752" bestFit="1" customWidth="1"/>
    <col min="2587" max="2588" width="0.88671875" style="2752" customWidth="1"/>
    <col min="2589" max="2589" width="9.88671875" style="2752" customWidth="1"/>
    <col min="2590" max="2590" width="1.109375" style="2752" customWidth="1"/>
    <col min="2591" max="2591" width="8.5546875" style="2752" customWidth="1"/>
    <col min="2592" max="2592" width="14.5546875" style="2752" customWidth="1"/>
    <col min="2593" max="2593" width="10" style="2752" customWidth="1"/>
    <col min="2594" max="2594" width="7.88671875" style="2752" bestFit="1" customWidth="1"/>
    <col min="2595" max="2595" width="9.88671875" style="2752" customWidth="1"/>
    <col min="2596" max="2812" width="8.88671875" style="2752"/>
    <col min="2813" max="2813" width="38.44140625" style="2752" customWidth="1"/>
    <col min="2814" max="2814" width="8.5546875" style="2752" customWidth="1"/>
    <col min="2815" max="2815" width="1.109375" style="2752" customWidth="1"/>
    <col min="2816" max="2816" width="8.88671875" style="2752" customWidth="1"/>
    <col min="2817" max="2817" width="1.109375" style="2752" customWidth="1"/>
    <col min="2818" max="2818" width="9.109375" style="2752" customWidth="1"/>
    <col min="2819" max="2819" width="1.109375" style="2752" customWidth="1"/>
    <col min="2820" max="2820" width="10" style="2752" customWidth="1"/>
    <col min="2821" max="2821" width="1.109375" style="2752" customWidth="1"/>
    <col min="2822" max="2822" width="9.109375" style="2752" customWidth="1"/>
    <col min="2823" max="2823" width="1.109375" style="2752" customWidth="1"/>
    <col min="2824" max="2824" width="11.109375" style="2752" customWidth="1"/>
    <col min="2825" max="2825" width="1.109375" style="2752" customWidth="1"/>
    <col min="2826" max="2826" width="9.109375" style="2752" customWidth="1"/>
    <col min="2827" max="2827" width="1.88671875" style="2752" customWidth="1"/>
    <col min="2828" max="2828" width="11" style="2752" customWidth="1"/>
    <col min="2829" max="2829" width="1.109375" style="2752" customWidth="1"/>
    <col min="2830" max="2830" width="10.88671875" style="2752" customWidth="1"/>
    <col min="2831" max="2831" width="1.109375" style="2752" customWidth="1"/>
    <col min="2832" max="2832" width="10" style="2752" customWidth="1"/>
    <col min="2833" max="2833" width="1.109375" style="2752" customWidth="1"/>
    <col min="2834" max="2834" width="9.109375" style="2752" customWidth="1"/>
    <col min="2835" max="2835" width="1.109375" style="2752" customWidth="1"/>
    <col min="2836" max="2836" width="7.88671875" style="2752" customWidth="1"/>
    <col min="2837" max="2837" width="1.109375" style="2752" customWidth="1"/>
    <col min="2838" max="2838" width="0.88671875" style="2752" customWidth="1"/>
    <col min="2839" max="2839" width="9.109375" style="2752" customWidth="1"/>
    <col min="2840" max="2840" width="1.109375" style="2752" customWidth="1"/>
    <col min="2841" max="2841" width="0.88671875" style="2752" customWidth="1"/>
    <col min="2842" max="2842" width="9.5546875" style="2752" bestFit="1" customWidth="1"/>
    <col min="2843" max="2844" width="0.88671875" style="2752" customWidth="1"/>
    <col min="2845" max="2845" width="9.88671875" style="2752" customWidth="1"/>
    <col min="2846" max="2846" width="1.109375" style="2752" customWidth="1"/>
    <col min="2847" max="2847" width="8.5546875" style="2752" customWidth="1"/>
    <col min="2848" max="2848" width="14.5546875" style="2752" customWidth="1"/>
    <col min="2849" max="2849" width="10" style="2752" customWidth="1"/>
    <col min="2850" max="2850" width="7.88671875" style="2752" bestFit="1" customWidth="1"/>
    <col min="2851" max="2851" width="9.88671875" style="2752" customWidth="1"/>
    <col min="2852" max="3068" width="8.88671875" style="2752"/>
    <col min="3069" max="3069" width="38.44140625" style="2752" customWidth="1"/>
    <col min="3070" max="3070" width="8.5546875" style="2752" customWidth="1"/>
    <col min="3071" max="3071" width="1.109375" style="2752" customWidth="1"/>
    <col min="3072" max="3072" width="8.88671875" style="2752" customWidth="1"/>
    <col min="3073" max="3073" width="1.109375" style="2752" customWidth="1"/>
    <col min="3074" max="3074" width="9.109375" style="2752" customWidth="1"/>
    <col min="3075" max="3075" width="1.109375" style="2752" customWidth="1"/>
    <col min="3076" max="3076" width="10" style="2752" customWidth="1"/>
    <col min="3077" max="3077" width="1.109375" style="2752" customWidth="1"/>
    <col min="3078" max="3078" width="9.109375" style="2752" customWidth="1"/>
    <col min="3079" max="3079" width="1.109375" style="2752" customWidth="1"/>
    <col min="3080" max="3080" width="11.109375" style="2752" customWidth="1"/>
    <col min="3081" max="3081" width="1.109375" style="2752" customWidth="1"/>
    <col min="3082" max="3082" width="9.109375" style="2752" customWidth="1"/>
    <col min="3083" max="3083" width="1.88671875" style="2752" customWidth="1"/>
    <col min="3084" max="3084" width="11" style="2752" customWidth="1"/>
    <col min="3085" max="3085" width="1.109375" style="2752" customWidth="1"/>
    <col min="3086" max="3086" width="10.88671875" style="2752" customWidth="1"/>
    <col min="3087" max="3087" width="1.109375" style="2752" customWidth="1"/>
    <col min="3088" max="3088" width="10" style="2752" customWidth="1"/>
    <col min="3089" max="3089" width="1.109375" style="2752" customWidth="1"/>
    <col min="3090" max="3090" width="9.109375" style="2752" customWidth="1"/>
    <col min="3091" max="3091" width="1.109375" style="2752" customWidth="1"/>
    <col min="3092" max="3092" width="7.88671875" style="2752" customWidth="1"/>
    <col min="3093" max="3093" width="1.109375" style="2752" customWidth="1"/>
    <col min="3094" max="3094" width="0.88671875" style="2752" customWidth="1"/>
    <col min="3095" max="3095" width="9.109375" style="2752" customWidth="1"/>
    <col min="3096" max="3096" width="1.109375" style="2752" customWidth="1"/>
    <col min="3097" max="3097" width="0.88671875" style="2752" customWidth="1"/>
    <col min="3098" max="3098" width="9.5546875" style="2752" bestFit="1" customWidth="1"/>
    <col min="3099" max="3100" width="0.88671875" style="2752" customWidth="1"/>
    <col min="3101" max="3101" width="9.88671875" style="2752" customWidth="1"/>
    <col min="3102" max="3102" width="1.109375" style="2752" customWidth="1"/>
    <col min="3103" max="3103" width="8.5546875" style="2752" customWidth="1"/>
    <col min="3104" max="3104" width="14.5546875" style="2752" customWidth="1"/>
    <col min="3105" max="3105" width="10" style="2752" customWidth="1"/>
    <col min="3106" max="3106" width="7.88671875" style="2752" bestFit="1" customWidth="1"/>
    <col min="3107" max="3107" width="9.88671875" style="2752" customWidth="1"/>
    <col min="3108" max="3324" width="8.88671875" style="2752"/>
    <col min="3325" max="3325" width="38.44140625" style="2752" customWidth="1"/>
    <col min="3326" max="3326" width="8.5546875" style="2752" customWidth="1"/>
    <col min="3327" max="3327" width="1.109375" style="2752" customWidth="1"/>
    <col min="3328" max="3328" width="8.88671875" style="2752" customWidth="1"/>
    <col min="3329" max="3329" width="1.109375" style="2752" customWidth="1"/>
    <col min="3330" max="3330" width="9.109375" style="2752" customWidth="1"/>
    <col min="3331" max="3331" width="1.109375" style="2752" customWidth="1"/>
    <col min="3332" max="3332" width="10" style="2752" customWidth="1"/>
    <col min="3333" max="3333" width="1.109375" style="2752" customWidth="1"/>
    <col min="3334" max="3334" width="9.109375" style="2752" customWidth="1"/>
    <col min="3335" max="3335" width="1.109375" style="2752" customWidth="1"/>
    <col min="3336" max="3336" width="11.109375" style="2752" customWidth="1"/>
    <col min="3337" max="3337" width="1.109375" style="2752" customWidth="1"/>
    <col min="3338" max="3338" width="9.109375" style="2752" customWidth="1"/>
    <col min="3339" max="3339" width="1.88671875" style="2752" customWidth="1"/>
    <col min="3340" max="3340" width="11" style="2752" customWidth="1"/>
    <col min="3341" max="3341" width="1.109375" style="2752" customWidth="1"/>
    <col min="3342" max="3342" width="10.88671875" style="2752" customWidth="1"/>
    <col min="3343" max="3343" width="1.109375" style="2752" customWidth="1"/>
    <col min="3344" max="3344" width="10" style="2752" customWidth="1"/>
    <col min="3345" max="3345" width="1.109375" style="2752" customWidth="1"/>
    <col min="3346" max="3346" width="9.109375" style="2752" customWidth="1"/>
    <col min="3347" max="3347" width="1.109375" style="2752" customWidth="1"/>
    <col min="3348" max="3348" width="7.88671875" style="2752" customWidth="1"/>
    <col min="3349" max="3349" width="1.109375" style="2752" customWidth="1"/>
    <col min="3350" max="3350" width="0.88671875" style="2752" customWidth="1"/>
    <col min="3351" max="3351" width="9.109375" style="2752" customWidth="1"/>
    <col min="3352" max="3352" width="1.109375" style="2752" customWidth="1"/>
    <col min="3353" max="3353" width="0.88671875" style="2752" customWidth="1"/>
    <col min="3354" max="3354" width="9.5546875" style="2752" bestFit="1" customWidth="1"/>
    <col min="3355" max="3356" width="0.88671875" style="2752" customWidth="1"/>
    <col min="3357" max="3357" width="9.88671875" style="2752" customWidth="1"/>
    <col min="3358" max="3358" width="1.109375" style="2752" customWidth="1"/>
    <col min="3359" max="3359" width="8.5546875" style="2752" customWidth="1"/>
    <col min="3360" max="3360" width="14.5546875" style="2752" customWidth="1"/>
    <col min="3361" max="3361" width="10" style="2752" customWidth="1"/>
    <col min="3362" max="3362" width="7.88671875" style="2752" bestFit="1" customWidth="1"/>
    <col min="3363" max="3363" width="9.88671875" style="2752" customWidth="1"/>
    <col min="3364" max="3580" width="8.88671875" style="2752"/>
    <col min="3581" max="3581" width="38.44140625" style="2752" customWidth="1"/>
    <col min="3582" max="3582" width="8.5546875" style="2752" customWidth="1"/>
    <col min="3583" max="3583" width="1.109375" style="2752" customWidth="1"/>
    <col min="3584" max="3584" width="8.88671875" style="2752" customWidth="1"/>
    <col min="3585" max="3585" width="1.109375" style="2752" customWidth="1"/>
    <col min="3586" max="3586" width="9.109375" style="2752" customWidth="1"/>
    <col min="3587" max="3587" width="1.109375" style="2752" customWidth="1"/>
    <col min="3588" max="3588" width="10" style="2752" customWidth="1"/>
    <col min="3589" max="3589" width="1.109375" style="2752" customWidth="1"/>
    <col min="3590" max="3590" width="9.109375" style="2752" customWidth="1"/>
    <col min="3591" max="3591" width="1.109375" style="2752" customWidth="1"/>
    <col min="3592" max="3592" width="11.109375" style="2752" customWidth="1"/>
    <col min="3593" max="3593" width="1.109375" style="2752" customWidth="1"/>
    <col min="3594" max="3594" width="9.109375" style="2752" customWidth="1"/>
    <col min="3595" max="3595" width="1.88671875" style="2752" customWidth="1"/>
    <col min="3596" max="3596" width="11" style="2752" customWidth="1"/>
    <col min="3597" max="3597" width="1.109375" style="2752" customWidth="1"/>
    <col min="3598" max="3598" width="10.88671875" style="2752" customWidth="1"/>
    <col min="3599" max="3599" width="1.109375" style="2752" customWidth="1"/>
    <col min="3600" max="3600" width="10" style="2752" customWidth="1"/>
    <col min="3601" max="3601" width="1.109375" style="2752" customWidth="1"/>
    <col min="3602" max="3602" width="9.109375" style="2752" customWidth="1"/>
    <col min="3603" max="3603" width="1.109375" style="2752" customWidth="1"/>
    <col min="3604" max="3604" width="7.88671875" style="2752" customWidth="1"/>
    <col min="3605" max="3605" width="1.109375" style="2752" customWidth="1"/>
    <col min="3606" max="3606" width="0.88671875" style="2752" customWidth="1"/>
    <col min="3607" max="3607" width="9.109375" style="2752" customWidth="1"/>
    <col min="3608" max="3608" width="1.109375" style="2752" customWidth="1"/>
    <col min="3609" max="3609" width="0.88671875" style="2752" customWidth="1"/>
    <col min="3610" max="3610" width="9.5546875" style="2752" bestFit="1" customWidth="1"/>
    <col min="3611" max="3612" width="0.88671875" style="2752" customWidth="1"/>
    <col min="3613" max="3613" width="9.88671875" style="2752" customWidth="1"/>
    <col min="3614" max="3614" width="1.109375" style="2752" customWidth="1"/>
    <col min="3615" max="3615" width="8.5546875" style="2752" customWidth="1"/>
    <col min="3616" max="3616" width="14.5546875" style="2752" customWidth="1"/>
    <col min="3617" max="3617" width="10" style="2752" customWidth="1"/>
    <col min="3618" max="3618" width="7.88671875" style="2752" bestFit="1" customWidth="1"/>
    <col min="3619" max="3619" width="9.88671875" style="2752" customWidth="1"/>
    <col min="3620" max="3836" width="8.88671875" style="2752"/>
    <col min="3837" max="3837" width="38.44140625" style="2752" customWidth="1"/>
    <col min="3838" max="3838" width="8.5546875" style="2752" customWidth="1"/>
    <col min="3839" max="3839" width="1.109375" style="2752" customWidth="1"/>
    <col min="3840" max="3840" width="8.88671875" style="2752" customWidth="1"/>
    <col min="3841" max="3841" width="1.109375" style="2752" customWidth="1"/>
    <col min="3842" max="3842" width="9.109375" style="2752" customWidth="1"/>
    <col min="3843" max="3843" width="1.109375" style="2752" customWidth="1"/>
    <col min="3844" max="3844" width="10" style="2752" customWidth="1"/>
    <col min="3845" max="3845" width="1.109375" style="2752" customWidth="1"/>
    <col min="3846" max="3846" width="9.109375" style="2752" customWidth="1"/>
    <col min="3847" max="3847" width="1.109375" style="2752" customWidth="1"/>
    <col min="3848" max="3848" width="11.109375" style="2752" customWidth="1"/>
    <col min="3849" max="3849" width="1.109375" style="2752" customWidth="1"/>
    <col min="3850" max="3850" width="9.109375" style="2752" customWidth="1"/>
    <col min="3851" max="3851" width="1.88671875" style="2752" customWidth="1"/>
    <col min="3852" max="3852" width="11" style="2752" customWidth="1"/>
    <col min="3853" max="3853" width="1.109375" style="2752" customWidth="1"/>
    <col min="3854" max="3854" width="10.88671875" style="2752" customWidth="1"/>
    <col min="3855" max="3855" width="1.109375" style="2752" customWidth="1"/>
    <col min="3856" max="3856" width="10" style="2752" customWidth="1"/>
    <col min="3857" max="3857" width="1.109375" style="2752" customWidth="1"/>
    <col min="3858" max="3858" width="9.109375" style="2752" customWidth="1"/>
    <col min="3859" max="3859" width="1.109375" style="2752" customWidth="1"/>
    <col min="3860" max="3860" width="7.88671875" style="2752" customWidth="1"/>
    <col min="3861" max="3861" width="1.109375" style="2752" customWidth="1"/>
    <col min="3862" max="3862" width="0.88671875" style="2752" customWidth="1"/>
    <col min="3863" max="3863" width="9.109375" style="2752" customWidth="1"/>
    <col min="3864" max="3864" width="1.109375" style="2752" customWidth="1"/>
    <col min="3865" max="3865" width="0.88671875" style="2752" customWidth="1"/>
    <col min="3866" max="3866" width="9.5546875" style="2752" bestFit="1" customWidth="1"/>
    <col min="3867" max="3868" width="0.88671875" style="2752" customWidth="1"/>
    <col min="3869" max="3869" width="9.88671875" style="2752" customWidth="1"/>
    <col min="3870" max="3870" width="1.109375" style="2752" customWidth="1"/>
    <col min="3871" max="3871" width="8.5546875" style="2752" customWidth="1"/>
    <col min="3872" max="3872" width="14.5546875" style="2752" customWidth="1"/>
    <col min="3873" max="3873" width="10" style="2752" customWidth="1"/>
    <col min="3874" max="3874" width="7.88671875" style="2752" bestFit="1" customWidth="1"/>
    <col min="3875" max="3875" width="9.88671875" style="2752" customWidth="1"/>
    <col min="3876" max="4092" width="8.88671875" style="2752"/>
    <col min="4093" max="4093" width="38.44140625" style="2752" customWidth="1"/>
    <col min="4094" max="4094" width="8.5546875" style="2752" customWidth="1"/>
    <col min="4095" max="4095" width="1.109375" style="2752" customWidth="1"/>
    <col min="4096" max="4096" width="8.88671875" style="2752" customWidth="1"/>
    <col min="4097" max="4097" width="1.109375" style="2752" customWidth="1"/>
    <col min="4098" max="4098" width="9.109375" style="2752" customWidth="1"/>
    <col min="4099" max="4099" width="1.109375" style="2752" customWidth="1"/>
    <col min="4100" max="4100" width="10" style="2752" customWidth="1"/>
    <col min="4101" max="4101" width="1.109375" style="2752" customWidth="1"/>
    <col min="4102" max="4102" width="9.109375" style="2752" customWidth="1"/>
    <col min="4103" max="4103" width="1.109375" style="2752" customWidth="1"/>
    <col min="4104" max="4104" width="11.109375" style="2752" customWidth="1"/>
    <col min="4105" max="4105" width="1.109375" style="2752" customWidth="1"/>
    <col min="4106" max="4106" width="9.109375" style="2752" customWidth="1"/>
    <col min="4107" max="4107" width="1.88671875" style="2752" customWidth="1"/>
    <col min="4108" max="4108" width="11" style="2752" customWidth="1"/>
    <col min="4109" max="4109" width="1.109375" style="2752" customWidth="1"/>
    <col min="4110" max="4110" width="10.88671875" style="2752" customWidth="1"/>
    <col min="4111" max="4111" width="1.109375" style="2752" customWidth="1"/>
    <col min="4112" max="4112" width="10" style="2752" customWidth="1"/>
    <col min="4113" max="4113" width="1.109375" style="2752" customWidth="1"/>
    <col min="4114" max="4114" width="9.109375" style="2752" customWidth="1"/>
    <col min="4115" max="4115" width="1.109375" style="2752" customWidth="1"/>
    <col min="4116" max="4116" width="7.88671875" style="2752" customWidth="1"/>
    <col min="4117" max="4117" width="1.109375" style="2752" customWidth="1"/>
    <col min="4118" max="4118" width="0.88671875" style="2752" customWidth="1"/>
    <col min="4119" max="4119" width="9.109375" style="2752" customWidth="1"/>
    <col min="4120" max="4120" width="1.109375" style="2752" customWidth="1"/>
    <col min="4121" max="4121" width="0.88671875" style="2752" customWidth="1"/>
    <col min="4122" max="4122" width="9.5546875" style="2752" bestFit="1" customWidth="1"/>
    <col min="4123" max="4124" width="0.88671875" style="2752" customWidth="1"/>
    <col min="4125" max="4125" width="9.88671875" style="2752" customWidth="1"/>
    <col min="4126" max="4126" width="1.109375" style="2752" customWidth="1"/>
    <col min="4127" max="4127" width="8.5546875" style="2752" customWidth="1"/>
    <col min="4128" max="4128" width="14.5546875" style="2752" customWidth="1"/>
    <col min="4129" max="4129" width="10" style="2752" customWidth="1"/>
    <col min="4130" max="4130" width="7.88671875" style="2752" bestFit="1" customWidth="1"/>
    <col min="4131" max="4131" width="9.88671875" style="2752" customWidth="1"/>
    <col min="4132" max="4348" width="8.88671875" style="2752"/>
    <col min="4349" max="4349" width="38.44140625" style="2752" customWidth="1"/>
    <col min="4350" max="4350" width="8.5546875" style="2752" customWidth="1"/>
    <col min="4351" max="4351" width="1.109375" style="2752" customWidth="1"/>
    <col min="4352" max="4352" width="8.88671875" style="2752" customWidth="1"/>
    <col min="4353" max="4353" width="1.109375" style="2752" customWidth="1"/>
    <col min="4354" max="4354" width="9.109375" style="2752" customWidth="1"/>
    <col min="4355" max="4355" width="1.109375" style="2752" customWidth="1"/>
    <col min="4356" max="4356" width="10" style="2752" customWidth="1"/>
    <col min="4357" max="4357" width="1.109375" style="2752" customWidth="1"/>
    <col min="4358" max="4358" width="9.109375" style="2752" customWidth="1"/>
    <col min="4359" max="4359" width="1.109375" style="2752" customWidth="1"/>
    <col min="4360" max="4360" width="11.109375" style="2752" customWidth="1"/>
    <col min="4361" max="4361" width="1.109375" style="2752" customWidth="1"/>
    <col min="4362" max="4362" width="9.109375" style="2752" customWidth="1"/>
    <col min="4363" max="4363" width="1.88671875" style="2752" customWidth="1"/>
    <col min="4364" max="4364" width="11" style="2752" customWidth="1"/>
    <col min="4365" max="4365" width="1.109375" style="2752" customWidth="1"/>
    <col min="4366" max="4366" width="10.88671875" style="2752" customWidth="1"/>
    <col min="4367" max="4367" width="1.109375" style="2752" customWidth="1"/>
    <col min="4368" max="4368" width="10" style="2752" customWidth="1"/>
    <col min="4369" max="4369" width="1.109375" style="2752" customWidth="1"/>
    <col min="4370" max="4370" width="9.109375" style="2752" customWidth="1"/>
    <col min="4371" max="4371" width="1.109375" style="2752" customWidth="1"/>
    <col min="4372" max="4372" width="7.88671875" style="2752" customWidth="1"/>
    <col min="4373" max="4373" width="1.109375" style="2752" customWidth="1"/>
    <col min="4374" max="4374" width="0.88671875" style="2752" customWidth="1"/>
    <col min="4375" max="4375" width="9.109375" style="2752" customWidth="1"/>
    <col min="4376" max="4376" width="1.109375" style="2752" customWidth="1"/>
    <col min="4377" max="4377" width="0.88671875" style="2752" customWidth="1"/>
    <col min="4378" max="4378" width="9.5546875" style="2752" bestFit="1" customWidth="1"/>
    <col min="4379" max="4380" width="0.88671875" style="2752" customWidth="1"/>
    <col min="4381" max="4381" width="9.88671875" style="2752" customWidth="1"/>
    <col min="4382" max="4382" width="1.109375" style="2752" customWidth="1"/>
    <col min="4383" max="4383" width="8.5546875" style="2752" customWidth="1"/>
    <col min="4384" max="4384" width="14.5546875" style="2752" customWidth="1"/>
    <col min="4385" max="4385" width="10" style="2752" customWidth="1"/>
    <col min="4386" max="4386" width="7.88671875" style="2752" bestFit="1" customWidth="1"/>
    <col min="4387" max="4387" width="9.88671875" style="2752" customWidth="1"/>
    <col min="4388" max="4604" width="8.88671875" style="2752"/>
    <col min="4605" max="4605" width="38.44140625" style="2752" customWidth="1"/>
    <col min="4606" max="4606" width="8.5546875" style="2752" customWidth="1"/>
    <col min="4607" max="4607" width="1.109375" style="2752" customWidth="1"/>
    <col min="4608" max="4608" width="8.88671875" style="2752" customWidth="1"/>
    <col min="4609" max="4609" width="1.109375" style="2752" customWidth="1"/>
    <col min="4610" max="4610" width="9.109375" style="2752" customWidth="1"/>
    <col min="4611" max="4611" width="1.109375" style="2752" customWidth="1"/>
    <col min="4612" max="4612" width="10" style="2752" customWidth="1"/>
    <col min="4613" max="4613" width="1.109375" style="2752" customWidth="1"/>
    <col min="4614" max="4614" width="9.109375" style="2752" customWidth="1"/>
    <col min="4615" max="4615" width="1.109375" style="2752" customWidth="1"/>
    <col min="4616" max="4616" width="11.109375" style="2752" customWidth="1"/>
    <col min="4617" max="4617" width="1.109375" style="2752" customWidth="1"/>
    <col min="4618" max="4618" width="9.109375" style="2752" customWidth="1"/>
    <col min="4619" max="4619" width="1.88671875" style="2752" customWidth="1"/>
    <col min="4620" max="4620" width="11" style="2752" customWidth="1"/>
    <col min="4621" max="4621" width="1.109375" style="2752" customWidth="1"/>
    <col min="4622" max="4622" width="10.88671875" style="2752" customWidth="1"/>
    <col min="4623" max="4623" width="1.109375" style="2752" customWidth="1"/>
    <col min="4624" max="4624" width="10" style="2752" customWidth="1"/>
    <col min="4625" max="4625" width="1.109375" style="2752" customWidth="1"/>
    <col min="4626" max="4626" width="9.109375" style="2752" customWidth="1"/>
    <col min="4627" max="4627" width="1.109375" style="2752" customWidth="1"/>
    <col min="4628" max="4628" width="7.88671875" style="2752" customWidth="1"/>
    <col min="4629" max="4629" width="1.109375" style="2752" customWidth="1"/>
    <col min="4630" max="4630" width="0.88671875" style="2752" customWidth="1"/>
    <col min="4631" max="4631" width="9.109375" style="2752" customWidth="1"/>
    <col min="4632" max="4632" width="1.109375" style="2752" customWidth="1"/>
    <col min="4633" max="4633" width="0.88671875" style="2752" customWidth="1"/>
    <col min="4634" max="4634" width="9.5546875" style="2752" bestFit="1" customWidth="1"/>
    <col min="4635" max="4636" width="0.88671875" style="2752" customWidth="1"/>
    <col min="4637" max="4637" width="9.88671875" style="2752" customWidth="1"/>
    <col min="4638" max="4638" width="1.109375" style="2752" customWidth="1"/>
    <col min="4639" max="4639" width="8.5546875" style="2752" customWidth="1"/>
    <col min="4640" max="4640" width="14.5546875" style="2752" customWidth="1"/>
    <col min="4641" max="4641" width="10" style="2752" customWidth="1"/>
    <col min="4642" max="4642" width="7.88671875" style="2752" bestFit="1" customWidth="1"/>
    <col min="4643" max="4643" width="9.88671875" style="2752" customWidth="1"/>
    <col min="4644" max="4860" width="8.88671875" style="2752"/>
    <col min="4861" max="4861" width="38.44140625" style="2752" customWidth="1"/>
    <col min="4862" max="4862" width="8.5546875" style="2752" customWidth="1"/>
    <col min="4863" max="4863" width="1.109375" style="2752" customWidth="1"/>
    <col min="4864" max="4864" width="8.88671875" style="2752" customWidth="1"/>
    <col min="4865" max="4865" width="1.109375" style="2752" customWidth="1"/>
    <col min="4866" max="4866" width="9.109375" style="2752" customWidth="1"/>
    <col min="4867" max="4867" width="1.109375" style="2752" customWidth="1"/>
    <col min="4868" max="4868" width="10" style="2752" customWidth="1"/>
    <col min="4869" max="4869" width="1.109375" style="2752" customWidth="1"/>
    <col min="4870" max="4870" width="9.109375" style="2752" customWidth="1"/>
    <col min="4871" max="4871" width="1.109375" style="2752" customWidth="1"/>
    <col min="4872" max="4872" width="11.109375" style="2752" customWidth="1"/>
    <col min="4873" max="4873" width="1.109375" style="2752" customWidth="1"/>
    <col min="4874" max="4874" width="9.109375" style="2752" customWidth="1"/>
    <col min="4875" max="4875" width="1.88671875" style="2752" customWidth="1"/>
    <col min="4876" max="4876" width="11" style="2752" customWidth="1"/>
    <col min="4877" max="4877" width="1.109375" style="2752" customWidth="1"/>
    <col min="4878" max="4878" width="10.88671875" style="2752" customWidth="1"/>
    <col min="4879" max="4879" width="1.109375" style="2752" customWidth="1"/>
    <col min="4880" max="4880" width="10" style="2752" customWidth="1"/>
    <col min="4881" max="4881" width="1.109375" style="2752" customWidth="1"/>
    <col min="4882" max="4882" width="9.109375" style="2752" customWidth="1"/>
    <col min="4883" max="4883" width="1.109375" style="2752" customWidth="1"/>
    <col min="4884" max="4884" width="7.88671875" style="2752" customWidth="1"/>
    <col min="4885" max="4885" width="1.109375" style="2752" customWidth="1"/>
    <col min="4886" max="4886" width="0.88671875" style="2752" customWidth="1"/>
    <col min="4887" max="4887" width="9.109375" style="2752" customWidth="1"/>
    <col min="4888" max="4888" width="1.109375" style="2752" customWidth="1"/>
    <col min="4889" max="4889" width="0.88671875" style="2752" customWidth="1"/>
    <col min="4890" max="4890" width="9.5546875" style="2752" bestFit="1" customWidth="1"/>
    <col min="4891" max="4892" width="0.88671875" style="2752" customWidth="1"/>
    <col min="4893" max="4893" width="9.88671875" style="2752" customWidth="1"/>
    <col min="4894" max="4894" width="1.109375" style="2752" customWidth="1"/>
    <col min="4895" max="4895" width="8.5546875" style="2752" customWidth="1"/>
    <col min="4896" max="4896" width="14.5546875" style="2752" customWidth="1"/>
    <col min="4897" max="4897" width="10" style="2752" customWidth="1"/>
    <col min="4898" max="4898" width="7.88671875" style="2752" bestFit="1" customWidth="1"/>
    <col min="4899" max="4899" width="9.88671875" style="2752" customWidth="1"/>
    <col min="4900" max="5116" width="8.88671875" style="2752"/>
    <col min="5117" max="5117" width="38.44140625" style="2752" customWidth="1"/>
    <col min="5118" max="5118" width="8.5546875" style="2752" customWidth="1"/>
    <col min="5119" max="5119" width="1.109375" style="2752" customWidth="1"/>
    <col min="5120" max="5120" width="8.88671875" style="2752" customWidth="1"/>
    <col min="5121" max="5121" width="1.109375" style="2752" customWidth="1"/>
    <col min="5122" max="5122" width="9.109375" style="2752" customWidth="1"/>
    <col min="5123" max="5123" width="1.109375" style="2752" customWidth="1"/>
    <col min="5124" max="5124" width="10" style="2752" customWidth="1"/>
    <col min="5125" max="5125" width="1.109375" style="2752" customWidth="1"/>
    <col min="5126" max="5126" width="9.109375" style="2752" customWidth="1"/>
    <col min="5127" max="5127" width="1.109375" style="2752" customWidth="1"/>
    <col min="5128" max="5128" width="11.109375" style="2752" customWidth="1"/>
    <col min="5129" max="5129" width="1.109375" style="2752" customWidth="1"/>
    <col min="5130" max="5130" width="9.109375" style="2752" customWidth="1"/>
    <col min="5131" max="5131" width="1.88671875" style="2752" customWidth="1"/>
    <col min="5132" max="5132" width="11" style="2752" customWidth="1"/>
    <col min="5133" max="5133" width="1.109375" style="2752" customWidth="1"/>
    <col min="5134" max="5134" width="10.88671875" style="2752" customWidth="1"/>
    <col min="5135" max="5135" width="1.109375" style="2752" customWidth="1"/>
    <col min="5136" max="5136" width="10" style="2752" customWidth="1"/>
    <col min="5137" max="5137" width="1.109375" style="2752" customWidth="1"/>
    <col min="5138" max="5138" width="9.109375" style="2752" customWidth="1"/>
    <col min="5139" max="5139" width="1.109375" style="2752" customWidth="1"/>
    <col min="5140" max="5140" width="7.88671875" style="2752" customWidth="1"/>
    <col min="5141" max="5141" width="1.109375" style="2752" customWidth="1"/>
    <col min="5142" max="5142" width="0.88671875" style="2752" customWidth="1"/>
    <col min="5143" max="5143" width="9.109375" style="2752" customWidth="1"/>
    <col min="5144" max="5144" width="1.109375" style="2752" customWidth="1"/>
    <col min="5145" max="5145" width="0.88671875" style="2752" customWidth="1"/>
    <col min="5146" max="5146" width="9.5546875" style="2752" bestFit="1" customWidth="1"/>
    <col min="5147" max="5148" width="0.88671875" style="2752" customWidth="1"/>
    <col min="5149" max="5149" width="9.88671875" style="2752" customWidth="1"/>
    <col min="5150" max="5150" width="1.109375" style="2752" customWidth="1"/>
    <col min="5151" max="5151" width="8.5546875" style="2752" customWidth="1"/>
    <col min="5152" max="5152" width="14.5546875" style="2752" customWidth="1"/>
    <col min="5153" max="5153" width="10" style="2752" customWidth="1"/>
    <col min="5154" max="5154" width="7.88671875" style="2752" bestFit="1" customWidth="1"/>
    <col min="5155" max="5155" width="9.88671875" style="2752" customWidth="1"/>
    <col min="5156" max="5372" width="8.88671875" style="2752"/>
    <col min="5373" max="5373" width="38.44140625" style="2752" customWidth="1"/>
    <col min="5374" max="5374" width="8.5546875" style="2752" customWidth="1"/>
    <col min="5375" max="5375" width="1.109375" style="2752" customWidth="1"/>
    <col min="5376" max="5376" width="8.88671875" style="2752" customWidth="1"/>
    <col min="5377" max="5377" width="1.109375" style="2752" customWidth="1"/>
    <col min="5378" max="5378" width="9.109375" style="2752" customWidth="1"/>
    <col min="5379" max="5379" width="1.109375" style="2752" customWidth="1"/>
    <col min="5380" max="5380" width="10" style="2752" customWidth="1"/>
    <col min="5381" max="5381" width="1.109375" style="2752" customWidth="1"/>
    <col min="5382" max="5382" width="9.109375" style="2752" customWidth="1"/>
    <col min="5383" max="5383" width="1.109375" style="2752" customWidth="1"/>
    <col min="5384" max="5384" width="11.109375" style="2752" customWidth="1"/>
    <col min="5385" max="5385" width="1.109375" style="2752" customWidth="1"/>
    <col min="5386" max="5386" width="9.109375" style="2752" customWidth="1"/>
    <col min="5387" max="5387" width="1.88671875" style="2752" customWidth="1"/>
    <col min="5388" max="5388" width="11" style="2752" customWidth="1"/>
    <col min="5389" max="5389" width="1.109375" style="2752" customWidth="1"/>
    <col min="5390" max="5390" width="10.88671875" style="2752" customWidth="1"/>
    <col min="5391" max="5391" width="1.109375" style="2752" customWidth="1"/>
    <col min="5392" max="5392" width="10" style="2752" customWidth="1"/>
    <col min="5393" max="5393" width="1.109375" style="2752" customWidth="1"/>
    <col min="5394" max="5394" width="9.109375" style="2752" customWidth="1"/>
    <col min="5395" max="5395" width="1.109375" style="2752" customWidth="1"/>
    <col min="5396" max="5396" width="7.88671875" style="2752" customWidth="1"/>
    <col min="5397" max="5397" width="1.109375" style="2752" customWidth="1"/>
    <col min="5398" max="5398" width="0.88671875" style="2752" customWidth="1"/>
    <col min="5399" max="5399" width="9.109375" style="2752" customWidth="1"/>
    <col min="5400" max="5400" width="1.109375" style="2752" customWidth="1"/>
    <col min="5401" max="5401" width="0.88671875" style="2752" customWidth="1"/>
    <col min="5402" max="5402" width="9.5546875" style="2752" bestFit="1" customWidth="1"/>
    <col min="5403" max="5404" width="0.88671875" style="2752" customWidth="1"/>
    <col min="5405" max="5405" width="9.88671875" style="2752" customWidth="1"/>
    <col min="5406" max="5406" width="1.109375" style="2752" customWidth="1"/>
    <col min="5407" max="5407" width="8.5546875" style="2752" customWidth="1"/>
    <col min="5408" max="5408" width="14.5546875" style="2752" customWidth="1"/>
    <col min="5409" max="5409" width="10" style="2752" customWidth="1"/>
    <col min="5410" max="5410" width="7.88671875" style="2752" bestFit="1" customWidth="1"/>
    <col min="5411" max="5411" width="9.88671875" style="2752" customWidth="1"/>
    <col min="5412" max="5628" width="8.88671875" style="2752"/>
    <col min="5629" max="5629" width="38.44140625" style="2752" customWidth="1"/>
    <col min="5630" max="5630" width="8.5546875" style="2752" customWidth="1"/>
    <col min="5631" max="5631" width="1.109375" style="2752" customWidth="1"/>
    <col min="5632" max="5632" width="8.88671875" style="2752" customWidth="1"/>
    <col min="5633" max="5633" width="1.109375" style="2752" customWidth="1"/>
    <col min="5634" max="5634" width="9.109375" style="2752" customWidth="1"/>
    <col min="5635" max="5635" width="1.109375" style="2752" customWidth="1"/>
    <col min="5636" max="5636" width="10" style="2752" customWidth="1"/>
    <col min="5637" max="5637" width="1.109375" style="2752" customWidth="1"/>
    <col min="5638" max="5638" width="9.109375" style="2752" customWidth="1"/>
    <col min="5639" max="5639" width="1.109375" style="2752" customWidth="1"/>
    <col min="5640" max="5640" width="11.109375" style="2752" customWidth="1"/>
    <col min="5641" max="5641" width="1.109375" style="2752" customWidth="1"/>
    <col min="5642" max="5642" width="9.109375" style="2752" customWidth="1"/>
    <col min="5643" max="5643" width="1.88671875" style="2752" customWidth="1"/>
    <col min="5644" max="5644" width="11" style="2752" customWidth="1"/>
    <col min="5645" max="5645" width="1.109375" style="2752" customWidth="1"/>
    <col min="5646" max="5646" width="10.88671875" style="2752" customWidth="1"/>
    <col min="5647" max="5647" width="1.109375" style="2752" customWidth="1"/>
    <col min="5648" max="5648" width="10" style="2752" customWidth="1"/>
    <col min="5649" max="5649" width="1.109375" style="2752" customWidth="1"/>
    <col min="5650" max="5650" width="9.109375" style="2752" customWidth="1"/>
    <col min="5651" max="5651" width="1.109375" style="2752" customWidth="1"/>
    <col min="5652" max="5652" width="7.88671875" style="2752" customWidth="1"/>
    <col min="5653" max="5653" width="1.109375" style="2752" customWidth="1"/>
    <col min="5654" max="5654" width="0.88671875" style="2752" customWidth="1"/>
    <col min="5655" max="5655" width="9.109375" style="2752" customWidth="1"/>
    <col min="5656" max="5656" width="1.109375" style="2752" customWidth="1"/>
    <col min="5657" max="5657" width="0.88671875" style="2752" customWidth="1"/>
    <col min="5658" max="5658" width="9.5546875" style="2752" bestFit="1" customWidth="1"/>
    <col min="5659" max="5660" width="0.88671875" style="2752" customWidth="1"/>
    <col min="5661" max="5661" width="9.88671875" style="2752" customWidth="1"/>
    <col min="5662" max="5662" width="1.109375" style="2752" customWidth="1"/>
    <col min="5663" max="5663" width="8.5546875" style="2752" customWidth="1"/>
    <col min="5664" max="5664" width="14.5546875" style="2752" customWidth="1"/>
    <col min="5665" max="5665" width="10" style="2752" customWidth="1"/>
    <col min="5666" max="5666" width="7.88671875" style="2752" bestFit="1" customWidth="1"/>
    <col min="5667" max="5667" width="9.88671875" style="2752" customWidth="1"/>
    <col min="5668" max="5884" width="8.88671875" style="2752"/>
    <col min="5885" max="5885" width="38.44140625" style="2752" customWidth="1"/>
    <col min="5886" max="5886" width="8.5546875" style="2752" customWidth="1"/>
    <col min="5887" max="5887" width="1.109375" style="2752" customWidth="1"/>
    <col min="5888" max="5888" width="8.88671875" style="2752" customWidth="1"/>
    <col min="5889" max="5889" width="1.109375" style="2752" customWidth="1"/>
    <col min="5890" max="5890" width="9.109375" style="2752" customWidth="1"/>
    <col min="5891" max="5891" width="1.109375" style="2752" customWidth="1"/>
    <col min="5892" max="5892" width="10" style="2752" customWidth="1"/>
    <col min="5893" max="5893" width="1.109375" style="2752" customWidth="1"/>
    <col min="5894" max="5894" width="9.109375" style="2752" customWidth="1"/>
    <col min="5895" max="5895" width="1.109375" style="2752" customWidth="1"/>
    <col min="5896" max="5896" width="11.109375" style="2752" customWidth="1"/>
    <col min="5897" max="5897" width="1.109375" style="2752" customWidth="1"/>
    <col min="5898" max="5898" width="9.109375" style="2752" customWidth="1"/>
    <col min="5899" max="5899" width="1.88671875" style="2752" customWidth="1"/>
    <col min="5900" max="5900" width="11" style="2752" customWidth="1"/>
    <col min="5901" max="5901" width="1.109375" style="2752" customWidth="1"/>
    <col min="5902" max="5902" width="10.88671875" style="2752" customWidth="1"/>
    <col min="5903" max="5903" width="1.109375" style="2752" customWidth="1"/>
    <col min="5904" max="5904" width="10" style="2752" customWidth="1"/>
    <col min="5905" max="5905" width="1.109375" style="2752" customWidth="1"/>
    <col min="5906" max="5906" width="9.109375" style="2752" customWidth="1"/>
    <col min="5907" max="5907" width="1.109375" style="2752" customWidth="1"/>
    <col min="5908" max="5908" width="7.88671875" style="2752" customWidth="1"/>
    <col min="5909" max="5909" width="1.109375" style="2752" customWidth="1"/>
    <col min="5910" max="5910" width="0.88671875" style="2752" customWidth="1"/>
    <col min="5911" max="5911" width="9.109375" style="2752" customWidth="1"/>
    <col min="5912" max="5912" width="1.109375" style="2752" customWidth="1"/>
    <col min="5913" max="5913" width="0.88671875" style="2752" customWidth="1"/>
    <col min="5914" max="5914" width="9.5546875" style="2752" bestFit="1" customWidth="1"/>
    <col min="5915" max="5916" width="0.88671875" style="2752" customWidth="1"/>
    <col min="5917" max="5917" width="9.88671875" style="2752" customWidth="1"/>
    <col min="5918" max="5918" width="1.109375" style="2752" customWidth="1"/>
    <col min="5919" max="5919" width="8.5546875" style="2752" customWidth="1"/>
    <col min="5920" max="5920" width="14.5546875" style="2752" customWidth="1"/>
    <col min="5921" max="5921" width="10" style="2752" customWidth="1"/>
    <col min="5922" max="5922" width="7.88671875" style="2752" bestFit="1" customWidth="1"/>
    <col min="5923" max="5923" width="9.88671875" style="2752" customWidth="1"/>
    <col min="5924" max="6140" width="8.88671875" style="2752"/>
    <col min="6141" max="6141" width="38.44140625" style="2752" customWidth="1"/>
    <col min="6142" max="6142" width="8.5546875" style="2752" customWidth="1"/>
    <col min="6143" max="6143" width="1.109375" style="2752" customWidth="1"/>
    <col min="6144" max="6144" width="8.88671875" style="2752" customWidth="1"/>
    <col min="6145" max="6145" width="1.109375" style="2752" customWidth="1"/>
    <col min="6146" max="6146" width="9.109375" style="2752" customWidth="1"/>
    <col min="6147" max="6147" width="1.109375" style="2752" customWidth="1"/>
    <col min="6148" max="6148" width="10" style="2752" customWidth="1"/>
    <col min="6149" max="6149" width="1.109375" style="2752" customWidth="1"/>
    <col min="6150" max="6150" width="9.109375" style="2752" customWidth="1"/>
    <col min="6151" max="6151" width="1.109375" style="2752" customWidth="1"/>
    <col min="6152" max="6152" width="11.109375" style="2752" customWidth="1"/>
    <col min="6153" max="6153" width="1.109375" style="2752" customWidth="1"/>
    <col min="6154" max="6154" width="9.109375" style="2752" customWidth="1"/>
    <col min="6155" max="6155" width="1.88671875" style="2752" customWidth="1"/>
    <col min="6156" max="6156" width="11" style="2752" customWidth="1"/>
    <col min="6157" max="6157" width="1.109375" style="2752" customWidth="1"/>
    <col min="6158" max="6158" width="10.88671875" style="2752" customWidth="1"/>
    <col min="6159" max="6159" width="1.109375" style="2752" customWidth="1"/>
    <col min="6160" max="6160" width="10" style="2752" customWidth="1"/>
    <col min="6161" max="6161" width="1.109375" style="2752" customWidth="1"/>
    <col min="6162" max="6162" width="9.109375" style="2752" customWidth="1"/>
    <col min="6163" max="6163" width="1.109375" style="2752" customWidth="1"/>
    <col min="6164" max="6164" width="7.88671875" style="2752" customWidth="1"/>
    <col min="6165" max="6165" width="1.109375" style="2752" customWidth="1"/>
    <col min="6166" max="6166" width="0.88671875" style="2752" customWidth="1"/>
    <col min="6167" max="6167" width="9.109375" style="2752" customWidth="1"/>
    <col min="6168" max="6168" width="1.109375" style="2752" customWidth="1"/>
    <col min="6169" max="6169" width="0.88671875" style="2752" customWidth="1"/>
    <col min="6170" max="6170" width="9.5546875" style="2752" bestFit="1" customWidth="1"/>
    <col min="6171" max="6172" width="0.88671875" style="2752" customWidth="1"/>
    <col min="6173" max="6173" width="9.88671875" style="2752" customWidth="1"/>
    <col min="6174" max="6174" width="1.109375" style="2752" customWidth="1"/>
    <col min="6175" max="6175" width="8.5546875" style="2752" customWidth="1"/>
    <col min="6176" max="6176" width="14.5546875" style="2752" customWidth="1"/>
    <col min="6177" max="6177" width="10" style="2752" customWidth="1"/>
    <col min="6178" max="6178" width="7.88671875" style="2752" bestFit="1" customWidth="1"/>
    <col min="6179" max="6179" width="9.88671875" style="2752" customWidth="1"/>
    <col min="6180" max="6396" width="8.88671875" style="2752"/>
    <col min="6397" max="6397" width="38.44140625" style="2752" customWidth="1"/>
    <col min="6398" max="6398" width="8.5546875" style="2752" customWidth="1"/>
    <col min="6399" max="6399" width="1.109375" style="2752" customWidth="1"/>
    <col min="6400" max="6400" width="8.88671875" style="2752" customWidth="1"/>
    <col min="6401" max="6401" width="1.109375" style="2752" customWidth="1"/>
    <col min="6402" max="6402" width="9.109375" style="2752" customWidth="1"/>
    <col min="6403" max="6403" width="1.109375" style="2752" customWidth="1"/>
    <col min="6404" max="6404" width="10" style="2752" customWidth="1"/>
    <col min="6405" max="6405" width="1.109375" style="2752" customWidth="1"/>
    <col min="6406" max="6406" width="9.109375" style="2752" customWidth="1"/>
    <col min="6407" max="6407" width="1.109375" style="2752" customWidth="1"/>
    <col min="6408" max="6408" width="11.109375" style="2752" customWidth="1"/>
    <col min="6409" max="6409" width="1.109375" style="2752" customWidth="1"/>
    <col min="6410" max="6410" width="9.109375" style="2752" customWidth="1"/>
    <col min="6411" max="6411" width="1.88671875" style="2752" customWidth="1"/>
    <col min="6412" max="6412" width="11" style="2752" customWidth="1"/>
    <col min="6413" max="6413" width="1.109375" style="2752" customWidth="1"/>
    <col min="6414" max="6414" width="10.88671875" style="2752" customWidth="1"/>
    <col min="6415" max="6415" width="1.109375" style="2752" customWidth="1"/>
    <col min="6416" max="6416" width="10" style="2752" customWidth="1"/>
    <col min="6417" max="6417" width="1.109375" style="2752" customWidth="1"/>
    <col min="6418" max="6418" width="9.109375" style="2752" customWidth="1"/>
    <col min="6419" max="6419" width="1.109375" style="2752" customWidth="1"/>
    <col min="6420" max="6420" width="7.88671875" style="2752" customWidth="1"/>
    <col min="6421" max="6421" width="1.109375" style="2752" customWidth="1"/>
    <col min="6422" max="6422" width="0.88671875" style="2752" customWidth="1"/>
    <col min="6423" max="6423" width="9.109375" style="2752" customWidth="1"/>
    <col min="6424" max="6424" width="1.109375" style="2752" customWidth="1"/>
    <col min="6425" max="6425" width="0.88671875" style="2752" customWidth="1"/>
    <col min="6426" max="6426" width="9.5546875" style="2752" bestFit="1" customWidth="1"/>
    <col min="6427" max="6428" width="0.88671875" style="2752" customWidth="1"/>
    <col min="6429" max="6429" width="9.88671875" style="2752" customWidth="1"/>
    <col min="6430" max="6430" width="1.109375" style="2752" customWidth="1"/>
    <col min="6431" max="6431" width="8.5546875" style="2752" customWidth="1"/>
    <col min="6432" max="6432" width="14.5546875" style="2752" customWidth="1"/>
    <col min="6433" max="6433" width="10" style="2752" customWidth="1"/>
    <col min="6434" max="6434" width="7.88671875" style="2752" bestFit="1" customWidth="1"/>
    <col min="6435" max="6435" width="9.88671875" style="2752" customWidth="1"/>
    <col min="6436" max="6652" width="8.88671875" style="2752"/>
    <col min="6653" max="6653" width="38.44140625" style="2752" customWidth="1"/>
    <col min="6654" max="6654" width="8.5546875" style="2752" customWidth="1"/>
    <col min="6655" max="6655" width="1.109375" style="2752" customWidth="1"/>
    <col min="6656" max="6656" width="8.88671875" style="2752" customWidth="1"/>
    <col min="6657" max="6657" width="1.109375" style="2752" customWidth="1"/>
    <col min="6658" max="6658" width="9.109375" style="2752" customWidth="1"/>
    <col min="6659" max="6659" width="1.109375" style="2752" customWidth="1"/>
    <col min="6660" max="6660" width="10" style="2752" customWidth="1"/>
    <col min="6661" max="6661" width="1.109375" style="2752" customWidth="1"/>
    <col min="6662" max="6662" width="9.109375" style="2752" customWidth="1"/>
    <col min="6663" max="6663" width="1.109375" style="2752" customWidth="1"/>
    <col min="6664" max="6664" width="11.109375" style="2752" customWidth="1"/>
    <col min="6665" max="6665" width="1.109375" style="2752" customWidth="1"/>
    <col min="6666" max="6666" width="9.109375" style="2752" customWidth="1"/>
    <col min="6667" max="6667" width="1.88671875" style="2752" customWidth="1"/>
    <col min="6668" max="6668" width="11" style="2752" customWidth="1"/>
    <col min="6669" max="6669" width="1.109375" style="2752" customWidth="1"/>
    <col min="6670" max="6670" width="10.88671875" style="2752" customWidth="1"/>
    <col min="6671" max="6671" width="1.109375" style="2752" customWidth="1"/>
    <col min="6672" max="6672" width="10" style="2752" customWidth="1"/>
    <col min="6673" max="6673" width="1.109375" style="2752" customWidth="1"/>
    <col min="6674" max="6674" width="9.109375" style="2752" customWidth="1"/>
    <col min="6675" max="6675" width="1.109375" style="2752" customWidth="1"/>
    <col min="6676" max="6676" width="7.88671875" style="2752" customWidth="1"/>
    <col min="6677" max="6677" width="1.109375" style="2752" customWidth="1"/>
    <col min="6678" max="6678" width="0.88671875" style="2752" customWidth="1"/>
    <col min="6679" max="6679" width="9.109375" style="2752" customWidth="1"/>
    <col min="6680" max="6680" width="1.109375" style="2752" customWidth="1"/>
    <col min="6681" max="6681" width="0.88671875" style="2752" customWidth="1"/>
    <col min="6682" max="6682" width="9.5546875" style="2752" bestFit="1" customWidth="1"/>
    <col min="6683" max="6684" width="0.88671875" style="2752" customWidth="1"/>
    <col min="6685" max="6685" width="9.88671875" style="2752" customWidth="1"/>
    <col min="6686" max="6686" width="1.109375" style="2752" customWidth="1"/>
    <col min="6687" max="6687" width="8.5546875" style="2752" customWidth="1"/>
    <col min="6688" max="6688" width="14.5546875" style="2752" customWidth="1"/>
    <col min="6689" max="6689" width="10" style="2752" customWidth="1"/>
    <col min="6690" max="6690" width="7.88671875" style="2752" bestFit="1" customWidth="1"/>
    <col min="6691" max="6691" width="9.88671875" style="2752" customWidth="1"/>
    <col min="6692" max="6908" width="8.88671875" style="2752"/>
    <col min="6909" max="6909" width="38.44140625" style="2752" customWidth="1"/>
    <col min="6910" max="6910" width="8.5546875" style="2752" customWidth="1"/>
    <col min="6911" max="6911" width="1.109375" style="2752" customWidth="1"/>
    <col min="6912" max="6912" width="8.88671875" style="2752" customWidth="1"/>
    <col min="6913" max="6913" width="1.109375" style="2752" customWidth="1"/>
    <col min="6914" max="6914" width="9.109375" style="2752" customWidth="1"/>
    <col min="6915" max="6915" width="1.109375" style="2752" customWidth="1"/>
    <col min="6916" max="6916" width="10" style="2752" customWidth="1"/>
    <col min="6917" max="6917" width="1.109375" style="2752" customWidth="1"/>
    <col min="6918" max="6918" width="9.109375" style="2752" customWidth="1"/>
    <col min="6919" max="6919" width="1.109375" style="2752" customWidth="1"/>
    <col min="6920" max="6920" width="11.109375" style="2752" customWidth="1"/>
    <col min="6921" max="6921" width="1.109375" style="2752" customWidth="1"/>
    <col min="6922" max="6922" width="9.109375" style="2752" customWidth="1"/>
    <col min="6923" max="6923" width="1.88671875" style="2752" customWidth="1"/>
    <col min="6924" max="6924" width="11" style="2752" customWidth="1"/>
    <col min="6925" max="6925" width="1.109375" style="2752" customWidth="1"/>
    <col min="6926" max="6926" width="10.88671875" style="2752" customWidth="1"/>
    <col min="6927" max="6927" width="1.109375" style="2752" customWidth="1"/>
    <col min="6928" max="6928" width="10" style="2752" customWidth="1"/>
    <col min="6929" max="6929" width="1.109375" style="2752" customWidth="1"/>
    <col min="6930" max="6930" width="9.109375" style="2752" customWidth="1"/>
    <col min="6931" max="6931" width="1.109375" style="2752" customWidth="1"/>
    <col min="6932" max="6932" width="7.88671875" style="2752" customWidth="1"/>
    <col min="6933" max="6933" width="1.109375" style="2752" customWidth="1"/>
    <col min="6934" max="6934" width="0.88671875" style="2752" customWidth="1"/>
    <col min="6935" max="6935" width="9.109375" style="2752" customWidth="1"/>
    <col min="6936" max="6936" width="1.109375" style="2752" customWidth="1"/>
    <col min="6937" max="6937" width="0.88671875" style="2752" customWidth="1"/>
    <col min="6938" max="6938" width="9.5546875" style="2752" bestFit="1" customWidth="1"/>
    <col min="6939" max="6940" width="0.88671875" style="2752" customWidth="1"/>
    <col min="6941" max="6941" width="9.88671875" style="2752" customWidth="1"/>
    <col min="6942" max="6942" width="1.109375" style="2752" customWidth="1"/>
    <col min="6943" max="6943" width="8.5546875" style="2752" customWidth="1"/>
    <col min="6944" max="6944" width="14.5546875" style="2752" customWidth="1"/>
    <col min="6945" max="6945" width="10" style="2752" customWidth="1"/>
    <col min="6946" max="6946" width="7.88671875" style="2752" bestFit="1" customWidth="1"/>
    <col min="6947" max="6947" width="9.88671875" style="2752" customWidth="1"/>
    <col min="6948" max="7164" width="8.88671875" style="2752"/>
    <col min="7165" max="7165" width="38.44140625" style="2752" customWidth="1"/>
    <col min="7166" max="7166" width="8.5546875" style="2752" customWidth="1"/>
    <col min="7167" max="7167" width="1.109375" style="2752" customWidth="1"/>
    <col min="7168" max="7168" width="8.88671875" style="2752" customWidth="1"/>
    <col min="7169" max="7169" width="1.109375" style="2752" customWidth="1"/>
    <col min="7170" max="7170" width="9.109375" style="2752" customWidth="1"/>
    <col min="7171" max="7171" width="1.109375" style="2752" customWidth="1"/>
    <col min="7172" max="7172" width="10" style="2752" customWidth="1"/>
    <col min="7173" max="7173" width="1.109375" style="2752" customWidth="1"/>
    <col min="7174" max="7174" width="9.109375" style="2752" customWidth="1"/>
    <col min="7175" max="7175" width="1.109375" style="2752" customWidth="1"/>
    <col min="7176" max="7176" width="11.109375" style="2752" customWidth="1"/>
    <col min="7177" max="7177" width="1.109375" style="2752" customWidth="1"/>
    <col min="7178" max="7178" width="9.109375" style="2752" customWidth="1"/>
    <col min="7179" max="7179" width="1.88671875" style="2752" customWidth="1"/>
    <col min="7180" max="7180" width="11" style="2752" customWidth="1"/>
    <col min="7181" max="7181" width="1.109375" style="2752" customWidth="1"/>
    <col min="7182" max="7182" width="10.88671875" style="2752" customWidth="1"/>
    <col min="7183" max="7183" width="1.109375" style="2752" customWidth="1"/>
    <col min="7184" max="7184" width="10" style="2752" customWidth="1"/>
    <col min="7185" max="7185" width="1.109375" style="2752" customWidth="1"/>
    <col min="7186" max="7186" width="9.109375" style="2752" customWidth="1"/>
    <col min="7187" max="7187" width="1.109375" style="2752" customWidth="1"/>
    <col min="7188" max="7188" width="7.88671875" style="2752" customWidth="1"/>
    <col min="7189" max="7189" width="1.109375" style="2752" customWidth="1"/>
    <col min="7190" max="7190" width="0.88671875" style="2752" customWidth="1"/>
    <col min="7191" max="7191" width="9.109375" style="2752" customWidth="1"/>
    <col min="7192" max="7192" width="1.109375" style="2752" customWidth="1"/>
    <col min="7193" max="7193" width="0.88671875" style="2752" customWidth="1"/>
    <col min="7194" max="7194" width="9.5546875" style="2752" bestFit="1" customWidth="1"/>
    <col min="7195" max="7196" width="0.88671875" style="2752" customWidth="1"/>
    <col min="7197" max="7197" width="9.88671875" style="2752" customWidth="1"/>
    <col min="7198" max="7198" width="1.109375" style="2752" customWidth="1"/>
    <col min="7199" max="7199" width="8.5546875" style="2752" customWidth="1"/>
    <col min="7200" max="7200" width="14.5546875" style="2752" customWidth="1"/>
    <col min="7201" max="7201" width="10" style="2752" customWidth="1"/>
    <col min="7202" max="7202" width="7.88671875" style="2752" bestFit="1" customWidth="1"/>
    <col min="7203" max="7203" width="9.88671875" style="2752" customWidth="1"/>
    <col min="7204" max="7420" width="8.88671875" style="2752"/>
    <col min="7421" max="7421" width="38.44140625" style="2752" customWidth="1"/>
    <col min="7422" max="7422" width="8.5546875" style="2752" customWidth="1"/>
    <col min="7423" max="7423" width="1.109375" style="2752" customWidth="1"/>
    <col min="7424" max="7424" width="8.88671875" style="2752" customWidth="1"/>
    <col min="7425" max="7425" width="1.109375" style="2752" customWidth="1"/>
    <col min="7426" max="7426" width="9.109375" style="2752" customWidth="1"/>
    <col min="7427" max="7427" width="1.109375" style="2752" customWidth="1"/>
    <col min="7428" max="7428" width="10" style="2752" customWidth="1"/>
    <col min="7429" max="7429" width="1.109375" style="2752" customWidth="1"/>
    <col min="7430" max="7430" width="9.109375" style="2752" customWidth="1"/>
    <col min="7431" max="7431" width="1.109375" style="2752" customWidth="1"/>
    <col min="7432" max="7432" width="11.109375" style="2752" customWidth="1"/>
    <col min="7433" max="7433" width="1.109375" style="2752" customWidth="1"/>
    <col min="7434" max="7434" width="9.109375" style="2752" customWidth="1"/>
    <col min="7435" max="7435" width="1.88671875" style="2752" customWidth="1"/>
    <col min="7436" max="7436" width="11" style="2752" customWidth="1"/>
    <col min="7437" max="7437" width="1.109375" style="2752" customWidth="1"/>
    <col min="7438" max="7438" width="10.88671875" style="2752" customWidth="1"/>
    <col min="7439" max="7439" width="1.109375" style="2752" customWidth="1"/>
    <col min="7440" max="7440" width="10" style="2752" customWidth="1"/>
    <col min="7441" max="7441" width="1.109375" style="2752" customWidth="1"/>
    <col min="7442" max="7442" width="9.109375" style="2752" customWidth="1"/>
    <col min="7443" max="7443" width="1.109375" style="2752" customWidth="1"/>
    <col min="7444" max="7444" width="7.88671875" style="2752" customWidth="1"/>
    <col min="7445" max="7445" width="1.109375" style="2752" customWidth="1"/>
    <col min="7446" max="7446" width="0.88671875" style="2752" customWidth="1"/>
    <col min="7447" max="7447" width="9.109375" style="2752" customWidth="1"/>
    <col min="7448" max="7448" width="1.109375" style="2752" customWidth="1"/>
    <col min="7449" max="7449" width="0.88671875" style="2752" customWidth="1"/>
    <col min="7450" max="7450" width="9.5546875" style="2752" bestFit="1" customWidth="1"/>
    <col min="7451" max="7452" width="0.88671875" style="2752" customWidth="1"/>
    <col min="7453" max="7453" width="9.88671875" style="2752" customWidth="1"/>
    <col min="7454" max="7454" width="1.109375" style="2752" customWidth="1"/>
    <col min="7455" max="7455" width="8.5546875" style="2752" customWidth="1"/>
    <col min="7456" max="7456" width="14.5546875" style="2752" customWidth="1"/>
    <col min="7457" max="7457" width="10" style="2752" customWidth="1"/>
    <col min="7458" max="7458" width="7.88671875" style="2752" bestFit="1" customWidth="1"/>
    <col min="7459" max="7459" width="9.88671875" style="2752" customWidth="1"/>
    <col min="7460" max="7676" width="8.88671875" style="2752"/>
    <col min="7677" max="7677" width="38.44140625" style="2752" customWidth="1"/>
    <col min="7678" max="7678" width="8.5546875" style="2752" customWidth="1"/>
    <col min="7679" max="7679" width="1.109375" style="2752" customWidth="1"/>
    <col min="7680" max="7680" width="8.88671875" style="2752" customWidth="1"/>
    <col min="7681" max="7681" width="1.109375" style="2752" customWidth="1"/>
    <col min="7682" max="7682" width="9.109375" style="2752" customWidth="1"/>
    <col min="7683" max="7683" width="1.109375" style="2752" customWidth="1"/>
    <col min="7684" max="7684" width="10" style="2752" customWidth="1"/>
    <col min="7685" max="7685" width="1.109375" style="2752" customWidth="1"/>
    <col min="7686" max="7686" width="9.109375" style="2752" customWidth="1"/>
    <col min="7687" max="7687" width="1.109375" style="2752" customWidth="1"/>
    <col min="7688" max="7688" width="11.109375" style="2752" customWidth="1"/>
    <col min="7689" max="7689" width="1.109375" style="2752" customWidth="1"/>
    <col min="7690" max="7690" width="9.109375" style="2752" customWidth="1"/>
    <col min="7691" max="7691" width="1.88671875" style="2752" customWidth="1"/>
    <col min="7692" max="7692" width="11" style="2752" customWidth="1"/>
    <col min="7693" max="7693" width="1.109375" style="2752" customWidth="1"/>
    <col min="7694" max="7694" width="10.88671875" style="2752" customWidth="1"/>
    <col min="7695" max="7695" width="1.109375" style="2752" customWidth="1"/>
    <col min="7696" max="7696" width="10" style="2752" customWidth="1"/>
    <col min="7697" max="7697" width="1.109375" style="2752" customWidth="1"/>
    <col min="7698" max="7698" width="9.109375" style="2752" customWidth="1"/>
    <col min="7699" max="7699" width="1.109375" style="2752" customWidth="1"/>
    <col min="7700" max="7700" width="7.88671875" style="2752" customWidth="1"/>
    <col min="7701" max="7701" width="1.109375" style="2752" customWidth="1"/>
    <col min="7702" max="7702" width="0.88671875" style="2752" customWidth="1"/>
    <col min="7703" max="7703" width="9.109375" style="2752" customWidth="1"/>
    <col min="7704" max="7704" width="1.109375" style="2752" customWidth="1"/>
    <col min="7705" max="7705" width="0.88671875" style="2752" customWidth="1"/>
    <col min="7706" max="7706" width="9.5546875" style="2752" bestFit="1" customWidth="1"/>
    <col min="7707" max="7708" width="0.88671875" style="2752" customWidth="1"/>
    <col min="7709" max="7709" width="9.88671875" style="2752" customWidth="1"/>
    <col min="7710" max="7710" width="1.109375" style="2752" customWidth="1"/>
    <col min="7711" max="7711" width="8.5546875" style="2752" customWidth="1"/>
    <col min="7712" max="7712" width="14.5546875" style="2752" customWidth="1"/>
    <col min="7713" max="7713" width="10" style="2752" customWidth="1"/>
    <col min="7714" max="7714" width="7.88671875" style="2752" bestFit="1" customWidth="1"/>
    <col min="7715" max="7715" width="9.88671875" style="2752" customWidth="1"/>
    <col min="7716" max="7932" width="8.88671875" style="2752"/>
    <col min="7933" max="7933" width="38.44140625" style="2752" customWidth="1"/>
    <col min="7934" max="7934" width="8.5546875" style="2752" customWidth="1"/>
    <col min="7935" max="7935" width="1.109375" style="2752" customWidth="1"/>
    <col min="7936" max="7936" width="8.88671875" style="2752" customWidth="1"/>
    <col min="7937" max="7937" width="1.109375" style="2752" customWidth="1"/>
    <col min="7938" max="7938" width="9.109375" style="2752" customWidth="1"/>
    <col min="7939" max="7939" width="1.109375" style="2752" customWidth="1"/>
    <col min="7940" max="7940" width="10" style="2752" customWidth="1"/>
    <col min="7941" max="7941" width="1.109375" style="2752" customWidth="1"/>
    <col min="7942" max="7942" width="9.109375" style="2752" customWidth="1"/>
    <col min="7943" max="7943" width="1.109375" style="2752" customWidth="1"/>
    <col min="7944" max="7944" width="11.109375" style="2752" customWidth="1"/>
    <col min="7945" max="7945" width="1.109375" style="2752" customWidth="1"/>
    <col min="7946" max="7946" width="9.109375" style="2752" customWidth="1"/>
    <col min="7947" max="7947" width="1.88671875" style="2752" customWidth="1"/>
    <col min="7948" max="7948" width="11" style="2752" customWidth="1"/>
    <col min="7949" max="7949" width="1.109375" style="2752" customWidth="1"/>
    <col min="7950" max="7950" width="10.88671875" style="2752" customWidth="1"/>
    <col min="7951" max="7951" width="1.109375" style="2752" customWidth="1"/>
    <col min="7952" max="7952" width="10" style="2752" customWidth="1"/>
    <col min="7953" max="7953" width="1.109375" style="2752" customWidth="1"/>
    <col min="7954" max="7954" width="9.109375" style="2752" customWidth="1"/>
    <col min="7955" max="7955" width="1.109375" style="2752" customWidth="1"/>
    <col min="7956" max="7956" width="7.88671875" style="2752" customWidth="1"/>
    <col min="7957" max="7957" width="1.109375" style="2752" customWidth="1"/>
    <col min="7958" max="7958" width="0.88671875" style="2752" customWidth="1"/>
    <col min="7959" max="7959" width="9.109375" style="2752" customWidth="1"/>
    <col min="7960" max="7960" width="1.109375" style="2752" customWidth="1"/>
    <col min="7961" max="7961" width="0.88671875" style="2752" customWidth="1"/>
    <col min="7962" max="7962" width="9.5546875" style="2752" bestFit="1" customWidth="1"/>
    <col min="7963" max="7964" width="0.88671875" style="2752" customWidth="1"/>
    <col min="7965" max="7965" width="9.88671875" style="2752" customWidth="1"/>
    <col min="7966" max="7966" width="1.109375" style="2752" customWidth="1"/>
    <col min="7967" max="7967" width="8.5546875" style="2752" customWidth="1"/>
    <col min="7968" max="7968" width="14.5546875" style="2752" customWidth="1"/>
    <col min="7969" max="7969" width="10" style="2752" customWidth="1"/>
    <col min="7970" max="7970" width="7.88671875" style="2752" bestFit="1" customWidth="1"/>
    <col min="7971" max="7971" width="9.88671875" style="2752" customWidth="1"/>
    <col min="7972" max="8188" width="8.88671875" style="2752"/>
    <col min="8189" max="8189" width="38.44140625" style="2752" customWidth="1"/>
    <col min="8190" max="8190" width="8.5546875" style="2752" customWidth="1"/>
    <col min="8191" max="8191" width="1.109375" style="2752" customWidth="1"/>
    <col min="8192" max="8192" width="8.88671875" style="2752" customWidth="1"/>
    <col min="8193" max="8193" width="1.109375" style="2752" customWidth="1"/>
    <col min="8194" max="8194" width="9.109375" style="2752" customWidth="1"/>
    <col min="8195" max="8195" width="1.109375" style="2752" customWidth="1"/>
    <col min="8196" max="8196" width="10" style="2752" customWidth="1"/>
    <col min="8197" max="8197" width="1.109375" style="2752" customWidth="1"/>
    <col min="8198" max="8198" width="9.109375" style="2752" customWidth="1"/>
    <col min="8199" max="8199" width="1.109375" style="2752" customWidth="1"/>
    <col min="8200" max="8200" width="11.109375" style="2752" customWidth="1"/>
    <col min="8201" max="8201" width="1.109375" style="2752" customWidth="1"/>
    <col min="8202" max="8202" width="9.109375" style="2752" customWidth="1"/>
    <col min="8203" max="8203" width="1.88671875" style="2752" customWidth="1"/>
    <col min="8204" max="8204" width="11" style="2752" customWidth="1"/>
    <col min="8205" max="8205" width="1.109375" style="2752" customWidth="1"/>
    <col min="8206" max="8206" width="10.88671875" style="2752" customWidth="1"/>
    <col min="8207" max="8207" width="1.109375" style="2752" customWidth="1"/>
    <col min="8208" max="8208" width="10" style="2752" customWidth="1"/>
    <col min="8209" max="8209" width="1.109375" style="2752" customWidth="1"/>
    <col min="8210" max="8210" width="9.109375" style="2752" customWidth="1"/>
    <col min="8211" max="8211" width="1.109375" style="2752" customWidth="1"/>
    <col min="8212" max="8212" width="7.88671875" style="2752" customWidth="1"/>
    <col min="8213" max="8213" width="1.109375" style="2752" customWidth="1"/>
    <col min="8214" max="8214" width="0.88671875" style="2752" customWidth="1"/>
    <col min="8215" max="8215" width="9.109375" style="2752" customWidth="1"/>
    <col min="8216" max="8216" width="1.109375" style="2752" customWidth="1"/>
    <col min="8217" max="8217" width="0.88671875" style="2752" customWidth="1"/>
    <col min="8218" max="8218" width="9.5546875" style="2752" bestFit="1" customWidth="1"/>
    <col min="8219" max="8220" width="0.88671875" style="2752" customWidth="1"/>
    <col min="8221" max="8221" width="9.88671875" style="2752" customWidth="1"/>
    <col min="8222" max="8222" width="1.109375" style="2752" customWidth="1"/>
    <col min="8223" max="8223" width="8.5546875" style="2752" customWidth="1"/>
    <col min="8224" max="8224" width="14.5546875" style="2752" customWidth="1"/>
    <col min="8225" max="8225" width="10" style="2752" customWidth="1"/>
    <col min="8226" max="8226" width="7.88671875" style="2752" bestFit="1" customWidth="1"/>
    <col min="8227" max="8227" width="9.88671875" style="2752" customWidth="1"/>
    <col min="8228" max="8444" width="8.88671875" style="2752"/>
    <col min="8445" max="8445" width="38.44140625" style="2752" customWidth="1"/>
    <col min="8446" max="8446" width="8.5546875" style="2752" customWidth="1"/>
    <col min="8447" max="8447" width="1.109375" style="2752" customWidth="1"/>
    <col min="8448" max="8448" width="8.88671875" style="2752" customWidth="1"/>
    <col min="8449" max="8449" width="1.109375" style="2752" customWidth="1"/>
    <col min="8450" max="8450" width="9.109375" style="2752" customWidth="1"/>
    <col min="8451" max="8451" width="1.109375" style="2752" customWidth="1"/>
    <col min="8452" max="8452" width="10" style="2752" customWidth="1"/>
    <col min="8453" max="8453" width="1.109375" style="2752" customWidth="1"/>
    <col min="8454" max="8454" width="9.109375" style="2752" customWidth="1"/>
    <col min="8455" max="8455" width="1.109375" style="2752" customWidth="1"/>
    <col min="8456" max="8456" width="11.109375" style="2752" customWidth="1"/>
    <col min="8457" max="8457" width="1.109375" style="2752" customWidth="1"/>
    <col min="8458" max="8458" width="9.109375" style="2752" customWidth="1"/>
    <col min="8459" max="8459" width="1.88671875" style="2752" customWidth="1"/>
    <col min="8460" max="8460" width="11" style="2752" customWidth="1"/>
    <col min="8461" max="8461" width="1.109375" style="2752" customWidth="1"/>
    <col min="8462" max="8462" width="10.88671875" style="2752" customWidth="1"/>
    <col min="8463" max="8463" width="1.109375" style="2752" customWidth="1"/>
    <col min="8464" max="8464" width="10" style="2752" customWidth="1"/>
    <col min="8465" max="8465" width="1.109375" style="2752" customWidth="1"/>
    <col min="8466" max="8466" width="9.109375" style="2752" customWidth="1"/>
    <col min="8467" max="8467" width="1.109375" style="2752" customWidth="1"/>
    <col min="8468" max="8468" width="7.88671875" style="2752" customWidth="1"/>
    <col min="8469" max="8469" width="1.109375" style="2752" customWidth="1"/>
    <col min="8470" max="8470" width="0.88671875" style="2752" customWidth="1"/>
    <col min="8471" max="8471" width="9.109375" style="2752" customWidth="1"/>
    <col min="8472" max="8472" width="1.109375" style="2752" customWidth="1"/>
    <col min="8473" max="8473" width="0.88671875" style="2752" customWidth="1"/>
    <col min="8474" max="8474" width="9.5546875" style="2752" bestFit="1" customWidth="1"/>
    <col min="8475" max="8476" width="0.88671875" style="2752" customWidth="1"/>
    <col min="8477" max="8477" width="9.88671875" style="2752" customWidth="1"/>
    <col min="8478" max="8478" width="1.109375" style="2752" customWidth="1"/>
    <col min="8479" max="8479" width="8.5546875" style="2752" customWidth="1"/>
    <col min="8480" max="8480" width="14.5546875" style="2752" customWidth="1"/>
    <col min="8481" max="8481" width="10" style="2752" customWidth="1"/>
    <col min="8482" max="8482" width="7.88671875" style="2752" bestFit="1" customWidth="1"/>
    <col min="8483" max="8483" width="9.88671875" style="2752" customWidth="1"/>
    <col min="8484" max="8700" width="8.88671875" style="2752"/>
    <col min="8701" max="8701" width="38.44140625" style="2752" customWidth="1"/>
    <col min="8702" max="8702" width="8.5546875" style="2752" customWidth="1"/>
    <col min="8703" max="8703" width="1.109375" style="2752" customWidth="1"/>
    <col min="8704" max="8704" width="8.88671875" style="2752" customWidth="1"/>
    <col min="8705" max="8705" width="1.109375" style="2752" customWidth="1"/>
    <col min="8706" max="8706" width="9.109375" style="2752" customWidth="1"/>
    <col min="8707" max="8707" width="1.109375" style="2752" customWidth="1"/>
    <col min="8708" max="8708" width="10" style="2752" customWidth="1"/>
    <col min="8709" max="8709" width="1.109375" style="2752" customWidth="1"/>
    <col min="8710" max="8710" width="9.109375" style="2752" customWidth="1"/>
    <col min="8711" max="8711" width="1.109375" style="2752" customWidth="1"/>
    <col min="8712" max="8712" width="11.109375" style="2752" customWidth="1"/>
    <col min="8713" max="8713" width="1.109375" style="2752" customWidth="1"/>
    <col min="8714" max="8714" width="9.109375" style="2752" customWidth="1"/>
    <col min="8715" max="8715" width="1.88671875" style="2752" customWidth="1"/>
    <col min="8716" max="8716" width="11" style="2752" customWidth="1"/>
    <col min="8717" max="8717" width="1.109375" style="2752" customWidth="1"/>
    <col min="8718" max="8718" width="10.88671875" style="2752" customWidth="1"/>
    <col min="8719" max="8719" width="1.109375" style="2752" customWidth="1"/>
    <col min="8720" max="8720" width="10" style="2752" customWidth="1"/>
    <col min="8721" max="8721" width="1.109375" style="2752" customWidth="1"/>
    <col min="8722" max="8722" width="9.109375" style="2752" customWidth="1"/>
    <col min="8723" max="8723" width="1.109375" style="2752" customWidth="1"/>
    <col min="8724" max="8724" width="7.88671875" style="2752" customWidth="1"/>
    <col min="8725" max="8725" width="1.109375" style="2752" customWidth="1"/>
    <col min="8726" max="8726" width="0.88671875" style="2752" customWidth="1"/>
    <col min="8727" max="8727" width="9.109375" style="2752" customWidth="1"/>
    <col min="8728" max="8728" width="1.109375" style="2752" customWidth="1"/>
    <col min="8729" max="8729" width="0.88671875" style="2752" customWidth="1"/>
    <col min="8730" max="8730" width="9.5546875" style="2752" bestFit="1" customWidth="1"/>
    <col min="8731" max="8732" width="0.88671875" style="2752" customWidth="1"/>
    <col min="8733" max="8733" width="9.88671875" style="2752" customWidth="1"/>
    <col min="8734" max="8734" width="1.109375" style="2752" customWidth="1"/>
    <col min="8735" max="8735" width="8.5546875" style="2752" customWidth="1"/>
    <col min="8736" max="8736" width="14.5546875" style="2752" customWidth="1"/>
    <col min="8737" max="8737" width="10" style="2752" customWidth="1"/>
    <col min="8738" max="8738" width="7.88671875" style="2752" bestFit="1" customWidth="1"/>
    <col min="8739" max="8739" width="9.88671875" style="2752" customWidth="1"/>
    <col min="8740" max="8956" width="8.88671875" style="2752"/>
    <col min="8957" max="8957" width="38.44140625" style="2752" customWidth="1"/>
    <col min="8958" max="8958" width="8.5546875" style="2752" customWidth="1"/>
    <col min="8959" max="8959" width="1.109375" style="2752" customWidth="1"/>
    <col min="8960" max="8960" width="8.88671875" style="2752" customWidth="1"/>
    <col min="8961" max="8961" width="1.109375" style="2752" customWidth="1"/>
    <col min="8962" max="8962" width="9.109375" style="2752" customWidth="1"/>
    <col min="8963" max="8963" width="1.109375" style="2752" customWidth="1"/>
    <col min="8964" max="8964" width="10" style="2752" customWidth="1"/>
    <col min="8965" max="8965" width="1.109375" style="2752" customWidth="1"/>
    <col min="8966" max="8966" width="9.109375" style="2752" customWidth="1"/>
    <col min="8967" max="8967" width="1.109375" style="2752" customWidth="1"/>
    <col min="8968" max="8968" width="11.109375" style="2752" customWidth="1"/>
    <col min="8969" max="8969" width="1.109375" style="2752" customWidth="1"/>
    <col min="8970" max="8970" width="9.109375" style="2752" customWidth="1"/>
    <col min="8971" max="8971" width="1.88671875" style="2752" customWidth="1"/>
    <col min="8972" max="8972" width="11" style="2752" customWidth="1"/>
    <col min="8973" max="8973" width="1.109375" style="2752" customWidth="1"/>
    <col min="8974" max="8974" width="10.88671875" style="2752" customWidth="1"/>
    <col min="8975" max="8975" width="1.109375" style="2752" customWidth="1"/>
    <col min="8976" max="8976" width="10" style="2752" customWidth="1"/>
    <col min="8977" max="8977" width="1.109375" style="2752" customWidth="1"/>
    <col min="8978" max="8978" width="9.109375" style="2752" customWidth="1"/>
    <col min="8979" max="8979" width="1.109375" style="2752" customWidth="1"/>
    <col min="8980" max="8980" width="7.88671875" style="2752" customWidth="1"/>
    <col min="8981" max="8981" width="1.109375" style="2752" customWidth="1"/>
    <col min="8982" max="8982" width="0.88671875" style="2752" customWidth="1"/>
    <col min="8983" max="8983" width="9.109375" style="2752" customWidth="1"/>
    <col min="8984" max="8984" width="1.109375" style="2752" customWidth="1"/>
    <col min="8985" max="8985" width="0.88671875" style="2752" customWidth="1"/>
    <col min="8986" max="8986" width="9.5546875" style="2752" bestFit="1" customWidth="1"/>
    <col min="8987" max="8988" width="0.88671875" style="2752" customWidth="1"/>
    <col min="8989" max="8989" width="9.88671875" style="2752" customWidth="1"/>
    <col min="8990" max="8990" width="1.109375" style="2752" customWidth="1"/>
    <col min="8991" max="8991" width="8.5546875" style="2752" customWidth="1"/>
    <col min="8992" max="8992" width="14.5546875" style="2752" customWidth="1"/>
    <col min="8993" max="8993" width="10" style="2752" customWidth="1"/>
    <col min="8994" max="8994" width="7.88671875" style="2752" bestFit="1" customWidth="1"/>
    <col min="8995" max="8995" width="9.88671875" style="2752" customWidth="1"/>
    <col min="8996" max="9212" width="8.88671875" style="2752"/>
    <col min="9213" max="9213" width="38.44140625" style="2752" customWidth="1"/>
    <col min="9214" max="9214" width="8.5546875" style="2752" customWidth="1"/>
    <col min="9215" max="9215" width="1.109375" style="2752" customWidth="1"/>
    <col min="9216" max="9216" width="8.88671875" style="2752" customWidth="1"/>
    <col min="9217" max="9217" width="1.109375" style="2752" customWidth="1"/>
    <col min="9218" max="9218" width="9.109375" style="2752" customWidth="1"/>
    <col min="9219" max="9219" width="1.109375" style="2752" customWidth="1"/>
    <col min="9220" max="9220" width="10" style="2752" customWidth="1"/>
    <col min="9221" max="9221" width="1.109375" style="2752" customWidth="1"/>
    <col min="9222" max="9222" width="9.109375" style="2752" customWidth="1"/>
    <col min="9223" max="9223" width="1.109375" style="2752" customWidth="1"/>
    <col min="9224" max="9224" width="11.109375" style="2752" customWidth="1"/>
    <col min="9225" max="9225" width="1.109375" style="2752" customWidth="1"/>
    <col min="9226" max="9226" width="9.109375" style="2752" customWidth="1"/>
    <col min="9227" max="9227" width="1.88671875" style="2752" customWidth="1"/>
    <col min="9228" max="9228" width="11" style="2752" customWidth="1"/>
    <col min="9229" max="9229" width="1.109375" style="2752" customWidth="1"/>
    <col min="9230" max="9230" width="10.88671875" style="2752" customWidth="1"/>
    <col min="9231" max="9231" width="1.109375" style="2752" customWidth="1"/>
    <col min="9232" max="9232" width="10" style="2752" customWidth="1"/>
    <col min="9233" max="9233" width="1.109375" style="2752" customWidth="1"/>
    <col min="9234" max="9234" width="9.109375" style="2752" customWidth="1"/>
    <col min="9235" max="9235" width="1.109375" style="2752" customWidth="1"/>
    <col min="9236" max="9236" width="7.88671875" style="2752" customWidth="1"/>
    <col min="9237" max="9237" width="1.109375" style="2752" customWidth="1"/>
    <col min="9238" max="9238" width="0.88671875" style="2752" customWidth="1"/>
    <col min="9239" max="9239" width="9.109375" style="2752" customWidth="1"/>
    <col min="9240" max="9240" width="1.109375" style="2752" customWidth="1"/>
    <col min="9241" max="9241" width="0.88671875" style="2752" customWidth="1"/>
    <col min="9242" max="9242" width="9.5546875" style="2752" bestFit="1" customWidth="1"/>
    <col min="9243" max="9244" width="0.88671875" style="2752" customWidth="1"/>
    <col min="9245" max="9245" width="9.88671875" style="2752" customWidth="1"/>
    <col min="9246" max="9246" width="1.109375" style="2752" customWidth="1"/>
    <col min="9247" max="9247" width="8.5546875" style="2752" customWidth="1"/>
    <col min="9248" max="9248" width="14.5546875" style="2752" customWidth="1"/>
    <col min="9249" max="9249" width="10" style="2752" customWidth="1"/>
    <col min="9250" max="9250" width="7.88671875" style="2752" bestFit="1" customWidth="1"/>
    <col min="9251" max="9251" width="9.88671875" style="2752" customWidth="1"/>
    <col min="9252" max="9468" width="8.88671875" style="2752"/>
    <col min="9469" max="9469" width="38.44140625" style="2752" customWidth="1"/>
    <col min="9470" max="9470" width="8.5546875" style="2752" customWidth="1"/>
    <col min="9471" max="9471" width="1.109375" style="2752" customWidth="1"/>
    <col min="9472" max="9472" width="8.88671875" style="2752" customWidth="1"/>
    <col min="9473" max="9473" width="1.109375" style="2752" customWidth="1"/>
    <col min="9474" max="9474" width="9.109375" style="2752" customWidth="1"/>
    <col min="9475" max="9475" width="1.109375" style="2752" customWidth="1"/>
    <col min="9476" max="9476" width="10" style="2752" customWidth="1"/>
    <col min="9477" max="9477" width="1.109375" style="2752" customWidth="1"/>
    <col min="9478" max="9478" width="9.109375" style="2752" customWidth="1"/>
    <col min="9479" max="9479" width="1.109375" style="2752" customWidth="1"/>
    <col min="9480" max="9480" width="11.109375" style="2752" customWidth="1"/>
    <col min="9481" max="9481" width="1.109375" style="2752" customWidth="1"/>
    <col min="9482" max="9482" width="9.109375" style="2752" customWidth="1"/>
    <col min="9483" max="9483" width="1.88671875" style="2752" customWidth="1"/>
    <col min="9484" max="9484" width="11" style="2752" customWidth="1"/>
    <col min="9485" max="9485" width="1.109375" style="2752" customWidth="1"/>
    <col min="9486" max="9486" width="10.88671875" style="2752" customWidth="1"/>
    <col min="9487" max="9487" width="1.109375" style="2752" customWidth="1"/>
    <col min="9488" max="9488" width="10" style="2752" customWidth="1"/>
    <col min="9489" max="9489" width="1.109375" style="2752" customWidth="1"/>
    <col min="9490" max="9490" width="9.109375" style="2752" customWidth="1"/>
    <col min="9491" max="9491" width="1.109375" style="2752" customWidth="1"/>
    <col min="9492" max="9492" width="7.88671875" style="2752" customWidth="1"/>
    <col min="9493" max="9493" width="1.109375" style="2752" customWidth="1"/>
    <col min="9494" max="9494" width="0.88671875" style="2752" customWidth="1"/>
    <col min="9495" max="9495" width="9.109375" style="2752" customWidth="1"/>
    <col min="9496" max="9496" width="1.109375" style="2752" customWidth="1"/>
    <col min="9497" max="9497" width="0.88671875" style="2752" customWidth="1"/>
    <col min="9498" max="9498" width="9.5546875" style="2752" bestFit="1" customWidth="1"/>
    <col min="9499" max="9500" width="0.88671875" style="2752" customWidth="1"/>
    <col min="9501" max="9501" width="9.88671875" style="2752" customWidth="1"/>
    <col min="9502" max="9502" width="1.109375" style="2752" customWidth="1"/>
    <col min="9503" max="9503" width="8.5546875" style="2752" customWidth="1"/>
    <col min="9504" max="9504" width="14.5546875" style="2752" customWidth="1"/>
    <col min="9505" max="9505" width="10" style="2752" customWidth="1"/>
    <col min="9506" max="9506" width="7.88671875" style="2752" bestFit="1" customWidth="1"/>
    <col min="9507" max="9507" width="9.88671875" style="2752" customWidth="1"/>
    <col min="9508" max="9724" width="8.88671875" style="2752"/>
    <col min="9725" max="9725" width="38.44140625" style="2752" customWidth="1"/>
    <col min="9726" max="9726" width="8.5546875" style="2752" customWidth="1"/>
    <col min="9727" max="9727" width="1.109375" style="2752" customWidth="1"/>
    <col min="9728" max="9728" width="8.88671875" style="2752" customWidth="1"/>
    <col min="9729" max="9729" width="1.109375" style="2752" customWidth="1"/>
    <col min="9730" max="9730" width="9.109375" style="2752" customWidth="1"/>
    <col min="9731" max="9731" width="1.109375" style="2752" customWidth="1"/>
    <col min="9732" max="9732" width="10" style="2752" customWidth="1"/>
    <col min="9733" max="9733" width="1.109375" style="2752" customWidth="1"/>
    <col min="9734" max="9734" width="9.109375" style="2752" customWidth="1"/>
    <col min="9735" max="9735" width="1.109375" style="2752" customWidth="1"/>
    <col min="9736" max="9736" width="11.109375" style="2752" customWidth="1"/>
    <col min="9737" max="9737" width="1.109375" style="2752" customWidth="1"/>
    <col min="9738" max="9738" width="9.109375" style="2752" customWidth="1"/>
    <col min="9739" max="9739" width="1.88671875" style="2752" customWidth="1"/>
    <col min="9740" max="9740" width="11" style="2752" customWidth="1"/>
    <col min="9741" max="9741" width="1.109375" style="2752" customWidth="1"/>
    <col min="9742" max="9742" width="10.88671875" style="2752" customWidth="1"/>
    <col min="9743" max="9743" width="1.109375" style="2752" customWidth="1"/>
    <col min="9744" max="9744" width="10" style="2752" customWidth="1"/>
    <col min="9745" max="9745" width="1.109375" style="2752" customWidth="1"/>
    <col min="9746" max="9746" width="9.109375" style="2752" customWidth="1"/>
    <col min="9747" max="9747" width="1.109375" style="2752" customWidth="1"/>
    <col min="9748" max="9748" width="7.88671875" style="2752" customWidth="1"/>
    <col min="9749" max="9749" width="1.109375" style="2752" customWidth="1"/>
    <col min="9750" max="9750" width="0.88671875" style="2752" customWidth="1"/>
    <col min="9751" max="9751" width="9.109375" style="2752" customWidth="1"/>
    <col min="9752" max="9752" width="1.109375" style="2752" customWidth="1"/>
    <col min="9753" max="9753" width="0.88671875" style="2752" customWidth="1"/>
    <col min="9754" max="9754" width="9.5546875" style="2752" bestFit="1" customWidth="1"/>
    <col min="9755" max="9756" width="0.88671875" style="2752" customWidth="1"/>
    <col min="9757" max="9757" width="9.88671875" style="2752" customWidth="1"/>
    <col min="9758" max="9758" width="1.109375" style="2752" customWidth="1"/>
    <col min="9759" max="9759" width="8.5546875" style="2752" customWidth="1"/>
    <col min="9760" max="9760" width="14.5546875" style="2752" customWidth="1"/>
    <col min="9761" max="9761" width="10" style="2752" customWidth="1"/>
    <col min="9762" max="9762" width="7.88671875" style="2752" bestFit="1" customWidth="1"/>
    <col min="9763" max="9763" width="9.88671875" style="2752" customWidth="1"/>
    <col min="9764" max="9980" width="8.88671875" style="2752"/>
    <col min="9981" max="9981" width="38.44140625" style="2752" customWidth="1"/>
    <col min="9982" max="9982" width="8.5546875" style="2752" customWidth="1"/>
    <col min="9983" max="9983" width="1.109375" style="2752" customWidth="1"/>
    <col min="9984" max="9984" width="8.88671875" style="2752" customWidth="1"/>
    <col min="9985" max="9985" width="1.109375" style="2752" customWidth="1"/>
    <col min="9986" max="9986" width="9.109375" style="2752" customWidth="1"/>
    <col min="9987" max="9987" width="1.109375" style="2752" customWidth="1"/>
    <col min="9988" max="9988" width="10" style="2752" customWidth="1"/>
    <col min="9989" max="9989" width="1.109375" style="2752" customWidth="1"/>
    <col min="9990" max="9990" width="9.109375" style="2752" customWidth="1"/>
    <col min="9991" max="9991" width="1.109375" style="2752" customWidth="1"/>
    <col min="9992" max="9992" width="11.109375" style="2752" customWidth="1"/>
    <col min="9993" max="9993" width="1.109375" style="2752" customWidth="1"/>
    <col min="9994" max="9994" width="9.109375" style="2752" customWidth="1"/>
    <col min="9995" max="9995" width="1.88671875" style="2752" customWidth="1"/>
    <col min="9996" max="9996" width="11" style="2752" customWidth="1"/>
    <col min="9997" max="9997" width="1.109375" style="2752" customWidth="1"/>
    <col min="9998" max="9998" width="10.88671875" style="2752" customWidth="1"/>
    <col min="9999" max="9999" width="1.109375" style="2752" customWidth="1"/>
    <col min="10000" max="10000" width="10" style="2752" customWidth="1"/>
    <col min="10001" max="10001" width="1.109375" style="2752" customWidth="1"/>
    <col min="10002" max="10002" width="9.109375" style="2752" customWidth="1"/>
    <col min="10003" max="10003" width="1.109375" style="2752" customWidth="1"/>
    <col min="10004" max="10004" width="7.88671875" style="2752" customWidth="1"/>
    <col min="10005" max="10005" width="1.109375" style="2752" customWidth="1"/>
    <col min="10006" max="10006" width="0.88671875" style="2752" customWidth="1"/>
    <col min="10007" max="10007" width="9.109375" style="2752" customWidth="1"/>
    <col min="10008" max="10008" width="1.109375" style="2752" customWidth="1"/>
    <col min="10009" max="10009" width="0.88671875" style="2752" customWidth="1"/>
    <col min="10010" max="10010" width="9.5546875" style="2752" bestFit="1" customWidth="1"/>
    <col min="10011" max="10012" width="0.88671875" style="2752" customWidth="1"/>
    <col min="10013" max="10013" width="9.88671875" style="2752" customWidth="1"/>
    <col min="10014" max="10014" width="1.109375" style="2752" customWidth="1"/>
    <col min="10015" max="10015" width="8.5546875" style="2752" customWidth="1"/>
    <col min="10016" max="10016" width="14.5546875" style="2752" customWidth="1"/>
    <col min="10017" max="10017" width="10" style="2752" customWidth="1"/>
    <col min="10018" max="10018" width="7.88671875" style="2752" bestFit="1" customWidth="1"/>
    <col min="10019" max="10019" width="9.88671875" style="2752" customWidth="1"/>
    <col min="10020" max="10236" width="8.88671875" style="2752"/>
    <col min="10237" max="10237" width="38.44140625" style="2752" customWidth="1"/>
    <col min="10238" max="10238" width="8.5546875" style="2752" customWidth="1"/>
    <col min="10239" max="10239" width="1.109375" style="2752" customWidth="1"/>
    <col min="10240" max="10240" width="8.88671875" style="2752" customWidth="1"/>
    <col min="10241" max="10241" width="1.109375" style="2752" customWidth="1"/>
    <col min="10242" max="10242" width="9.109375" style="2752" customWidth="1"/>
    <col min="10243" max="10243" width="1.109375" style="2752" customWidth="1"/>
    <col min="10244" max="10244" width="10" style="2752" customWidth="1"/>
    <col min="10245" max="10245" width="1.109375" style="2752" customWidth="1"/>
    <col min="10246" max="10246" width="9.109375" style="2752" customWidth="1"/>
    <col min="10247" max="10247" width="1.109375" style="2752" customWidth="1"/>
    <col min="10248" max="10248" width="11.109375" style="2752" customWidth="1"/>
    <col min="10249" max="10249" width="1.109375" style="2752" customWidth="1"/>
    <col min="10250" max="10250" width="9.109375" style="2752" customWidth="1"/>
    <col min="10251" max="10251" width="1.88671875" style="2752" customWidth="1"/>
    <col min="10252" max="10252" width="11" style="2752" customWidth="1"/>
    <col min="10253" max="10253" width="1.109375" style="2752" customWidth="1"/>
    <col min="10254" max="10254" width="10.88671875" style="2752" customWidth="1"/>
    <col min="10255" max="10255" width="1.109375" style="2752" customWidth="1"/>
    <col min="10256" max="10256" width="10" style="2752" customWidth="1"/>
    <col min="10257" max="10257" width="1.109375" style="2752" customWidth="1"/>
    <col min="10258" max="10258" width="9.109375" style="2752" customWidth="1"/>
    <col min="10259" max="10259" width="1.109375" style="2752" customWidth="1"/>
    <col min="10260" max="10260" width="7.88671875" style="2752" customWidth="1"/>
    <col min="10261" max="10261" width="1.109375" style="2752" customWidth="1"/>
    <col min="10262" max="10262" width="0.88671875" style="2752" customWidth="1"/>
    <col min="10263" max="10263" width="9.109375" style="2752" customWidth="1"/>
    <col min="10264" max="10264" width="1.109375" style="2752" customWidth="1"/>
    <col min="10265" max="10265" width="0.88671875" style="2752" customWidth="1"/>
    <col min="10266" max="10266" width="9.5546875" style="2752" bestFit="1" customWidth="1"/>
    <col min="10267" max="10268" width="0.88671875" style="2752" customWidth="1"/>
    <col min="10269" max="10269" width="9.88671875" style="2752" customWidth="1"/>
    <col min="10270" max="10270" width="1.109375" style="2752" customWidth="1"/>
    <col min="10271" max="10271" width="8.5546875" style="2752" customWidth="1"/>
    <col min="10272" max="10272" width="14.5546875" style="2752" customWidth="1"/>
    <col min="10273" max="10273" width="10" style="2752" customWidth="1"/>
    <col min="10274" max="10274" width="7.88671875" style="2752" bestFit="1" customWidth="1"/>
    <col min="10275" max="10275" width="9.88671875" style="2752" customWidth="1"/>
    <col min="10276" max="10492" width="8.88671875" style="2752"/>
    <col min="10493" max="10493" width="38.44140625" style="2752" customWidth="1"/>
    <col min="10494" max="10494" width="8.5546875" style="2752" customWidth="1"/>
    <col min="10495" max="10495" width="1.109375" style="2752" customWidth="1"/>
    <col min="10496" max="10496" width="8.88671875" style="2752" customWidth="1"/>
    <col min="10497" max="10497" width="1.109375" style="2752" customWidth="1"/>
    <col min="10498" max="10498" width="9.109375" style="2752" customWidth="1"/>
    <col min="10499" max="10499" width="1.109375" style="2752" customWidth="1"/>
    <col min="10500" max="10500" width="10" style="2752" customWidth="1"/>
    <col min="10501" max="10501" width="1.109375" style="2752" customWidth="1"/>
    <col min="10502" max="10502" width="9.109375" style="2752" customWidth="1"/>
    <col min="10503" max="10503" width="1.109375" style="2752" customWidth="1"/>
    <col min="10504" max="10504" width="11.109375" style="2752" customWidth="1"/>
    <col min="10505" max="10505" width="1.109375" style="2752" customWidth="1"/>
    <col min="10506" max="10506" width="9.109375" style="2752" customWidth="1"/>
    <col min="10507" max="10507" width="1.88671875" style="2752" customWidth="1"/>
    <col min="10508" max="10508" width="11" style="2752" customWidth="1"/>
    <col min="10509" max="10509" width="1.109375" style="2752" customWidth="1"/>
    <col min="10510" max="10510" width="10.88671875" style="2752" customWidth="1"/>
    <col min="10511" max="10511" width="1.109375" style="2752" customWidth="1"/>
    <col min="10512" max="10512" width="10" style="2752" customWidth="1"/>
    <col min="10513" max="10513" width="1.109375" style="2752" customWidth="1"/>
    <col min="10514" max="10514" width="9.109375" style="2752" customWidth="1"/>
    <col min="10515" max="10515" width="1.109375" style="2752" customWidth="1"/>
    <col min="10516" max="10516" width="7.88671875" style="2752" customWidth="1"/>
    <col min="10517" max="10517" width="1.109375" style="2752" customWidth="1"/>
    <col min="10518" max="10518" width="0.88671875" style="2752" customWidth="1"/>
    <col min="10519" max="10519" width="9.109375" style="2752" customWidth="1"/>
    <col min="10520" max="10520" width="1.109375" style="2752" customWidth="1"/>
    <col min="10521" max="10521" width="0.88671875" style="2752" customWidth="1"/>
    <col min="10522" max="10522" width="9.5546875" style="2752" bestFit="1" customWidth="1"/>
    <col min="10523" max="10524" width="0.88671875" style="2752" customWidth="1"/>
    <col min="10525" max="10525" width="9.88671875" style="2752" customWidth="1"/>
    <col min="10526" max="10526" width="1.109375" style="2752" customWidth="1"/>
    <col min="10527" max="10527" width="8.5546875" style="2752" customWidth="1"/>
    <col min="10528" max="10528" width="14.5546875" style="2752" customWidth="1"/>
    <col min="10529" max="10529" width="10" style="2752" customWidth="1"/>
    <col min="10530" max="10530" width="7.88671875" style="2752" bestFit="1" customWidth="1"/>
    <col min="10531" max="10531" width="9.88671875" style="2752" customWidth="1"/>
    <col min="10532" max="10748" width="8.88671875" style="2752"/>
    <col min="10749" max="10749" width="38.44140625" style="2752" customWidth="1"/>
    <col min="10750" max="10750" width="8.5546875" style="2752" customWidth="1"/>
    <col min="10751" max="10751" width="1.109375" style="2752" customWidth="1"/>
    <col min="10752" max="10752" width="8.88671875" style="2752" customWidth="1"/>
    <col min="10753" max="10753" width="1.109375" style="2752" customWidth="1"/>
    <col min="10754" max="10754" width="9.109375" style="2752" customWidth="1"/>
    <col min="10755" max="10755" width="1.109375" style="2752" customWidth="1"/>
    <col min="10756" max="10756" width="10" style="2752" customWidth="1"/>
    <col min="10757" max="10757" width="1.109375" style="2752" customWidth="1"/>
    <col min="10758" max="10758" width="9.109375" style="2752" customWidth="1"/>
    <col min="10759" max="10759" width="1.109375" style="2752" customWidth="1"/>
    <col min="10760" max="10760" width="11.109375" style="2752" customWidth="1"/>
    <col min="10761" max="10761" width="1.109375" style="2752" customWidth="1"/>
    <col min="10762" max="10762" width="9.109375" style="2752" customWidth="1"/>
    <col min="10763" max="10763" width="1.88671875" style="2752" customWidth="1"/>
    <col min="10764" max="10764" width="11" style="2752" customWidth="1"/>
    <col min="10765" max="10765" width="1.109375" style="2752" customWidth="1"/>
    <col min="10766" max="10766" width="10.88671875" style="2752" customWidth="1"/>
    <col min="10767" max="10767" width="1.109375" style="2752" customWidth="1"/>
    <col min="10768" max="10768" width="10" style="2752" customWidth="1"/>
    <col min="10769" max="10769" width="1.109375" style="2752" customWidth="1"/>
    <col min="10770" max="10770" width="9.109375" style="2752" customWidth="1"/>
    <col min="10771" max="10771" width="1.109375" style="2752" customWidth="1"/>
    <col min="10772" max="10772" width="7.88671875" style="2752" customWidth="1"/>
    <col min="10773" max="10773" width="1.109375" style="2752" customWidth="1"/>
    <col min="10774" max="10774" width="0.88671875" style="2752" customWidth="1"/>
    <col min="10775" max="10775" width="9.109375" style="2752" customWidth="1"/>
    <col min="10776" max="10776" width="1.109375" style="2752" customWidth="1"/>
    <col min="10777" max="10777" width="0.88671875" style="2752" customWidth="1"/>
    <col min="10778" max="10778" width="9.5546875" style="2752" bestFit="1" customWidth="1"/>
    <col min="10779" max="10780" width="0.88671875" style="2752" customWidth="1"/>
    <col min="10781" max="10781" width="9.88671875" style="2752" customWidth="1"/>
    <col min="10782" max="10782" width="1.109375" style="2752" customWidth="1"/>
    <col min="10783" max="10783" width="8.5546875" style="2752" customWidth="1"/>
    <col min="10784" max="10784" width="14.5546875" style="2752" customWidth="1"/>
    <col min="10785" max="10785" width="10" style="2752" customWidth="1"/>
    <col min="10786" max="10786" width="7.88671875" style="2752" bestFit="1" customWidth="1"/>
    <col min="10787" max="10787" width="9.88671875" style="2752" customWidth="1"/>
    <col min="10788" max="11004" width="8.88671875" style="2752"/>
    <col min="11005" max="11005" width="38.44140625" style="2752" customWidth="1"/>
    <col min="11006" max="11006" width="8.5546875" style="2752" customWidth="1"/>
    <col min="11007" max="11007" width="1.109375" style="2752" customWidth="1"/>
    <col min="11008" max="11008" width="8.88671875" style="2752" customWidth="1"/>
    <col min="11009" max="11009" width="1.109375" style="2752" customWidth="1"/>
    <col min="11010" max="11010" width="9.109375" style="2752" customWidth="1"/>
    <col min="11011" max="11011" width="1.109375" style="2752" customWidth="1"/>
    <col min="11012" max="11012" width="10" style="2752" customWidth="1"/>
    <col min="11013" max="11013" width="1.109375" style="2752" customWidth="1"/>
    <col min="11014" max="11014" width="9.109375" style="2752" customWidth="1"/>
    <col min="11015" max="11015" width="1.109375" style="2752" customWidth="1"/>
    <col min="11016" max="11016" width="11.109375" style="2752" customWidth="1"/>
    <col min="11017" max="11017" width="1.109375" style="2752" customWidth="1"/>
    <col min="11018" max="11018" width="9.109375" style="2752" customWidth="1"/>
    <col min="11019" max="11019" width="1.88671875" style="2752" customWidth="1"/>
    <col min="11020" max="11020" width="11" style="2752" customWidth="1"/>
    <col min="11021" max="11021" width="1.109375" style="2752" customWidth="1"/>
    <col min="11022" max="11022" width="10.88671875" style="2752" customWidth="1"/>
    <col min="11023" max="11023" width="1.109375" style="2752" customWidth="1"/>
    <col min="11024" max="11024" width="10" style="2752" customWidth="1"/>
    <col min="11025" max="11025" width="1.109375" style="2752" customWidth="1"/>
    <col min="11026" max="11026" width="9.109375" style="2752" customWidth="1"/>
    <col min="11027" max="11027" width="1.109375" style="2752" customWidth="1"/>
    <col min="11028" max="11028" width="7.88671875" style="2752" customWidth="1"/>
    <col min="11029" max="11029" width="1.109375" style="2752" customWidth="1"/>
    <col min="11030" max="11030" width="0.88671875" style="2752" customWidth="1"/>
    <col min="11031" max="11031" width="9.109375" style="2752" customWidth="1"/>
    <col min="11032" max="11032" width="1.109375" style="2752" customWidth="1"/>
    <col min="11033" max="11033" width="0.88671875" style="2752" customWidth="1"/>
    <col min="11034" max="11034" width="9.5546875" style="2752" bestFit="1" customWidth="1"/>
    <col min="11035" max="11036" width="0.88671875" style="2752" customWidth="1"/>
    <col min="11037" max="11037" width="9.88671875" style="2752" customWidth="1"/>
    <col min="11038" max="11038" width="1.109375" style="2752" customWidth="1"/>
    <col min="11039" max="11039" width="8.5546875" style="2752" customWidth="1"/>
    <col min="11040" max="11040" width="14.5546875" style="2752" customWidth="1"/>
    <col min="11041" max="11041" width="10" style="2752" customWidth="1"/>
    <col min="11042" max="11042" width="7.88671875" style="2752" bestFit="1" customWidth="1"/>
    <col min="11043" max="11043" width="9.88671875" style="2752" customWidth="1"/>
    <col min="11044" max="11260" width="8.88671875" style="2752"/>
    <col min="11261" max="11261" width="38.44140625" style="2752" customWidth="1"/>
    <col min="11262" max="11262" width="8.5546875" style="2752" customWidth="1"/>
    <col min="11263" max="11263" width="1.109375" style="2752" customWidth="1"/>
    <col min="11264" max="11264" width="8.88671875" style="2752" customWidth="1"/>
    <col min="11265" max="11265" width="1.109375" style="2752" customWidth="1"/>
    <col min="11266" max="11266" width="9.109375" style="2752" customWidth="1"/>
    <col min="11267" max="11267" width="1.109375" style="2752" customWidth="1"/>
    <col min="11268" max="11268" width="10" style="2752" customWidth="1"/>
    <col min="11269" max="11269" width="1.109375" style="2752" customWidth="1"/>
    <col min="11270" max="11270" width="9.109375" style="2752" customWidth="1"/>
    <col min="11271" max="11271" width="1.109375" style="2752" customWidth="1"/>
    <col min="11272" max="11272" width="11.109375" style="2752" customWidth="1"/>
    <col min="11273" max="11273" width="1.109375" style="2752" customWidth="1"/>
    <col min="11274" max="11274" width="9.109375" style="2752" customWidth="1"/>
    <col min="11275" max="11275" width="1.88671875" style="2752" customWidth="1"/>
    <col min="11276" max="11276" width="11" style="2752" customWidth="1"/>
    <col min="11277" max="11277" width="1.109375" style="2752" customWidth="1"/>
    <col min="11278" max="11278" width="10.88671875" style="2752" customWidth="1"/>
    <col min="11279" max="11279" width="1.109375" style="2752" customWidth="1"/>
    <col min="11280" max="11280" width="10" style="2752" customWidth="1"/>
    <col min="11281" max="11281" width="1.109375" style="2752" customWidth="1"/>
    <col min="11282" max="11282" width="9.109375" style="2752" customWidth="1"/>
    <col min="11283" max="11283" width="1.109375" style="2752" customWidth="1"/>
    <col min="11284" max="11284" width="7.88671875" style="2752" customWidth="1"/>
    <col min="11285" max="11285" width="1.109375" style="2752" customWidth="1"/>
    <col min="11286" max="11286" width="0.88671875" style="2752" customWidth="1"/>
    <col min="11287" max="11287" width="9.109375" style="2752" customWidth="1"/>
    <col min="11288" max="11288" width="1.109375" style="2752" customWidth="1"/>
    <col min="11289" max="11289" width="0.88671875" style="2752" customWidth="1"/>
    <col min="11290" max="11290" width="9.5546875" style="2752" bestFit="1" customWidth="1"/>
    <col min="11291" max="11292" width="0.88671875" style="2752" customWidth="1"/>
    <col min="11293" max="11293" width="9.88671875" style="2752" customWidth="1"/>
    <col min="11294" max="11294" width="1.109375" style="2752" customWidth="1"/>
    <col min="11295" max="11295" width="8.5546875" style="2752" customWidth="1"/>
    <col min="11296" max="11296" width="14.5546875" style="2752" customWidth="1"/>
    <col min="11297" max="11297" width="10" style="2752" customWidth="1"/>
    <col min="11298" max="11298" width="7.88671875" style="2752" bestFit="1" customWidth="1"/>
    <col min="11299" max="11299" width="9.88671875" style="2752" customWidth="1"/>
    <col min="11300" max="11516" width="8.88671875" style="2752"/>
    <col min="11517" max="11517" width="38.44140625" style="2752" customWidth="1"/>
    <col min="11518" max="11518" width="8.5546875" style="2752" customWidth="1"/>
    <col min="11519" max="11519" width="1.109375" style="2752" customWidth="1"/>
    <col min="11520" max="11520" width="8.88671875" style="2752" customWidth="1"/>
    <col min="11521" max="11521" width="1.109375" style="2752" customWidth="1"/>
    <col min="11522" max="11522" width="9.109375" style="2752" customWidth="1"/>
    <col min="11523" max="11523" width="1.109375" style="2752" customWidth="1"/>
    <col min="11524" max="11524" width="10" style="2752" customWidth="1"/>
    <col min="11525" max="11525" width="1.109375" style="2752" customWidth="1"/>
    <col min="11526" max="11526" width="9.109375" style="2752" customWidth="1"/>
    <col min="11527" max="11527" width="1.109375" style="2752" customWidth="1"/>
    <col min="11528" max="11528" width="11.109375" style="2752" customWidth="1"/>
    <col min="11529" max="11529" width="1.109375" style="2752" customWidth="1"/>
    <col min="11530" max="11530" width="9.109375" style="2752" customWidth="1"/>
    <col min="11531" max="11531" width="1.88671875" style="2752" customWidth="1"/>
    <col min="11532" max="11532" width="11" style="2752" customWidth="1"/>
    <col min="11533" max="11533" width="1.109375" style="2752" customWidth="1"/>
    <col min="11534" max="11534" width="10.88671875" style="2752" customWidth="1"/>
    <col min="11535" max="11535" width="1.109375" style="2752" customWidth="1"/>
    <col min="11536" max="11536" width="10" style="2752" customWidth="1"/>
    <col min="11537" max="11537" width="1.109375" style="2752" customWidth="1"/>
    <col min="11538" max="11538" width="9.109375" style="2752" customWidth="1"/>
    <col min="11539" max="11539" width="1.109375" style="2752" customWidth="1"/>
    <col min="11540" max="11540" width="7.88671875" style="2752" customWidth="1"/>
    <col min="11541" max="11541" width="1.109375" style="2752" customWidth="1"/>
    <col min="11542" max="11542" width="0.88671875" style="2752" customWidth="1"/>
    <col min="11543" max="11543" width="9.109375" style="2752" customWidth="1"/>
    <col min="11544" max="11544" width="1.109375" style="2752" customWidth="1"/>
    <col min="11545" max="11545" width="0.88671875" style="2752" customWidth="1"/>
    <col min="11546" max="11546" width="9.5546875" style="2752" bestFit="1" customWidth="1"/>
    <col min="11547" max="11548" width="0.88671875" style="2752" customWidth="1"/>
    <col min="11549" max="11549" width="9.88671875" style="2752" customWidth="1"/>
    <col min="11550" max="11550" width="1.109375" style="2752" customWidth="1"/>
    <col min="11551" max="11551" width="8.5546875" style="2752" customWidth="1"/>
    <col min="11552" max="11552" width="14.5546875" style="2752" customWidth="1"/>
    <col min="11553" max="11553" width="10" style="2752" customWidth="1"/>
    <col min="11554" max="11554" width="7.88671875" style="2752" bestFit="1" customWidth="1"/>
    <col min="11555" max="11555" width="9.88671875" style="2752" customWidth="1"/>
    <col min="11556" max="11772" width="8.88671875" style="2752"/>
    <col min="11773" max="11773" width="38.44140625" style="2752" customWidth="1"/>
    <col min="11774" max="11774" width="8.5546875" style="2752" customWidth="1"/>
    <col min="11775" max="11775" width="1.109375" style="2752" customWidth="1"/>
    <col min="11776" max="11776" width="8.88671875" style="2752" customWidth="1"/>
    <col min="11777" max="11777" width="1.109375" style="2752" customWidth="1"/>
    <col min="11778" max="11778" width="9.109375" style="2752" customWidth="1"/>
    <col min="11779" max="11779" width="1.109375" style="2752" customWidth="1"/>
    <col min="11780" max="11780" width="10" style="2752" customWidth="1"/>
    <col min="11781" max="11781" width="1.109375" style="2752" customWidth="1"/>
    <col min="11782" max="11782" width="9.109375" style="2752" customWidth="1"/>
    <col min="11783" max="11783" width="1.109375" style="2752" customWidth="1"/>
    <col min="11784" max="11784" width="11.109375" style="2752" customWidth="1"/>
    <col min="11785" max="11785" width="1.109375" style="2752" customWidth="1"/>
    <col min="11786" max="11786" width="9.109375" style="2752" customWidth="1"/>
    <col min="11787" max="11787" width="1.88671875" style="2752" customWidth="1"/>
    <col min="11788" max="11788" width="11" style="2752" customWidth="1"/>
    <col min="11789" max="11789" width="1.109375" style="2752" customWidth="1"/>
    <col min="11790" max="11790" width="10.88671875" style="2752" customWidth="1"/>
    <col min="11791" max="11791" width="1.109375" style="2752" customWidth="1"/>
    <col min="11792" max="11792" width="10" style="2752" customWidth="1"/>
    <col min="11793" max="11793" width="1.109375" style="2752" customWidth="1"/>
    <col min="11794" max="11794" width="9.109375" style="2752" customWidth="1"/>
    <col min="11795" max="11795" width="1.109375" style="2752" customWidth="1"/>
    <col min="11796" max="11796" width="7.88671875" style="2752" customWidth="1"/>
    <col min="11797" max="11797" width="1.109375" style="2752" customWidth="1"/>
    <col min="11798" max="11798" width="0.88671875" style="2752" customWidth="1"/>
    <col min="11799" max="11799" width="9.109375" style="2752" customWidth="1"/>
    <col min="11800" max="11800" width="1.109375" style="2752" customWidth="1"/>
    <col min="11801" max="11801" width="0.88671875" style="2752" customWidth="1"/>
    <col min="11802" max="11802" width="9.5546875" style="2752" bestFit="1" customWidth="1"/>
    <col min="11803" max="11804" width="0.88671875" style="2752" customWidth="1"/>
    <col min="11805" max="11805" width="9.88671875" style="2752" customWidth="1"/>
    <col min="11806" max="11806" width="1.109375" style="2752" customWidth="1"/>
    <col min="11807" max="11807" width="8.5546875" style="2752" customWidth="1"/>
    <col min="11808" max="11808" width="14.5546875" style="2752" customWidth="1"/>
    <col min="11809" max="11809" width="10" style="2752" customWidth="1"/>
    <col min="11810" max="11810" width="7.88671875" style="2752" bestFit="1" customWidth="1"/>
    <col min="11811" max="11811" width="9.88671875" style="2752" customWidth="1"/>
    <col min="11812" max="12028" width="8.88671875" style="2752"/>
    <col min="12029" max="12029" width="38.44140625" style="2752" customWidth="1"/>
    <col min="12030" max="12030" width="8.5546875" style="2752" customWidth="1"/>
    <col min="12031" max="12031" width="1.109375" style="2752" customWidth="1"/>
    <col min="12032" max="12032" width="8.88671875" style="2752" customWidth="1"/>
    <col min="12033" max="12033" width="1.109375" style="2752" customWidth="1"/>
    <col min="12034" max="12034" width="9.109375" style="2752" customWidth="1"/>
    <col min="12035" max="12035" width="1.109375" style="2752" customWidth="1"/>
    <col min="12036" max="12036" width="10" style="2752" customWidth="1"/>
    <col min="12037" max="12037" width="1.109375" style="2752" customWidth="1"/>
    <col min="12038" max="12038" width="9.109375" style="2752" customWidth="1"/>
    <col min="12039" max="12039" width="1.109375" style="2752" customWidth="1"/>
    <col min="12040" max="12040" width="11.109375" style="2752" customWidth="1"/>
    <col min="12041" max="12041" width="1.109375" style="2752" customWidth="1"/>
    <col min="12042" max="12042" width="9.109375" style="2752" customWidth="1"/>
    <col min="12043" max="12043" width="1.88671875" style="2752" customWidth="1"/>
    <col min="12044" max="12044" width="11" style="2752" customWidth="1"/>
    <col min="12045" max="12045" width="1.109375" style="2752" customWidth="1"/>
    <col min="12046" max="12046" width="10.88671875" style="2752" customWidth="1"/>
    <col min="12047" max="12047" width="1.109375" style="2752" customWidth="1"/>
    <col min="12048" max="12048" width="10" style="2752" customWidth="1"/>
    <col min="12049" max="12049" width="1.109375" style="2752" customWidth="1"/>
    <col min="12050" max="12050" width="9.109375" style="2752" customWidth="1"/>
    <col min="12051" max="12051" width="1.109375" style="2752" customWidth="1"/>
    <col min="12052" max="12052" width="7.88671875" style="2752" customWidth="1"/>
    <col min="12053" max="12053" width="1.109375" style="2752" customWidth="1"/>
    <col min="12054" max="12054" width="0.88671875" style="2752" customWidth="1"/>
    <col min="12055" max="12055" width="9.109375" style="2752" customWidth="1"/>
    <col min="12056" max="12056" width="1.109375" style="2752" customWidth="1"/>
    <col min="12057" max="12057" width="0.88671875" style="2752" customWidth="1"/>
    <col min="12058" max="12058" width="9.5546875" style="2752" bestFit="1" customWidth="1"/>
    <col min="12059" max="12060" width="0.88671875" style="2752" customWidth="1"/>
    <col min="12061" max="12061" width="9.88671875" style="2752" customWidth="1"/>
    <col min="12062" max="12062" width="1.109375" style="2752" customWidth="1"/>
    <col min="12063" max="12063" width="8.5546875" style="2752" customWidth="1"/>
    <col min="12064" max="12064" width="14.5546875" style="2752" customWidth="1"/>
    <col min="12065" max="12065" width="10" style="2752" customWidth="1"/>
    <col min="12066" max="12066" width="7.88671875" style="2752" bestFit="1" customWidth="1"/>
    <col min="12067" max="12067" width="9.88671875" style="2752" customWidth="1"/>
    <col min="12068" max="12284" width="8.88671875" style="2752"/>
    <col min="12285" max="12285" width="38.44140625" style="2752" customWidth="1"/>
    <col min="12286" max="12286" width="8.5546875" style="2752" customWidth="1"/>
    <col min="12287" max="12287" width="1.109375" style="2752" customWidth="1"/>
    <col min="12288" max="12288" width="8.88671875" style="2752" customWidth="1"/>
    <col min="12289" max="12289" width="1.109375" style="2752" customWidth="1"/>
    <col min="12290" max="12290" width="9.109375" style="2752" customWidth="1"/>
    <col min="12291" max="12291" width="1.109375" style="2752" customWidth="1"/>
    <col min="12292" max="12292" width="10" style="2752" customWidth="1"/>
    <col min="12293" max="12293" width="1.109375" style="2752" customWidth="1"/>
    <col min="12294" max="12294" width="9.109375" style="2752" customWidth="1"/>
    <col min="12295" max="12295" width="1.109375" style="2752" customWidth="1"/>
    <col min="12296" max="12296" width="11.109375" style="2752" customWidth="1"/>
    <col min="12297" max="12297" width="1.109375" style="2752" customWidth="1"/>
    <col min="12298" max="12298" width="9.109375" style="2752" customWidth="1"/>
    <col min="12299" max="12299" width="1.88671875" style="2752" customWidth="1"/>
    <col min="12300" max="12300" width="11" style="2752" customWidth="1"/>
    <col min="12301" max="12301" width="1.109375" style="2752" customWidth="1"/>
    <col min="12302" max="12302" width="10.88671875" style="2752" customWidth="1"/>
    <col min="12303" max="12303" width="1.109375" style="2752" customWidth="1"/>
    <col min="12304" max="12304" width="10" style="2752" customWidth="1"/>
    <col min="12305" max="12305" width="1.109375" style="2752" customWidth="1"/>
    <col min="12306" max="12306" width="9.109375" style="2752" customWidth="1"/>
    <col min="12307" max="12307" width="1.109375" style="2752" customWidth="1"/>
    <col min="12308" max="12308" width="7.88671875" style="2752" customWidth="1"/>
    <col min="12309" max="12309" width="1.109375" style="2752" customWidth="1"/>
    <col min="12310" max="12310" width="0.88671875" style="2752" customWidth="1"/>
    <col min="12311" max="12311" width="9.109375" style="2752" customWidth="1"/>
    <col min="12312" max="12312" width="1.109375" style="2752" customWidth="1"/>
    <col min="12313" max="12313" width="0.88671875" style="2752" customWidth="1"/>
    <col min="12314" max="12314" width="9.5546875" style="2752" bestFit="1" customWidth="1"/>
    <col min="12315" max="12316" width="0.88671875" style="2752" customWidth="1"/>
    <col min="12317" max="12317" width="9.88671875" style="2752" customWidth="1"/>
    <col min="12318" max="12318" width="1.109375" style="2752" customWidth="1"/>
    <col min="12319" max="12319" width="8.5546875" style="2752" customWidth="1"/>
    <col min="12320" max="12320" width="14.5546875" style="2752" customWidth="1"/>
    <col min="12321" max="12321" width="10" style="2752" customWidth="1"/>
    <col min="12322" max="12322" width="7.88671875" style="2752" bestFit="1" customWidth="1"/>
    <col min="12323" max="12323" width="9.88671875" style="2752" customWidth="1"/>
    <col min="12324" max="12540" width="8.88671875" style="2752"/>
    <col min="12541" max="12541" width="38.44140625" style="2752" customWidth="1"/>
    <col min="12542" max="12542" width="8.5546875" style="2752" customWidth="1"/>
    <col min="12543" max="12543" width="1.109375" style="2752" customWidth="1"/>
    <col min="12544" max="12544" width="8.88671875" style="2752" customWidth="1"/>
    <col min="12545" max="12545" width="1.109375" style="2752" customWidth="1"/>
    <col min="12546" max="12546" width="9.109375" style="2752" customWidth="1"/>
    <col min="12547" max="12547" width="1.109375" style="2752" customWidth="1"/>
    <col min="12548" max="12548" width="10" style="2752" customWidth="1"/>
    <col min="12549" max="12549" width="1.109375" style="2752" customWidth="1"/>
    <col min="12550" max="12550" width="9.109375" style="2752" customWidth="1"/>
    <col min="12551" max="12551" width="1.109375" style="2752" customWidth="1"/>
    <col min="12552" max="12552" width="11.109375" style="2752" customWidth="1"/>
    <col min="12553" max="12553" width="1.109375" style="2752" customWidth="1"/>
    <col min="12554" max="12554" width="9.109375" style="2752" customWidth="1"/>
    <col min="12555" max="12555" width="1.88671875" style="2752" customWidth="1"/>
    <col min="12556" max="12556" width="11" style="2752" customWidth="1"/>
    <col min="12557" max="12557" width="1.109375" style="2752" customWidth="1"/>
    <col min="12558" max="12558" width="10.88671875" style="2752" customWidth="1"/>
    <col min="12559" max="12559" width="1.109375" style="2752" customWidth="1"/>
    <col min="12560" max="12560" width="10" style="2752" customWidth="1"/>
    <col min="12561" max="12561" width="1.109375" style="2752" customWidth="1"/>
    <col min="12562" max="12562" width="9.109375" style="2752" customWidth="1"/>
    <col min="12563" max="12563" width="1.109375" style="2752" customWidth="1"/>
    <col min="12564" max="12564" width="7.88671875" style="2752" customWidth="1"/>
    <col min="12565" max="12565" width="1.109375" style="2752" customWidth="1"/>
    <col min="12566" max="12566" width="0.88671875" style="2752" customWidth="1"/>
    <col min="12567" max="12567" width="9.109375" style="2752" customWidth="1"/>
    <col min="12568" max="12568" width="1.109375" style="2752" customWidth="1"/>
    <col min="12569" max="12569" width="0.88671875" style="2752" customWidth="1"/>
    <col min="12570" max="12570" width="9.5546875" style="2752" bestFit="1" customWidth="1"/>
    <col min="12571" max="12572" width="0.88671875" style="2752" customWidth="1"/>
    <col min="12573" max="12573" width="9.88671875" style="2752" customWidth="1"/>
    <col min="12574" max="12574" width="1.109375" style="2752" customWidth="1"/>
    <col min="12575" max="12575" width="8.5546875" style="2752" customWidth="1"/>
    <col min="12576" max="12576" width="14.5546875" style="2752" customWidth="1"/>
    <col min="12577" max="12577" width="10" style="2752" customWidth="1"/>
    <col min="12578" max="12578" width="7.88671875" style="2752" bestFit="1" customWidth="1"/>
    <col min="12579" max="12579" width="9.88671875" style="2752" customWidth="1"/>
    <col min="12580" max="12796" width="8.88671875" style="2752"/>
    <col min="12797" max="12797" width="38.44140625" style="2752" customWidth="1"/>
    <col min="12798" max="12798" width="8.5546875" style="2752" customWidth="1"/>
    <col min="12799" max="12799" width="1.109375" style="2752" customWidth="1"/>
    <col min="12800" max="12800" width="8.88671875" style="2752" customWidth="1"/>
    <col min="12801" max="12801" width="1.109375" style="2752" customWidth="1"/>
    <col min="12802" max="12802" width="9.109375" style="2752" customWidth="1"/>
    <col min="12803" max="12803" width="1.109375" style="2752" customWidth="1"/>
    <col min="12804" max="12804" width="10" style="2752" customWidth="1"/>
    <col min="12805" max="12805" width="1.109375" style="2752" customWidth="1"/>
    <col min="12806" max="12806" width="9.109375" style="2752" customWidth="1"/>
    <col min="12807" max="12807" width="1.109375" style="2752" customWidth="1"/>
    <col min="12808" max="12808" width="11.109375" style="2752" customWidth="1"/>
    <col min="12809" max="12809" width="1.109375" style="2752" customWidth="1"/>
    <col min="12810" max="12810" width="9.109375" style="2752" customWidth="1"/>
    <col min="12811" max="12811" width="1.88671875" style="2752" customWidth="1"/>
    <col min="12812" max="12812" width="11" style="2752" customWidth="1"/>
    <col min="12813" max="12813" width="1.109375" style="2752" customWidth="1"/>
    <col min="12814" max="12814" width="10.88671875" style="2752" customWidth="1"/>
    <col min="12815" max="12815" width="1.109375" style="2752" customWidth="1"/>
    <col min="12816" max="12816" width="10" style="2752" customWidth="1"/>
    <col min="12817" max="12817" width="1.109375" style="2752" customWidth="1"/>
    <col min="12818" max="12818" width="9.109375" style="2752" customWidth="1"/>
    <col min="12819" max="12819" width="1.109375" style="2752" customWidth="1"/>
    <col min="12820" max="12820" width="7.88671875" style="2752" customWidth="1"/>
    <col min="12821" max="12821" width="1.109375" style="2752" customWidth="1"/>
    <col min="12822" max="12822" width="0.88671875" style="2752" customWidth="1"/>
    <col min="12823" max="12823" width="9.109375" style="2752" customWidth="1"/>
    <col min="12824" max="12824" width="1.109375" style="2752" customWidth="1"/>
    <col min="12825" max="12825" width="0.88671875" style="2752" customWidth="1"/>
    <col min="12826" max="12826" width="9.5546875" style="2752" bestFit="1" customWidth="1"/>
    <col min="12827" max="12828" width="0.88671875" style="2752" customWidth="1"/>
    <col min="12829" max="12829" width="9.88671875" style="2752" customWidth="1"/>
    <col min="12830" max="12830" width="1.109375" style="2752" customWidth="1"/>
    <col min="12831" max="12831" width="8.5546875" style="2752" customWidth="1"/>
    <col min="12832" max="12832" width="14.5546875" style="2752" customWidth="1"/>
    <col min="12833" max="12833" width="10" style="2752" customWidth="1"/>
    <col min="12834" max="12834" width="7.88671875" style="2752" bestFit="1" customWidth="1"/>
    <col min="12835" max="12835" width="9.88671875" style="2752" customWidth="1"/>
    <col min="12836" max="13052" width="8.88671875" style="2752"/>
    <col min="13053" max="13053" width="38.44140625" style="2752" customWidth="1"/>
    <col min="13054" max="13054" width="8.5546875" style="2752" customWidth="1"/>
    <col min="13055" max="13055" width="1.109375" style="2752" customWidth="1"/>
    <col min="13056" max="13056" width="8.88671875" style="2752" customWidth="1"/>
    <col min="13057" max="13057" width="1.109375" style="2752" customWidth="1"/>
    <col min="13058" max="13058" width="9.109375" style="2752" customWidth="1"/>
    <col min="13059" max="13059" width="1.109375" style="2752" customWidth="1"/>
    <col min="13060" max="13060" width="10" style="2752" customWidth="1"/>
    <col min="13061" max="13061" width="1.109375" style="2752" customWidth="1"/>
    <col min="13062" max="13062" width="9.109375" style="2752" customWidth="1"/>
    <col min="13063" max="13063" width="1.109375" style="2752" customWidth="1"/>
    <col min="13064" max="13064" width="11.109375" style="2752" customWidth="1"/>
    <col min="13065" max="13065" width="1.109375" style="2752" customWidth="1"/>
    <col min="13066" max="13066" width="9.109375" style="2752" customWidth="1"/>
    <col min="13067" max="13067" width="1.88671875" style="2752" customWidth="1"/>
    <col min="13068" max="13068" width="11" style="2752" customWidth="1"/>
    <col min="13069" max="13069" width="1.109375" style="2752" customWidth="1"/>
    <col min="13070" max="13070" width="10.88671875" style="2752" customWidth="1"/>
    <col min="13071" max="13071" width="1.109375" style="2752" customWidth="1"/>
    <col min="13072" max="13072" width="10" style="2752" customWidth="1"/>
    <col min="13073" max="13073" width="1.109375" style="2752" customWidth="1"/>
    <col min="13074" max="13074" width="9.109375" style="2752" customWidth="1"/>
    <col min="13075" max="13075" width="1.109375" style="2752" customWidth="1"/>
    <col min="13076" max="13076" width="7.88671875" style="2752" customWidth="1"/>
    <col min="13077" max="13077" width="1.109375" style="2752" customWidth="1"/>
    <col min="13078" max="13078" width="0.88671875" style="2752" customWidth="1"/>
    <col min="13079" max="13079" width="9.109375" style="2752" customWidth="1"/>
    <col min="13080" max="13080" width="1.109375" style="2752" customWidth="1"/>
    <col min="13081" max="13081" width="0.88671875" style="2752" customWidth="1"/>
    <col min="13082" max="13082" width="9.5546875" style="2752" bestFit="1" customWidth="1"/>
    <col min="13083" max="13084" width="0.88671875" style="2752" customWidth="1"/>
    <col min="13085" max="13085" width="9.88671875" style="2752" customWidth="1"/>
    <col min="13086" max="13086" width="1.109375" style="2752" customWidth="1"/>
    <col min="13087" max="13087" width="8.5546875" style="2752" customWidth="1"/>
    <col min="13088" max="13088" width="14.5546875" style="2752" customWidth="1"/>
    <col min="13089" max="13089" width="10" style="2752" customWidth="1"/>
    <col min="13090" max="13090" width="7.88671875" style="2752" bestFit="1" customWidth="1"/>
    <col min="13091" max="13091" width="9.88671875" style="2752" customWidth="1"/>
    <col min="13092" max="13308" width="8.88671875" style="2752"/>
    <col min="13309" max="13309" width="38.44140625" style="2752" customWidth="1"/>
    <col min="13310" max="13310" width="8.5546875" style="2752" customWidth="1"/>
    <col min="13311" max="13311" width="1.109375" style="2752" customWidth="1"/>
    <col min="13312" max="13312" width="8.88671875" style="2752" customWidth="1"/>
    <col min="13313" max="13313" width="1.109375" style="2752" customWidth="1"/>
    <col min="13314" max="13314" width="9.109375" style="2752" customWidth="1"/>
    <col min="13315" max="13315" width="1.109375" style="2752" customWidth="1"/>
    <col min="13316" max="13316" width="10" style="2752" customWidth="1"/>
    <col min="13317" max="13317" width="1.109375" style="2752" customWidth="1"/>
    <col min="13318" max="13318" width="9.109375" style="2752" customWidth="1"/>
    <col min="13319" max="13319" width="1.109375" style="2752" customWidth="1"/>
    <col min="13320" max="13320" width="11.109375" style="2752" customWidth="1"/>
    <col min="13321" max="13321" width="1.109375" style="2752" customWidth="1"/>
    <col min="13322" max="13322" width="9.109375" style="2752" customWidth="1"/>
    <col min="13323" max="13323" width="1.88671875" style="2752" customWidth="1"/>
    <col min="13324" max="13324" width="11" style="2752" customWidth="1"/>
    <col min="13325" max="13325" width="1.109375" style="2752" customWidth="1"/>
    <col min="13326" max="13326" width="10.88671875" style="2752" customWidth="1"/>
    <col min="13327" max="13327" width="1.109375" style="2752" customWidth="1"/>
    <col min="13328" max="13328" width="10" style="2752" customWidth="1"/>
    <col min="13329" max="13329" width="1.109375" style="2752" customWidth="1"/>
    <col min="13330" max="13330" width="9.109375" style="2752" customWidth="1"/>
    <col min="13331" max="13331" width="1.109375" style="2752" customWidth="1"/>
    <col min="13332" max="13332" width="7.88671875" style="2752" customWidth="1"/>
    <col min="13333" max="13333" width="1.109375" style="2752" customWidth="1"/>
    <col min="13334" max="13334" width="0.88671875" style="2752" customWidth="1"/>
    <col min="13335" max="13335" width="9.109375" style="2752" customWidth="1"/>
    <col min="13336" max="13336" width="1.109375" style="2752" customWidth="1"/>
    <col min="13337" max="13337" width="0.88671875" style="2752" customWidth="1"/>
    <col min="13338" max="13338" width="9.5546875" style="2752" bestFit="1" customWidth="1"/>
    <col min="13339" max="13340" width="0.88671875" style="2752" customWidth="1"/>
    <col min="13341" max="13341" width="9.88671875" style="2752" customWidth="1"/>
    <col min="13342" max="13342" width="1.109375" style="2752" customWidth="1"/>
    <col min="13343" max="13343" width="8.5546875" style="2752" customWidth="1"/>
    <col min="13344" max="13344" width="14.5546875" style="2752" customWidth="1"/>
    <col min="13345" max="13345" width="10" style="2752" customWidth="1"/>
    <col min="13346" max="13346" width="7.88671875" style="2752" bestFit="1" customWidth="1"/>
    <col min="13347" max="13347" width="9.88671875" style="2752" customWidth="1"/>
    <col min="13348" max="13564" width="8.88671875" style="2752"/>
    <col min="13565" max="13565" width="38.44140625" style="2752" customWidth="1"/>
    <col min="13566" max="13566" width="8.5546875" style="2752" customWidth="1"/>
    <col min="13567" max="13567" width="1.109375" style="2752" customWidth="1"/>
    <col min="13568" max="13568" width="8.88671875" style="2752" customWidth="1"/>
    <col min="13569" max="13569" width="1.109375" style="2752" customWidth="1"/>
    <col min="13570" max="13570" width="9.109375" style="2752" customWidth="1"/>
    <col min="13571" max="13571" width="1.109375" style="2752" customWidth="1"/>
    <col min="13572" max="13572" width="10" style="2752" customWidth="1"/>
    <col min="13573" max="13573" width="1.109375" style="2752" customWidth="1"/>
    <col min="13574" max="13574" width="9.109375" style="2752" customWidth="1"/>
    <col min="13575" max="13575" width="1.109375" style="2752" customWidth="1"/>
    <col min="13576" max="13576" width="11.109375" style="2752" customWidth="1"/>
    <col min="13577" max="13577" width="1.109375" style="2752" customWidth="1"/>
    <col min="13578" max="13578" width="9.109375" style="2752" customWidth="1"/>
    <col min="13579" max="13579" width="1.88671875" style="2752" customWidth="1"/>
    <col min="13580" max="13580" width="11" style="2752" customWidth="1"/>
    <col min="13581" max="13581" width="1.109375" style="2752" customWidth="1"/>
    <col min="13582" max="13582" width="10.88671875" style="2752" customWidth="1"/>
    <col min="13583" max="13583" width="1.109375" style="2752" customWidth="1"/>
    <col min="13584" max="13584" width="10" style="2752" customWidth="1"/>
    <col min="13585" max="13585" width="1.109375" style="2752" customWidth="1"/>
    <col min="13586" max="13586" width="9.109375" style="2752" customWidth="1"/>
    <col min="13587" max="13587" width="1.109375" style="2752" customWidth="1"/>
    <col min="13588" max="13588" width="7.88671875" style="2752" customWidth="1"/>
    <col min="13589" max="13589" width="1.109375" style="2752" customWidth="1"/>
    <col min="13590" max="13590" width="0.88671875" style="2752" customWidth="1"/>
    <col min="13591" max="13591" width="9.109375" style="2752" customWidth="1"/>
    <col min="13592" max="13592" width="1.109375" style="2752" customWidth="1"/>
    <col min="13593" max="13593" width="0.88671875" style="2752" customWidth="1"/>
    <col min="13594" max="13594" width="9.5546875" style="2752" bestFit="1" customWidth="1"/>
    <col min="13595" max="13596" width="0.88671875" style="2752" customWidth="1"/>
    <col min="13597" max="13597" width="9.88671875" style="2752" customWidth="1"/>
    <col min="13598" max="13598" width="1.109375" style="2752" customWidth="1"/>
    <col min="13599" max="13599" width="8.5546875" style="2752" customWidth="1"/>
    <col min="13600" max="13600" width="14.5546875" style="2752" customWidth="1"/>
    <col min="13601" max="13601" width="10" style="2752" customWidth="1"/>
    <col min="13602" max="13602" width="7.88671875" style="2752" bestFit="1" customWidth="1"/>
    <col min="13603" max="13603" width="9.88671875" style="2752" customWidth="1"/>
    <col min="13604" max="13820" width="8.88671875" style="2752"/>
    <col min="13821" max="13821" width="38.44140625" style="2752" customWidth="1"/>
    <col min="13822" max="13822" width="8.5546875" style="2752" customWidth="1"/>
    <col min="13823" max="13823" width="1.109375" style="2752" customWidth="1"/>
    <col min="13824" max="13824" width="8.88671875" style="2752" customWidth="1"/>
    <col min="13825" max="13825" width="1.109375" style="2752" customWidth="1"/>
    <col min="13826" max="13826" width="9.109375" style="2752" customWidth="1"/>
    <col min="13827" max="13827" width="1.109375" style="2752" customWidth="1"/>
    <col min="13828" max="13828" width="10" style="2752" customWidth="1"/>
    <col min="13829" max="13829" width="1.109375" style="2752" customWidth="1"/>
    <col min="13830" max="13830" width="9.109375" style="2752" customWidth="1"/>
    <col min="13831" max="13831" width="1.109375" style="2752" customWidth="1"/>
    <col min="13832" max="13832" width="11.109375" style="2752" customWidth="1"/>
    <col min="13833" max="13833" width="1.109375" style="2752" customWidth="1"/>
    <col min="13834" max="13834" width="9.109375" style="2752" customWidth="1"/>
    <col min="13835" max="13835" width="1.88671875" style="2752" customWidth="1"/>
    <col min="13836" max="13836" width="11" style="2752" customWidth="1"/>
    <col min="13837" max="13837" width="1.109375" style="2752" customWidth="1"/>
    <col min="13838" max="13838" width="10.88671875" style="2752" customWidth="1"/>
    <col min="13839" max="13839" width="1.109375" style="2752" customWidth="1"/>
    <col min="13840" max="13840" width="10" style="2752" customWidth="1"/>
    <col min="13841" max="13841" width="1.109375" style="2752" customWidth="1"/>
    <col min="13842" max="13842" width="9.109375" style="2752" customWidth="1"/>
    <col min="13843" max="13843" width="1.109375" style="2752" customWidth="1"/>
    <col min="13844" max="13844" width="7.88671875" style="2752" customWidth="1"/>
    <col min="13845" max="13845" width="1.109375" style="2752" customWidth="1"/>
    <col min="13846" max="13846" width="0.88671875" style="2752" customWidth="1"/>
    <col min="13847" max="13847" width="9.109375" style="2752" customWidth="1"/>
    <col min="13848" max="13848" width="1.109375" style="2752" customWidth="1"/>
    <col min="13849" max="13849" width="0.88671875" style="2752" customWidth="1"/>
    <col min="13850" max="13850" width="9.5546875" style="2752" bestFit="1" customWidth="1"/>
    <col min="13851" max="13852" width="0.88671875" style="2752" customWidth="1"/>
    <col min="13853" max="13853" width="9.88671875" style="2752" customWidth="1"/>
    <col min="13854" max="13854" width="1.109375" style="2752" customWidth="1"/>
    <col min="13855" max="13855" width="8.5546875" style="2752" customWidth="1"/>
    <col min="13856" max="13856" width="14.5546875" style="2752" customWidth="1"/>
    <col min="13857" max="13857" width="10" style="2752" customWidth="1"/>
    <col min="13858" max="13858" width="7.88671875" style="2752" bestFit="1" customWidth="1"/>
    <col min="13859" max="13859" width="9.88671875" style="2752" customWidth="1"/>
    <col min="13860" max="14076" width="8.88671875" style="2752"/>
    <col min="14077" max="14077" width="38.44140625" style="2752" customWidth="1"/>
    <col min="14078" max="14078" width="8.5546875" style="2752" customWidth="1"/>
    <col min="14079" max="14079" width="1.109375" style="2752" customWidth="1"/>
    <col min="14080" max="14080" width="8.88671875" style="2752" customWidth="1"/>
    <col min="14081" max="14081" width="1.109375" style="2752" customWidth="1"/>
    <col min="14082" max="14082" width="9.109375" style="2752" customWidth="1"/>
    <col min="14083" max="14083" width="1.109375" style="2752" customWidth="1"/>
    <col min="14084" max="14084" width="10" style="2752" customWidth="1"/>
    <col min="14085" max="14085" width="1.109375" style="2752" customWidth="1"/>
    <col min="14086" max="14086" width="9.109375" style="2752" customWidth="1"/>
    <col min="14087" max="14087" width="1.109375" style="2752" customWidth="1"/>
    <col min="14088" max="14088" width="11.109375" style="2752" customWidth="1"/>
    <col min="14089" max="14089" width="1.109375" style="2752" customWidth="1"/>
    <col min="14090" max="14090" width="9.109375" style="2752" customWidth="1"/>
    <col min="14091" max="14091" width="1.88671875" style="2752" customWidth="1"/>
    <col min="14092" max="14092" width="11" style="2752" customWidth="1"/>
    <col min="14093" max="14093" width="1.109375" style="2752" customWidth="1"/>
    <col min="14094" max="14094" width="10.88671875" style="2752" customWidth="1"/>
    <col min="14095" max="14095" width="1.109375" style="2752" customWidth="1"/>
    <col min="14096" max="14096" width="10" style="2752" customWidth="1"/>
    <col min="14097" max="14097" width="1.109375" style="2752" customWidth="1"/>
    <col min="14098" max="14098" width="9.109375" style="2752" customWidth="1"/>
    <col min="14099" max="14099" width="1.109375" style="2752" customWidth="1"/>
    <col min="14100" max="14100" width="7.88671875" style="2752" customWidth="1"/>
    <col min="14101" max="14101" width="1.109375" style="2752" customWidth="1"/>
    <col min="14102" max="14102" width="0.88671875" style="2752" customWidth="1"/>
    <col min="14103" max="14103" width="9.109375" style="2752" customWidth="1"/>
    <col min="14104" max="14104" width="1.109375" style="2752" customWidth="1"/>
    <col min="14105" max="14105" width="0.88671875" style="2752" customWidth="1"/>
    <col min="14106" max="14106" width="9.5546875" style="2752" bestFit="1" customWidth="1"/>
    <col min="14107" max="14108" width="0.88671875" style="2752" customWidth="1"/>
    <col min="14109" max="14109" width="9.88671875" style="2752" customWidth="1"/>
    <col min="14110" max="14110" width="1.109375" style="2752" customWidth="1"/>
    <col min="14111" max="14111" width="8.5546875" style="2752" customWidth="1"/>
    <col min="14112" max="14112" width="14.5546875" style="2752" customWidth="1"/>
    <col min="14113" max="14113" width="10" style="2752" customWidth="1"/>
    <col min="14114" max="14114" width="7.88671875" style="2752" bestFit="1" customWidth="1"/>
    <col min="14115" max="14115" width="9.88671875" style="2752" customWidth="1"/>
    <col min="14116" max="14332" width="8.88671875" style="2752"/>
    <col min="14333" max="14333" width="38.44140625" style="2752" customWidth="1"/>
    <col min="14334" max="14334" width="8.5546875" style="2752" customWidth="1"/>
    <col min="14335" max="14335" width="1.109375" style="2752" customWidth="1"/>
    <col min="14336" max="14336" width="8.88671875" style="2752" customWidth="1"/>
    <col min="14337" max="14337" width="1.109375" style="2752" customWidth="1"/>
    <col min="14338" max="14338" width="9.109375" style="2752" customWidth="1"/>
    <col min="14339" max="14339" width="1.109375" style="2752" customWidth="1"/>
    <col min="14340" max="14340" width="10" style="2752" customWidth="1"/>
    <col min="14341" max="14341" width="1.109375" style="2752" customWidth="1"/>
    <col min="14342" max="14342" width="9.109375" style="2752" customWidth="1"/>
    <col min="14343" max="14343" width="1.109375" style="2752" customWidth="1"/>
    <col min="14344" max="14344" width="11.109375" style="2752" customWidth="1"/>
    <col min="14345" max="14345" width="1.109375" style="2752" customWidth="1"/>
    <col min="14346" max="14346" width="9.109375" style="2752" customWidth="1"/>
    <col min="14347" max="14347" width="1.88671875" style="2752" customWidth="1"/>
    <col min="14348" max="14348" width="11" style="2752" customWidth="1"/>
    <col min="14349" max="14349" width="1.109375" style="2752" customWidth="1"/>
    <col min="14350" max="14350" width="10.88671875" style="2752" customWidth="1"/>
    <col min="14351" max="14351" width="1.109375" style="2752" customWidth="1"/>
    <col min="14352" max="14352" width="10" style="2752" customWidth="1"/>
    <col min="14353" max="14353" width="1.109375" style="2752" customWidth="1"/>
    <col min="14354" max="14354" width="9.109375" style="2752" customWidth="1"/>
    <col min="14355" max="14355" width="1.109375" style="2752" customWidth="1"/>
    <col min="14356" max="14356" width="7.88671875" style="2752" customWidth="1"/>
    <col min="14357" max="14357" width="1.109375" style="2752" customWidth="1"/>
    <col min="14358" max="14358" width="0.88671875" style="2752" customWidth="1"/>
    <col min="14359" max="14359" width="9.109375" style="2752" customWidth="1"/>
    <col min="14360" max="14360" width="1.109375" style="2752" customWidth="1"/>
    <col min="14361" max="14361" width="0.88671875" style="2752" customWidth="1"/>
    <col min="14362" max="14362" width="9.5546875" style="2752" bestFit="1" customWidth="1"/>
    <col min="14363" max="14364" width="0.88671875" style="2752" customWidth="1"/>
    <col min="14365" max="14365" width="9.88671875" style="2752" customWidth="1"/>
    <col min="14366" max="14366" width="1.109375" style="2752" customWidth="1"/>
    <col min="14367" max="14367" width="8.5546875" style="2752" customWidth="1"/>
    <col min="14368" max="14368" width="14.5546875" style="2752" customWidth="1"/>
    <col min="14369" max="14369" width="10" style="2752" customWidth="1"/>
    <col min="14370" max="14370" width="7.88671875" style="2752" bestFit="1" customWidth="1"/>
    <col min="14371" max="14371" width="9.88671875" style="2752" customWidth="1"/>
    <col min="14372" max="14588" width="8.88671875" style="2752"/>
    <col min="14589" max="14589" width="38.44140625" style="2752" customWidth="1"/>
    <col min="14590" max="14590" width="8.5546875" style="2752" customWidth="1"/>
    <col min="14591" max="14591" width="1.109375" style="2752" customWidth="1"/>
    <col min="14592" max="14592" width="8.88671875" style="2752" customWidth="1"/>
    <col min="14593" max="14593" width="1.109375" style="2752" customWidth="1"/>
    <col min="14594" max="14594" width="9.109375" style="2752" customWidth="1"/>
    <col min="14595" max="14595" width="1.109375" style="2752" customWidth="1"/>
    <col min="14596" max="14596" width="10" style="2752" customWidth="1"/>
    <col min="14597" max="14597" width="1.109375" style="2752" customWidth="1"/>
    <col min="14598" max="14598" width="9.109375" style="2752" customWidth="1"/>
    <col min="14599" max="14599" width="1.109375" style="2752" customWidth="1"/>
    <col min="14600" max="14600" width="11.109375" style="2752" customWidth="1"/>
    <col min="14601" max="14601" width="1.109375" style="2752" customWidth="1"/>
    <col min="14602" max="14602" width="9.109375" style="2752" customWidth="1"/>
    <col min="14603" max="14603" width="1.88671875" style="2752" customWidth="1"/>
    <col min="14604" max="14604" width="11" style="2752" customWidth="1"/>
    <col min="14605" max="14605" width="1.109375" style="2752" customWidth="1"/>
    <col min="14606" max="14606" width="10.88671875" style="2752" customWidth="1"/>
    <col min="14607" max="14607" width="1.109375" style="2752" customWidth="1"/>
    <col min="14608" max="14608" width="10" style="2752" customWidth="1"/>
    <col min="14609" max="14609" width="1.109375" style="2752" customWidth="1"/>
    <col min="14610" max="14610" width="9.109375" style="2752" customWidth="1"/>
    <col min="14611" max="14611" width="1.109375" style="2752" customWidth="1"/>
    <col min="14612" max="14612" width="7.88671875" style="2752" customWidth="1"/>
    <col min="14613" max="14613" width="1.109375" style="2752" customWidth="1"/>
    <col min="14614" max="14614" width="0.88671875" style="2752" customWidth="1"/>
    <col min="14615" max="14615" width="9.109375" style="2752" customWidth="1"/>
    <col min="14616" max="14616" width="1.109375" style="2752" customWidth="1"/>
    <col min="14617" max="14617" width="0.88671875" style="2752" customWidth="1"/>
    <col min="14618" max="14618" width="9.5546875" style="2752" bestFit="1" customWidth="1"/>
    <col min="14619" max="14620" width="0.88671875" style="2752" customWidth="1"/>
    <col min="14621" max="14621" width="9.88671875" style="2752" customWidth="1"/>
    <col min="14622" max="14622" width="1.109375" style="2752" customWidth="1"/>
    <col min="14623" max="14623" width="8.5546875" style="2752" customWidth="1"/>
    <col min="14624" max="14624" width="14.5546875" style="2752" customWidth="1"/>
    <col min="14625" max="14625" width="10" style="2752" customWidth="1"/>
    <col min="14626" max="14626" width="7.88671875" style="2752" bestFit="1" customWidth="1"/>
    <col min="14627" max="14627" width="9.88671875" style="2752" customWidth="1"/>
    <col min="14628" max="14844" width="8.88671875" style="2752"/>
    <col min="14845" max="14845" width="38.44140625" style="2752" customWidth="1"/>
    <col min="14846" max="14846" width="8.5546875" style="2752" customWidth="1"/>
    <col min="14847" max="14847" width="1.109375" style="2752" customWidth="1"/>
    <col min="14848" max="14848" width="8.88671875" style="2752" customWidth="1"/>
    <col min="14849" max="14849" width="1.109375" style="2752" customWidth="1"/>
    <col min="14850" max="14850" width="9.109375" style="2752" customWidth="1"/>
    <col min="14851" max="14851" width="1.109375" style="2752" customWidth="1"/>
    <col min="14852" max="14852" width="10" style="2752" customWidth="1"/>
    <col min="14853" max="14853" width="1.109375" style="2752" customWidth="1"/>
    <col min="14854" max="14854" width="9.109375" style="2752" customWidth="1"/>
    <col min="14855" max="14855" width="1.109375" style="2752" customWidth="1"/>
    <col min="14856" max="14856" width="11.109375" style="2752" customWidth="1"/>
    <col min="14857" max="14857" width="1.109375" style="2752" customWidth="1"/>
    <col min="14858" max="14858" width="9.109375" style="2752" customWidth="1"/>
    <col min="14859" max="14859" width="1.88671875" style="2752" customWidth="1"/>
    <col min="14860" max="14860" width="11" style="2752" customWidth="1"/>
    <col min="14861" max="14861" width="1.109375" style="2752" customWidth="1"/>
    <col min="14862" max="14862" width="10.88671875" style="2752" customWidth="1"/>
    <col min="14863" max="14863" width="1.109375" style="2752" customWidth="1"/>
    <col min="14864" max="14864" width="10" style="2752" customWidth="1"/>
    <col min="14865" max="14865" width="1.109375" style="2752" customWidth="1"/>
    <col min="14866" max="14866" width="9.109375" style="2752" customWidth="1"/>
    <col min="14867" max="14867" width="1.109375" style="2752" customWidth="1"/>
    <col min="14868" max="14868" width="7.88671875" style="2752" customWidth="1"/>
    <col min="14869" max="14869" width="1.109375" style="2752" customWidth="1"/>
    <col min="14870" max="14870" width="0.88671875" style="2752" customWidth="1"/>
    <col min="14871" max="14871" width="9.109375" style="2752" customWidth="1"/>
    <col min="14872" max="14872" width="1.109375" style="2752" customWidth="1"/>
    <col min="14873" max="14873" width="0.88671875" style="2752" customWidth="1"/>
    <col min="14874" max="14874" width="9.5546875" style="2752" bestFit="1" customWidth="1"/>
    <col min="14875" max="14876" width="0.88671875" style="2752" customWidth="1"/>
    <col min="14877" max="14877" width="9.88671875" style="2752" customWidth="1"/>
    <col min="14878" max="14878" width="1.109375" style="2752" customWidth="1"/>
    <col min="14879" max="14879" width="8.5546875" style="2752" customWidth="1"/>
    <col min="14880" max="14880" width="14.5546875" style="2752" customWidth="1"/>
    <col min="14881" max="14881" width="10" style="2752" customWidth="1"/>
    <col min="14882" max="14882" width="7.88671875" style="2752" bestFit="1" customWidth="1"/>
    <col min="14883" max="14883" width="9.88671875" style="2752" customWidth="1"/>
    <col min="14884" max="15100" width="8.88671875" style="2752"/>
    <col min="15101" max="15101" width="38.44140625" style="2752" customWidth="1"/>
    <col min="15102" max="15102" width="8.5546875" style="2752" customWidth="1"/>
    <col min="15103" max="15103" width="1.109375" style="2752" customWidth="1"/>
    <col min="15104" max="15104" width="8.88671875" style="2752" customWidth="1"/>
    <col min="15105" max="15105" width="1.109375" style="2752" customWidth="1"/>
    <col min="15106" max="15106" width="9.109375" style="2752" customWidth="1"/>
    <col min="15107" max="15107" width="1.109375" style="2752" customWidth="1"/>
    <col min="15108" max="15108" width="10" style="2752" customWidth="1"/>
    <col min="15109" max="15109" width="1.109375" style="2752" customWidth="1"/>
    <col min="15110" max="15110" width="9.109375" style="2752" customWidth="1"/>
    <col min="15111" max="15111" width="1.109375" style="2752" customWidth="1"/>
    <col min="15112" max="15112" width="11.109375" style="2752" customWidth="1"/>
    <col min="15113" max="15113" width="1.109375" style="2752" customWidth="1"/>
    <col min="15114" max="15114" width="9.109375" style="2752" customWidth="1"/>
    <col min="15115" max="15115" width="1.88671875" style="2752" customWidth="1"/>
    <col min="15116" max="15116" width="11" style="2752" customWidth="1"/>
    <col min="15117" max="15117" width="1.109375" style="2752" customWidth="1"/>
    <col min="15118" max="15118" width="10.88671875" style="2752" customWidth="1"/>
    <col min="15119" max="15119" width="1.109375" style="2752" customWidth="1"/>
    <col min="15120" max="15120" width="10" style="2752" customWidth="1"/>
    <col min="15121" max="15121" width="1.109375" style="2752" customWidth="1"/>
    <col min="15122" max="15122" width="9.109375" style="2752" customWidth="1"/>
    <col min="15123" max="15123" width="1.109375" style="2752" customWidth="1"/>
    <col min="15124" max="15124" width="7.88671875" style="2752" customWidth="1"/>
    <col min="15125" max="15125" width="1.109375" style="2752" customWidth="1"/>
    <col min="15126" max="15126" width="0.88671875" style="2752" customWidth="1"/>
    <col min="15127" max="15127" width="9.109375" style="2752" customWidth="1"/>
    <col min="15128" max="15128" width="1.109375" style="2752" customWidth="1"/>
    <col min="15129" max="15129" width="0.88671875" style="2752" customWidth="1"/>
    <col min="15130" max="15130" width="9.5546875" style="2752" bestFit="1" customWidth="1"/>
    <col min="15131" max="15132" width="0.88671875" style="2752" customWidth="1"/>
    <col min="15133" max="15133" width="9.88671875" style="2752" customWidth="1"/>
    <col min="15134" max="15134" width="1.109375" style="2752" customWidth="1"/>
    <col min="15135" max="15135" width="8.5546875" style="2752" customWidth="1"/>
    <col min="15136" max="15136" width="14.5546875" style="2752" customWidth="1"/>
    <col min="15137" max="15137" width="10" style="2752" customWidth="1"/>
    <col min="15138" max="15138" width="7.88671875" style="2752" bestFit="1" customWidth="1"/>
    <col min="15139" max="15139" width="9.88671875" style="2752" customWidth="1"/>
    <col min="15140" max="15356" width="8.88671875" style="2752"/>
    <col min="15357" max="15357" width="38.44140625" style="2752" customWidth="1"/>
    <col min="15358" max="15358" width="8.5546875" style="2752" customWidth="1"/>
    <col min="15359" max="15359" width="1.109375" style="2752" customWidth="1"/>
    <col min="15360" max="15360" width="8.88671875" style="2752" customWidth="1"/>
    <col min="15361" max="15361" width="1.109375" style="2752" customWidth="1"/>
    <col min="15362" max="15362" width="9.109375" style="2752" customWidth="1"/>
    <col min="15363" max="15363" width="1.109375" style="2752" customWidth="1"/>
    <col min="15364" max="15364" width="10" style="2752" customWidth="1"/>
    <col min="15365" max="15365" width="1.109375" style="2752" customWidth="1"/>
    <col min="15366" max="15366" width="9.109375" style="2752" customWidth="1"/>
    <col min="15367" max="15367" width="1.109375" style="2752" customWidth="1"/>
    <col min="15368" max="15368" width="11.109375" style="2752" customWidth="1"/>
    <col min="15369" max="15369" width="1.109375" style="2752" customWidth="1"/>
    <col min="15370" max="15370" width="9.109375" style="2752" customWidth="1"/>
    <col min="15371" max="15371" width="1.88671875" style="2752" customWidth="1"/>
    <col min="15372" max="15372" width="11" style="2752" customWidth="1"/>
    <col min="15373" max="15373" width="1.109375" style="2752" customWidth="1"/>
    <col min="15374" max="15374" width="10.88671875" style="2752" customWidth="1"/>
    <col min="15375" max="15375" width="1.109375" style="2752" customWidth="1"/>
    <col min="15376" max="15376" width="10" style="2752" customWidth="1"/>
    <col min="15377" max="15377" width="1.109375" style="2752" customWidth="1"/>
    <col min="15378" max="15378" width="9.109375" style="2752" customWidth="1"/>
    <col min="15379" max="15379" width="1.109375" style="2752" customWidth="1"/>
    <col min="15380" max="15380" width="7.88671875" style="2752" customWidth="1"/>
    <col min="15381" max="15381" width="1.109375" style="2752" customWidth="1"/>
    <col min="15382" max="15382" width="0.88671875" style="2752" customWidth="1"/>
    <col min="15383" max="15383" width="9.109375" style="2752" customWidth="1"/>
    <col min="15384" max="15384" width="1.109375" style="2752" customWidth="1"/>
    <col min="15385" max="15385" width="0.88671875" style="2752" customWidth="1"/>
    <col min="15386" max="15386" width="9.5546875" style="2752" bestFit="1" customWidth="1"/>
    <col min="15387" max="15388" width="0.88671875" style="2752" customWidth="1"/>
    <col min="15389" max="15389" width="9.88671875" style="2752" customWidth="1"/>
    <col min="15390" max="15390" width="1.109375" style="2752" customWidth="1"/>
    <col min="15391" max="15391" width="8.5546875" style="2752" customWidth="1"/>
    <col min="15392" max="15392" width="14.5546875" style="2752" customWidth="1"/>
    <col min="15393" max="15393" width="10" style="2752" customWidth="1"/>
    <col min="15394" max="15394" width="7.88671875" style="2752" bestFit="1" customWidth="1"/>
    <col min="15395" max="15395" width="9.88671875" style="2752" customWidth="1"/>
    <col min="15396" max="15612" width="8.88671875" style="2752"/>
    <col min="15613" max="15613" width="38.44140625" style="2752" customWidth="1"/>
    <col min="15614" max="15614" width="8.5546875" style="2752" customWidth="1"/>
    <col min="15615" max="15615" width="1.109375" style="2752" customWidth="1"/>
    <col min="15616" max="15616" width="8.88671875" style="2752" customWidth="1"/>
    <col min="15617" max="15617" width="1.109375" style="2752" customWidth="1"/>
    <col min="15618" max="15618" width="9.109375" style="2752" customWidth="1"/>
    <col min="15619" max="15619" width="1.109375" style="2752" customWidth="1"/>
    <col min="15620" max="15620" width="10" style="2752" customWidth="1"/>
    <col min="15621" max="15621" width="1.109375" style="2752" customWidth="1"/>
    <col min="15622" max="15622" width="9.109375" style="2752" customWidth="1"/>
    <col min="15623" max="15623" width="1.109375" style="2752" customWidth="1"/>
    <col min="15624" max="15624" width="11.109375" style="2752" customWidth="1"/>
    <col min="15625" max="15625" width="1.109375" style="2752" customWidth="1"/>
    <col min="15626" max="15626" width="9.109375" style="2752" customWidth="1"/>
    <col min="15627" max="15627" width="1.88671875" style="2752" customWidth="1"/>
    <col min="15628" max="15628" width="11" style="2752" customWidth="1"/>
    <col min="15629" max="15629" width="1.109375" style="2752" customWidth="1"/>
    <col min="15630" max="15630" width="10.88671875" style="2752" customWidth="1"/>
    <col min="15631" max="15631" width="1.109375" style="2752" customWidth="1"/>
    <col min="15632" max="15632" width="10" style="2752" customWidth="1"/>
    <col min="15633" max="15633" width="1.109375" style="2752" customWidth="1"/>
    <col min="15634" max="15634" width="9.109375" style="2752" customWidth="1"/>
    <col min="15635" max="15635" width="1.109375" style="2752" customWidth="1"/>
    <col min="15636" max="15636" width="7.88671875" style="2752" customWidth="1"/>
    <col min="15637" max="15637" width="1.109375" style="2752" customWidth="1"/>
    <col min="15638" max="15638" width="0.88671875" style="2752" customWidth="1"/>
    <col min="15639" max="15639" width="9.109375" style="2752" customWidth="1"/>
    <col min="15640" max="15640" width="1.109375" style="2752" customWidth="1"/>
    <col min="15641" max="15641" width="0.88671875" style="2752" customWidth="1"/>
    <col min="15642" max="15642" width="9.5546875" style="2752" bestFit="1" customWidth="1"/>
    <col min="15643" max="15644" width="0.88671875" style="2752" customWidth="1"/>
    <col min="15645" max="15645" width="9.88671875" style="2752" customWidth="1"/>
    <col min="15646" max="15646" width="1.109375" style="2752" customWidth="1"/>
    <col min="15647" max="15647" width="8.5546875" style="2752" customWidth="1"/>
    <col min="15648" max="15648" width="14.5546875" style="2752" customWidth="1"/>
    <col min="15649" max="15649" width="10" style="2752" customWidth="1"/>
    <col min="15650" max="15650" width="7.88671875" style="2752" bestFit="1" customWidth="1"/>
    <col min="15651" max="15651" width="9.88671875" style="2752" customWidth="1"/>
    <col min="15652" max="15868" width="8.88671875" style="2752"/>
    <col min="15869" max="15869" width="38.44140625" style="2752" customWidth="1"/>
    <col min="15870" max="15870" width="8.5546875" style="2752" customWidth="1"/>
    <col min="15871" max="15871" width="1.109375" style="2752" customWidth="1"/>
    <col min="15872" max="15872" width="8.88671875" style="2752" customWidth="1"/>
    <col min="15873" max="15873" width="1.109375" style="2752" customWidth="1"/>
    <col min="15874" max="15874" width="9.109375" style="2752" customWidth="1"/>
    <col min="15875" max="15875" width="1.109375" style="2752" customWidth="1"/>
    <col min="15876" max="15876" width="10" style="2752" customWidth="1"/>
    <col min="15877" max="15877" width="1.109375" style="2752" customWidth="1"/>
    <col min="15878" max="15878" width="9.109375" style="2752" customWidth="1"/>
    <col min="15879" max="15879" width="1.109375" style="2752" customWidth="1"/>
    <col min="15880" max="15880" width="11.109375" style="2752" customWidth="1"/>
    <col min="15881" max="15881" width="1.109375" style="2752" customWidth="1"/>
    <col min="15882" max="15882" width="9.109375" style="2752" customWidth="1"/>
    <col min="15883" max="15883" width="1.88671875" style="2752" customWidth="1"/>
    <col min="15884" max="15884" width="11" style="2752" customWidth="1"/>
    <col min="15885" max="15885" width="1.109375" style="2752" customWidth="1"/>
    <col min="15886" max="15886" width="10.88671875" style="2752" customWidth="1"/>
    <col min="15887" max="15887" width="1.109375" style="2752" customWidth="1"/>
    <col min="15888" max="15888" width="10" style="2752" customWidth="1"/>
    <col min="15889" max="15889" width="1.109375" style="2752" customWidth="1"/>
    <col min="15890" max="15890" width="9.109375" style="2752" customWidth="1"/>
    <col min="15891" max="15891" width="1.109375" style="2752" customWidth="1"/>
    <col min="15892" max="15892" width="7.88671875" style="2752" customWidth="1"/>
    <col min="15893" max="15893" width="1.109375" style="2752" customWidth="1"/>
    <col min="15894" max="15894" width="0.88671875" style="2752" customWidth="1"/>
    <col min="15895" max="15895" width="9.109375" style="2752" customWidth="1"/>
    <col min="15896" max="15896" width="1.109375" style="2752" customWidth="1"/>
    <col min="15897" max="15897" width="0.88671875" style="2752" customWidth="1"/>
    <col min="15898" max="15898" width="9.5546875" style="2752" bestFit="1" customWidth="1"/>
    <col min="15899" max="15900" width="0.88671875" style="2752" customWidth="1"/>
    <col min="15901" max="15901" width="9.88671875" style="2752" customWidth="1"/>
    <col min="15902" max="15902" width="1.109375" style="2752" customWidth="1"/>
    <col min="15903" max="15903" width="8.5546875" style="2752" customWidth="1"/>
    <col min="15904" max="15904" width="14.5546875" style="2752" customWidth="1"/>
    <col min="15905" max="15905" width="10" style="2752" customWidth="1"/>
    <col min="15906" max="15906" width="7.88671875" style="2752" bestFit="1" customWidth="1"/>
    <col min="15907" max="15907" width="9.88671875" style="2752" customWidth="1"/>
    <col min="15908" max="16124" width="8.88671875" style="2752"/>
    <col min="16125" max="16125" width="38.44140625" style="2752" customWidth="1"/>
    <col min="16126" max="16126" width="8.5546875" style="2752" customWidth="1"/>
    <col min="16127" max="16127" width="1.109375" style="2752" customWidth="1"/>
    <col min="16128" max="16128" width="8.88671875" style="2752" customWidth="1"/>
    <col min="16129" max="16129" width="1.109375" style="2752" customWidth="1"/>
    <col min="16130" max="16130" width="9.109375" style="2752" customWidth="1"/>
    <col min="16131" max="16131" width="1.109375" style="2752" customWidth="1"/>
    <col min="16132" max="16132" width="10" style="2752" customWidth="1"/>
    <col min="16133" max="16133" width="1.109375" style="2752" customWidth="1"/>
    <col min="16134" max="16134" width="9.109375" style="2752" customWidth="1"/>
    <col min="16135" max="16135" width="1.109375" style="2752" customWidth="1"/>
    <col min="16136" max="16136" width="11.109375" style="2752" customWidth="1"/>
    <col min="16137" max="16137" width="1.109375" style="2752" customWidth="1"/>
    <col min="16138" max="16138" width="9.109375" style="2752" customWidth="1"/>
    <col min="16139" max="16139" width="1.88671875" style="2752" customWidth="1"/>
    <col min="16140" max="16140" width="11" style="2752" customWidth="1"/>
    <col min="16141" max="16141" width="1.109375" style="2752" customWidth="1"/>
    <col min="16142" max="16142" width="10.88671875" style="2752" customWidth="1"/>
    <col min="16143" max="16143" width="1.109375" style="2752" customWidth="1"/>
    <col min="16144" max="16144" width="10" style="2752" customWidth="1"/>
    <col min="16145" max="16145" width="1.109375" style="2752" customWidth="1"/>
    <col min="16146" max="16146" width="9.109375" style="2752" customWidth="1"/>
    <col min="16147" max="16147" width="1.109375" style="2752" customWidth="1"/>
    <col min="16148" max="16148" width="7.88671875" style="2752" customWidth="1"/>
    <col min="16149" max="16149" width="1.109375" style="2752" customWidth="1"/>
    <col min="16150" max="16150" width="0.88671875" style="2752" customWidth="1"/>
    <col min="16151" max="16151" width="9.109375" style="2752" customWidth="1"/>
    <col min="16152" max="16152" width="1.109375" style="2752" customWidth="1"/>
    <col min="16153" max="16153" width="0.88671875" style="2752" customWidth="1"/>
    <col min="16154" max="16154" width="9.5546875" style="2752" bestFit="1" customWidth="1"/>
    <col min="16155" max="16156" width="0.88671875" style="2752" customWidth="1"/>
    <col min="16157" max="16157" width="9.88671875" style="2752" customWidth="1"/>
    <col min="16158" max="16158" width="1.109375" style="2752" customWidth="1"/>
    <col min="16159" max="16159" width="8.5546875" style="2752" customWidth="1"/>
    <col min="16160" max="16160" width="14.5546875" style="2752" customWidth="1"/>
    <col min="16161" max="16161" width="10" style="2752" customWidth="1"/>
    <col min="16162" max="16162" width="7.88671875" style="2752" bestFit="1" customWidth="1"/>
    <col min="16163" max="16163" width="9.88671875" style="2752" customWidth="1"/>
    <col min="16164" max="16384" width="8.88671875" style="2752"/>
  </cols>
  <sheetData>
    <row r="1" spans="1:36" ht="15">
      <c r="A1" s="2294" t="s">
        <v>979</v>
      </c>
    </row>
    <row r="2" spans="1:36" ht="10.5" customHeight="1"/>
    <row r="3" spans="1:36" ht="18">
      <c r="A3" s="2755" t="s">
        <v>0</v>
      </c>
      <c r="AI3" s="2756" t="s">
        <v>1167</v>
      </c>
    </row>
    <row r="4" spans="1:36" ht="18">
      <c r="A4" s="2757" t="s">
        <v>185</v>
      </c>
    </row>
    <row r="5" spans="1:36" ht="18">
      <c r="A5" s="2757" t="s">
        <v>149</v>
      </c>
      <c r="AB5" s="3913"/>
      <c r="AC5" s="3914"/>
      <c r="AD5" s="3914"/>
      <c r="AE5" s="2758"/>
      <c r="AF5" s="2758"/>
      <c r="AG5" s="2758"/>
      <c r="AH5" s="2758"/>
      <c r="AI5" s="2758"/>
      <c r="AJ5" s="2759"/>
    </row>
    <row r="6" spans="1:36" ht="18">
      <c r="A6" s="2755" t="str">
        <f>'Cashflow Governmental'!A6</f>
        <v xml:space="preserve">FISCAL YEAR 2019-2020   </v>
      </c>
    </row>
    <row r="7" spans="1:36" ht="18">
      <c r="A7" s="2757" t="s">
        <v>1416</v>
      </c>
    </row>
    <row r="8" spans="1:36" ht="15.75">
      <c r="AA8" s="3915" t="s">
        <v>1566</v>
      </c>
      <c r="AB8" s="3915"/>
      <c r="AC8" s="3915"/>
      <c r="AD8" s="3915"/>
      <c r="AE8" s="3915"/>
      <c r="AF8" s="3915"/>
      <c r="AG8" s="3915"/>
      <c r="AH8" s="3915"/>
      <c r="AI8" s="3915"/>
    </row>
    <row r="9" spans="1:36" ht="15.75">
      <c r="B9" s="2760" t="str">
        <f>'Cashflow Governmental'!C13</f>
        <v>2019</v>
      </c>
      <c r="C9" s="2534"/>
      <c r="D9" s="2534"/>
      <c r="E9" s="2534"/>
      <c r="F9" s="2761"/>
      <c r="G9" s="2534"/>
      <c r="H9" s="2534"/>
      <c r="I9" s="2534"/>
      <c r="J9" s="2534"/>
      <c r="K9" s="2534"/>
      <c r="L9" s="2534"/>
      <c r="M9" s="2534"/>
      <c r="N9" s="2534"/>
      <c r="O9" s="2534"/>
      <c r="P9" s="2534"/>
      <c r="Q9" s="2534"/>
      <c r="R9" s="2534"/>
      <c r="S9" s="2534"/>
      <c r="T9" s="2760" t="str">
        <f>'Cashflow Governmental'!U13</f>
        <v>2020</v>
      </c>
      <c r="U9" s="2534"/>
      <c r="V9" s="2534"/>
      <c r="W9" s="2534"/>
      <c r="X9" s="2762"/>
      <c r="Y9" s="2534"/>
      <c r="Z9" s="2534"/>
      <c r="AA9" s="2534"/>
      <c r="AB9" s="2534"/>
      <c r="AC9" s="2534"/>
      <c r="AD9" s="2534"/>
      <c r="AE9" s="2763"/>
      <c r="AF9" s="2534"/>
      <c r="AG9" s="2764" t="s">
        <v>8</v>
      </c>
      <c r="AH9" s="2765"/>
      <c r="AI9" s="2766" t="s">
        <v>9</v>
      </c>
      <c r="AJ9" s="2759"/>
    </row>
    <row r="10" spans="1:36" ht="15.75">
      <c r="B10" s="2767" t="s">
        <v>125</v>
      </c>
      <c r="C10" s="2534"/>
      <c r="D10" s="2767" t="s">
        <v>126</v>
      </c>
      <c r="E10" s="2762"/>
      <c r="F10" s="2768" t="s">
        <v>127</v>
      </c>
      <c r="G10" s="2762"/>
      <c r="H10" s="2767" t="s">
        <v>128</v>
      </c>
      <c r="I10" s="2762"/>
      <c r="J10" s="2767" t="s">
        <v>129</v>
      </c>
      <c r="K10" s="2762"/>
      <c r="L10" s="2769" t="s">
        <v>144</v>
      </c>
      <c r="M10" s="2762"/>
      <c r="N10" s="2767" t="s">
        <v>145</v>
      </c>
      <c r="O10" s="2762"/>
      <c r="P10" s="2767" t="s">
        <v>132</v>
      </c>
      <c r="Q10" s="2762"/>
      <c r="R10" s="2767" t="s">
        <v>133</v>
      </c>
      <c r="S10" s="2534"/>
      <c r="T10" s="2767" t="s">
        <v>134</v>
      </c>
      <c r="U10" s="2762"/>
      <c r="V10" s="2767" t="s">
        <v>135</v>
      </c>
      <c r="W10" s="2762"/>
      <c r="X10" s="2767" t="s">
        <v>186</v>
      </c>
      <c r="Y10" s="2762"/>
      <c r="Z10" s="2762"/>
      <c r="AA10" s="2770">
        <f>'Cashflow Governmental'!AB14</f>
        <v>2020</v>
      </c>
      <c r="AB10" s="2762"/>
      <c r="AC10" s="2762"/>
      <c r="AD10" s="2770">
        <f>'Cashflow Governmental'!AE14</f>
        <v>2019</v>
      </c>
      <c r="AE10" s="2771"/>
      <c r="AF10" s="2771"/>
      <c r="AG10" s="2772" t="s">
        <v>12</v>
      </c>
      <c r="AH10" s="2773"/>
      <c r="AI10" s="2772" t="s">
        <v>13</v>
      </c>
      <c r="AJ10" s="2759"/>
    </row>
    <row r="11" spans="1:36" ht="3" customHeight="1">
      <c r="B11" s="2774"/>
      <c r="C11" s="1496"/>
      <c r="D11" s="2774"/>
      <c r="E11" s="2775"/>
      <c r="F11" s="2776"/>
      <c r="G11" s="2775"/>
      <c r="H11" s="2774"/>
      <c r="I11" s="2775"/>
      <c r="J11" s="2774"/>
      <c r="K11" s="2775"/>
      <c r="L11" s="2777"/>
      <c r="M11" s="2775"/>
      <c r="N11" s="2774"/>
      <c r="O11" s="2775"/>
      <c r="P11" s="2774"/>
      <c r="Q11" s="2775"/>
      <c r="R11" s="2774"/>
      <c r="S11" s="1496"/>
      <c r="T11" s="2778"/>
      <c r="U11" s="2775"/>
      <c r="V11" s="2774"/>
      <c r="W11" s="2775"/>
      <c r="X11" s="2774"/>
      <c r="Y11" s="2775"/>
      <c r="Z11" s="2775"/>
      <c r="AA11" s="2779"/>
      <c r="AB11" s="2775"/>
      <c r="AC11" s="2775"/>
      <c r="AD11" s="2779"/>
      <c r="AE11" s="2779"/>
      <c r="AF11" s="2780"/>
      <c r="AG11" s="2779"/>
      <c r="AH11" s="1493"/>
      <c r="AI11" s="1496"/>
    </row>
    <row r="12" spans="1:36" ht="15.75">
      <c r="A12" s="2781" t="s">
        <v>187</v>
      </c>
      <c r="B12" s="2514">
        <v>64.8</v>
      </c>
      <c r="C12" s="2514"/>
      <c r="D12" s="2782">
        <f>B75</f>
        <v>314.8</v>
      </c>
      <c r="E12" s="2514"/>
      <c r="F12" s="2782">
        <f>D75</f>
        <v>683.8</v>
      </c>
      <c r="G12" s="2514"/>
      <c r="H12" s="2782">
        <f>F75</f>
        <v>361.5</v>
      </c>
      <c r="I12" s="2514"/>
      <c r="J12" s="2782">
        <f>H75</f>
        <v>614.70000000000005</v>
      </c>
      <c r="K12" s="2514"/>
      <c r="L12" s="2782">
        <f>J75</f>
        <v>744.3</v>
      </c>
      <c r="M12" s="2514"/>
      <c r="N12" s="2782">
        <f>L75</f>
        <v>307</v>
      </c>
      <c r="O12" s="2514"/>
      <c r="P12" s="2782">
        <f>N75</f>
        <v>604.4</v>
      </c>
      <c r="Q12" s="2514"/>
      <c r="R12" s="2782">
        <f>P75</f>
        <v>962.3</v>
      </c>
      <c r="S12" s="2514"/>
      <c r="T12" s="2782">
        <f>R75</f>
        <v>985.1</v>
      </c>
      <c r="U12" s="2514"/>
      <c r="V12" s="2782"/>
      <c r="W12" s="2514"/>
      <c r="X12" s="2782"/>
      <c r="Y12" s="2783"/>
      <c r="Z12" s="2514"/>
      <c r="AA12" s="2514">
        <f>B12</f>
        <v>64.8</v>
      </c>
      <c r="AB12" s="2783"/>
      <c r="AC12" s="2514"/>
      <c r="AD12" s="3634">
        <v>153.1</v>
      </c>
      <c r="AE12" s="2784"/>
      <c r="AF12" s="2785"/>
      <c r="AG12" s="2786">
        <f>ROUND(SUM(AA12-AD12),1)</f>
        <v>-88.3</v>
      </c>
      <c r="AH12" s="2763"/>
      <c r="AI12" s="2787">
        <f>ROUND(SUM(AG12/AD12),3)</f>
        <v>-0.57699999999999996</v>
      </c>
      <c r="AJ12" s="2759"/>
    </row>
    <row r="13" spans="1:36" ht="12.75" customHeight="1">
      <c r="A13" s="1496"/>
      <c r="B13" s="1496"/>
      <c r="C13" s="1496"/>
      <c r="D13" s="1496"/>
      <c r="E13" s="1496"/>
      <c r="F13" s="2034"/>
      <c r="G13" s="1496"/>
      <c r="H13" s="1496"/>
      <c r="I13" s="1496"/>
      <c r="J13" s="1496"/>
      <c r="K13" s="1496"/>
      <c r="L13" s="1496"/>
      <c r="M13" s="1496"/>
      <c r="N13" s="1496"/>
      <c r="O13" s="1496"/>
      <c r="P13" s="1496"/>
      <c r="Q13" s="1496"/>
      <c r="R13" s="1496"/>
      <c r="S13" s="1496"/>
      <c r="T13" s="1496"/>
      <c r="U13" s="1496"/>
      <c r="V13" s="1496"/>
      <c r="W13" s="1496"/>
      <c r="X13" s="1496"/>
      <c r="Y13" s="2788"/>
      <c r="Z13" s="1496"/>
      <c r="AA13" s="2034"/>
      <c r="AB13" s="2789"/>
      <c r="AC13" s="2034"/>
      <c r="AD13" s="2687"/>
      <c r="AE13" s="2779"/>
      <c r="AF13" s="2790"/>
      <c r="AG13" s="2791"/>
      <c r="AH13" s="1493"/>
      <c r="AI13" s="1496"/>
    </row>
    <row r="14" spans="1:36" ht="14.25" customHeight="1">
      <c r="A14" s="2534" t="s">
        <v>14</v>
      </c>
      <c r="B14" s="1496"/>
      <c r="C14" s="1496"/>
      <c r="D14" s="1496"/>
      <c r="E14" s="1496"/>
      <c r="F14" s="2034"/>
      <c r="G14" s="1496"/>
      <c r="H14" s="1496"/>
      <c r="I14" s="1496"/>
      <c r="J14" s="1496"/>
      <c r="K14" s="1496"/>
      <c r="L14" s="1496"/>
      <c r="M14" s="1496"/>
      <c r="N14" s="1496"/>
      <c r="O14" s="1496"/>
      <c r="P14" s="1496"/>
      <c r="Q14" s="1496"/>
      <c r="R14" s="1496"/>
      <c r="S14" s="1496"/>
      <c r="T14" s="1496"/>
      <c r="U14" s="1496"/>
      <c r="V14" s="1496"/>
      <c r="W14" s="1496"/>
      <c r="X14" s="1496"/>
      <c r="Y14" s="2788"/>
      <c r="Z14" s="1496"/>
      <c r="AA14" s="2034"/>
      <c r="AB14" s="2789"/>
      <c r="AC14" s="2034"/>
      <c r="AD14" s="2687"/>
      <c r="AE14" s="2779"/>
      <c r="AF14" s="2790"/>
      <c r="AG14" s="2791"/>
      <c r="AH14" s="1493"/>
      <c r="AI14" s="1496"/>
    </row>
    <row r="15" spans="1:36" ht="14.25" customHeight="1">
      <c r="A15" s="2523" t="s">
        <v>1097</v>
      </c>
      <c r="B15" s="1477"/>
      <c r="C15" s="1477"/>
      <c r="D15" s="1477"/>
      <c r="E15" s="2792"/>
      <c r="F15" s="1477"/>
      <c r="G15" s="2792"/>
      <c r="H15" s="1496"/>
      <c r="I15" s="1496"/>
      <c r="J15" s="1496"/>
      <c r="K15" s="1496"/>
      <c r="L15" s="1496"/>
      <c r="M15" s="1496"/>
      <c r="N15" s="1496"/>
      <c r="O15" s="1496"/>
      <c r="P15" s="1496"/>
      <c r="Q15" s="1496"/>
      <c r="R15" s="1496"/>
      <c r="S15" s="1496"/>
      <c r="T15" s="1496"/>
      <c r="U15" s="1496"/>
      <c r="V15" s="1496"/>
      <c r="W15" s="1496"/>
      <c r="X15" s="1496"/>
      <c r="Y15" s="2793"/>
      <c r="Z15" s="1496"/>
      <c r="AA15" s="2034"/>
      <c r="AB15" s="2033"/>
      <c r="AC15" s="2034"/>
      <c r="AD15" s="3230"/>
      <c r="AE15" s="2779"/>
      <c r="AF15" s="2790"/>
      <c r="AG15" s="2791"/>
      <c r="AH15" s="1493"/>
      <c r="AI15" s="1496"/>
    </row>
    <row r="16" spans="1:36" ht="14.25" customHeight="1">
      <c r="A16" s="2604" t="s">
        <v>1100</v>
      </c>
      <c r="B16" s="1400">
        <v>4607.7</v>
      </c>
      <c r="C16" s="1457"/>
      <c r="D16" s="1400">
        <v>1242.3</v>
      </c>
      <c r="E16" s="1457"/>
      <c r="F16" s="1400">
        <v>2604.8999999999996</v>
      </c>
      <c r="G16" s="2530"/>
      <c r="H16" s="1400">
        <v>1665.7999999999993</v>
      </c>
      <c r="I16" s="2687"/>
      <c r="J16" s="1400">
        <v>1454.3000000000011</v>
      </c>
      <c r="K16" s="2687"/>
      <c r="L16" s="1400">
        <v>2415.6999999999998</v>
      </c>
      <c r="M16" s="2687"/>
      <c r="N16" s="1839">
        <v>1289.2000000000016</v>
      </c>
      <c r="O16" s="2687"/>
      <c r="P16" s="1839">
        <v>1234.6999999999971</v>
      </c>
      <c r="Q16" s="2687"/>
      <c r="R16" s="1839">
        <v>2144</v>
      </c>
      <c r="S16" s="2687"/>
      <c r="T16" s="1839">
        <f>$AA16-$B16-$D16-$F16-$H16-$J16-$L16-$N16-$P16-$R16</f>
        <v>4449.6000000000013</v>
      </c>
      <c r="U16" s="2687"/>
      <c r="V16" s="1839"/>
      <c r="W16" s="2687"/>
      <c r="X16" s="1839"/>
      <c r="Y16" s="2793"/>
      <c r="Z16" s="1496"/>
      <c r="AA16" s="1839">
        <v>23108.2</v>
      </c>
      <c r="AB16" s="2033"/>
      <c r="AC16" s="2034"/>
      <c r="AD16" s="1839">
        <v>20571.3</v>
      </c>
      <c r="AE16" s="2779"/>
      <c r="AF16" s="2790"/>
      <c r="AG16" s="2794">
        <f>ROUND(SUM(AA16-AD16),1)</f>
        <v>2536.9</v>
      </c>
      <c r="AH16" s="1493"/>
      <c r="AI16" s="1699">
        <f>ROUND(IF(AD16=0,0,AG16/ABS(AD16)),3)</f>
        <v>0.123</v>
      </c>
    </row>
    <row r="17" spans="1:35" ht="6" customHeight="1">
      <c r="A17" s="2604"/>
      <c r="B17" s="1400"/>
      <c r="C17" s="1457"/>
      <c r="D17" s="1400" t="s">
        <v>15</v>
      </c>
      <c r="E17" s="1457"/>
      <c r="F17" s="1400" t="s">
        <v>15</v>
      </c>
      <c r="G17" s="2530"/>
      <c r="H17" s="1400"/>
      <c r="I17" s="1496"/>
      <c r="J17" s="1400"/>
      <c r="K17" s="1496"/>
      <c r="L17" s="1400"/>
      <c r="M17" s="1496"/>
      <c r="N17" s="1839"/>
      <c r="O17" s="1496"/>
      <c r="P17" s="1839"/>
      <c r="Q17" s="1496"/>
      <c r="R17" s="1839"/>
      <c r="S17" s="1496"/>
      <c r="T17" s="1839"/>
      <c r="U17" s="1496"/>
      <c r="V17" s="1839"/>
      <c r="W17" s="1496"/>
      <c r="X17" s="1839"/>
      <c r="Y17" s="2795"/>
      <c r="Z17" s="1496"/>
      <c r="AA17" s="1839"/>
      <c r="AB17" s="2035"/>
      <c r="AC17" s="2034"/>
      <c r="AD17" s="1839"/>
      <c r="AE17" s="2779"/>
      <c r="AF17" s="2790"/>
      <c r="AG17" s="2794"/>
      <c r="AH17" s="1493"/>
      <c r="AI17" s="1699"/>
    </row>
    <row r="18" spans="1:35" ht="14.25" customHeight="1">
      <c r="A18" s="2604" t="s">
        <v>1161</v>
      </c>
      <c r="B18" s="1481"/>
      <c r="C18" s="1480"/>
      <c r="D18" s="1400"/>
      <c r="E18" s="1480"/>
      <c r="F18" s="1400"/>
      <c r="G18" s="1480"/>
      <c r="H18" s="1481"/>
      <c r="I18" s="1496"/>
      <c r="J18" s="1400"/>
      <c r="K18" s="1496"/>
      <c r="L18" s="1400"/>
      <c r="M18" s="1496"/>
      <c r="N18" s="1839"/>
      <c r="O18" s="1496"/>
      <c r="P18" s="1839"/>
      <c r="Q18" s="1496"/>
      <c r="R18" s="1839"/>
      <c r="S18" s="1496"/>
      <c r="T18" s="1839"/>
      <c r="U18" s="1496"/>
      <c r="V18" s="1499"/>
      <c r="W18" s="1496"/>
      <c r="X18" s="1839"/>
      <c r="Y18" s="2793"/>
      <c r="Z18" s="1496"/>
      <c r="AA18" s="1499"/>
      <c r="AB18" s="2033"/>
      <c r="AC18" s="2034"/>
      <c r="AD18" s="1499"/>
      <c r="AE18" s="2779"/>
      <c r="AF18" s="2790"/>
      <c r="AG18" s="2791"/>
      <c r="AH18" s="1493"/>
      <c r="AI18" s="1496"/>
    </row>
    <row r="19" spans="1:35" ht="14.25" customHeight="1">
      <c r="A19" s="2294" t="s">
        <v>1112</v>
      </c>
      <c r="B19" s="1400">
        <v>538.20000000000005</v>
      </c>
      <c r="C19" s="1457"/>
      <c r="D19" s="1400">
        <v>551</v>
      </c>
      <c r="E19" s="1457"/>
      <c r="F19" s="1400">
        <v>743.19999999999982</v>
      </c>
      <c r="G19" s="1480"/>
      <c r="H19" s="1400">
        <v>579.29999999999995</v>
      </c>
      <c r="I19" s="2687"/>
      <c r="J19" s="1400">
        <v>581.50000000000023</v>
      </c>
      <c r="K19" s="2687"/>
      <c r="L19" s="1400">
        <v>761.5</v>
      </c>
      <c r="M19" s="2687"/>
      <c r="N19" s="1839">
        <v>578.30000000000018</v>
      </c>
      <c r="O19" s="2687"/>
      <c r="P19" s="1839">
        <v>583.99999999999977</v>
      </c>
      <c r="Q19" s="2687"/>
      <c r="R19" s="1839">
        <v>741.80000000000041</v>
      </c>
      <c r="S19" s="2687"/>
      <c r="T19" s="1839">
        <f t="shared" ref="T19" si="0">$AA19-$B19-$D19-$F19-$H19-$J19-$L19-$N19-$P19-$R19</f>
        <v>635</v>
      </c>
      <c r="U19" s="2687"/>
      <c r="V19" s="1839"/>
      <c r="W19" s="2687"/>
      <c r="X19" s="1839"/>
      <c r="Y19" s="2793"/>
      <c r="Z19" s="1496"/>
      <c r="AA19" s="1839">
        <v>6293.8</v>
      </c>
      <c r="AB19" s="2033"/>
      <c r="AC19" s="2034"/>
      <c r="AD19" s="1839">
        <v>5943.6</v>
      </c>
      <c r="AE19" s="2779"/>
      <c r="AF19" s="2790"/>
      <c r="AG19" s="2794">
        <f>ROUND(SUM(AA19-AD19),1)</f>
        <v>350.2</v>
      </c>
      <c r="AH19" s="1493"/>
      <c r="AI19" s="1462">
        <f>ROUND(IF(AD19=0,0,AG19/ABS(AD19)),3)</f>
        <v>5.8999999999999997E-2</v>
      </c>
    </row>
    <row r="20" spans="1:35" ht="14.25" customHeight="1">
      <c r="A20" s="2534" t="s">
        <v>1111</v>
      </c>
      <c r="B20" s="1497">
        <f>ROUND(SUM(B19:B19),1)</f>
        <v>538.20000000000005</v>
      </c>
      <c r="C20" s="1498"/>
      <c r="D20" s="1497">
        <f>ROUND(SUM(D19:D19),1)</f>
        <v>551</v>
      </c>
      <c r="E20" s="1498"/>
      <c r="F20" s="1497">
        <f>ROUND(SUM(F19:F19),1)</f>
        <v>743.2</v>
      </c>
      <c r="G20" s="1498"/>
      <c r="H20" s="1497">
        <f>ROUND(SUM(H19:H19),1)</f>
        <v>579.29999999999995</v>
      </c>
      <c r="I20" s="1496"/>
      <c r="J20" s="1497">
        <f>ROUND(SUM(J19:J19),1)</f>
        <v>581.5</v>
      </c>
      <c r="K20" s="1496"/>
      <c r="L20" s="1497">
        <f>ROUND(SUM(L19:L19),1)</f>
        <v>761.5</v>
      </c>
      <c r="M20" s="1496"/>
      <c r="N20" s="1497">
        <f>ROUND(SUM(N19:N19),1)</f>
        <v>578.29999999999995</v>
      </c>
      <c r="O20" s="1496"/>
      <c r="P20" s="1497">
        <f>ROUND(SUM(P19:P19),1)</f>
        <v>584</v>
      </c>
      <c r="Q20" s="1496"/>
      <c r="R20" s="1497">
        <f>ROUND(SUM(R19:R19),1)</f>
        <v>741.8</v>
      </c>
      <c r="S20" s="1496"/>
      <c r="T20" s="1497">
        <f>ROUND(SUM(T19:T19),1)</f>
        <v>635</v>
      </c>
      <c r="U20" s="1496"/>
      <c r="V20" s="1497">
        <f>ROUND(SUM(V19:V19),1)</f>
        <v>0</v>
      </c>
      <c r="W20" s="1496"/>
      <c r="X20" s="1497">
        <f>ROUND(SUM(X19:X19),1)</f>
        <v>0</v>
      </c>
      <c r="Y20" s="2793"/>
      <c r="Z20" s="1496"/>
      <c r="AA20" s="1497">
        <f>ROUND(SUM(AA19:AA19),1)</f>
        <v>6293.8</v>
      </c>
      <c r="AB20" s="2033"/>
      <c r="AC20" s="2034"/>
      <c r="AD20" s="1497">
        <f>ROUND(SUM(AD19:AD19),1)</f>
        <v>5943.6</v>
      </c>
      <c r="AE20" s="2779"/>
      <c r="AF20" s="2790"/>
      <c r="AG20" s="2796">
        <f>ROUND(SUM(AA20-AD20),1)</f>
        <v>350.2</v>
      </c>
      <c r="AH20" s="2763"/>
      <c r="AI20" s="1479">
        <f>ROUND(IF(AD20=0,0,AG20/ABS(AD20)),3)</f>
        <v>5.8999999999999997E-2</v>
      </c>
    </row>
    <row r="21" spans="1:35" ht="14.25" customHeight="1">
      <c r="A21" s="2524" t="s">
        <v>1163</v>
      </c>
      <c r="B21" s="1481"/>
      <c r="C21" s="1498"/>
      <c r="D21" s="1481"/>
      <c r="E21" s="1498"/>
      <c r="F21" s="1481"/>
      <c r="G21" s="1498"/>
      <c r="H21" s="1481"/>
      <c r="I21" s="1496"/>
      <c r="J21" s="1481"/>
      <c r="K21" s="1496"/>
      <c r="L21" s="1481"/>
      <c r="M21" s="1496"/>
      <c r="N21" s="1481"/>
      <c r="O21" s="1496"/>
      <c r="P21" s="1481"/>
      <c r="Q21" s="1496"/>
      <c r="R21" s="1481"/>
      <c r="S21" s="1496"/>
      <c r="T21" s="1481"/>
      <c r="U21" s="1496"/>
      <c r="V21" s="1481"/>
      <c r="W21" s="1496"/>
      <c r="X21" s="1481"/>
      <c r="Y21" s="2793"/>
      <c r="Z21" s="1496"/>
      <c r="AA21" s="1481"/>
      <c r="AB21" s="2033"/>
      <c r="AC21" s="2034"/>
      <c r="AD21" s="1499"/>
      <c r="AE21" s="2779"/>
      <c r="AF21" s="2790"/>
      <c r="AG21" s="2791"/>
      <c r="AH21" s="1493"/>
      <c r="AI21" s="1496"/>
    </row>
    <row r="22" spans="1:35" ht="14.25" customHeight="1">
      <c r="A22" s="2294" t="s">
        <v>1130</v>
      </c>
      <c r="B22" s="1400">
        <v>82.9</v>
      </c>
      <c r="C22" s="1457"/>
      <c r="D22" s="1400">
        <v>86</v>
      </c>
      <c r="E22" s="1457"/>
      <c r="F22" s="1400">
        <v>86.699999999999989</v>
      </c>
      <c r="G22" s="1498"/>
      <c r="H22" s="1400">
        <v>118.90000000000003</v>
      </c>
      <c r="I22" s="2687"/>
      <c r="J22" s="1400">
        <v>78.799999999999955</v>
      </c>
      <c r="K22" s="2687"/>
      <c r="L22" s="1400">
        <v>85.300000000000068</v>
      </c>
      <c r="M22" s="2687"/>
      <c r="N22" s="1839">
        <v>73.199999999999932</v>
      </c>
      <c r="O22" s="2687"/>
      <c r="P22" s="1839">
        <v>87.800000000000068</v>
      </c>
      <c r="Q22" s="2687"/>
      <c r="R22" s="1839">
        <v>74.199999999999989</v>
      </c>
      <c r="S22" s="2687"/>
      <c r="T22" s="1839">
        <f>$AA22-$B22-$D22-$F22-$H22-$J22-$L22-$N22-$P22-$R22</f>
        <v>82.900000000000091</v>
      </c>
      <c r="U22" s="2687"/>
      <c r="V22" s="1839"/>
      <c r="W22" s="2687"/>
      <c r="X22" s="1839"/>
      <c r="Y22" s="2793"/>
      <c r="Z22" s="1496"/>
      <c r="AA22" s="1839">
        <v>856.7</v>
      </c>
      <c r="AB22" s="2033"/>
      <c r="AC22" s="2034"/>
      <c r="AD22" s="1839">
        <v>881.9</v>
      </c>
      <c r="AE22" s="2779"/>
      <c r="AF22" s="2790"/>
      <c r="AG22" s="2794">
        <f>ROUND(SUM(AA22-AD22),1)</f>
        <v>-25.2</v>
      </c>
      <c r="AH22" s="1493"/>
      <c r="AI22" s="1462">
        <f>ROUND(IF(AD22=0,0,AG22/ABS(AD22)),3)</f>
        <v>-2.9000000000000001E-2</v>
      </c>
    </row>
    <row r="23" spans="1:35" ht="14.25" customHeight="1">
      <c r="A23" s="2531" t="s">
        <v>1426</v>
      </c>
      <c r="B23" s="2538">
        <v>0</v>
      </c>
      <c r="C23" s="1480"/>
      <c r="D23" s="2538">
        <v>0.1</v>
      </c>
      <c r="E23" s="1480"/>
      <c r="F23" s="1839">
        <v>0</v>
      </c>
      <c r="G23" s="1480"/>
      <c r="H23" s="1400">
        <v>0.1</v>
      </c>
      <c r="I23" s="2810"/>
      <c r="J23" s="1400">
        <v>9.9999999999999978E-2</v>
      </c>
      <c r="K23" s="2810"/>
      <c r="L23" s="1400">
        <v>0.10000000000000006</v>
      </c>
      <c r="M23" s="2810"/>
      <c r="N23" s="1839">
        <v>0.1</v>
      </c>
      <c r="O23" s="2810"/>
      <c r="P23" s="1839">
        <v>0</v>
      </c>
      <c r="Q23" s="2810"/>
      <c r="R23" s="1839">
        <v>0.19999999999999993</v>
      </c>
      <c r="S23" s="2810"/>
      <c r="T23" s="1839">
        <f>$AA23-$B23-$D23-$F23-$H23-$J23-$L23-$N23-$P23-$R23</f>
        <v>0.30000000000000004</v>
      </c>
      <c r="U23" s="2810"/>
      <c r="V23" s="2538"/>
      <c r="W23" s="2810"/>
      <c r="X23" s="2538"/>
      <c r="Y23" s="3728"/>
      <c r="Z23" s="2810"/>
      <c r="AA23" s="1839">
        <v>1</v>
      </c>
      <c r="AB23" s="3729"/>
      <c r="AC23" s="3730"/>
      <c r="AD23" s="2095">
        <v>0</v>
      </c>
      <c r="AE23" s="3731"/>
      <c r="AF23" s="3732"/>
      <c r="AG23" s="2794">
        <f>ROUND(SUM(AA23-AD23),1)</f>
        <v>1</v>
      </c>
      <c r="AH23" s="1493"/>
      <c r="AI23" s="1699">
        <f>ROUND(IF(AD23=0,1,AG23/ABS(AD23)),3)</f>
        <v>1</v>
      </c>
    </row>
    <row r="24" spans="1:35" ht="14.25" customHeight="1">
      <c r="A24" s="2534" t="s">
        <v>1125</v>
      </c>
      <c r="B24" s="2036">
        <f>ROUND(SUM(B22:B23),1)</f>
        <v>82.9</v>
      </c>
      <c r="C24" s="1498"/>
      <c r="D24" s="2096">
        <f>ROUND(SUM(D22:D23),1)</f>
        <v>86.1</v>
      </c>
      <c r="E24" s="1498"/>
      <c r="F24" s="2096">
        <f>ROUND(SUM(F22:F23),1)</f>
        <v>86.7</v>
      </c>
      <c r="G24" s="1498"/>
      <c r="H24" s="2096">
        <f>ROUND(SUM(H22:H23),1)</f>
        <v>119</v>
      </c>
      <c r="I24" s="1496"/>
      <c r="J24" s="2096">
        <f>ROUND(SUM(J22:J23),1)</f>
        <v>78.900000000000006</v>
      </c>
      <c r="K24" s="1496"/>
      <c r="L24" s="2096">
        <f>ROUND(SUM(L22:L23),1)</f>
        <v>85.4</v>
      </c>
      <c r="M24" s="1496"/>
      <c r="N24" s="2096">
        <f>ROUND(SUM(N22:N23),1)</f>
        <v>73.3</v>
      </c>
      <c r="O24" s="1496"/>
      <c r="P24" s="2096">
        <f>ROUND(SUM(P22:P23),1)</f>
        <v>87.8</v>
      </c>
      <c r="Q24" s="1496"/>
      <c r="R24" s="2096">
        <f>ROUND(SUM(R22:R23),1)</f>
        <v>74.400000000000006</v>
      </c>
      <c r="S24" s="1496"/>
      <c r="T24" s="2096">
        <f>ROUND(SUM(T22:T23),1)</f>
        <v>83.2</v>
      </c>
      <c r="U24" s="1496"/>
      <c r="V24" s="2096">
        <f>ROUND(SUM(V22:V23),1)</f>
        <v>0</v>
      </c>
      <c r="W24" s="1496"/>
      <c r="X24" s="2096">
        <f>ROUND(SUM(X22:X23),1)</f>
        <v>0</v>
      </c>
      <c r="Y24" s="2793"/>
      <c r="Z24" s="1496"/>
      <c r="AA24" s="1497">
        <f>SUM(AA22:AA23)</f>
        <v>857.7</v>
      </c>
      <c r="AB24" s="2033"/>
      <c r="AC24" s="2034"/>
      <c r="AD24" s="1497">
        <f>SUM(AD22:AD23)</f>
        <v>881.9</v>
      </c>
      <c r="AE24" s="2779"/>
      <c r="AF24" s="2790"/>
      <c r="AG24" s="2797">
        <f>ROUND(SUM(AA24-AD24),1)</f>
        <v>-24.2</v>
      </c>
      <c r="AH24" s="2763"/>
      <c r="AI24" s="1492">
        <f>ROUND(IF(AD24=0,0,AG24/ABS(AD24)),3)</f>
        <v>-2.7E-2</v>
      </c>
    </row>
    <row r="25" spans="1:35" ht="14.25" customHeight="1">
      <c r="A25" s="2534"/>
      <c r="B25" s="2036"/>
      <c r="C25" s="1498"/>
      <c r="D25" s="1481"/>
      <c r="E25" s="1498"/>
      <c r="F25" s="1481"/>
      <c r="G25" s="1481"/>
      <c r="H25" s="1481"/>
      <c r="I25" s="1493"/>
      <c r="J25" s="1481"/>
      <c r="K25" s="1493"/>
      <c r="L25" s="1481"/>
      <c r="M25" s="1493"/>
      <c r="N25" s="1481"/>
      <c r="O25" s="1493"/>
      <c r="P25" s="1481"/>
      <c r="Q25" s="1493"/>
      <c r="R25" s="1481"/>
      <c r="S25" s="1493"/>
      <c r="T25" s="1481"/>
      <c r="U25" s="1493"/>
      <c r="V25" s="1481"/>
      <c r="W25" s="1493"/>
      <c r="X25" s="1481"/>
      <c r="Y25" s="2793"/>
      <c r="Z25" s="1496"/>
      <c r="AA25" s="2036"/>
      <c r="AB25" s="2033"/>
      <c r="AC25" s="2034"/>
      <c r="AD25" s="3635"/>
      <c r="AE25" s="2779"/>
      <c r="AF25" s="2790"/>
      <c r="AG25" s="2791"/>
      <c r="AH25" s="1493"/>
      <c r="AI25" s="1493"/>
    </row>
    <row r="26" spans="1:35" ht="14.25" customHeight="1">
      <c r="A26" s="2534" t="s">
        <v>1126</v>
      </c>
      <c r="B26" s="2544">
        <f>ROUND(SUM(B16+B20+B24),1)</f>
        <v>5228.8</v>
      </c>
      <c r="C26" s="1480"/>
      <c r="D26" s="2544">
        <f>ROUND(SUM(D16+D20+D24),1)</f>
        <v>1879.4</v>
      </c>
      <c r="E26" s="1480"/>
      <c r="F26" s="2544">
        <f>ROUND(SUM(F16+F20+F24),1)</f>
        <v>3434.8</v>
      </c>
      <c r="G26" s="1480"/>
      <c r="H26" s="2544">
        <f>ROUND(SUM(H16+H20+H24),1)</f>
        <v>2364.1</v>
      </c>
      <c r="I26" s="1496"/>
      <c r="J26" s="2037">
        <f>ROUND(SUM(J16+J20+J24),1)</f>
        <v>2114.6999999999998</v>
      </c>
      <c r="K26" s="1496"/>
      <c r="L26" s="2037">
        <f>ROUND(SUM(L16+L20+L24),1)</f>
        <v>3262.6</v>
      </c>
      <c r="M26" s="1496"/>
      <c r="N26" s="2037">
        <f>ROUND(SUM(N16+N20+N24),1)</f>
        <v>1940.8</v>
      </c>
      <c r="O26" s="1496"/>
      <c r="P26" s="2037">
        <f>ROUND(SUM(P16+P20+P24),1)</f>
        <v>1906.5</v>
      </c>
      <c r="Q26" s="1496"/>
      <c r="R26" s="2037">
        <f>ROUND(SUM(R16+R20+R24),1)</f>
        <v>2960.2</v>
      </c>
      <c r="S26" s="1496"/>
      <c r="T26" s="2037">
        <f>ROUND(SUM(T16+T20+T24),1)</f>
        <v>5167.8</v>
      </c>
      <c r="U26" s="1496"/>
      <c r="V26" s="2037">
        <f>ROUND(SUM(V16+V20+V24),1)</f>
        <v>0</v>
      </c>
      <c r="W26" s="1496"/>
      <c r="X26" s="2037">
        <f>ROUND(SUM(X16+X20+X24),1)</f>
        <v>0</v>
      </c>
      <c r="Y26" s="2793"/>
      <c r="Z26" s="1496"/>
      <c r="AA26" s="2037">
        <f>ROUND(SUM(AA16+AA20+AA24),1)</f>
        <v>30259.7</v>
      </c>
      <c r="AB26" s="2033"/>
      <c r="AC26" s="2034"/>
      <c r="AD26" s="2037">
        <f>ROUND(SUM(AD16+AD20+AD24),1)</f>
        <v>27396.799999999999</v>
      </c>
      <c r="AE26" s="2779"/>
      <c r="AF26" s="2790"/>
      <c r="AG26" s="2037">
        <f>ROUND(SUM(AG16+AG20+AG24),1)</f>
        <v>2862.9</v>
      </c>
      <c r="AH26" s="2763"/>
      <c r="AI26" s="1494">
        <f>ROUND(IF(AD26=0,0,AG26/ABS(AD26)),3)</f>
        <v>0.104</v>
      </c>
    </row>
    <row r="27" spans="1:35" ht="14.25" customHeight="1">
      <c r="A27" s="2523"/>
      <c r="B27" s="1480"/>
      <c r="C27" s="1480"/>
      <c r="D27" s="1480"/>
      <c r="E27" s="1480"/>
      <c r="F27" s="1480"/>
      <c r="G27" s="1480"/>
      <c r="H27" s="1480"/>
      <c r="I27" s="1496"/>
      <c r="J27" s="2060"/>
      <c r="K27" s="1496"/>
      <c r="L27" s="2060"/>
      <c r="M27" s="1496"/>
      <c r="N27" s="2060"/>
      <c r="O27" s="1496"/>
      <c r="P27" s="2060"/>
      <c r="Q27" s="1496"/>
      <c r="R27" s="2060"/>
      <c r="S27" s="1496"/>
      <c r="T27" s="2060"/>
      <c r="U27" s="1496"/>
      <c r="V27" s="2060"/>
      <c r="W27" s="1496"/>
      <c r="X27" s="2060"/>
      <c r="Y27" s="2793"/>
      <c r="Z27" s="1496"/>
      <c r="AA27" s="1480"/>
      <c r="AB27" s="2033"/>
      <c r="AC27" s="2034"/>
      <c r="AD27" s="2054"/>
      <c r="AE27" s="2779"/>
      <c r="AF27" s="2790"/>
      <c r="AG27" s="2791"/>
      <c r="AH27" s="1493"/>
      <c r="AI27" s="1496"/>
    </row>
    <row r="28" spans="1:35" ht="14.25" customHeight="1">
      <c r="A28" s="2523" t="s">
        <v>1033</v>
      </c>
      <c r="B28" s="2038"/>
      <c r="C28" s="2052"/>
      <c r="D28" s="2052"/>
      <c r="E28" s="2052"/>
      <c r="F28" s="2052"/>
      <c r="G28" s="2052"/>
      <c r="H28" s="2052"/>
      <c r="I28" s="2032"/>
      <c r="J28" s="2032"/>
      <c r="K28" s="2032"/>
      <c r="L28" s="2032"/>
      <c r="M28" s="2032"/>
      <c r="N28" s="2032"/>
      <c r="O28" s="2032"/>
      <c r="P28" s="2032"/>
      <c r="Q28" s="2032"/>
      <c r="R28" s="2032"/>
      <c r="S28" s="2032"/>
      <c r="T28" s="2032"/>
      <c r="U28" s="2032"/>
      <c r="V28" s="2032"/>
      <c r="W28" s="2032"/>
      <c r="X28" s="2032"/>
      <c r="Y28" s="2039"/>
      <c r="Z28" s="2032"/>
      <c r="AA28" s="2038"/>
      <c r="AB28" s="2039"/>
      <c r="AC28" s="2032"/>
      <c r="AD28" s="2038"/>
      <c r="AE28" s="2798"/>
      <c r="AF28" s="2799"/>
      <c r="AG28" s="2794"/>
      <c r="AH28" s="1493"/>
      <c r="AI28" s="1495"/>
    </row>
    <row r="29" spans="1:35" ht="14.25" customHeight="1">
      <c r="A29" s="2547" t="s">
        <v>1155</v>
      </c>
      <c r="B29" s="2038"/>
      <c r="C29" s="2052"/>
      <c r="D29" s="2052"/>
      <c r="E29" s="2052"/>
      <c r="F29" s="2052"/>
      <c r="G29" s="2052"/>
      <c r="H29" s="2052"/>
      <c r="I29" s="2032"/>
      <c r="J29" s="2032"/>
      <c r="K29" s="2032"/>
      <c r="L29" s="2032"/>
      <c r="M29" s="2032"/>
      <c r="N29" s="2032"/>
      <c r="O29" s="2032"/>
      <c r="P29" s="2032"/>
      <c r="Q29" s="2032"/>
      <c r="R29" s="2032"/>
      <c r="S29" s="2032"/>
      <c r="T29" s="2032"/>
      <c r="U29" s="2032"/>
      <c r="V29" s="2032"/>
      <c r="W29" s="2032"/>
      <c r="X29" s="2032"/>
      <c r="Y29" s="2040"/>
      <c r="Z29" s="2032"/>
      <c r="AA29" s="2038"/>
      <c r="AB29" s="2040"/>
      <c r="AC29" s="2032"/>
      <c r="AD29" s="2038"/>
      <c r="AE29" s="2798"/>
      <c r="AF29" s="2799"/>
      <c r="AG29" s="2794"/>
      <c r="AH29" s="1493"/>
      <c r="AI29" s="1495"/>
    </row>
    <row r="30" spans="1:35" ht="14.25" customHeight="1">
      <c r="A30" s="2547" t="s">
        <v>1037</v>
      </c>
      <c r="B30" s="1400">
        <v>0</v>
      </c>
      <c r="C30" s="2052"/>
      <c r="D30" s="1400">
        <v>0</v>
      </c>
      <c r="E30" s="2052"/>
      <c r="F30" s="1400">
        <v>0</v>
      </c>
      <c r="G30" s="2052"/>
      <c r="H30" s="1400">
        <v>0</v>
      </c>
      <c r="I30" s="2687"/>
      <c r="J30" s="1400">
        <v>0</v>
      </c>
      <c r="K30" s="2687"/>
      <c r="L30" s="1400">
        <v>0</v>
      </c>
      <c r="M30" s="2687"/>
      <c r="N30" s="1839">
        <v>0</v>
      </c>
      <c r="O30" s="2687"/>
      <c r="P30" s="1839">
        <v>0</v>
      </c>
      <c r="Q30" s="2687"/>
      <c r="R30" s="1839">
        <v>0</v>
      </c>
      <c r="S30" s="2687"/>
      <c r="T30" s="1839">
        <f>$AA30-$B30-$D30-$F30-$H30-$J30-$L30-$N30-$P30-$R30</f>
        <v>0</v>
      </c>
      <c r="U30" s="2687"/>
      <c r="V30" s="1839"/>
      <c r="W30" s="2687"/>
      <c r="X30" s="1839"/>
      <c r="Y30" s="2793"/>
      <c r="Z30" s="1496"/>
      <c r="AA30" s="1839">
        <v>0</v>
      </c>
      <c r="AB30" s="2033"/>
      <c r="AC30" s="2034"/>
      <c r="AD30" s="1839">
        <v>0</v>
      </c>
      <c r="AE30" s="2798"/>
      <c r="AF30" s="2799"/>
      <c r="AG30" s="2794">
        <f>ROUND(SUM(AA30-AD30),1)</f>
        <v>0</v>
      </c>
      <c r="AH30" s="1493"/>
      <c r="AI30" s="1462">
        <f>ROUND(IF(AD30=0,0,AG30/ABS(AD30)),3)</f>
        <v>0</v>
      </c>
    </row>
    <row r="31" spans="1:35" ht="14.25" customHeight="1">
      <c r="A31" s="2547" t="s">
        <v>1160</v>
      </c>
      <c r="B31" s="1400" t="s">
        <v>15</v>
      </c>
      <c r="C31" s="2052"/>
      <c r="D31" s="1400"/>
      <c r="E31" s="2052"/>
      <c r="F31" s="1400"/>
      <c r="G31" s="2052"/>
      <c r="H31" s="1400"/>
      <c r="I31" s="2687"/>
      <c r="J31" s="1400"/>
      <c r="K31" s="2687"/>
      <c r="L31" s="1400"/>
      <c r="M31" s="2687"/>
      <c r="N31" s="1839"/>
      <c r="O31" s="2687"/>
      <c r="P31" s="1839"/>
      <c r="Q31" s="2687"/>
      <c r="R31" s="1839"/>
      <c r="S31" s="2687"/>
      <c r="T31" s="1839"/>
      <c r="U31" s="2687"/>
      <c r="V31" s="1839"/>
      <c r="W31" s="2687"/>
      <c r="X31" s="1839"/>
      <c r="Y31" s="2793"/>
      <c r="Z31" s="1496"/>
      <c r="AA31" s="1839"/>
      <c r="AB31" s="2033"/>
      <c r="AC31" s="2034"/>
      <c r="AD31" s="1839"/>
      <c r="AE31" s="2798"/>
      <c r="AF31" s="2799"/>
      <c r="AG31" s="2794"/>
      <c r="AH31" s="1493"/>
      <c r="AI31" s="1495"/>
    </row>
    <row r="32" spans="1:35" ht="14.25" customHeight="1">
      <c r="A32" s="2547" t="s">
        <v>1040</v>
      </c>
      <c r="B32" s="1400">
        <v>0</v>
      </c>
      <c r="C32" s="2052"/>
      <c r="D32" s="1400">
        <v>0</v>
      </c>
      <c r="E32" s="2052"/>
      <c r="F32" s="1400">
        <v>0</v>
      </c>
      <c r="G32" s="2052"/>
      <c r="H32" s="1400">
        <v>0</v>
      </c>
      <c r="I32" s="2687"/>
      <c r="J32" s="1400">
        <v>0</v>
      </c>
      <c r="K32" s="2687"/>
      <c r="L32" s="1400">
        <v>0</v>
      </c>
      <c r="M32" s="2687"/>
      <c r="N32" s="1839">
        <v>0</v>
      </c>
      <c r="O32" s="2687"/>
      <c r="P32" s="1839">
        <v>0</v>
      </c>
      <c r="Q32" s="2687"/>
      <c r="R32" s="1839">
        <v>0</v>
      </c>
      <c r="S32" s="2687"/>
      <c r="T32" s="1839">
        <f t="shared" ref="T32:T44" si="1">$AA32-$B32-$D32-$F32-$H32-$J32-$L32-$N32-$P32-$R32</f>
        <v>0</v>
      </c>
      <c r="U32" s="2687"/>
      <c r="V32" s="1839"/>
      <c r="W32" s="2687"/>
      <c r="X32" s="1839"/>
      <c r="Y32" s="2793"/>
      <c r="Z32" s="1496"/>
      <c r="AA32" s="1839">
        <v>0</v>
      </c>
      <c r="AB32" s="2033"/>
      <c r="AC32" s="2034"/>
      <c r="AD32" s="1839">
        <v>0</v>
      </c>
      <c r="AE32" s="2798"/>
      <c r="AF32" s="2799"/>
      <c r="AG32" s="2794">
        <f t="shared" ref="AG32:AG40" si="2">ROUND(SUM(AA32-AD32),1)</f>
        <v>0</v>
      </c>
      <c r="AH32" s="1493"/>
      <c r="AI32" s="1462">
        <f t="shared" ref="AI32:AI40" si="3">ROUND(IF(AD32=0,0,AG32/ABS(AD32)),3)</f>
        <v>0</v>
      </c>
    </row>
    <row r="33" spans="1:36" ht="14.25" customHeight="1">
      <c r="A33" s="2547" t="s">
        <v>1041</v>
      </c>
      <c r="B33" s="1400">
        <v>0</v>
      </c>
      <c r="C33" s="2052"/>
      <c r="D33" s="1400">
        <v>0</v>
      </c>
      <c r="E33" s="2052"/>
      <c r="F33" s="1400">
        <v>0</v>
      </c>
      <c r="G33" s="2052"/>
      <c r="H33" s="1400">
        <v>0</v>
      </c>
      <c r="I33" s="2687"/>
      <c r="J33" s="1400">
        <v>0</v>
      </c>
      <c r="K33" s="2687"/>
      <c r="L33" s="1400">
        <v>0</v>
      </c>
      <c r="M33" s="2687"/>
      <c r="N33" s="1839">
        <v>0</v>
      </c>
      <c r="O33" s="2687"/>
      <c r="P33" s="1839">
        <v>0</v>
      </c>
      <c r="Q33" s="2687"/>
      <c r="R33" s="1839">
        <v>0</v>
      </c>
      <c r="S33" s="2687"/>
      <c r="T33" s="1839">
        <f t="shared" si="1"/>
        <v>0</v>
      </c>
      <c r="U33" s="2687"/>
      <c r="V33" s="1839"/>
      <c r="W33" s="2687"/>
      <c r="X33" s="1839"/>
      <c r="Y33" s="2793"/>
      <c r="Z33" s="1496"/>
      <c r="AA33" s="1839">
        <v>0</v>
      </c>
      <c r="AB33" s="2033"/>
      <c r="AC33" s="2034"/>
      <c r="AD33" s="1839">
        <v>0</v>
      </c>
      <c r="AE33" s="2798"/>
      <c r="AF33" s="2799"/>
      <c r="AG33" s="2794">
        <f t="shared" si="2"/>
        <v>0</v>
      </c>
      <c r="AH33" s="1493"/>
      <c r="AI33" s="1462">
        <f t="shared" si="3"/>
        <v>0</v>
      </c>
    </row>
    <row r="34" spans="1:36" ht="14.25" customHeight="1">
      <c r="A34" s="2547" t="s">
        <v>1042</v>
      </c>
      <c r="B34" s="1400">
        <v>0</v>
      </c>
      <c r="C34" s="2052"/>
      <c r="D34" s="1400">
        <v>0</v>
      </c>
      <c r="E34" s="2052"/>
      <c r="F34" s="1400">
        <v>0</v>
      </c>
      <c r="G34" s="2052"/>
      <c r="H34" s="1400">
        <v>0</v>
      </c>
      <c r="I34" s="2687"/>
      <c r="J34" s="1400">
        <v>0</v>
      </c>
      <c r="K34" s="2687"/>
      <c r="L34" s="1400">
        <v>0</v>
      </c>
      <c r="M34" s="2687"/>
      <c r="N34" s="1839">
        <v>0</v>
      </c>
      <c r="O34" s="2687"/>
      <c r="P34" s="1839">
        <v>0</v>
      </c>
      <c r="Q34" s="2687"/>
      <c r="R34" s="1839">
        <v>0</v>
      </c>
      <c r="S34" s="2687"/>
      <c r="T34" s="1839">
        <f t="shared" si="1"/>
        <v>0</v>
      </c>
      <c r="U34" s="2687"/>
      <c r="V34" s="1839"/>
      <c r="W34" s="2687"/>
      <c r="X34" s="1839"/>
      <c r="Y34" s="2793"/>
      <c r="Z34" s="1496"/>
      <c r="AA34" s="1839">
        <v>0</v>
      </c>
      <c r="AB34" s="2033"/>
      <c r="AC34" s="2034"/>
      <c r="AD34" s="1839">
        <v>0</v>
      </c>
      <c r="AE34" s="2798"/>
      <c r="AF34" s="2799"/>
      <c r="AG34" s="2794">
        <f t="shared" si="2"/>
        <v>0</v>
      </c>
      <c r="AH34" s="1493"/>
      <c r="AI34" s="1462">
        <f t="shared" si="3"/>
        <v>0</v>
      </c>
    </row>
    <row r="35" spans="1:36" ht="14.25" customHeight="1">
      <c r="A35" s="2547" t="s">
        <v>1043</v>
      </c>
      <c r="B35" s="1400">
        <v>0</v>
      </c>
      <c r="C35" s="2052"/>
      <c r="D35" s="1400">
        <v>0</v>
      </c>
      <c r="E35" s="2052"/>
      <c r="F35" s="1400">
        <v>0</v>
      </c>
      <c r="G35" s="2052"/>
      <c r="H35" s="1400">
        <v>0</v>
      </c>
      <c r="I35" s="2687"/>
      <c r="J35" s="1400">
        <v>0</v>
      </c>
      <c r="K35" s="2687"/>
      <c r="L35" s="1400">
        <v>0</v>
      </c>
      <c r="M35" s="2687"/>
      <c r="N35" s="1839">
        <v>0</v>
      </c>
      <c r="O35" s="2687"/>
      <c r="P35" s="1839">
        <v>0</v>
      </c>
      <c r="Q35" s="2687"/>
      <c r="R35" s="1839">
        <v>0</v>
      </c>
      <c r="S35" s="2687"/>
      <c r="T35" s="1839">
        <f t="shared" si="1"/>
        <v>0</v>
      </c>
      <c r="U35" s="2687"/>
      <c r="V35" s="1839"/>
      <c r="W35" s="2687"/>
      <c r="X35" s="1839"/>
      <c r="Y35" s="2793"/>
      <c r="Z35" s="1496"/>
      <c r="AA35" s="1839">
        <v>0</v>
      </c>
      <c r="AB35" s="2033"/>
      <c r="AC35" s="2034"/>
      <c r="AD35" s="1839">
        <v>0</v>
      </c>
      <c r="AE35" s="2798"/>
      <c r="AF35" s="2799"/>
      <c r="AG35" s="2794">
        <f t="shared" si="2"/>
        <v>0</v>
      </c>
      <c r="AH35" s="1493"/>
      <c r="AI35" s="1462">
        <f t="shared" si="3"/>
        <v>0</v>
      </c>
    </row>
    <row r="36" spans="1:36" ht="14.25" customHeight="1">
      <c r="A36" s="2547" t="s">
        <v>1044</v>
      </c>
      <c r="B36" s="1400">
        <v>0</v>
      </c>
      <c r="C36" s="2052"/>
      <c r="D36" s="1400">
        <v>0</v>
      </c>
      <c r="E36" s="2052"/>
      <c r="F36" s="1400">
        <v>0</v>
      </c>
      <c r="G36" s="2052"/>
      <c r="H36" s="1400">
        <v>0</v>
      </c>
      <c r="I36" s="2687"/>
      <c r="J36" s="1400">
        <v>0</v>
      </c>
      <c r="K36" s="2687"/>
      <c r="L36" s="1400">
        <v>0</v>
      </c>
      <c r="M36" s="2687"/>
      <c r="N36" s="1839">
        <v>0</v>
      </c>
      <c r="O36" s="2687"/>
      <c r="P36" s="1839">
        <v>0</v>
      </c>
      <c r="Q36" s="2687"/>
      <c r="R36" s="1839">
        <v>0</v>
      </c>
      <c r="S36" s="2687"/>
      <c r="T36" s="1839">
        <f t="shared" si="1"/>
        <v>0</v>
      </c>
      <c r="U36" s="2687"/>
      <c r="V36" s="1839"/>
      <c r="W36" s="2687"/>
      <c r="X36" s="1839"/>
      <c r="Y36" s="2793"/>
      <c r="Z36" s="1496"/>
      <c r="AA36" s="1839">
        <v>0</v>
      </c>
      <c r="AB36" s="2033"/>
      <c r="AC36" s="2034"/>
      <c r="AD36" s="1839">
        <v>0</v>
      </c>
      <c r="AE36" s="2798"/>
      <c r="AF36" s="2799"/>
      <c r="AG36" s="2794">
        <f t="shared" si="2"/>
        <v>0</v>
      </c>
      <c r="AH36" s="1493"/>
      <c r="AI36" s="1462">
        <f t="shared" si="3"/>
        <v>0</v>
      </c>
    </row>
    <row r="37" spans="1:36" ht="14.25" customHeight="1">
      <c r="A37" s="2547" t="s">
        <v>1045</v>
      </c>
      <c r="B37" s="1400">
        <v>0</v>
      </c>
      <c r="C37" s="2052"/>
      <c r="D37" s="1400">
        <v>0</v>
      </c>
      <c r="E37" s="2052"/>
      <c r="F37" s="1400">
        <v>0</v>
      </c>
      <c r="G37" s="2052"/>
      <c r="H37" s="1400">
        <v>0</v>
      </c>
      <c r="I37" s="2687"/>
      <c r="J37" s="1400">
        <v>0</v>
      </c>
      <c r="K37" s="2687"/>
      <c r="L37" s="1400">
        <v>0</v>
      </c>
      <c r="M37" s="2687"/>
      <c r="N37" s="1839">
        <v>0</v>
      </c>
      <c r="O37" s="2687"/>
      <c r="P37" s="1839">
        <v>0</v>
      </c>
      <c r="Q37" s="2687"/>
      <c r="R37" s="1839">
        <v>0</v>
      </c>
      <c r="S37" s="2687"/>
      <c r="T37" s="1839">
        <f t="shared" si="1"/>
        <v>0</v>
      </c>
      <c r="U37" s="2687"/>
      <c r="V37" s="1839"/>
      <c r="W37" s="2687"/>
      <c r="X37" s="1839"/>
      <c r="Y37" s="2793"/>
      <c r="Z37" s="1496"/>
      <c r="AA37" s="1839">
        <v>0</v>
      </c>
      <c r="AB37" s="2033"/>
      <c r="AC37" s="2034"/>
      <c r="AD37" s="1839">
        <v>0</v>
      </c>
      <c r="AE37" s="2798"/>
      <c r="AF37" s="2799"/>
      <c r="AG37" s="2794">
        <f t="shared" si="2"/>
        <v>0</v>
      </c>
      <c r="AH37" s="1493"/>
      <c r="AI37" s="1462">
        <f t="shared" si="3"/>
        <v>0</v>
      </c>
    </row>
    <row r="38" spans="1:36" ht="14.25" customHeight="1">
      <c r="A38" s="2547" t="s">
        <v>1035</v>
      </c>
      <c r="B38" s="1400">
        <v>0.2</v>
      </c>
      <c r="C38" s="2052"/>
      <c r="D38" s="1400">
        <v>0</v>
      </c>
      <c r="E38" s="2052"/>
      <c r="F38" s="1400">
        <v>0.3</v>
      </c>
      <c r="G38" s="2052"/>
      <c r="H38" s="1400">
        <v>9.9999999999999978E-2</v>
      </c>
      <c r="I38" s="2687"/>
      <c r="J38" s="1400">
        <v>0.50000000000000011</v>
      </c>
      <c r="K38" s="2687"/>
      <c r="L38" s="1400">
        <v>0.19999999999999996</v>
      </c>
      <c r="M38" s="2687"/>
      <c r="N38" s="1839">
        <v>0</v>
      </c>
      <c r="O38" s="2687"/>
      <c r="P38" s="1839">
        <v>0.19999999999999996</v>
      </c>
      <c r="Q38" s="2687"/>
      <c r="R38" s="1839">
        <v>0</v>
      </c>
      <c r="S38" s="2687"/>
      <c r="T38" s="1839">
        <f t="shared" si="1"/>
        <v>0</v>
      </c>
      <c r="U38" s="2687"/>
      <c r="V38" s="1839"/>
      <c r="W38" s="2687"/>
      <c r="X38" s="1839"/>
      <c r="Y38" s="2793"/>
      <c r="Z38" s="1496"/>
      <c r="AA38" s="1839">
        <v>1.5</v>
      </c>
      <c r="AB38" s="2033"/>
      <c r="AC38" s="2034"/>
      <c r="AD38" s="1839">
        <v>2.4</v>
      </c>
      <c r="AE38" s="2798"/>
      <c r="AF38" s="2799"/>
      <c r="AG38" s="2794">
        <f t="shared" si="2"/>
        <v>-0.9</v>
      </c>
      <c r="AH38" s="1493"/>
      <c r="AI38" s="1462">
        <f>ROUND(IF(AD38=0,1,AG38/ABS(AD38)),3)</f>
        <v>-0.375</v>
      </c>
    </row>
    <row r="39" spans="1:36" ht="14.25" customHeight="1">
      <c r="A39" s="2547" t="s">
        <v>1053</v>
      </c>
      <c r="B39" s="1400">
        <v>0</v>
      </c>
      <c r="C39" s="2052"/>
      <c r="D39" s="1400">
        <v>0.5</v>
      </c>
      <c r="E39" s="2052"/>
      <c r="F39" s="1400">
        <v>0</v>
      </c>
      <c r="G39" s="2052"/>
      <c r="H39" s="1400">
        <v>0.8</v>
      </c>
      <c r="I39" s="2687"/>
      <c r="J39" s="1400">
        <v>0</v>
      </c>
      <c r="K39" s="2687"/>
      <c r="L39" s="1400">
        <v>0</v>
      </c>
      <c r="M39" s="2687"/>
      <c r="N39" s="1839">
        <v>0.39999999999999991</v>
      </c>
      <c r="O39" s="2687"/>
      <c r="P39" s="1839">
        <v>0.10000000000000009</v>
      </c>
      <c r="Q39" s="2687"/>
      <c r="R39" s="1839">
        <v>0</v>
      </c>
      <c r="S39" s="2687"/>
      <c r="T39" s="1839">
        <f t="shared" si="1"/>
        <v>0</v>
      </c>
      <c r="U39" s="2687"/>
      <c r="V39" s="1839"/>
      <c r="W39" s="2687"/>
      <c r="X39" s="1839"/>
      <c r="Y39" s="2793"/>
      <c r="Z39" s="1496"/>
      <c r="AA39" s="1839">
        <v>1.8</v>
      </c>
      <c r="AB39" s="2033"/>
      <c r="AC39" s="2034"/>
      <c r="AD39" s="1839">
        <v>2.9</v>
      </c>
      <c r="AE39" s="2798"/>
      <c r="AF39" s="2799"/>
      <c r="AG39" s="2794">
        <f t="shared" si="2"/>
        <v>-1.1000000000000001</v>
      </c>
      <c r="AH39" s="1493"/>
      <c r="AI39" s="1462">
        <f>ROUND(IF(AD39=0,0,AG39/ABS(AD39)),3)</f>
        <v>-0.379</v>
      </c>
    </row>
    <row r="40" spans="1:36" ht="14.25" customHeight="1">
      <c r="A40" s="2547" t="s">
        <v>1054</v>
      </c>
      <c r="B40" s="1400">
        <v>0</v>
      </c>
      <c r="C40" s="2052"/>
      <c r="D40" s="1400">
        <v>0</v>
      </c>
      <c r="E40" s="2052"/>
      <c r="F40" s="1400">
        <v>0</v>
      </c>
      <c r="G40" s="2052"/>
      <c r="H40" s="1400">
        <v>0</v>
      </c>
      <c r="I40" s="2687"/>
      <c r="J40" s="1400">
        <v>0</v>
      </c>
      <c r="K40" s="2687"/>
      <c r="L40" s="1400">
        <v>0</v>
      </c>
      <c r="M40" s="2687"/>
      <c r="N40" s="1839">
        <v>0</v>
      </c>
      <c r="O40" s="2687"/>
      <c r="P40" s="1839">
        <v>0</v>
      </c>
      <c r="Q40" s="2687"/>
      <c r="R40" s="1839">
        <v>0</v>
      </c>
      <c r="S40" s="2687"/>
      <c r="T40" s="1839">
        <f t="shared" si="1"/>
        <v>0</v>
      </c>
      <c r="U40" s="2687"/>
      <c r="V40" s="1839"/>
      <c r="W40" s="2687"/>
      <c r="X40" s="1839"/>
      <c r="Y40" s="2793"/>
      <c r="Z40" s="1496"/>
      <c r="AA40" s="1839">
        <v>0</v>
      </c>
      <c r="AB40" s="2033"/>
      <c r="AC40" s="2034"/>
      <c r="AD40" s="1839">
        <v>0</v>
      </c>
      <c r="AE40" s="2798"/>
      <c r="AF40" s="2799"/>
      <c r="AG40" s="2794">
        <f t="shared" si="2"/>
        <v>0</v>
      </c>
      <c r="AH40" s="1493"/>
      <c r="AI40" s="1462">
        <f t="shared" si="3"/>
        <v>0</v>
      </c>
    </row>
    <row r="41" spans="1:36" ht="14.25" customHeight="1">
      <c r="A41" s="2547" t="s">
        <v>1159</v>
      </c>
      <c r="B41" s="1400" t="s">
        <v>15</v>
      </c>
      <c r="C41" s="2052"/>
      <c r="D41" s="1400"/>
      <c r="E41" s="2052"/>
      <c r="F41" s="1400"/>
      <c r="G41" s="2052"/>
      <c r="H41" s="1400"/>
      <c r="I41" s="2687"/>
      <c r="J41" s="1400"/>
      <c r="K41" s="2687"/>
      <c r="L41" s="1400"/>
      <c r="M41" s="2687"/>
      <c r="N41" s="1839"/>
      <c r="O41" s="2687"/>
      <c r="P41" s="1839"/>
      <c r="Q41" s="2687"/>
      <c r="R41" s="1839"/>
      <c r="S41" s="2687"/>
      <c r="T41" s="1839"/>
      <c r="U41" s="2687"/>
      <c r="V41" s="1839"/>
      <c r="W41" s="2687"/>
      <c r="X41" s="1839"/>
      <c r="Y41" s="2793"/>
      <c r="Z41" s="1496"/>
      <c r="AA41" s="1839"/>
      <c r="AB41" s="2033"/>
      <c r="AC41" s="2034"/>
      <c r="AD41" s="1839"/>
      <c r="AE41" s="2798"/>
      <c r="AF41" s="2799"/>
      <c r="AG41" s="2794"/>
      <c r="AH41" s="1493"/>
      <c r="AI41" s="1495"/>
    </row>
    <row r="42" spans="1:36" ht="14.25" customHeight="1">
      <c r="A42" s="2547" t="s">
        <v>1230</v>
      </c>
      <c r="B42" s="1400">
        <v>42.4</v>
      </c>
      <c r="C42" s="2052"/>
      <c r="D42" s="1400">
        <v>36.000000000000007</v>
      </c>
      <c r="E42" s="2052"/>
      <c r="F42" s="1400">
        <v>37.499999999999993</v>
      </c>
      <c r="G42" s="2052"/>
      <c r="H42" s="1400">
        <v>89.199999999999989</v>
      </c>
      <c r="I42" s="2687"/>
      <c r="J42" s="1400">
        <v>42.200000000000017</v>
      </c>
      <c r="K42" s="2687"/>
      <c r="L42" s="1400">
        <v>15.699999999999989</v>
      </c>
      <c r="M42" s="2687"/>
      <c r="N42" s="1839">
        <v>31.100000000000023</v>
      </c>
      <c r="O42" s="2687"/>
      <c r="P42" s="1839">
        <v>24.900000000000006</v>
      </c>
      <c r="Q42" s="2687"/>
      <c r="R42" s="1839">
        <v>51.5</v>
      </c>
      <c r="S42" s="2687"/>
      <c r="T42" s="1839">
        <f t="shared" si="1"/>
        <v>37.800000000000011</v>
      </c>
      <c r="U42" s="2687"/>
      <c r="V42" s="1839"/>
      <c r="W42" s="2687"/>
      <c r="X42" s="1839"/>
      <c r="Y42" s="2793"/>
      <c r="Z42" s="1496"/>
      <c r="AA42" s="1839">
        <v>408.3</v>
      </c>
      <c r="AB42" s="2033"/>
      <c r="AC42" s="2034"/>
      <c r="AD42" s="1839">
        <v>339</v>
      </c>
      <c r="AE42" s="2798"/>
      <c r="AF42" s="2799"/>
      <c r="AG42" s="2794">
        <f>ROUND(SUM(AA42-AD42),1)</f>
        <v>69.3</v>
      </c>
      <c r="AH42" s="1493"/>
      <c r="AI42" s="1502">
        <f>ROUND(IF(AD42=0,0,AG42/ABS(AD42)),3)</f>
        <v>0.20399999999999999</v>
      </c>
    </row>
    <row r="43" spans="1:36" ht="14.25" customHeight="1">
      <c r="A43" s="2547" t="s">
        <v>1063</v>
      </c>
      <c r="B43" s="1400">
        <v>0</v>
      </c>
      <c r="C43" s="2052"/>
      <c r="D43" s="1400">
        <v>0</v>
      </c>
      <c r="E43" s="2052"/>
      <c r="F43" s="1400">
        <v>0</v>
      </c>
      <c r="G43" s="2052"/>
      <c r="H43" s="1400">
        <v>0</v>
      </c>
      <c r="I43" s="2687"/>
      <c r="J43" s="1400">
        <v>0</v>
      </c>
      <c r="K43" s="2687"/>
      <c r="L43" s="1400">
        <v>0</v>
      </c>
      <c r="M43" s="2687"/>
      <c r="N43" s="1839">
        <v>0.1</v>
      </c>
      <c r="O43" s="2687"/>
      <c r="P43" s="1839">
        <v>0</v>
      </c>
      <c r="Q43" s="2687"/>
      <c r="R43" s="1839">
        <v>0</v>
      </c>
      <c r="S43" s="2687"/>
      <c r="T43" s="1839">
        <f t="shared" si="1"/>
        <v>0</v>
      </c>
      <c r="U43" s="2687"/>
      <c r="V43" s="1839"/>
      <c r="W43" s="2687"/>
      <c r="X43" s="1839"/>
      <c r="Y43" s="2800"/>
      <c r="Z43" s="1496"/>
      <c r="AA43" s="1839">
        <v>0.1</v>
      </c>
      <c r="AB43" s="2215"/>
      <c r="AC43" s="2034"/>
      <c r="AD43" s="1839">
        <v>0.1</v>
      </c>
      <c r="AE43" s="2798"/>
      <c r="AF43" s="2799"/>
      <c r="AG43" s="2794">
        <f>ROUND(SUM(AA43-AD43),1)</f>
        <v>0</v>
      </c>
      <c r="AH43" s="1493"/>
      <c r="AI43" s="1502">
        <f>ROUND(IF(AD43=0,0,AG43/ABS(AD43)),3)</f>
        <v>0</v>
      </c>
    </row>
    <row r="44" spans="1:36" ht="14.25" customHeight="1">
      <c r="A44" s="2547" t="s">
        <v>1064</v>
      </c>
      <c r="B44" s="1400">
        <v>0</v>
      </c>
      <c r="C44" s="2052"/>
      <c r="D44" s="1400">
        <v>0</v>
      </c>
      <c r="E44" s="2052"/>
      <c r="F44" s="1400">
        <v>0</v>
      </c>
      <c r="G44" s="2052"/>
      <c r="H44" s="1400">
        <v>0</v>
      </c>
      <c r="I44" s="2687"/>
      <c r="J44" s="1400">
        <v>0</v>
      </c>
      <c r="K44" s="2687"/>
      <c r="L44" s="1400">
        <v>0</v>
      </c>
      <c r="M44" s="2687"/>
      <c r="N44" s="1839">
        <v>0</v>
      </c>
      <c r="O44" s="2687"/>
      <c r="P44" s="1839">
        <v>0</v>
      </c>
      <c r="Q44" s="2687"/>
      <c r="R44" s="1839">
        <v>0</v>
      </c>
      <c r="S44" s="2687"/>
      <c r="T44" s="1839">
        <f t="shared" si="1"/>
        <v>0</v>
      </c>
      <c r="U44" s="2687"/>
      <c r="V44" s="1839"/>
      <c r="W44" s="2687"/>
      <c r="X44" s="1839"/>
      <c r="Y44" s="2793"/>
      <c r="Z44" s="1496"/>
      <c r="AA44" s="1839">
        <v>0</v>
      </c>
      <c r="AB44" s="2033"/>
      <c r="AC44" s="2034"/>
      <c r="AD44" s="1839">
        <v>0.1</v>
      </c>
      <c r="AE44" s="2798"/>
      <c r="AF44" s="2799"/>
      <c r="AG44" s="2794">
        <f>ROUND(SUM(AA44-AD44),1)</f>
        <v>-0.1</v>
      </c>
      <c r="AH44" s="1493"/>
      <c r="AI44" s="1462">
        <f>ROUND(IF(AD44=0,0,AG44/ABS(AD44)),3)</f>
        <v>-1</v>
      </c>
    </row>
    <row r="45" spans="1:36" s="2807" customFormat="1" ht="15.75">
      <c r="A45" s="2534" t="s">
        <v>1099</v>
      </c>
      <c r="B45" s="2096">
        <f>ROUND(SUM(B30:B44),1)</f>
        <v>42.6</v>
      </c>
      <c r="C45" s="2801"/>
      <c r="D45" s="2096">
        <f>ROUND(SUM(D30:D44),1)</f>
        <v>36.5</v>
      </c>
      <c r="E45" s="2801"/>
      <c r="F45" s="2096">
        <f>ROUND(SUM(F30:F44),1)</f>
        <v>37.799999999999997</v>
      </c>
      <c r="G45" s="2801"/>
      <c r="H45" s="2096">
        <f>ROUND(SUM(H30:H44),1)</f>
        <v>90.1</v>
      </c>
      <c r="I45" s="2802"/>
      <c r="J45" s="2087">
        <f>ROUND(SUM(J30:J44),1)</f>
        <v>42.7</v>
      </c>
      <c r="K45" s="2802"/>
      <c r="L45" s="2087">
        <f>ROUND(SUM(L30:L44),1)</f>
        <v>15.9</v>
      </c>
      <c r="M45" s="2802"/>
      <c r="N45" s="2087">
        <f>ROUND(SUM(N30:N44),1)</f>
        <v>31.6</v>
      </c>
      <c r="O45" s="2802"/>
      <c r="P45" s="2087">
        <f>ROUND(SUM(P30:P44),1)</f>
        <v>25.2</v>
      </c>
      <c r="Q45" s="2802"/>
      <c r="R45" s="2087">
        <f>ROUND(SUM(R30:R44),1)</f>
        <v>51.5</v>
      </c>
      <c r="S45" s="2802"/>
      <c r="T45" s="2087">
        <f>ROUND(SUM(T30:T44),1)</f>
        <v>37.799999999999997</v>
      </c>
      <c r="U45" s="2802"/>
      <c r="V45" s="2071">
        <f>ROUND(SUM(V30:V44),1)</f>
        <v>0</v>
      </c>
      <c r="W45" s="2802"/>
      <c r="X45" s="2071">
        <f>ROUND(SUM(X30:X44),1)</f>
        <v>0</v>
      </c>
      <c r="Y45" s="2803"/>
      <c r="Z45" s="2802"/>
      <c r="AA45" s="2071">
        <f>ROUND(SUM(AA30:AA44),1)</f>
        <v>411.7</v>
      </c>
      <c r="AB45" s="2803"/>
      <c r="AC45" s="2802"/>
      <c r="AD45" s="2071">
        <f>ROUND(SUM(AD30:AD44),1)</f>
        <v>344.5</v>
      </c>
      <c r="AE45" s="2804"/>
      <c r="AF45" s="2805"/>
      <c r="AG45" s="2087">
        <f>ROUND(SUM(AG30:AG44),1)</f>
        <v>67.2</v>
      </c>
      <c r="AH45" s="2763"/>
      <c r="AI45" s="2806">
        <f>ROUND(IF(AD45=0,0,AG45/ABS(AD45)),3)</f>
        <v>0.19500000000000001</v>
      </c>
      <c r="AJ45" s="2759"/>
    </row>
    <row r="46" spans="1:36" s="2807" customFormat="1" ht="14.25" customHeight="1">
      <c r="A46" s="2534"/>
      <c r="B46" s="1481"/>
      <c r="C46" s="2801"/>
      <c r="D46" s="1481"/>
      <c r="E46" s="2801"/>
      <c r="F46" s="1481"/>
      <c r="G46" s="2801"/>
      <c r="H46" s="1481"/>
      <c r="I46" s="2802"/>
      <c r="J46" s="1481"/>
      <c r="K46" s="2802"/>
      <c r="L46" s="1481"/>
      <c r="M46" s="2802"/>
      <c r="N46" s="1481"/>
      <c r="O46" s="2802"/>
      <c r="P46" s="1481"/>
      <c r="Q46" s="2802"/>
      <c r="R46" s="1481"/>
      <c r="S46" s="2802"/>
      <c r="T46" s="1481"/>
      <c r="U46" s="2802"/>
      <c r="V46" s="1499"/>
      <c r="W46" s="2802"/>
      <c r="X46" s="1499"/>
      <c r="Y46" s="2808"/>
      <c r="Z46" s="2802"/>
      <c r="AA46" s="1499"/>
      <c r="AB46" s="2808"/>
      <c r="AC46" s="2802"/>
      <c r="AD46" s="1499"/>
      <c r="AE46" s="2804"/>
      <c r="AF46" s="2805"/>
      <c r="AG46" s="2809"/>
      <c r="AH46" s="2763"/>
      <c r="AI46" s="2787"/>
      <c r="AJ46" s="2759"/>
    </row>
    <row r="47" spans="1:36" ht="15">
      <c r="A47" s="2810" t="s">
        <v>941</v>
      </c>
      <c r="B47" s="1400">
        <v>0</v>
      </c>
      <c r="C47" s="2811"/>
      <c r="D47" s="1400">
        <v>0</v>
      </c>
      <c r="E47" s="2811"/>
      <c r="F47" s="1400">
        <v>0</v>
      </c>
      <c r="G47" s="2052"/>
      <c r="H47" s="1400">
        <v>1.6</v>
      </c>
      <c r="I47" s="2032"/>
      <c r="J47" s="1400">
        <v>35.199999999999996</v>
      </c>
      <c r="K47" s="2032"/>
      <c r="L47" s="1400">
        <v>0</v>
      </c>
      <c r="M47" s="2032"/>
      <c r="N47" s="1839">
        <v>0</v>
      </c>
      <c r="O47" s="2032"/>
      <c r="P47" s="1839">
        <v>0</v>
      </c>
      <c r="Q47" s="2032"/>
      <c r="R47" s="1839">
        <v>0</v>
      </c>
      <c r="S47" s="2032"/>
      <c r="T47" s="1839">
        <f t="shared" ref="T47" si="4">$AA47-$B47-$D47-$F47-$H47-$J47-$L47-$N47-$P47-$R47</f>
        <v>1.6000000000000014</v>
      </c>
      <c r="U47" s="2032"/>
      <c r="V47" s="1839"/>
      <c r="W47" s="2032"/>
      <c r="X47" s="1839"/>
      <c r="Y47" s="2812"/>
      <c r="Z47" s="2032"/>
      <c r="AA47" s="2813">
        <v>38.4</v>
      </c>
      <c r="AB47" s="2812"/>
      <c r="AC47" s="2032"/>
      <c r="AD47" s="2813">
        <v>38.299999999999997</v>
      </c>
      <c r="AE47" s="2798"/>
      <c r="AF47" s="2799"/>
      <c r="AG47" s="2814">
        <f>ROUND(SUM(AA47-AD47),1)</f>
        <v>0.1</v>
      </c>
      <c r="AH47" s="1493"/>
      <c r="AI47" s="1463">
        <f>ROUND(IF(AD47=0,0,AG47/ABS(AD47)),3)</f>
        <v>3.0000000000000001E-3</v>
      </c>
    </row>
    <row r="48" spans="1:36" ht="12" customHeight="1">
      <c r="A48" s="1496"/>
      <c r="B48" s="2815"/>
      <c r="C48" s="2052"/>
      <c r="D48" s="2815"/>
      <c r="E48" s="2052"/>
      <c r="F48" s="2815"/>
      <c r="G48" s="2052"/>
      <c r="H48" s="2815"/>
      <c r="I48" s="2032"/>
      <c r="J48" s="2816"/>
      <c r="K48" s="2032"/>
      <c r="L48" s="2816"/>
      <c r="M48" s="2032"/>
      <c r="N48" s="2816"/>
      <c r="O48" s="2032"/>
      <c r="P48" s="2816"/>
      <c r="Q48" s="2032"/>
      <c r="R48" s="2816"/>
      <c r="S48" s="2032"/>
      <c r="T48" s="2816"/>
      <c r="U48" s="2032"/>
      <c r="V48" s="2816"/>
      <c r="W48" s="2032"/>
      <c r="X48" s="2816"/>
      <c r="Y48" s="2812"/>
      <c r="Z48" s="2032"/>
      <c r="AA48" s="2052"/>
      <c r="AB48" s="2812"/>
      <c r="AC48" s="2032"/>
      <c r="AD48" s="2052"/>
      <c r="AE48" s="2798"/>
      <c r="AF48" s="2799"/>
      <c r="AG48" s="2794"/>
      <c r="AH48" s="1493"/>
      <c r="AI48" s="1496"/>
    </row>
    <row r="49" spans="1:36" ht="14.25" customHeight="1">
      <c r="A49" s="2534" t="s">
        <v>188</v>
      </c>
      <c r="B49" s="2817">
        <f>B26+B45+B47</f>
        <v>5271.4000000000005</v>
      </c>
      <c r="C49" s="2818"/>
      <c r="D49" s="2817">
        <f>ROUND(SUM(D26+D45+D47),1)</f>
        <v>1915.9</v>
      </c>
      <c r="E49" s="2819"/>
      <c r="F49" s="2817">
        <f>ROUND(SUM(F26+F45+F47),1)</f>
        <v>3472.6</v>
      </c>
      <c r="G49" s="2819"/>
      <c r="H49" s="2817">
        <f>ROUND(SUM(H26+H45+H47),1)</f>
        <v>2455.8000000000002</v>
      </c>
      <c r="I49" s="2820"/>
      <c r="J49" s="2821">
        <f>ROUND(SUM(J26+J45+J47),1)</f>
        <v>2192.6</v>
      </c>
      <c r="K49" s="2820"/>
      <c r="L49" s="2821">
        <f>ROUND(SUM(L26+L45+L47),1)</f>
        <v>3278.5</v>
      </c>
      <c r="M49" s="2820"/>
      <c r="N49" s="2821">
        <f>ROUND(SUM(N26+N45+N47),1)</f>
        <v>1972.4</v>
      </c>
      <c r="O49" s="2820"/>
      <c r="P49" s="2821">
        <f>ROUND(SUM(P26+P45+P47),1)</f>
        <v>1931.7</v>
      </c>
      <c r="Q49" s="2820"/>
      <c r="R49" s="2821">
        <f>ROUND(SUM(R26+R45+R47),1)</f>
        <v>3011.7</v>
      </c>
      <c r="S49" s="2820"/>
      <c r="T49" s="2821">
        <f>ROUND(SUM(T26+T45+T47),1)</f>
        <v>5207.2</v>
      </c>
      <c r="U49" s="2820"/>
      <c r="V49" s="2821">
        <f>ROUND(SUM(V26+V45+V47),1)</f>
        <v>0</v>
      </c>
      <c r="W49" s="2820"/>
      <c r="X49" s="2821">
        <f>ROUND(SUM(X26+X45+X47),1)</f>
        <v>0</v>
      </c>
      <c r="Y49" s="2803"/>
      <c r="Z49" s="2802"/>
      <c r="AA49" s="2821">
        <f>ROUND(SUM(AA26+AA45+AA47),1)</f>
        <v>30709.8</v>
      </c>
      <c r="AB49" s="2803"/>
      <c r="AC49" s="2802"/>
      <c r="AD49" s="2821">
        <f>ROUND(SUM(AD26+AD45+AD47),1)</f>
        <v>27779.599999999999</v>
      </c>
      <c r="AE49" s="2804"/>
      <c r="AF49" s="2805"/>
      <c r="AG49" s="2821">
        <f>ROUND(SUM(AG26+AG45+AG47),1)</f>
        <v>2930.2</v>
      </c>
      <c r="AH49" s="2763"/>
      <c r="AI49" s="1494">
        <f>ROUND(IF(AD49=0,0,AG49/ABS(AD49)),3)</f>
        <v>0.105</v>
      </c>
      <c r="AJ49" s="2822"/>
    </row>
    <row r="50" spans="1:36" ht="19.5" customHeight="1">
      <c r="A50" s="1496"/>
      <c r="B50" s="2052"/>
      <c r="C50" s="2052"/>
      <c r="D50" s="2052"/>
      <c r="E50" s="2052"/>
      <c r="F50" s="2052"/>
      <c r="G50" s="2052"/>
      <c r="H50" s="2052"/>
      <c r="I50" s="2032"/>
      <c r="J50" s="2032"/>
      <c r="K50" s="2032"/>
      <c r="L50" s="2032"/>
      <c r="M50" s="2032"/>
      <c r="N50" s="2032"/>
      <c r="O50" s="2032"/>
      <c r="P50" s="2032"/>
      <c r="Q50" s="2032"/>
      <c r="R50" s="2032"/>
      <c r="S50" s="2032"/>
      <c r="T50" s="2032"/>
      <c r="U50" s="2032"/>
      <c r="V50" s="2032"/>
      <c r="W50" s="2032"/>
      <c r="X50" s="2032"/>
      <c r="Y50" s="2812"/>
      <c r="Z50" s="2032"/>
      <c r="AA50" s="2052"/>
      <c r="AB50" s="2812"/>
      <c r="AC50" s="2032"/>
      <c r="AD50" s="2052"/>
      <c r="AE50" s="2798"/>
      <c r="AF50" s="2799"/>
      <c r="AG50" s="2794"/>
      <c r="AH50" s="1493"/>
      <c r="AI50" s="1496"/>
    </row>
    <row r="51" spans="1:36" ht="15.75">
      <c r="A51" s="2823" t="s">
        <v>189</v>
      </c>
      <c r="B51" s="2052"/>
      <c r="C51" s="2052"/>
      <c r="D51" s="2052"/>
      <c r="E51" s="2052"/>
      <c r="F51" s="2052"/>
      <c r="G51" s="2052"/>
      <c r="H51" s="2052"/>
      <c r="I51" s="2032"/>
      <c r="J51" s="2032"/>
      <c r="K51" s="2032"/>
      <c r="L51" s="2032"/>
      <c r="M51" s="2032"/>
      <c r="N51" s="2032"/>
      <c r="O51" s="2032"/>
      <c r="P51" s="2032"/>
      <c r="Q51" s="2032"/>
      <c r="R51" s="2032"/>
      <c r="S51" s="2032"/>
      <c r="T51" s="2032"/>
      <c r="U51" s="2032"/>
      <c r="V51" s="2032"/>
      <c r="W51" s="2032"/>
      <c r="X51" s="2032"/>
      <c r="Y51" s="2812"/>
      <c r="Z51" s="2032"/>
      <c r="AA51" s="2052"/>
      <c r="AB51" s="2812"/>
      <c r="AC51" s="2032"/>
      <c r="AD51" s="2052"/>
      <c r="AE51" s="2798"/>
      <c r="AF51" s="2799"/>
      <c r="AG51" s="2794"/>
      <c r="AH51" s="1493"/>
      <c r="AI51" s="1496"/>
    </row>
    <row r="52" spans="1:36" ht="14.25" customHeight="1">
      <c r="A52" s="2824" t="s">
        <v>153</v>
      </c>
      <c r="B52" s="2052"/>
      <c r="C52" s="2052"/>
      <c r="D52" s="2052"/>
      <c r="E52" s="2052"/>
      <c r="F52" s="2052"/>
      <c r="G52" s="2052"/>
      <c r="H52" s="2052"/>
      <c r="I52" s="2032"/>
      <c r="J52" s="2032"/>
      <c r="K52" s="2032"/>
      <c r="L52" s="2032"/>
      <c r="M52" s="2032"/>
      <c r="N52" s="2032"/>
      <c r="O52" s="2032"/>
      <c r="P52" s="2032"/>
      <c r="Q52" s="2032"/>
      <c r="R52" s="2032"/>
      <c r="S52" s="2032"/>
      <c r="T52" s="2032"/>
      <c r="U52" s="2032"/>
      <c r="V52" s="2032"/>
      <c r="W52" s="2032"/>
      <c r="X52" s="2032"/>
      <c r="Y52" s="2812"/>
      <c r="Z52" s="2032"/>
      <c r="AA52" s="2052"/>
      <c r="AB52" s="2812"/>
      <c r="AC52" s="2032"/>
      <c r="AD52" s="2052"/>
      <c r="AE52" s="2798"/>
      <c r="AF52" s="2799"/>
      <c r="AG52" s="2794"/>
      <c r="AH52" s="1493"/>
      <c r="AI52" s="1496"/>
    </row>
    <row r="53" spans="1:36" ht="14.25" customHeight="1">
      <c r="A53" s="2824" t="s">
        <v>38</v>
      </c>
      <c r="B53" s="1400">
        <v>0.70000000000000007</v>
      </c>
      <c r="C53" s="2052"/>
      <c r="D53" s="1400">
        <v>2.2999999999999998</v>
      </c>
      <c r="E53" s="2825"/>
      <c r="F53" s="1400">
        <v>2.5999999999999996</v>
      </c>
      <c r="G53" s="2052"/>
      <c r="H53" s="1400">
        <v>8.6</v>
      </c>
      <c r="I53" s="2032"/>
      <c r="J53" s="1400">
        <v>6.8000000000000007</v>
      </c>
      <c r="K53" s="2032"/>
      <c r="L53" s="1400">
        <v>1.4999999999999982</v>
      </c>
      <c r="M53" s="2032"/>
      <c r="N53" s="1839">
        <v>0.60000000000000142</v>
      </c>
      <c r="O53" s="2032"/>
      <c r="P53" s="1839">
        <v>2.2000000000000028</v>
      </c>
      <c r="Q53" s="2032"/>
      <c r="R53" s="1839">
        <v>1.5</v>
      </c>
      <c r="S53" s="2032"/>
      <c r="T53" s="1839">
        <f t="shared" ref="T53:T55" si="5">$AA53-$B53-$D53-$F53-$H53-$J53-$L53-$N53-$P53-$R53</f>
        <v>0.19999999999999574</v>
      </c>
      <c r="U53" s="2032"/>
      <c r="V53" s="1839"/>
      <c r="W53" s="2032"/>
      <c r="X53" s="1839"/>
      <c r="Y53" s="2812"/>
      <c r="Z53" s="2032"/>
      <c r="AA53" s="2038">
        <v>27</v>
      </c>
      <c r="AB53" s="2812"/>
      <c r="AC53" s="2032"/>
      <c r="AD53" s="2038">
        <v>27.9</v>
      </c>
      <c r="AE53" s="2798"/>
      <c r="AF53" s="2799"/>
      <c r="AG53" s="2794">
        <f>ROUND(SUM(AA53-AD53),1)</f>
        <v>-0.9</v>
      </c>
      <c r="AH53" s="1493"/>
      <c r="AI53" s="1502">
        <f>ROUND(IF(AD53=0,0,AG53/ABS(AD53)),3)</f>
        <v>-3.2000000000000001E-2</v>
      </c>
    </row>
    <row r="54" spans="1:36" ht="14.25" customHeight="1">
      <c r="A54" s="2826" t="s">
        <v>1477</v>
      </c>
      <c r="B54" s="1400" t="s">
        <v>15</v>
      </c>
      <c r="C54" s="2052"/>
      <c r="D54" s="1400"/>
      <c r="E54" s="2052"/>
      <c r="F54" s="1400"/>
      <c r="G54" s="2052"/>
      <c r="H54" s="1400"/>
      <c r="I54" s="2032"/>
      <c r="J54" s="1400"/>
      <c r="K54" s="2032"/>
      <c r="L54" s="1400"/>
      <c r="M54" s="2032"/>
      <c r="N54" s="1839"/>
      <c r="O54" s="2032"/>
      <c r="P54" s="1839"/>
      <c r="Q54" s="2032"/>
      <c r="R54" s="1839"/>
      <c r="S54" s="2032"/>
      <c r="T54" s="1839"/>
      <c r="U54" s="2032"/>
      <c r="V54" s="1839"/>
      <c r="W54" s="2032"/>
      <c r="X54" s="1839"/>
      <c r="Y54" s="2812"/>
      <c r="Z54" s="2032"/>
      <c r="AA54" s="2052"/>
      <c r="AB54" s="2812"/>
      <c r="AC54" s="2032"/>
      <c r="AD54" s="2052"/>
      <c r="AE54" s="2798"/>
      <c r="AF54" s="2799"/>
      <c r="AG54" s="2794"/>
      <c r="AH54" s="1493"/>
      <c r="AI54" s="1496"/>
    </row>
    <row r="55" spans="1:36" ht="14.25" customHeight="1">
      <c r="A55" s="2827" t="s">
        <v>1165</v>
      </c>
      <c r="B55" s="1400">
        <v>72.400000000000006</v>
      </c>
      <c r="C55" s="2052"/>
      <c r="D55" s="1400">
        <v>121.1</v>
      </c>
      <c r="E55" s="2052"/>
      <c r="F55" s="1400">
        <v>230.29999999999998</v>
      </c>
      <c r="G55" s="2052"/>
      <c r="H55" s="1400">
        <v>45.099999999999994</v>
      </c>
      <c r="I55" s="2032"/>
      <c r="J55" s="1400">
        <v>74.5</v>
      </c>
      <c r="K55" s="2032"/>
      <c r="L55" s="1400">
        <v>433.20000000000005</v>
      </c>
      <c r="M55" s="2032"/>
      <c r="N55" s="1839">
        <v>48.499999999999886</v>
      </c>
      <c r="O55" s="2032"/>
      <c r="P55" s="1839">
        <v>74.899999999999977</v>
      </c>
      <c r="Q55" s="2032"/>
      <c r="R55" s="1839">
        <v>412.20000000000027</v>
      </c>
      <c r="S55" s="2032"/>
      <c r="T55" s="1839">
        <f t="shared" si="5"/>
        <v>44.599999999999909</v>
      </c>
      <c r="U55" s="2032"/>
      <c r="V55" s="1839"/>
      <c r="W55" s="2032"/>
      <c r="X55" s="1839"/>
      <c r="Y55" s="2812"/>
      <c r="Z55" s="2032"/>
      <c r="AA55" s="2828">
        <v>1556.8</v>
      </c>
      <c r="AB55" s="2812"/>
      <c r="AC55" s="2032"/>
      <c r="AD55" s="2828">
        <v>1768.9</v>
      </c>
      <c r="AE55" s="2798"/>
      <c r="AF55" s="2799"/>
      <c r="AG55" s="2829">
        <f>ROUND(SUM(AA55-AD55),1)</f>
        <v>-212.1</v>
      </c>
      <c r="AH55" s="1493"/>
      <c r="AI55" s="1463">
        <f>ROUND(IF(AD55=0,0,AG55/ABS(AD55)),3)</f>
        <v>-0.12</v>
      </c>
    </row>
    <row r="56" spans="1:36" ht="15">
      <c r="A56" s="1496"/>
      <c r="B56" s="2815"/>
      <c r="C56" s="2052"/>
      <c r="D56" s="2815"/>
      <c r="E56" s="2052"/>
      <c r="F56" s="2815"/>
      <c r="G56" s="2052"/>
      <c r="H56" s="2815"/>
      <c r="I56" s="2032"/>
      <c r="J56" s="2816"/>
      <c r="K56" s="2032"/>
      <c r="L56" s="2816"/>
      <c r="M56" s="2032"/>
      <c r="N56" s="2816"/>
      <c r="O56" s="2032"/>
      <c r="P56" s="2816"/>
      <c r="Q56" s="2032"/>
      <c r="R56" s="2816"/>
      <c r="S56" s="2032"/>
      <c r="T56" s="2816"/>
      <c r="U56" s="2032"/>
      <c r="V56" s="2816"/>
      <c r="W56" s="2032"/>
      <c r="X56" s="2816"/>
      <c r="Y56" s="2812"/>
      <c r="Z56" s="2032"/>
      <c r="AA56" s="2052"/>
      <c r="AB56" s="2812"/>
      <c r="AC56" s="2032"/>
      <c r="AD56" s="2052"/>
      <c r="AE56" s="2798"/>
      <c r="AF56" s="2799"/>
      <c r="AG56" s="2794"/>
      <c r="AH56" s="1493"/>
      <c r="AI56" s="1496"/>
    </row>
    <row r="57" spans="1:36" ht="14.25" customHeight="1">
      <c r="A57" s="2823" t="s">
        <v>190</v>
      </c>
      <c r="B57" s="2817">
        <f>ROUND(SUM(B53:B55),1)</f>
        <v>73.099999999999994</v>
      </c>
      <c r="C57" s="2818"/>
      <c r="D57" s="2817">
        <f>ROUND(SUM(D53:D55),1)</f>
        <v>123.4</v>
      </c>
      <c r="E57" s="2819"/>
      <c r="F57" s="2817">
        <f>ROUND(SUM(F53:F55),1)</f>
        <v>232.9</v>
      </c>
      <c r="G57" s="2819"/>
      <c r="H57" s="2817">
        <f>ROUND(SUM(H53:H55),1)</f>
        <v>53.7</v>
      </c>
      <c r="I57" s="2820"/>
      <c r="J57" s="2821">
        <f>ROUND(SUM(J53:J55),1)</f>
        <v>81.3</v>
      </c>
      <c r="K57" s="2820"/>
      <c r="L57" s="2821">
        <f>ROUND(SUM(L53:L55),1)</f>
        <v>434.7</v>
      </c>
      <c r="M57" s="2820"/>
      <c r="N57" s="2821">
        <f>ROUND(SUM(N53:N55),1)</f>
        <v>49.1</v>
      </c>
      <c r="O57" s="2820"/>
      <c r="P57" s="2821">
        <f>ROUND(SUM(P53:P55),1)</f>
        <v>77.099999999999994</v>
      </c>
      <c r="Q57" s="2820"/>
      <c r="R57" s="2821">
        <f>ROUND(SUM(R53:R55),1)</f>
        <v>413.7</v>
      </c>
      <c r="S57" s="2820"/>
      <c r="T57" s="2821">
        <f>ROUND(SUM(T53:T55),1)</f>
        <v>44.8</v>
      </c>
      <c r="U57" s="2820"/>
      <c r="V57" s="2821">
        <f>ROUND(SUM(V53:V55),1)</f>
        <v>0</v>
      </c>
      <c r="W57" s="2820"/>
      <c r="X57" s="2821">
        <f>ROUND(SUM(X53:X55),1)</f>
        <v>0</v>
      </c>
      <c r="Y57" s="2803"/>
      <c r="Z57" s="2802"/>
      <c r="AA57" s="2821">
        <f>ROUND(SUM(AA53:AA55),1)</f>
        <v>1583.8</v>
      </c>
      <c r="AB57" s="2803"/>
      <c r="AC57" s="2802"/>
      <c r="AD57" s="2821">
        <f>ROUND(SUM(AD53:AD55),1)</f>
        <v>1796.8</v>
      </c>
      <c r="AE57" s="2804"/>
      <c r="AF57" s="2805"/>
      <c r="AG57" s="2821">
        <f>ROUND(SUM(AG53:AG55),1)</f>
        <v>-213</v>
      </c>
      <c r="AH57" s="2763"/>
      <c r="AI57" s="1494">
        <f>ROUND(IF(AD57=0,0,AG57/ABS(AD57)),3)</f>
        <v>-0.11899999999999999</v>
      </c>
      <c r="AJ57" s="2830"/>
    </row>
    <row r="58" spans="1:36" ht="12" customHeight="1">
      <c r="A58" s="1496"/>
      <c r="B58" s="2052"/>
      <c r="C58" s="2052"/>
      <c r="D58" s="2831"/>
      <c r="E58" s="2831"/>
      <c r="F58" s="2831"/>
      <c r="G58" s="2831"/>
      <c r="H58" s="2831"/>
      <c r="I58" s="2832"/>
      <c r="J58" s="2832"/>
      <c r="K58" s="2832"/>
      <c r="L58" s="2832"/>
      <c r="M58" s="2832"/>
      <c r="N58" s="2832"/>
      <c r="O58" s="2832"/>
      <c r="P58" s="2832"/>
      <c r="Q58" s="2832"/>
      <c r="R58" s="2832"/>
      <c r="S58" s="2832"/>
      <c r="T58" s="2832"/>
      <c r="U58" s="2832"/>
      <c r="V58" s="2832"/>
      <c r="W58" s="2832"/>
      <c r="X58" s="2832"/>
      <c r="Y58" s="2812"/>
      <c r="Z58" s="2032"/>
      <c r="AA58" s="2052"/>
      <c r="AB58" s="2812"/>
      <c r="AC58" s="2032"/>
      <c r="AD58" s="2052"/>
      <c r="AE58" s="2798"/>
      <c r="AF58" s="2799"/>
      <c r="AG58" s="2794"/>
      <c r="AH58" s="1493"/>
      <c r="AI58" s="1496"/>
    </row>
    <row r="59" spans="1:36" ht="14.25" customHeight="1">
      <c r="A59" s="2823" t="s">
        <v>44</v>
      </c>
      <c r="B59" s="2052"/>
      <c r="C59" s="2052"/>
      <c r="D59" s="2831"/>
      <c r="E59" s="2831"/>
      <c r="F59" s="2831"/>
      <c r="G59" s="2831"/>
      <c r="H59" s="2831"/>
      <c r="I59" s="2832"/>
      <c r="J59" s="2832"/>
      <c r="K59" s="2832"/>
      <c r="L59" s="2832"/>
      <c r="M59" s="2832"/>
      <c r="N59" s="2832"/>
      <c r="O59" s="2832"/>
      <c r="P59" s="2832"/>
      <c r="Q59" s="2832"/>
      <c r="R59" s="2832"/>
      <c r="S59" s="2832"/>
      <c r="T59" s="2832"/>
      <c r="U59" s="2832"/>
      <c r="V59" s="2832"/>
      <c r="W59" s="2832"/>
      <c r="X59" s="2832"/>
      <c r="Y59" s="2812"/>
      <c r="Z59" s="2032"/>
      <c r="AA59" s="2052"/>
      <c r="AB59" s="2812"/>
      <c r="AC59" s="2032"/>
      <c r="AD59" s="2052"/>
      <c r="AE59" s="2798"/>
      <c r="AF59" s="2799"/>
      <c r="AG59" s="2794"/>
      <c r="AH59" s="1493"/>
      <c r="AI59" s="1496"/>
    </row>
    <row r="60" spans="1:36" ht="14.25" customHeight="1">
      <c r="A60" s="2534" t="s">
        <v>191</v>
      </c>
      <c r="B60" s="2817">
        <f>ROUND(SUM(B49-B57),1)</f>
        <v>5198.3</v>
      </c>
      <c r="C60" s="2818"/>
      <c r="D60" s="2817">
        <f>ROUND(SUM(D49-D57),1)</f>
        <v>1792.5</v>
      </c>
      <c r="E60" s="2833"/>
      <c r="F60" s="2817">
        <f>ROUND(SUM(F49-F57),1)</f>
        <v>3239.7</v>
      </c>
      <c r="G60" s="2819"/>
      <c r="H60" s="2817">
        <f>ROUND(SUM(H49-H57),1)</f>
        <v>2402.1</v>
      </c>
      <c r="I60" s="2820"/>
      <c r="J60" s="2821">
        <f>ROUND(SUM(J49-J57),1)</f>
        <v>2111.3000000000002</v>
      </c>
      <c r="K60" s="2820"/>
      <c r="L60" s="2821">
        <f>ROUND(SUM(L49-L57),1)</f>
        <v>2843.8</v>
      </c>
      <c r="M60" s="2820"/>
      <c r="N60" s="2821">
        <f>ROUND(SUM(N49-N57),1)</f>
        <v>1923.3</v>
      </c>
      <c r="O60" s="2820"/>
      <c r="P60" s="2821">
        <f>ROUND(SUM(P49-P57),1)</f>
        <v>1854.6</v>
      </c>
      <c r="Q60" s="2820"/>
      <c r="R60" s="2821">
        <f>ROUND(SUM(R49-R57),1)</f>
        <v>2598</v>
      </c>
      <c r="S60" s="2820"/>
      <c r="T60" s="2821">
        <f>ROUND(SUM(T49-T57),1)</f>
        <v>5162.3999999999996</v>
      </c>
      <c r="U60" s="2820"/>
      <c r="V60" s="2821">
        <f>ROUND(SUM(V49-V57),1)</f>
        <v>0</v>
      </c>
      <c r="W60" s="2820"/>
      <c r="X60" s="2821">
        <f>ROUND(SUM(X49-X57),1)</f>
        <v>0</v>
      </c>
      <c r="Y60" s="2803"/>
      <c r="Z60" s="2802"/>
      <c r="AA60" s="2821">
        <f>ROUND(SUM(AA49-AA57),1)</f>
        <v>29126</v>
      </c>
      <c r="AB60" s="2803"/>
      <c r="AC60" s="2802"/>
      <c r="AD60" s="2821">
        <f>ROUND(SUM(AD49-AD57),1)</f>
        <v>25982.799999999999</v>
      </c>
      <c r="AE60" s="2804"/>
      <c r="AF60" s="2805"/>
      <c r="AG60" s="2821">
        <f>ROUND(SUM(+AG49-AG57),1)</f>
        <v>3143.2</v>
      </c>
      <c r="AH60" s="2763"/>
      <c r="AI60" s="1494">
        <f>ROUND(IF(AD60=0,0,AG60/ABS(AD60)),3)</f>
        <v>0.121</v>
      </c>
      <c r="AJ60" s="2822"/>
    </row>
    <row r="61" spans="1:36" ht="19.5" customHeight="1">
      <c r="A61" s="1496"/>
      <c r="B61" s="2811"/>
      <c r="C61" s="2052"/>
      <c r="D61" s="2052"/>
      <c r="E61" s="2052"/>
      <c r="F61" s="2052"/>
      <c r="G61" s="2052"/>
      <c r="H61" s="2052"/>
      <c r="I61" s="2032"/>
      <c r="J61" s="2032"/>
      <c r="K61" s="2032"/>
      <c r="L61" s="2032"/>
      <c r="M61" s="2032"/>
      <c r="N61" s="2032"/>
      <c r="O61" s="2032"/>
      <c r="P61" s="2032"/>
      <c r="Q61" s="2032"/>
      <c r="R61" s="2032"/>
      <c r="S61" s="2032"/>
      <c r="T61" s="2032"/>
      <c r="U61" s="2032"/>
      <c r="V61" s="2032"/>
      <c r="W61" s="2032"/>
      <c r="X61" s="2032"/>
      <c r="Y61" s="2812"/>
      <c r="Z61" s="2032"/>
      <c r="AA61" s="2811"/>
      <c r="AB61" s="2812"/>
      <c r="AC61" s="2032"/>
      <c r="AD61" s="2811"/>
      <c r="AE61" s="2798"/>
      <c r="AF61" s="2799"/>
      <c r="AG61" s="2794"/>
      <c r="AH61" s="1493"/>
      <c r="AI61" s="1496"/>
    </row>
    <row r="62" spans="1:36" ht="19.5" customHeight="1">
      <c r="A62" s="1496"/>
      <c r="B62" s="2052"/>
      <c r="C62" s="2052"/>
      <c r="D62" s="2052"/>
      <c r="E62" s="2052"/>
      <c r="F62" s="2052"/>
      <c r="G62" s="2052"/>
      <c r="H62" s="2052"/>
      <c r="I62" s="2032"/>
      <c r="J62" s="2032"/>
      <c r="K62" s="2032"/>
      <c r="L62" s="2032"/>
      <c r="M62" s="2032"/>
      <c r="N62" s="2032"/>
      <c r="O62" s="2032"/>
      <c r="P62" s="2032"/>
      <c r="Q62" s="2032"/>
      <c r="R62" s="2032"/>
      <c r="S62" s="2032"/>
      <c r="T62" s="2032"/>
      <c r="U62" s="2032"/>
      <c r="V62" s="2032"/>
      <c r="W62" s="2032"/>
      <c r="X62" s="2032"/>
      <c r="Y62" s="2812"/>
      <c r="Z62" s="2032"/>
      <c r="AA62" s="2052"/>
      <c r="AB62" s="2812"/>
      <c r="AC62" s="2032"/>
      <c r="AD62" s="2052"/>
      <c r="AE62" s="2798"/>
      <c r="AF62" s="2799"/>
      <c r="AG62" s="2794"/>
      <c r="AH62" s="1493"/>
      <c r="AI62" s="1496"/>
    </row>
    <row r="63" spans="1:36" ht="14.25" customHeight="1">
      <c r="A63" s="2823" t="s">
        <v>46</v>
      </c>
      <c r="B63" s="2052"/>
      <c r="C63" s="2052"/>
      <c r="D63" s="2052"/>
      <c r="E63" s="2052"/>
      <c r="F63" s="2052"/>
      <c r="G63" s="2052"/>
      <c r="H63" s="2052"/>
      <c r="I63" s="2032"/>
      <c r="J63" s="2032"/>
      <c r="K63" s="2032"/>
      <c r="L63" s="2032"/>
      <c r="M63" s="2032"/>
      <c r="N63" s="2032"/>
      <c r="O63" s="2032"/>
      <c r="P63" s="2032"/>
      <c r="Q63" s="2032"/>
      <c r="R63" s="2032"/>
      <c r="S63" s="2032"/>
      <c r="T63" s="2032"/>
      <c r="U63" s="2032"/>
      <c r="V63" s="2032"/>
      <c r="W63" s="2032"/>
      <c r="X63" s="2032"/>
      <c r="Y63" s="2812"/>
      <c r="Z63" s="2032"/>
      <c r="AA63" s="2052"/>
      <c r="AB63" s="2812"/>
      <c r="AC63" s="2032"/>
      <c r="AD63" s="2052"/>
      <c r="AE63" s="2798"/>
      <c r="AF63" s="2799"/>
      <c r="AG63" s="2794"/>
      <c r="AH63" s="1493"/>
      <c r="AI63" s="1496"/>
    </row>
    <row r="64" spans="1:36" ht="14.25" customHeight="1">
      <c r="A64" s="2824" t="s">
        <v>182</v>
      </c>
      <c r="B64" s="1400">
        <v>219.3</v>
      </c>
      <c r="C64" s="2052"/>
      <c r="D64" s="1400">
        <v>206.59999999999997</v>
      </c>
      <c r="E64" s="2052"/>
      <c r="F64" s="1400">
        <v>86.5</v>
      </c>
      <c r="G64" s="2052"/>
      <c r="H64" s="1400">
        <v>281.90000000000003</v>
      </c>
      <c r="I64" s="2032"/>
      <c r="J64" s="1400">
        <v>186.09999999999997</v>
      </c>
      <c r="K64" s="2032"/>
      <c r="L64" s="1400">
        <v>270.90000000000009</v>
      </c>
      <c r="M64" s="2032"/>
      <c r="N64" s="1839">
        <v>318.20000000000005</v>
      </c>
      <c r="O64" s="2032"/>
      <c r="P64" s="1839">
        <v>93.5</v>
      </c>
      <c r="Q64" s="2032"/>
      <c r="R64" s="1839">
        <v>376.79999999999995</v>
      </c>
      <c r="S64" s="2032"/>
      <c r="T64" s="1839">
        <f t="shared" ref="T64:T65" si="6">$AA64-$B64-$D64-$F64-$H64-$J64-$L64-$N64-$P64-$R64</f>
        <v>453.5</v>
      </c>
      <c r="U64" s="2032"/>
      <c r="V64" s="1839"/>
      <c r="W64" s="2032"/>
      <c r="X64" s="1839"/>
      <c r="Y64" s="2812"/>
      <c r="Z64" s="2032"/>
      <c r="AA64" s="2038">
        <v>2493.3000000000002</v>
      </c>
      <c r="AB64" s="2812"/>
      <c r="AC64" s="2032"/>
      <c r="AD64" s="2038">
        <v>2263.9</v>
      </c>
      <c r="AE64" s="2798"/>
      <c r="AF64" s="2799"/>
      <c r="AG64" s="2794">
        <f>ROUND(SUM(AA64-AD64),1)</f>
        <v>229.4</v>
      </c>
      <c r="AH64" s="1493"/>
      <c r="AI64" s="1462">
        <f>ROUND(IF(AD64=0,0,AG64/ABS(AD64)),3)</f>
        <v>0.10100000000000001</v>
      </c>
    </row>
    <row r="65" spans="1:38" ht="14.25" customHeight="1">
      <c r="A65" s="2824" t="s">
        <v>192</v>
      </c>
      <c r="B65" s="1400">
        <v>-5167.6000000000004</v>
      </c>
      <c r="C65" s="2052"/>
      <c r="D65" s="1400">
        <v>-1630.1000000000004</v>
      </c>
      <c r="E65" s="2052"/>
      <c r="F65" s="1400">
        <v>-3648.5</v>
      </c>
      <c r="G65" s="2052"/>
      <c r="H65" s="1400">
        <v>-2430.7999999999993</v>
      </c>
      <c r="I65" s="2032"/>
      <c r="J65" s="1400">
        <v>-2167.7999999999993</v>
      </c>
      <c r="K65" s="2032"/>
      <c r="L65" s="1400">
        <v>-3552</v>
      </c>
      <c r="M65" s="2032"/>
      <c r="N65" s="1839">
        <v>-1944.1000000000022</v>
      </c>
      <c r="O65" s="2032"/>
      <c r="P65" s="1839">
        <v>-1590.1999999999989</v>
      </c>
      <c r="Q65" s="2032"/>
      <c r="R65" s="1839">
        <v>-2952.0000000000018</v>
      </c>
      <c r="S65" s="2032"/>
      <c r="T65" s="1839">
        <f t="shared" si="6"/>
        <v>-4019.5</v>
      </c>
      <c r="U65" s="2032"/>
      <c r="V65" s="1839"/>
      <c r="W65" s="2032"/>
      <c r="X65" s="1839"/>
      <c r="Y65" s="2812"/>
      <c r="Z65" s="2032"/>
      <c r="AA65" s="2834">
        <v>-29102.6</v>
      </c>
      <c r="AB65" s="2812"/>
      <c r="AC65" s="2032"/>
      <c r="AD65" s="2834">
        <v>-25566.9</v>
      </c>
      <c r="AE65" s="2798"/>
      <c r="AF65" s="2799"/>
      <c r="AG65" s="2829">
        <f>ROUND(SUM(-(AA65-AD65)),1)</f>
        <v>3535.7</v>
      </c>
      <c r="AH65" s="1493"/>
      <c r="AI65" s="1463">
        <f>ROUND(IF(AD65=0,0,AG65/ABS(AD65)),3)</f>
        <v>0.13800000000000001</v>
      </c>
    </row>
    <row r="66" spans="1:38" ht="15">
      <c r="A66" s="1496"/>
      <c r="B66" s="2816"/>
      <c r="C66" s="2032"/>
      <c r="D66" s="2835"/>
      <c r="E66" s="2032"/>
      <c r="F66" s="2835"/>
      <c r="G66" s="2032"/>
      <c r="H66" s="2835"/>
      <c r="I66" s="2032"/>
      <c r="J66" s="2835"/>
      <c r="K66" s="2032"/>
      <c r="L66" s="2835"/>
      <c r="M66" s="2032"/>
      <c r="N66" s="2835"/>
      <c r="O66" s="2032"/>
      <c r="P66" s="2835"/>
      <c r="Q66" s="2032"/>
      <c r="R66" s="2835"/>
      <c r="S66" s="2032"/>
      <c r="T66" s="2835"/>
      <c r="U66" s="2032"/>
      <c r="V66" s="2835"/>
      <c r="W66" s="2032"/>
      <c r="X66" s="2835"/>
      <c r="Y66" s="2812"/>
      <c r="Z66" s="2032"/>
      <c r="AA66" s="2052"/>
      <c r="AB66" s="2812"/>
      <c r="AC66" s="2032"/>
      <c r="AD66" s="2052"/>
      <c r="AE66" s="2798"/>
      <c r="AF66" s="2799"/>
      <c r="AG66" s="2794"/>
      <c r="AH66" s="1493"/>
      <c r="AI66" s="1496"/>
    </row>
    <row r="67" spans="1:38" ht="14.25" customHeight="1">
      <c r="A67" s="2823" t="s">
        <v>962</v>
      </c>
      <c r="B67" s="2037">
        <f>ROUND(SUM(B64:B65),1)</f>
        <v>-4948.3</v>
      </c>
      <c r="C67" s="2802"/>
      <c r="D67" s="2037">
        <f>ROUND(SUM(D64:D65),1)</f>
        <v>-1423.5</v>
      </c>
      <c r="E67" s="2820"/>
      <c r="F67" s="2037">
        <f>ROUND(SUM(F64:F65),1)</f>
        <v>-3562</v>
      </c>
      <c r="G67" s="2820"/>
      <c r="H67" s="2037">
        <f>ROUND(SUM(H64:H65),1)</f>
        <v>-2148.9</v>
      </c>
      <c r="I67" s="2820"/>
      <c r="J67" s="2037">
        <f>ROUND(SUM(J64:J65),1)</f>
        <v>-1981.7</v>
      </c>
      <c r="K67" s="2820"/>
      <c r="L67" s="2037">
        <f>ROUND(SUM(L64:L65),1)</f>
        <v>-3281.1</v>
      </c>
      <c r="M67" s="2820"/>
      <c r="N67" s="2037">
        <f>ROUND(SUM(N64:N65),1)</f>
        <v>-1625.9</v>
      </c>
      <c r="O67" s="2820"/>
      <c r="P67" s="2037">
        <f>ROUND(SUM(P64:P65),1)</f>
        <v>-1496.7</v>
      </c>
      <c r="Q67" s="2820"/>
      <c r="R67" s="2037">
        <f>ROUND(SUM(R64:R65),1)</f>
        <v>-2575.1999999999998</v>
      </c>
      <c r="S67" s="2820"/>
      <c r="T67" s="2037">
        <f>ROUND(SUM(T64:T65),1)</f>
        <v>-3566</v>
      </c>
      <c r="U67" s="2820"/>
      <c r="V67" s="2037">
        <f>ROUND(SUM(V64:V65),1)</f>
        <v>0</v>
      </c>
      <c r="W67" s="2820"/>
      <c r="X67" s="2037">
        <f>ROUND(SUM(X64:X65),1)</f>
        <v>0</v>
      </c>
      <c r="Y67" s="2803"/>
      <c r="Z67" s="2802"/>
      <c r="AA67" s="2037">
        <f>ROUND(SUM(AA64:AA65),1)</f>
        <v>-26609.3</v>
      </c>
      <c r="AB67" s="2803"/>
      <c r="AC67" s="2802"/>
      <c r="AD67" s="2037">
        <f>ROUND(SUM(AD64:AD65),1)</f>
        <v>-23303</v>
      </c>
      <c r="AE67" s="2804"/>
      <c r="AF67" s="2805"/>
      <c r="AG67" s="2037">
        <f>ROUND(SUM(AG64-AG65),1)</f>
        <v>-3306.3</v>
      </c>
      <c r="AH67" s="2763"/>
      <c r="AI67" s="1494">
        <f>ROUND(IF(AD67=0,0,AG67/ABS(AD67)),3)</f>
        <v>-0.14199999999999999</v>
      </c>
      <c r="AJ67" s="2822"/>
    </row>
    <row r="68" spans="1:38" ht="19.5" customHeight="1">
      <c r="A68" s="1496"/>
      <c r="B68" s="2032"/>
      <c r="C68" s="2032"/>
      <c r="D68" s="2836"/>
      <c r="E68" s="2032"/>
      <c r="F68" s="2836"/>
      <c r="G68" s="2032"/>
      <c r="H68" s="2836"/>
      <c r="I68" s="2032"/>
      <c r="J68" s="2836"/>
      <c r="K68" s="2032"/>
      <c r="L68" s="2836"/>
      <c r="M68" s="2032"/>
      <c r="N68" s="2836"/>
      <c r="O68" s="2032"/>
      <c r="P68" s="2836"/>
      <c r="Q68" s="2032"/>
      <c r="R68" s="2836"/>
      <c r="S68" s="2032"/>
      <c r="T68" s="2836"/>
      <c r="U68" s="2032"/>
      <c r="V68" s="2836"/>
      <c r="W68" s="2032"/>
      <c r="X68" s="2836"/>
      <c r="Y68" s="2812"/>
      <c r="Z68" s="2032"/>
      <c r="AA68" s="2052"/>
      <c r="AB68" s="2812"/>
      <c r="AC68" s="2032"/>
      <c r="AD68" s="2052"/>
      <c r="AE68" s="2798"/>
      <c r="AF68" s="2799"/>
      <c r="AG68" s="2794"/>
      <c r="AH68" s="1493"/>
      <c r="AI68" s="1496"/>
    </row>
    <row r="69" spans="1:38" ht="19.5" customHeight="1">
      <c r="A69" s="1496"/>
      <c r="B69" s="2032"/>
      <c r="C69" s="2032"/>
      <c r="D69" s="2836"/>
      <c r="E69" s="2032"/>
      <c r="F69" s="2836"/>
      <c r="G69" s="2032"/>
      <c r="H69" s="2836"/>
      <c r="I69" s="2032"/>
      <c r="J69" s="2836"/>
      <c r="K69" s="2032"/>
      <c r="L69" s="2836"/>
      <c r="M69" s="2032"/>
      <c r="N69" s="2836"/>
      <c r="O69" s="2032"/>
      <c r="P69" s="2836"/>
      <c r="Q69" s="2032"/>
      <c r="R69" s="2836"/>
      <c r="S69" s="2032"/>
      <c r="T69" s="2836"/>
      <c r="U69" s="2032"/>
      <c r="V69" s="2836"/>
      <c r="W69" s="2032"/>
      <c r="X69" s="2836"/>
      <c r="Y69" s="2812"/>
      <c r="Z69" s="2032"/>
      <c r="AA69" s="2052"/>
      <c r="AB69" s="2812"/>
      <c r="AC69" s="2032"/>
      <c r="AD69" s="2052"/>
      <c r="AE69" s="2798"/>
      <c r="AF69" s="2799"/>
      <c r="AG69" s="2794"/>
      <c r="AH69" s="1493"/>
      <c r="AI69" s="1496"/>
    </row>
    <row r="70" spans="1:38" ht="14.25" customHeight="1">
      <c r="A70" s="2534" t="s">
        <v>193</v>
      </c>
      <c r="B70" s="2032"/>
      <c r="C70" s="2032"/>
      <c r="D70" s="2832"/>
      <c r="E70" s="2032"/>
      <c r="F70" s="2832"/>
      <c r="G70" s="2032"/>
      <c r="H70" s="2832"/>
      <c r="I70" s="2032"/>
      <c r="J70" s="2832"/>
      <c r="K70" s="2032"/>
      <c r="L70" s="2832"/>
      <c r="M70" s="2032"/>
      <c r="N70" s="2832"/>
      <c r="O70" s="2032"/>
      <c r="P70" s="2832"/>
      <c r="Q70" s="2032"/>
      <c r="R70" s="2832"/>
      <c r="S70" s="2032"/>
      <c r="T70" s="2832"/>
      <c r="U70" s="2032"/>
      <c r="V70" s="2832"/>
      <c r="W70" s="2032"/>
      <c r="X70" s="2832"/>
      <c r="Y70" s="2812"/>
      <c r="Z70" s="2032"/>
      <c r="AA70" s="2052"/>
      <c r="AB70" s="2812"/>
      <c r="AC70" s="2032"/>
      <c r="AD70" s="2052"/>
      <c r="AE70" s="2798"/>
      <c r="AF70" s="2799"/>
      <c r="AG70" s="2794"/>
      <c r="AH70" s="1493"/>
      <c r="AI70" s="1496"/>
    </row>
    <row r="71" spans="1:38" ht="14.25" customHeight="1">
      <c r="A71" s="2534" t="s">
        <v>194</v>
      </c>
      <c r="B71" s="2032"/>
      <c r="C71" s="2032"/>
      <c r="D71" s="2832"/>
      <c r="E71" s="2032"/>
      <c r="F71" s="2832"/>
      <c r="G71" s="2032"/>
      <c r="H71" s="2832"/>
      <c r="I71" s="2032"/>
      <c r="J71" s="2832"/>
      <c r="K71" s="2032"/>
      <c r="L71" s="2832"/>
      <c r="M71" s="2032"/>
      <c r="N71" s="2832"/>
      <c r="O71" s="2032"/>
      <c r="P71" s="2832"/>
      <c r="Q71" s="2032"/>
      <c r="R71" s="2832"/>
      <c r="S71" s="2032"/>
      <c r="T71" s="2832"/>
      <c r="U71" s="2032"/>
      <c r="V71" s="2832"/>
      <c r="W71" s="2032"/>
      <c r="X71" s="2832"/>
      <c r="Y71" s="2812"/>
      <c r="Z71" s="2032"/>
      <c r="AA71" s="2052"/>
      <c r="AB71" s="2812"/>
      <c r="AC71" s="2032"/>
      <c r="AD71" s="2052"/>
      <c r="AE71" s="2798"/>
      <c r="AF71" s="2799"/>
      <c r="AG71" s="2794"/>
      <c r="AH71" s="1493"/>
      <c r="AI71" s="1496"/>
    </row>
    <row r="72" spans="1:38" ht="14.25" customHeight="1">
      <c r="A72" s="2534" t="s">
        <v>1246</v>
      </c>
      <c r="B72" s="2821">
        <f>ROUND(SUM(+B60+B67),1)</f>
        <v>250</v>
      </c>
      <c r="C72" s="2802"/>
      <c r="D72" s="2821">
        <f>ROUND(SUM(+D60+D67),1)</f>
        <v>369</v>
      </c>
      <c r="E72" s="2802"/>
      <c r="F72" s="2821">
        <f>ROUND(SUM(+F60+F67),1)</f>
        <v>-322.3</v>
      </c>
      <c r="G72" s="2802"/>
      <c r="H72" s="2821">
        <f>ROUND(SUM(+H60+H67),1)</f>
        <v>253.2</v>
      </c>
      <c r="I72" s="2802"/>
      <c r="J72" s="2821">
        <f>ROUND(SUM(+J60+J67),1)</f>
        <v>129.6</v>
      </c>
      <c r="K72" s="2802"/>
      <c r="L72" s="2821">
        <f>ROUND(SUM(+L60+L67),1)</f>
        <v>-437.3</v>
      </c>
      <c r="M72" s="2802"/>
      <c r="N72" s="2821">
        <f>ROUND(SUM(+N60+N67),1)</f>
        <v>297.39999999999998</v>
      </c>
      <c r="O72" s="2802"/>
      <c r="P72" s="2821">
        <f>ROUND(SUM(+P60+P67),1)</f>
        <v>357.9</v>
      </c>
      <c r="Q72" s="2802"/>
      <c r="R72" s="2821">
        <f>ROUND(SUM(+R60+R67),1)</f>
        <v>22.8</v>
      </c>
      <c r="S72" s="2802"/>
      <c r="T72" s="2821">
        <f>ROUND(SUM(+T60+T67),1)</f>
        <v>1596.4</v>
      </c>
      <c r="U72" s="2802"/>
      <c r="V72" s="2821">
        <f>ROUND(SUM(+V60+V67),1)</f>
        <v>0</v>
      </c>
      <c r="W72" s="2802"/>
      <c r="X72" s="2821">
        <f>ROUND(SUM(+X60+X67),1)</f>
        <v>0</v>
      </c>
      <c r="Y72" s="2803"/>
      <c r="Z72" s="2802"/>
      <c r="AA72" s="2821">
        <f>ROUND(SUM(+AA60+AA67),1)</f>
        <v>2516.6999999999998</v>
      </c>
      <c r="AB72" s="2803"/>
      <c r="AC72" s="2802"/>
      <c r="AD72" s="2821">
        <f>ROUND(SUM(+AD60+AD67),1)</f>
        <v>2679.8</v>
      </c>
      <c r="AE72" s="2804"/>
      <c r="AF72" s="2805"/>
      <c r="AG72" s="2821">
        <f>ROUND(SUM(+AG60+AG67),1)</f>
        <v>-163.1</v>
      </c>
      <c r="AH72" s="2763"/>
      <c r="AI72" s="1503">
        <f>ROUND(IF(AD72=0,0,AG72/ABS(AD72)),3)</f>
        <v>-6.0999999999999999E-2</v>
      </c>
      <c r="AJ72" s="2822"/>
    </row>
    <row r="73" spans="1:38" ht="15">
      <c r="A73" s="1496"/>
      <c r="B73" s="2034"/>
      <c r="C73" s="2034"/>
      <c r="D73" s="2837"/>
      <c r="E73" s="2034"/>
      <c r="F73" s="2838"/>
      <c r="G73" s="2034"/>
      <c r="H73" s="2838"/>
      <c r="I73" s="2034"/>
      <c r="J73" s="2838"/>
      <c r="K73" s="2034"/>
      <c r="L73" s="2839"/>
      <c r="M73" s="2034"/>
      <c r="N73" s="2838"/>
      <c r="O73" s="2034"/>
      <c r="P73" s="2838"/>
      <c r="Q73" s="2034"/>
      <c r="R73" s="2838"/>
      <c r="S73" s="2034"/>
      <c r="T73" s="2838"/>
      <c r="U73" s="2034"/>
      <c r="V73" s="2838"/>
      <c r="W73" s="2034"/>
      <c r="X73" s="2838"/>
      <c r="Y73" s="2789"/>
      <c r="Z73" s="2034"/>
      <c r="AA73" s="2034" t="s">
        <v>15</v>
      </c>
      <c r="AB73" s="2789"/>
      <c r="AC73" s="2034"/>
      <c r="AD73" s="3636"/>
      <c r="AE73" s="2776"/>
      <c r="AF73" s="2790"/>
      <c r="AG73" s="2791"/>
      <c r="AH73" s="1493"/>
      <c r="AI73" s="1496"/>
    </row>
    <row r="74" spans="1:38" ht="15">
      <c r="A74" s="1496"/>
      <c r="B74" s="1496"/>
      <c r="C74" s="1496"/>
      <c r="D74" s="2775"/>
      <c r="E74" s="1496"/>
      <c r="F74" s="2791"/>
      <c r="G74" s="1496"/>
      <c r="H74" s="1493"/>
      <c r="I74" s="1496"/>
      <c r="J74" s="1493"/>
      <c r="K74" s="1496"/>
      <c r="L74" s="2840"/>
      <c r="M74" s="1496"/>
      <c r="N74" s="1493"/>
      <c r="O74" s="1496"/>
      <c r="P74" s="1493"/>
      <c r="Q74" s="1496"/>
      <c r="R74" s="1493"/>
      <c r="S74" s="1496"/>
      <c r="T74" s="2791"/>
      <c r="U74" s="2034"/>
      <c r="V74" s="2791"/>
      <c r="W74" s="2034"/>
      <c r="X74" s="2791"/>
      <c r="Y74" s="2788"/>
      <c r="Z74" s="1496"/>
      <c r="AA74" s="2034"/>
      <c r="AB74" s="2789"/>
      <c r="AC74" s="2034"/>
      <c r="AD74" s="2687"/>
      <c r="AE74" s="2779"/>
      <c r="AF74" s="2790"/>
      <c r="AG74" s="2791"/>
      <c r="AH74" s="1493"/>
      <c r="AI74" s="1496"/>
    </row>
    <row r="75" spans="1:38" ht="19.5" customHeight="1" thickBot="1">
      <c r="A75" s="2534" t="s">
        <v>142</v>
      </c>
      <c r="B75" s="2841">
        <f>ROUND(SUM(B12+B72),1)</f>
        <v>314.8</v>
      </c>
      <c r="C75" s="2514"/>
      <c r="D75" s="2841">
        <f>ROUND(SUM(D12+D72),1)</f>
        <v>683.8</v>
      </c>
      <c r="E75" s="2514"/>
      <c r="F75" s="2841">
        <f>ROUND(SUM(F12+F72),1)</f>
        <v>361.5</v>
      </c>
      <c r="G75" s="2514"/>
      <c r="H75" s="2841">
        <f>ROUND(SUM(H12+H72),1)</f>
        <v>614.70000000000005</v>
      </c>
      <c r="I75" s="2514"/>
      <c r="J75" s="2841">
        <f>ROUND(SUM(J12+J72),1)</f>
        <v>744.3</v>
      </c>
      <c r="K75" s="2514"/>
      <c r="L75" s="2841">
        <f>ROUND(SUM(L12+L72),1)</f>
        <v>307</v>
      </c>
      <c r="M75" s="2514"/>
      <c r="N75" s="2841">
        <f>ROUND(SUM(N12+N72),1)</f>
        <v>604.4</v>
      </c>
      <c r="O75" s="2514"/>
      <c r="P75" s="2841">
        <f>ROUND(SUM(P12+P72),1)</f>
        <v>962.3</v>
      </c>
      <c r="Q75" s="2514"/>
      <c r="R75" s="2841">
        <f>ROUND(SUM(R12+R72),1)</f>
        <v>985.1</v>
      </c>
      <c r="S75" s="2514"/>
      <c r="T75" s="2841">
        <f>ROUND(SUM(T12+T72),1)</f>
        <v>2581.5</v>
      </c>
      <c r="U75" s="2514"/>
      <c r="V75" s="2841">
        <f>ROUND(SUM(V12+V72),1)</f>
        <v>0</v>
      </c>
      <c r="W75" s="2514"/>
      <c r="X75" s="2841">
        <f>ROUND(SUM(X12+X72),1)</f>
        <v>0</v>
      </c>
      <c r="Y75" s="2783"/>
      <c r="Z75" s="2514"/>
      <c r="AA75" s="2841">
        <f>ROUND(SUM(AA12+AA72),1)</f>
        <v>2581.5</v>
      </c>
      <c r="AB75" s="2783"/>
      <c r="AC75" s="2514"/>
      <c r="AD75" s="2841">
        <f>ROUND(SUM(AD12+AD72),1)</f>
        <v>2832.9</v>
      </c>
      <c r="AE75" s="2842"/>
      <c r="AF75" s="2785"/>
      <c r="AG75" s="2841">
        <f>ROUND(SUM(+AG12+AG72),1)</f>
        <v>-251.4</v>
      </c>
      <c r="AH75" s="2763"/>
      <c r="AI75" s="2384">
        <f>ROUND(IF(AD75=0,0,AG75/ABS(AD75)),3)</f>
        <v>-8.8999999999999996E-2</v>
      </c>
      <c r="AJ75" s="2843"/>
      <c r="AK75" s="2807"/>
      <c r="AL75" s="2807"/>
    </row>
    <row r="76" spans="1:38" ht="14.25" customHeight="1" thickTop="1">
      <c r="A76" s="2807"/>
      <c r="B76" s="2844"/>
      <c r="C76" s="2845"/>
      <c r="D76" s="2844"/>
      <c r="F76" s="2844"/>
      <c r="H76" s="2846"/>
      <c r="J76" s="2846"/>
      <c r="L76" s="2846"/>
      <c r="N76" s="2846"/>
      <c r="P76" s="2846"/>
      <c r="R76" s="2846"/>
      <c r="T76" s="2846"/>
      <c r="U76" s="2753"/>
      <c r="V76" s="2846"/>
      <c r="W76" s="2753"/>
      <c r="X76" s="2846"/>
      <c r="Y76" s="2844"/>
      <c r="Z76" s="2845"/>
      <c r="AA76" s="2844"/>
      <c r="AB76" s="2844"/>
      <c r="AC76" s="2845"/>
      <c r="AD76" s="2844"/>
      <c r="AE76" s="2847"/>
      <c r="AF76" s="2844"/>
      <c r="AG76" s="2844"/>
      <c r="AH76" s="2848"/>
      <c r="AI76" s="2849"/>
    </row>
    <row r="77" spans="1:38">
      <c r="L77" s="2753"/>
      <c r="T77" s="2850"/>
      <c r="U77" s="2850"/>
      <c r="V77" s="2850"/>
      <c r="W77" s="2850"/>
      <c r="X77" s="2850"/>
      <c r="AD77" s="2851"/>
    </row>
    <row r="78" spans="1:38" ht="12" customHeight="1">
      <c r="A78" s="1496"/>
      <c r="L78" s="2753"/>
      <c r="R78" s="2852"/>
      <c r="T78" s="2845"/>
      <c r="V78" s="2845"/>
      <c r="X78" s="2845"/>
    </row>
    <row r="79" spans="1:38">
      <c r="B79" s="2851"/>
      <c r="L79" s="2753"/>
      <c r="R79" s="2852"/>
      <c r="T79" s="2845"/>
      <c r="V79" s="2845"/>
      <c r="X79" s="2845"/>
    </row>
    <row r="80" spans="1:38">
      <c r="A80" s="2853"/>
      <c r="L80" s="2753"/>
    </row>
    <row r="81" spans="1:35">
      <c r="A81" s="2854"/>
      <c r="B81" s="2851"/>
      <c r="L81" s="2753"/>
      <c r="R81" s="2855"/>
    </row>
    <row r="82" spans="1:35">
      <c r="A82" s="2856"/>
      <c r="B82" s="2851"/>
      <c r="L82" s="2753"/>
    </row>
    <row r="83" spans="1:35">
      <c r="A83" s="2857"/>
      <c r="L83" s="2753"/>
      <c r="AI83" s="2845"/>
    </row>
    <row r="84" spans="1:35">
      <c r="L84" s="2753"/>
    </row>
    <row r="85" spans="1:35">
      <c r="L85" s="2753"/>
    </row>
    <row r="86" spans="1:35">
      <c r="L86" s="2753"/>
    </row>
    <row r="87" spans="1:35">
      <c r="L87" s="2753"/>
    </row>
    <row r="88" spans="1:35">
      <c r="L88" s="2753"/>
    </row>
    <row r="89" spans="1:35">
      <c r="L89" s="2753"/>
    </row>
    <row r="90" spans="1:35">
      <c r="L90" s="2753"/>
    </row>
    <row r="91" spans="1:35">
      <c r="L91" s="2753"/>
    </row>
    <row r="92" spans="1:35">
      <c r="L92" s="2753"/>
    </row>
    <row r="93" spans="1:35">
      <c r="L93" s="2753"/>
    </row>
    <row r="94" spans="1:35">
      <c r="L94" s="2753"/>
    </row>
    <row r="95" spans="1:35">
      <c r="L95" s="2753"/>
    </row>
    <row r="96" spans="1:35">
      <c r="L96" s="2753"/>
    </row>
    <row r="97" spans="12:12">
      <c r="L97" s="2753"/>
    </row>
    <row r="98" spans="12:12">
      <c r="L98" s="2753"/>
    </row>
    <row r="99" spans="12:12">
      <c r="L99" s="2753"/>
    </row>
    <row r="100" spans="12:12">
      <c r="L100" s="2753"/>
    </row>
    <row r="101" spans="12:12">
      <c r="L101" s="2753"/>
    </row>
    <row r="102" spans="12:12">
      <c r="L102" s="2753"/>
    </row>
    <row r="103" spans="12:12">
      <c r="L103" s="2753"/>
    </row>
    <row r="104" spans="12:12">
      <c r="L104" s="2753"/>
    </row>
    <row r="105" spans="12:12">
      <c r="L105" s="2753"/>
    </row>
    <row r="106" spans="12:12">
      <c r="L106" s="2753"/>
    </row>
    <row r="107" spans="12:12">
      <c r="L107" s="2753"/>
    </row>
    <row r="108" spans="12:12">
      <c r="L108" s="2753"/>
    </row>
    <row r="109" spans="12:12">
      <c r="L109" s="2753"/>
    </row>
    <row r="110" spans="12:12">
      <c r="L110" s="2753"/>
    </row>
    <row r="111" spans="12:12">
      <c r="L111" s="2753"/>
    </row>
    <row r="112" spans="12:12">
      <c r="L112" s="2753"/>
    </row>
    <row r="113" spans="12:12">
      <c r="L113" s="2753"/>
    </row>
    <row r="114" spans="12:12">
      <c r="L114" s="2753"/>
    </row>
    <row r="115" spans="12:12">
      <c r="L115" s="2753"/>
    </row>
    <row r="116" spans="12:12">
      <c r="L116" s="2753"/>
    </row>
    <row r="117" spans="12:12">
      <c r="L117" s="2753"/>
    </row>
    <row r="118" spans="12:12">
      <c r="L118" s="2753"/>
    </row>
    <row r="119" spans="12:12">
      <c r="L119" s="2753"/>
    </row>
    <row r="120" spans="12:12">
      <c r="L120" s="2753"/>
    </row>
    <row r="121" spans="12:12">
      <c r="L121" s="2753"/>
    </row>
    <row r="122" spans="12:12">
      <c r="L122" s="2753"/>
    </row>
    <row r="123" spans="12:12">
      <c r="L123" s="2753"/>
    </row>
    <row r="124" spans="12:12">
      <c r="L124" s="2753"/>
    </row>
    <row r="125" spans="12:12">
      <c r="L125" s="2753"/>
    </row>
    <row r="126" spans="12:12">
      <c r="L126" s="2753"/>
    </row>
    <row r="127" spans="12:12">
      <c r="L127" s="2753"/>
    </row>
    <row r="128" spans="12:12">
      <c r="L128" s="2753"/>
    </row>
    <row r="129" spans="12:12">
      <c r="L129" s="2753"/>
    </row>
    <row r="130" spans="12:12">
      <c r="L130" s="2753"/>
    </row>
    <row r="131" spans="12:12">
      <c r="L131" s="2753"/>
    </row>
    <row r="132" spans="12:12">
      <c r="L132" s="2753"/>
    </row>
    <row r="133" spans="12:12">
      <c r="L133" s="2753"/>
    </row>
    <row r="134" spans="12:12">
      <c r="L134" s="2753"/>
    </row>
    <row r="135" spans="12:12">
      <c r="L135" s="2753"/>
    </row>
    <row r="136" spans="12:12">
      <c r="L136" s="2753"/>
    </row>
    <row r="137" spans="12:12">
      <c r="L137" s="2753"/>
    </row>
    <row r="138" spans="12:12">
      <c r="L138" s="2753"/>
    </row>
    <row r="139" spans="12:12">
      <c r="L139" s="2753"/>
    </row>
    <row r="140" spans="12:12">
      <c r="L140" s="2753"/>
    </row>
    <row r="141" spans="12:12">
      <c r="L141" s="2753"/>
    </row>
    <row r="142" spans="12:12">
      <c r="L142" s="2753"/>
    </row>
    <row r="143" spans="12:12">
      <c r="L143" s="2753"/>
    </row>
    <row r="144" spans="12:12">
      <c r="L144" s="2753"/>
    </row>
    <row r="145" spans="12:12">
      <c r="L145" s="2753"/>
    </row>
    <row r="146" spans="12:12">
      <c r="L146" s="2753"/>
    </row>
    <row r="147" spans="12:12">
      <c r="L147" s="2753"/>
    </row>
    <row r="148" spans="12:12">
      <c r="L148" s="2753"/>
    </row>
    <row r="149" spans="12:12">
      <c r="L149" s="2753"/>
    </row>
    <row r="150" spans="12:12">
      <c r="L150" s="2753"/>
    </row>
    <row r="151" spans="12:12">
      <c r="L151" s="2753"/>
    </row>
    <row r="152" spans="12:12">
      <c r="L152" s="2753"/>
    </row>
    <row r="153" spans="12:12">
      <c r="L153" s="2753"/>
    </row>
    <row r="154" spans="12:12">
      <c r="L154" s="2753"/>
    </row>
    <row r="155" spans="12:12">
      <c r="L155" s="2753"/>
    </row>
    <row r="156" spans="12:12">
      <c r="L156" s="2753"/>
    </row>
    <row r="157" spans="12:12">
      <c r="L157" s="2753"/>
    </row>
    <row r="158" spans="12:12">
      <c r="L158" s="2753"/>
    </row>
    <row r="159" spans="12:12">
      <c r="L159" s="2753"/>
    </row>
    <row r="160" spans="12:12">
      <c r="L160" s="2753"/>
    </row>
    <row r="161" spans="12:12">
      <c r="L161" s="2753"/>
    </row>
    <row r="162" spans="12:12">
      <c r="L162" s="2753"/>
    </row>
    <row r="163" spans="12:12">
      <c r="L163" s="2753"/>
    </row>
    <row r="164" spans="12:12">
      <c r="L164" s="2753"/>
    </row>
    <row r="165" spans="12:12">
      <c r="L165" s="2753"/>
    </row>
    <row r="166" spans="12:12">
      <c r="L166" s="2753"/>
    </row>
    <row r="167" spans="12:12">
      <c r="L167" s="2753"/>
    </row>
    <row r="168" spans="12:12">
      <c r="L168" s="2753"/>
    </row>
    <row r="169" spans="12:12">
      <c r="L169" s="2753"/>
    </row>
    <row r="170" spans="12:12">
      <c r="L170" s="2753"/>
    </row>
    <row r="171" spans="12:12">
      <c r="L171" s="2753"/>
    </row>
    <row r="172" spans="12:12">
      <c r="L172" s="2753"/>
    </row>
    <row r="173" spans="12:12">
      <c r="L173" s="2753"/>
    </row>
    <row r="174" spans="12:12">
      <c r="L174" s="2753"/>
    </row>
    <row r="175" spans="12:12">
      <c r="L175" s="2753"/>
    </row>
    <row r="176" spans="12:12">
      <c r="L176" s="2753"/>
    </row>
    <row r="177" spans="12:12">
      <c r="L177" s="2753"/>
    </row>
    <row r="178" spans="12:12">
      <c r="L178" s="2753"/>
    </row>
    <row r="179" spans="12:12">
      <c r="L179" s="2753"/>
    </row>
    <row r="180" spans="12:12">
      <c r="L180" s="2753"/>
    </row>
    <row r="181" spans="12:12">
      <c r="L181" s="2753"/>
    </row>
    <row r="182" spans="12:12">
      <c r="L182" s="2753"/>
    </row>
    <row r="183" spans="12:12">
      <c r="L183" s="2753"/>
    </row>
    <row r="184" spans="12:12">
      <c r="L184" s="2753"/>
    </row>
    <row r="185" spans="12:12">
      <c r="L185" s="2753"/>
    </row>
    <row r="186" spans="12:12">
      <c r="L186" s="2753"/>
    </row>
    <row r="187" spans="12:12">
      <c r="L187" s="2753"/>
    </row>
    <row r="188" spans="12:12">
      <c r="L188" s="2753"/>
    </row>
    <row r="189" spans="12:12">
      <c r="L189" s="2753"/>
    </row>
    <row r="190" spans="12:12">
      <c r="L190" s="2753"/>
    </row>
    <row r="191" spans="12:12">
      <c r="L191" s="2753"/>
    </row>
    <row r="192" spans="12:12">
      <c r="L192" s="2753"/>
    </row>
    <row r="193" spans="12:12">
      <c r="L193" s="2753"/>
    </row>
    <row r="194" spans="12:12">
      <c r="L194" s="2753"/>
    </row>
    <row r="195" spans="12:12">
      <c r="L195" s="2753"/>
    </row>
    <row r="196" spans="12:12">
      <c r="L196" s="2753"/>
    </row>
    <row r="197" spans="12:12">
      <c r="L197" s="2753"/>
    </row>
    <row r="198" spans="12:12">
      <c r="L198" s="2753"/>
    </row>
    <row r="199" spans="12:12">
      <c r="L199" s="2753"/>
    </row>
    <row r="200" spans="12:12">
      <c r="L200" s="2753"/>
    </row>
    <row r="201" spans="12:12">
      <c r="L201" s="2753"/>
    </row>
    <row r="202" spans="12:12">
      <c r="L202" s="2753"/>
    </row>
    <row r="203" spans="12:12">
      <c r="L203" s="2753"/>
    </row>
    <row r="204" spans="12:12">
      <c r="L204" s="2753"/>
    </row>
    <row r="205" spans="12:12">
      <c r="L205" s="2753"/>
    </row>
    <row r="206" spans="12:12">
      <c r="L206" s="2753"/>
    </row>
    <row r="207" spans="12:12">
      <c r="L207" s="2753"/>
    </row>
    <row r="208" spans="12:12">
      <c r="L208" s="2753"/>
    </row>
    <row r="209" spans="12:12">
      <c r="L209" s="2753"/>
    </row>
    <row r="210" spans="12:12">
      <c r="L210" s="2753"/>
    </row>
    <row r="211" spans="12:12">
      <c r="L211" s="2753"/>
    </row>
    <row r="212" spans="12:12">
      <c r="L212" s="2753"/>
    </row>
    <row r="213" spans="12:12">
      <c r="L213" s="2753"/>
    </row>
    <row r="214" spans="12:12">
      <c r="L214" s="2753"/>
    </row>
    <row r="215" spans="12:12">
      <c r="L215" s="2753"/>
    </row>
    <row r="216" spans="12:12">
      <c r="L216" s="2753"/>
    </row>
    <row r="217" spans="12:12">
      <c r="L217" s="2753"/>
    </row>
    <row r="218" spans="12:12">
      <c r="L218" s="2753"/>
    </row>
    <row r="219" spans="12:12">
      <c r="L219" s="2753"/>
    </row>
    <row r="220" spans="12:12">
      <c r="L220" s="2753"/>
    </row>
    <row r="221" spans="12:12">
      <c r="L221" s="2753"/>
    </row>
    <row r="222" spans="12:12">
      <c r="L222" s="2753"/>
    </row>
    <row r="223" spans="12:12">
      <c r="L223" s="2753"/>
    </row>
    <row r="224" spans="12:12">
      <c r="L224" s="2753"/>
    </row>
    <row r="225" spans="12:12">
      <c r="L225" s="2753"/>
    </row>
    <row r="226" spans="12:12">
      <c r="L226" s="2753"/>
    </row>
    <row r="227" spans="12:12">
      <c r="L227" s="2753"/>
    </row>
    <row r="228" spans="12:12">
      <c r="L228" s="2753"/>
    </row>
    <row r="229" spans="12:12">
      <c r="L229" s="2753"/>
    </row>
    <row r="230" spans="12:12">
      <c r="L230" s="2753"/>
    </row>
    <row r="231" spans="12:12">
      <c r="L231" s="2753"/>
    </row>
    <row r="232" spans="12:12">
      <c r="L232" s="2753"/>
    </row>
    <row r="233" spans="12:12">
      <c r="L233" s="2753"/>
    </row>
    <row r="234" spans="12:12">
      <c r="L234" s="2753"/>
    </row>
    <row r="235" spans="12:12">
      <c r="L235" s="2753"/>
    </row>
    <row r="236" spans="12:12">
      <c r="L236" s="2753"/>
    </row>
    <row r="237" spans="12:12">
      <c r="L237" s="2753"/>
    </row>
    <row r="238" spans="12:12">
      <c r="L238" s="2753"/>
    </row>
    <row r="239" spans="12:12">
      <c r="L239" s="2753"/>
    </row>
    <row r="240" spans="12:12">
      <c r="L240" s="2753"/>
    </row>
    <row r="241" spans="12:12">
      <c r="L241" s="2753"/>
    </row>
    <row r="242" spans="12:12">
      <c r="L242" s="2753"/>
    </row>
    <row r="243" spans="12:12">
      <c r="L243" s="2753"/>
    </row>
    <row r="244" spans="12:12">
      <c r="L244" s="2753"/>
    </row>
    <row r="245" spans="12:12">
      <c r="L245" s="2753"/>
    </row>
    <row r="246" spans="12:12">
      <c r="L246" s="2753"/>
    </row>
    <row r="247" spans="12:12">
      <c r="L247" s="2753"/>
    </row>
    <row r="248" spans="12:12">
      <c r="L248" s="2753"/>
    </row>
    <row r="249" spans="12:12">
      <c r="L249" s="2753"/>
    </row>
    <row r="250" spans="12:12">
      <c r="L250" s="2753"/>
    </row>
    <row r="251" spans="12:12">
      <c r="L251" s="2753"/>
    </row>
    <row r="252" spans="12:12">
      <c r="L252" s="2753"/>
    </row>
    <row r="253" spans="12:12">
      <c r="L253" s="2753"/>
    </row>
    <row r="254" spans="12:12">
      <c r="L254" s="2753"/>
    </row>
    <row r="255" spans="12:12">
      <c r="L255" s="2753"/>
    </row>
    <row r="256" spans="12:12">
      <c r="L256" s="2753"/>
    </row>
    <row r="257" spans="12:12">
      <c r="L257" s="2753"/>
    </row>
    <row r="258" spans="12:12">
      <c r="L258" s="2753"/>
    </row>
    <row r="259" spans="12:12">
      <c r="L259" s="2753"/>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70" workbookViewId="0"/>
  </sheetViews>
  <sheetFormatPr defaultColWidth="8.88671875" defaultRowHeight="15"/>
  <cols>
    <col min="1" max="1" width="2.5546875" style="101" customWidth="1"/>
    <col min="2" max="2" width="15.88671875" style="101" customWidth="1"/>
    <col min="3" max="3" width="25.109375" style="101" customWidth="1"/>
    <col min="4" max="4" width="2" style="101" customWidth="1"/>
    <col min="5" max="5" width="12.5546875" style="101" customWidth="1"/>
    <col min="6" max="6" width="1.88671875" style="101" customWidth="1"/>
    <col min="7" max="7" width="10.88671875" style="101" customWidth="1"/>
    <col min="8" max="8" width="1.88671875" style="101" customWidth="1"/>
    <col min="9" max="9" width="10.88671875" style="101" customWidth="1"/>
    <col min="10" max="10" width="1.88671875" style="101" customWidth="1"/>
    <col min="11" max="11" width="10" style="101" customWidth="1"/>
    <col min="12" max="12" width="1.109375" style="101" customWidth="1"/>
    <col min="13" max="13" width="10.5546875" style="101" customWidth="1"/>
    <col min="14" max="14" width="1.88671875" style="101" customWidth="1"/>
    <col min="15" max="15" width="12.44140625" style="101" customWidth="1"/>
    <col min="16" max="16" width="1.88671875" style="101" customWidth="1"/>
    <col min="17" max="17" width="12.109375" style="101" customWidth="1"/>
    <col min="18" max="18" width="1.88671875" style="101" customWidth="1"/>
    <col min="19" max="19" width="12.109375" style="101" customWidth="1"/>
    <col min="20" max="20" width="1.88671875" style="101" customWidth="1"/>
    <col min="21" max="21" width="10.88671875" style="101" customWidth="1"/>
    <col min="22" max="22" width="1.88671875" style="101" customWidth="1"/>
    <col min="23" max="23" width="13.88671875" style="101" customWidth="1"/>
    <col min="24" max="24" width="1.88671875" style="101" customWidth="1"/>
    <col min="25" max="25" width="12.88671875" style="101" customWidth="1"/>
    <col min="26" max="26" width="1.88671875" style="101" customWidth="1"/>
    <col min="27" max="27" width="11.88671875" style="101" bestFit="1" customWidth="1"/>
    <col min="28" max="28" width="1.44140625" style="101" customWidth="1"/>
    <col min="29" max="29" width="11.109375" style="101" customWidth="1"/>
    <col min="30" max="31" width="1.88671875" style="101" customWidth="1"/>
    <col min="32" max="32" width="12.88671875" style="101" customWidth="1"/>
    <col min="33" max="34" width="1.109375" style="101" customWidth="1"/>
    <col min="35" max="35" width="12.88671875" style="1109" customWidth="1"/>
    <col min="36" max="37" width="1" style="101" customWidth="1"/>
    <col min="38" max="38" width="13.109375" style="101" bestFit="1" customWidth="1"/>
    <col min="39" max="39" width="1.109375" style="101" customWidth="1"/>
    <col min="40" max="40" width="12.109375" style="101" customWidth="1"/>
    <col min="41" max="16384" width="8.88671875" style="101"/>
  </cols>
  <sheetData>
    <row r="1" spans="1:42">
      <c r="B1" s="657" t="s">
        <v>979</v>
      </c>
    </row>
    <row r="2" spans="1:42">
      <c r="B2" s="841"/>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1"/>
      <c r="AJ3" s="318"/>
      <c r="AK3" s="318"/>
      <c r="AN3" s="397" t="s">
        <v>195</v>
      </c>
    </row>
    <row r="4" spans="1:42" ht="19.5" customHeight="1">
      <c r="A4" s="316"/>
      <c r="B4" s="322" t="s">
        <v>1008</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1"/>
      <c r="AJ5" s="318"/>
      <c r="AK5" s="318"/>
      <c r="AN5" s="270"/>
    </row>
    <row r="6" spans="1:42" ht="19.5" customHeight="1">
      <c r="A6" s="316"/>
      <c r="B6" s="1578"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6"/>
      <c r="AJ6" s="321"/>
      <c r="AK6" s="321"/>
    </row>
    <row r="7" spans="1:42" ht="19.5" customHeight="1">
      <c r="A7" s="316"/>
      <c r="B7" s="322" t="s">
        <v>1420</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6"/>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1"/>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69" t="s">
        <v>1285</v>
      </c>
      <c r="AD11" s="772"/>
      <c r="AE11" s="773"/>
      <c r="AF11" s="3916" t="s">
        <v>1566</v>
      </c>
      <c r="AG11" s="3917"/>
      <c r="AH11" s="3917"/>
      <c r="AI11" s="3917"/>
      <c r="AJ11" s="3917"/>
      <c r="AK11" s="3917"/>
      <c r="AL11" s="3917"/>
      <c r="AM11" s="3917"/>
      <c r="AN11" s="3917"/>
    </row>
    <row r="12" spans="1:42" ht="15.75" customHeight="1">
      <c r="A12" s="325"/>
      <c r="B12" s="325"/>
      <c r="C12" s="325"/>
      <c r="D12" s="325"/>
      <c r="E12" s="761" t="str">
        <f>'Cashflow Governmental'!C13</f>
        <v>2019</v>
      </c>
      <c r="F12" s="774"/>
      <c r="G12" s="774"/>
      <c r="H12" s="774"/>
      <c r="I12" s="774"/>
      <c r="J12" s="774"/>
      <c r="K12" s="774"/>
      <c r="L12" s="774"/>
      <c r="M12" s="774"/>
      <c r="N12" s="774"/>
      <c r="O12" s="774"/>
      <c r="P12" s="774"/>
      <c r="Q12" s="774"/>
      <c r="R12" s="774"/>
      <c r="S12" s="774"/>
      <c r="T12" s="774"/>
      <c r="U12" s="774"/>
      <c r="V12" s="774"/>
      <c r="W12" s="761" t="str">
        <f>'Cashflow Governmental'!U13</f>
        <v>2020</v>
      </c>
      <c r="X12" s="774"/>
      <c r="Y12" s="774"/>
      <c r="Z12" s="774"/>
      <c r="AA12" s="774"/>
      <c r="AB12" s="774"/>
      <c r="AC12" s="769" t="s">
        <v>1286</v>
      </c>
      <c r="AD12" s="774"/>
      <c r="AE12" s="774"/>
      <c r="AF12" s="775"/>
      <c r="AG12" s="775"/>
      <c r="AH12" s="775"/>
      <c r="AI12" s="1118"/>
      <c r="AJ12" s="775"/>
      <c r="AK12" s="775"/>
      <c r="AL12" s="765" t="s">
        <v>8</v>
      </c>
      <c r="AM12" s="765"/>
      <c r="AN12" s="762" t="s">
        <v>9</v>
      </c>
      <c r="AO12" s="778"/>
    </row>
    <row r="13" spans="1:42" ht="15.75" customHeight="1">
      <c r="A13" s="31"/>
      <c r="B13" s="31"/>
      <c r="C13" s="31"/>
      <c r="D13" s="31"/>
      <c r="E13" s="1137" t="s">
        <v>125</v>
      </c>
      <c r="F13" s="254"/>
      <c r="G13" s="1137" t="s">
        <v>126</v>
      </c>
      <c r="H13" s="254"/>
      <c r="I13" s="1137" t="s">
        <v>127</v>
      </c>
      <c r="J13" s="254"/>
      <c r="K13" s="1137" t="s">
        <v>128</v>
      </c>
      <c r="L13" s="254"/>
      <c r="M13" s="1987" t="s">
        <v>129</v>
      </c>
      <c r="N13" s="254"/>
      <c r="O13" s="1137" t="s">
        <v>144</v>
      </c>
      <c r="P13" s="254"/>
      <c r="Q13" s="1137" t="s">
        <v>145</v>
      </c>
      <c r="R13" s="254"/>
      <c r="S13" s="1137" t="s">
        <v>132</v>
      </c>
      <c r="T13" s="254"/>
      <c r="U13" s="1137" t="s">
        <v>133</v>
      </c>
      <c r="V13" s="254"/>
      <c r="W13" s="1137" t="s">
        <v>134</v>
      </c>
      <c r="X13" s="254"/>
      <c r="Y13" s="1137" t="s">
        <v>135</v>
      </c>
      <c r="Z13" s="254"/>
      <c r="AA13" s="1137" t="s">
        <v>186</v>
      </c>
      <c r="AB13" s="769"/>
      <c r="AC13" s="2003" t="s">
        <v>1287</v>
      </c>
      <c r="AD13" s="254"/>
      <c r="AE13" s="254"/>
      <c r="AF13" s="1137">
        <f>'Cashflow Governmental'!AB14</f>
        <v>2020</v>
      </c>
      <c r="AG13" s="254"/>
      <c r="AH13" s="254"/>
      <c r="AI13" s="776">
        <f>'Cashflow Governmental'!AE14</f>
        <v>2019</v>
      </c>
      <c r="AJ13" s="777"/>
      <c r="AK13" s="777"/>
      <c r="AL13" s="770" t="s">
        <v>12</v>
      </c>
      <c r="AM13" s="764"/>
      <c r="AN13" s="770" t="s">
        <v>13</v>
      </c>
      <c r="AO13" s="1139"/>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1247</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f>O103</f>
        <v>-1288.0999999999999</v>
      </c>
      <c r="R15" s="94"/>
      <c r="S15" s="94">
        <f>Q103</f>
        <v>-946.2</v>
      </c>
      <c r="T15" s="94"/>
      <c r="U15" s="94">
        <f>S103</f>
        <v>-1042.3</v>
      </c>
      <c r="V15" s="94"/>
      <c r="W15" s="94">
        <f>U103</f>
        <v>-1127.3</v>
      </c>
      <c r="X15" s="94"/>
      <c r="Y15" s="94"/>
      <c r="Z15" s="94"/>
      <c r="AA15" s="94"/>
      <c r="AB15" s="94"/>
      <c r="AC15" s="94"/>
      <c r="AD15" s="94"/>
      <c r="AE15" s="95"/>
      <c r="AF15" s="135">
        <f>E15</f>
        <v>-1137.9000000000001</v>
      </c>
      <c r="AG15" s="218"/>
      <c r="AH15" s="219"/>
      <c r="AI15" s="3625">
        <f>'Exhibit I State'!AG14+'Exhibit I Federal'!AG14</f>
        <v>-1151.1999999999998</v>
      </c>
      <c r="AJ15" s="94"/>
      <c r="AK15" s="329"/>
      <c r="AL15" s="328">
        <f>+AF15-AI15</f>
        <v>13.299999999999727</v>
      </c>
      <c r="AM15" s="330"/>
      <c r="AN15" s="1467">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1097</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1"/>
      <c r="AH18" s="59"/>
      <c r="AI18" s="140"/>
      <c r="AJ18" s="165"/>
      <c r="AK18" s="326"/>
      <c r="AL18" s="327"/>
      <c r="AM18" s="327"/>
      <c r="AN18" s="327"/>
    </row>
    <row r="19" spans="1:46" ht="15.75">
      <c r="A19" s="31"/>
      <c r="B19" s="1067" t="s">
        <v>1161</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1"/>
      <c r="AH19" s="59"/>
      <c r="AI19" s="140"/>
      <c r="AJ19" s="165"/>
      <c r="AK19" s="326"/>
      <c r="AL19" s="327"/>
      <c r="AM19" s="327"/>
      <c r="AN19" s="327"/>
    </row>
    <row r="20" spans="1:46">
      <c r="A20" s="31"/>
      <c r="B20" s="685" t="s">
        <v>1113</v>
      </c>
      <c r="C20" s="31"/>
      <c r="D20" s="31"/>
      <c r="E20" s="1400">
        <f>+'Exhibit I State'!E19</f>
        <v>3.5</v>
      </c>
      <c r="F20" s="1457"/>
      <c r="G20" s="1400">
        <f>+'Exhibit I State'!G19</f>
        <v>0.29999999999999982</v>
      </c>
      <c r="H20" s="1457"/>
      <c r="I20" s="1400">
        <f>+'Exhibit I State'!I19</f>
        <v>19.5</v>
      </c>
      <c r="J20" s="1480"/>
      <c r="K20" s="1400">
        <f>+'Exhibit I State'!K19</f>
        <v>9.9999999999997868E-2</v>
      </c>
      <c r="L20" s="1496"/>
      <c r="M20" s="1400">
        <f>+'Exhibit I State'!M19</f>
        <v>0.10000000000000142</v>
      </c>
      <c r="N20" s="1496"/>
      <c r="O20" s="1400">
        <f>+'Exhibit I State'!O19</f>
        <v>33.70000000000001</v>
      </c>
      <c r="P20" s="304"/>
      <c r="Q20" s="1400">
        <f>+'Exhibit I State'!Q19</f>
        <v>-7.3000000000000078</v>
      </c>
      <c r="R20" s="304"/>
      <c r="S20" s="1400">
        <f>+'Exhibit I State'!S19</f>
        <v>0.10000000000000142</v>
      </c>
      <c r="T20" s="304"/>
      <c r="U20" s="1400">
        <f>+'Exhibit I State'!U19</f>
        <v>20.599999999999998</v>
      </c>
      <c r="V20" s="304"/>
      <c r="W20" s="1400">
        <f>+'Exhibit I State'!W19</f>
        <v>0</v>
      </c>
      <c r="X20" s="304"/>
      <c r="Y20" s="1400"/>
      <c r="Z20" s="304"/>
      <c r="AA20" s="1400"/>
      <c r="AB20" s="1400"/>
      <c r="AC20" s="1400">
        <v>0</v>
      </c>
      <c r="AD20" s="1069"/>
      <c r="AE20" s="304"/>
      <c r="AF20" s="118">
        <f>ROUND(SUM(E20:AC20),1)</f>
        <v>70.599999999999994</v>
      </c>
      <c r="AG20" s="1070"/>
      <c r="AH20" s="305"/>
      <c r="AI20" s="3626">
        <f>+'Exhibit I State'!AG19</f>
        <v>68</v>
      </c>
      <c r="AJ20" s="306"/>
      <c r="AK20" s="310"/>
      <c r="AL20" s="313">
        <f>ROUND(SUM(AF20-AI20),1)</f>
        <v>2.6</v>
      </c>
      <c r="AM20" s="307"/>
      <c r="AN20" s="1518">
        <f>ROUND(IF(AI20=0,0,AL20/ABS(AI20)),3)</f>
        <v>3.7999999999999999E-2</v>
      </c>
      <c r="AO20" s="554"/>
    </row>
    <row r="21" spans="1:46">
      <c r="A21" s="31"/>
      <c r="B21" s="685" t="s">
        <v>1115</v>
      </c>
      <c r="C21" s="31"/>
      <c r="D21" s="31"/>
      <c r="E21" s="1400">
        <f>+'Exhibit I State'!E20</f>
        <v>36.4</v>
      </c>
      <c r="F21" s="1457"/>
      <c r="G21" s="1400">
        <f>+'Exhibit I State'!G20</f>
        <v>34.800000000000004</v>
      </c>
      <c r="H21" s="1457"/>
      <c r="I21" s="1400">
        <f>+'Exhibit I State'!I20</f>
        <v>36.6</v>
      </c>
      <c r="J21" s="1480"/>
      <c r="K21" s="1400">
        <f>+'Exhibit I State'!K20</f>
        <v>30.39999999999997</v>
      </c>
      <c r="L21" s="1496"/>
      <c r="M21" s="1400">
        <f>+'Exhibit I State'!M20</f>
        <v>37.800000000000018</v>
      </c>
      <c r="N21" s="1496"/>
      <c r="O21" s="1400">
        <f>+'Exhibit I State'!O20</f>
        <v>34.099999999999987</v>
      </c>
      <c r="P21" s="304"/>
      <c r="Q21" s="1400">
        <f>+'Exhibit I State'!Q20</f>
        <v>37.300000000000018</v>
      </c>
      <c r="R21" s="304"/>
      <c r="S21" s="1400">
        <f>+'Exhibit I State'!S20</f>
        <v>32.9</v>
      </c>
      <c r="T21" s="304"/>
      <c r="U21" s="1400">
        <f>+'Exhibit I State'!U20</f>
        <v>31.400000000000013</v>
      </c>
      <c r="V21" s="304"/>
      <c r="W21" s="1400">
        <f>+'Exhibit I State'!W20</f>
        <v>33.499999999999993</v>
      </c>
      <c r="X21" s="304"/>
      <c r="Y21" s="1400"/>
      <c r="Z21" s="304"/>
      <c r="AA21" s="1400"/>
      <c r="AB21" s="1400"/>
      <c r="AC21" s="1400">
        <v>0</v>
      </c>
      <c r="AD21" s="1069"/>
      <c r="AE21" s="304"/>
      <c r="AF21" s="66">
        <f>ROUND(SUM(E21:AC21),1)</f>
        <v>345.2</v>
      </c>
      <c r="AG21" s="1070"/>
      <c r="AH21" s="305"/>
      <c r="AI21" s="3626">
        <f>+'Exhibit I State'!AG20</f>
        <v>352.1</v>
      </c>
      <c r="AJ21" s="306"/>
      <c r="AK21" s="310"/>
      <c r="AL21" s="313">
        <f>ROUND(SUM(AF21-AI21),1)</f>
        <v>-6.9</v>
      </c>
      <c r="AM21" s="307"/>
      <c r="AN21" s="8">
        <f>ROUND(IF(AI21=0,0,AL21/ABS(AI21)),3)</f>
        <v>-0.02</v>
      </c>
      <c r="AO21" s="554"/>
    </row>
    <row r="22" spans="1:46">
      <c r="A22" s="31"/>
      <c r="B22" s="685" t="s">
        <v>1117</v>
      </c>
      <c r="C22" s="31"/>
      <c r="D22" s="31"/>
      <c r="E22" s="1400">
        <f>+'Exhibit I State'!E21</f>
        <v>14.2</v>
      </c>
      <c r="F22" s="1457"/>
      <c r="G22" s="1400">
        <f>+'Exhibit I State'!G21</f>
        <v>10.600000000000001</v>
      </c>
      <c r="H22" s="1457"/>
      <c r="I22" s="1400">
        <f>+'Exhibit I State'!I21</f>
        <v>9.8000000000000007</v>
      </c>
      <c r="J22" s="1480"/>
      <c r="K22" s="1400">
        <f>+'Exhibit I State'!K21</f>
        <v>14.500000000000004</v>
      </c>
      <c r="L22" s="1496"/>
      <c r="M22" s="1400">
        <f>+'Exhibit I State'!M21</f>
        <v>10.699999999999989</v>
      </c>
      <c r="N22" s="1496"/>
      <c r="O22" s="1400">
        <f>+'Exhibit I State'!O21</f>
        <v>10.999999999999996</v>
      </c>
      <c r="P22" s="304"/>
      <c r="Q22" s="1400">
        <f>+'Exhibit I State'!Q21</f>
        <v>14.3</v>
      </c>
      <c r="R22" s="304"/>
      <c r="S22" s="1400">
        <f>+'Exhibit I State'!S21</f>
        <v>10.900000000000006</v>
      </c>
      <c r="T22" s="304"/>
      <c r="U22" s="1400">
        <f>+'Exhibit I State'!U21</f>
        <v>13.800000000000008</v>
      </c>
      <c r="V22" s="304"/>
      <c r="W22" s="1400">
        <f>+'Exhibit I State'!W21</f>
        <v>12.199999999999992</v>
      </c>
      <c r="X22" s="304"/>
      <c r="Y22" s="1400"/>
      <c r="Z22" s="304"/>
      <c r="AA22" s="1400"/>
      <c r="AB22" s="1400"/>
      <c r="AC22" s="1400">
        <v>0</v>
      </c>
      <c r="AD22" s="1069"/>
      <c r="AE22" s="304"/>
      <c r="AF22" s="66">
        <f>ROUND(SUM(E22:AC22),1)</f>
        <v>122</v>
      </c>
      <c r="AG22" s="1070"/>
      <c r="AH22" s="305"/>
      <c r="AI22" s="3626">
        <f>+'Exhibit I State'!AG21</f>
        <v>129.5</v>
      </c>
      <c r="AJ22" s="306"/>
      <c r="AK22" s="310"/>
      <c r="AL22" s="313">
        <f>ROUND(SUM(AF22-AI22),1)</f>
        <v>-7.5</v>
      </c>
      <c r="AM22" s="307"/>
      <c r="AN22" s="1502">
        <f>ROUND(IF(AI22=0,0,AL22/ABS(AI22)),3)</f>
        <v>-5.8000000000000003E-2</v>
      </c>
      <c r="AO22" s="554"/>
    </row>
    <row r="23" spans="1:46" ht="15.75">
      <c r="A23" s="31"/>
      <c r="B23" s="312" t="s">
        <v>1205</v>
      </c>
      <c r="C23" s="31"/>
      <c r="D23" s="31"/>
      <c r="E23" s="1497">
        <f>ROUND(SUM(E20:E22),1)</f>
        <v>54.1</v>
      </c>
      <c r="F23" s="1498"/>
      <c r="G23" s="1497">
        <f>ROUND(SUM(G20:G22),1)</f>
        <v>45.7</v>
      </c>
      <c r="H23" s="1498"/>
      <c r="I23" s="1497">
        <f>ROUND(SUM(I20:I22),1)</f>
        <v>65.900000000000006</v>
      </c>
      <c r="J23" s="1498"/>
      <c r="K23" s="1497">
        <f>ROUND(SUM(K20:K22),1)</f>
        <v>45</v>
      </c>
      <c r="L23" s="1496"/>
      <c r="M23" s="1497">
        <f>ROUND(SUM(M20:M22),1)</f>
        <v>48.6</v>
      </c>
      <c r="N23" s="1496"/>
      <c r="O23" s="1497">
        <f>ROUND(SUM(O20:O22),1)</f>
        <v>78.8</v>
      </c>
      <c r="P23" s="304"/>
      <c r="Q23" s="1497">
        <f>ROUND(SUM(Q20:Q22),1)</f>
        <v>44.3</v>
      </c>
      <c r="R23" s="304"/>
      <c r="S23" s="1497">
        <f>ROUND(SUM(S20:S22),1)</f>
        <v>43.9</v>
      </c>
      <c r="T23" s="304"/>
      <c r="U23" s="1497">
        <f>ROUND(SUM(U20:U22),1)</f>
        <v>65.8</v>
      </c>
      <c r="V23" s="304"/>
      <c r="W23" s="1497">
        <f>ROUND(SUM(W20:W22),1)</f>
        <v>45.7</v>
      </c>
      <c r="X23" s="304"/>
      <c r="Y23" s="1497">
        <f>ROUND(SUM(Y20:Y22),1)</f>
        <v>0</v>
      </c>
      <c r="Z23" s="304"/>
      <c r="AA23" s="1497">
        <f>ROUND(SUM(AA20:AA22),1)</f>
        <v>0</v>
      </c>
      <c r="AB23" s="1499"/>
      <c r="AC23" s="1497">
        <f>ROUND(SUM(AC20:AC22),1)</f>
        <v>0</v>
      </c>
      <c r="AD23" s="1069"/>
      <c r="AE23" s="304"/>
      <c r="AF23" s="258">
        <f>ROUND(SUM(AF20:AF22),1)</f>
        <v>537.79999999999995</v>
      </c>
      <c r="AG23" s="1070"/>
      <c r="AH23" s="305"/>
      <c r="AI23" s="1583">
        <f>ROUND(SUM(AI20:AI22),1)</f>
        <v>549.6</v>
      </c>
      <c r="AJ23" s="306"/>
      <c r="AK23" s="310"/>
      <c r="AL23" s="1138">
        <f>ROUND(SUM(AF23-AI23),1)</f>
        <v>-11.8</v>
      </c>
      <c r="AM23" s="309"/>
      <c r="AN23" s="13">
        <f>ROUND(IF(AI23=0,0,AL23/ABS(AI23)),3)</f>
        <v>-2.1000000000000001E-2</v>
      </c>
      <c r="AO23" s="554"/>
    </row>
    <row r="24" spans="1:46" ht="15.75">
      <c r="A24" s="31"/>
      <c r="B24" s="1067" t="s">
        <v>1162</v>
      </c>
      <c r="C24" s="31"/>
      <c r="D24" s="31"/>
      <c r="E24" s="1499"/>
      <c r="F24" s="1498"/>
      <c r="G24" s="1499"/>
      <c r="H24" s="1498"/>
      <c r="I24" s="1499"/>
      <c r="J24" s="1498"/>
      <c r="K24" s="1499"/>
      <c r="L24" s="1496"/>
      <c r="M24" s="1499"/>
      <c r="N24" s="1496"/>
      <c r="O24" s="1499"/>
      <c r="P24" s="304"/>
      <c r="Q24" s="1499"/>
      <c r="R24" s="304"/>
      <c r="S24" s="1499"/>
      <c r="T24" s="304"/>
      <c r="U24" s="1499"/>
      <c r="V24" s="304"/>
      <c r="W24" s="1499"/>
      <c r="X24" s="304"/>
      <c r="Y24" s="1499"/>
      <c r="Z24" s="304"/>
      <c r="AA24" s="1499"/>
      <c r="AB24" s="1499"/>
      <c r="AC24" s="1499"/>
      <c r="AD24" s="1069"/>
      <c r="AE24" s="304"/>
      <c r="AF24" s="76"/>
      <c r="AG24" s="1070"/>
      <c r="AH24" s="305"/>
      <c r="AI24" s="115"/>
      <c r="AJ24" s="306"/>
      <c r="AK24" s="310"/>
      <c r="AL24" s="1072"/>
      <c r="AM24" s="309"/>
      <c r="AN24" s="24"/>
      <c r="AO24" s="554"/>
    </row>
    <row r="25" spans="1:46" ht="15.75">
      <c r="A25" s="31"/>
      <c r="B25" s="685" t="s">
        <v>1120</v>
      </c>
      <c r="C25" s="31"/>
      <c r="D25" s="31"/>
      <c r="E25" s="1400">
        <f>+'Exhibit I State'!E24</f>
        <v>0</v>
      </c>
      <c r="F25" s="1498"/>
      <c r="G25" s="1400">
        <f>+'Exhibit I State'!G24</f>
        <v>0</v>
      </c>
      <c r="H25" s="1498"/>
      <c r="I25" s="1400">
        <f>+'Exhibit I State'!I24</f>
        <v>0</v>
      </c>
      <c r="J25" s="1498"/>
      <c r="K25" s="1400">
        <f>+'Exhibit I State'!K24</f>
        <v>0</v>
      </c>
      <c r="L25" s="1496"/>
      <c r="M25" s="1400">
        <f>+'Exhibit I State'!M24</f>
        <v>0</v>
      </c>
      <c r="N25" s="1496"/>
      <c r="O25" s="1400">
        <f>+'Exhibit I State'!O24</f>
        <v>0</v>
      </c>
      <c r="P25" s="304"/>
      <c r="Q25" s="1400">
        <f>+'Exhibit I State'!Q24</f>
        <v>0</v>
      </c>
      <c r="R25" s="304"/>
      <c r="S25" s="1400">
        <f>+'Exhibit I State'!S24</f>
        <v>0</v>
      </c>
      <c r="T25" s="304"/>
      <c r="U25" s="1400">
        <f>+'Exhibit I State'!U24</f>
        <v>0</v>
      </c>
      <c r="V25" s="304"/>
      <c r="W25" s="1400">
        <f>+'Exhibit I State'!W24</f>
        <v>0</v>
      </c>
      <c r="X25" s="304"/>
      <c r="Y25" s="1400"/>
      <c r="Z25" s="304"/>
      <c r="AA25" s="1400"/>
      <c r="AB25" s="1400"/>
      <c r="AC25" s="1400">
        <v>0</v>
      </c>
      <c r="AD25" s="1069"/>
      <c r="AE25" s="304"/>
      <c r="AF25" s="959">
        <v>0</v>
      </c>
      <c r="AG25" s="1070"/>
      <c r="AH25" s="305"/>
      <c r="AI25" s="3626">
        <f>+'Exhibit I State'!AG24</f>
        <v>0</v>
      </c>
      <c r="AJ25" s="306"/>
      <c r="AK25" s="310"/>
      <c r="AL25" s="313">
        <f>ROUND(SUM(AF25-AI25),1)</f>
        <v>0</v>
      </c>
      <c r="AM25" s="307"/>
      <c r="AN25" s="1495">
        <f>ROUND(IF(AI25=0,0,AL25/ABS(AI25)),3)</f>
        <v>0</v>
      </c>
      <c r="AO25" s="554"/>
      <c r="AP25" s="302"/>
      <c r="AQ25" s="302"/>
      <c r="AR25" s="302"/>
      <c r="AS25" s="302"/>
      <c r="AT25" s="302"/>
    </row>
    <row r="26" spans="1:46" ht="15.75">
      <c r="A26" s="31"/>
      <c r="B26" s="685" t="s">
        <v>1121</v>
      </c>
      <c r="C26" s="31"/>
      <c r="D26" s="31"/>
      <c r="E26" s="1400">
        <f>+'Exhibit I State'!E25</f>
        <v>3.3</v>
      </c>
      <c r="F26" s="1457"/>
      <c r="G26" s="1400">
        <f>+'Exhibit I State'!G25</f>
        <v>-0.1</v>
      </c>
      <c r="H26" s="1457"/>
      <c r="I26" s="1400">
        <f>+'Exhibit I State'!I25</f>
        <v>1.9</v>
      </c>
      <c r="J26" s="1498"/>
      <c r="K26" s="1400">
        <f>+'Exhibit I State'!K25</f>
        <v>0</v>
      </c>
      <c r="L26" s="1496"/>
      <c r="M26" s="1400">
        <f>+'Exhibit I State'!M25</f>
        <v>0</v>
      </c>
      <c r="N26" s="1496"/>
      <c r="O26" s="1400">
        <f>+'Exhibit I State'!O25</f>
        <v>3.0999999999999992</v>
      </c>
      <c r="P26" s="304"/>
      <c r="Q26" s="1400">
        <f>+'Exhibit I State'!Q25</f>
        <v>0.10000000000000142</v>
      </c>
      <c r="R26" s="304"/>
      <c r="S26" s="1400">
        <f>+'Exhibit I State'!S25</f>
        <v>9.9999999999999645E-2</v>
      </c>
      <c r="T26" s="304"/>
      <c r="U26" s="1400">
        <f>+'Exhibit I State'!U25</f>
        <v>2.6999999999999997</v>
      </c>
      <c r="V26" s="304"/>
      <c r="W26" s="1400">
        <f>+'Exhibit I State'!W25</f>
        <v>0</v>
      </c>
      <c r="X26" s="304"/>
      <c r="Y26" s="1400"/>
      <c r="Z26" s="304"/>
      <c r="AA26" s="1400"/>
      <c r="AB26" s="1400"/>
      <c r="AC26" s="1400">
        <v>0</v>
      </c>
      <c r="AD26" s="1069"/>
      <c r="AE26" s="304"/>
      <c r="AF26" s="66">
        <f>ROUND(SUM(E26:AC26),1)</f>
        <v>11.1</v>
      </c>
      <c r="AG26" s="1070"/>
      <c r="AH26" s="305"/>
      <c r="AI26" s="3626">
        <f>+'Exhibit I State'!AG25</f>
        <v>10.8</v>
      </c>
      <c r="AJ26" s="306"/>
      <c r="AK26" s="310"/>
      <c r="AL26" s="313">
        <f>ROUND(SUM(AF26-AI26),1)</f>
        <v>0.3</v>
      </c>
      <c r="AM26" s="307"/>
      <c r="AN26" s="1475">
        <f>ROUND(IF(AI26=0,1,AL26/ABS(AI26)),3)</f>
        <v>2.8000000000000001E-2</v>
      </c>
      <c r="AO26" s="554"/>
      <c r="AP26" s="302"/>
      <c r="AQ26" s="302"/>
      <c r="AR26" s="302"/>
      <c r="AS26" s="302"/>
      <c r="AT26" s="302"/>
    </row>
    <row r="27" spans="1:46" ht="15.75">
      <c r="A27" s="31"/>
      <c r="B27" s="685" t="s">
        <v>1124</v>
      </c>
      <c r="C27" s="31"/>
      <c r="D27" s="31"/>
      <c r="E27" s="1400">
        <f>+'Exhibit I State'!E26</f>
        <v>56.3</v>
      </c>
      <c r="F27" s="1457"/>
      <c r="G27" s="1400">
        <f>+'Exhibit I State'!G26</f>
        <v>55.8</v>
      </c>
      <c r="H27" s="1457"/>
      <c r="I27" s="1400">
        <f>+'Exhibit I State'!I26</f>
        <v>58.400000000000006</v>
      </c>
      <c r="J27" s="1498"/>
      <c r="K27" s="1400">
        <f>+'Exhibit I State'!K26</f>
        <v>52.499999999999986</v>
      </c>
      <c r="L27" s="1496"/>
      <c r="M27" s="1400">
        <f>+'Exhibit I State'!M26</f>
        <v>59.999999999999986</v>
      </c>
      <c r="N27" s="1496"/>
      <c r="O27" s="1400">
        <f>+'Exhibit I State'!O26</f>
        <v>56.800000000000011</v>
      </c>
      <c r="P27" s="304"/>
      <c r="Q27" s="1400">
        <f>+'Exhibit I State'!Q26</f>
        <v>60.2</v>
      </c>
      <c r="R27" s="304"/>
      <c r="S27" s="1400">
        <f>+'Exhibit I State'!S26</f>
        <v>52.199999999999918</v>
      </c>
      <c r="T27" s="304"/>
      <c r="U27" s="1400">
        <f>+'Exhibit I State'!U26</f>
        <v>51.5</v>
      </c>
      <c r="V27" s="304"/>
      <c r="W27" s="1400">
        <f>+'Exhibit I State'!W26</f>
        <v>54.900000000000105</v>
      </c>
      <c r="X27" s="304"/>
      <c r="Y27" s="1400"/>
      <c r="Z27" s="304"/>
      <c r="AA27" s="1400"/>
      <c r="AB27" s="1400"/>
      <c r="AC27" s="1400">
        <v>0</v>
      </c>
      <c r="AD27" s="1069"/>
      <c r="AE27" s="304"/>
      <c r="AF27" s="66">
        <f>ROUND(SUM(E27:AC27),1)</f>
        <v>558.6</v>
      </c>
      <c r="AG27" s="1070"/>
      <c r="AH27" s="305"/>
      <c r="AI27" s="3626">
        <f>+'Exhibit I State'!AG26</f>
        <v>545.5</v>
      </c>
      <c r="AJ27" s="306"/>
      <c r="AK27" s="310"/>
      <c r="AL27" s="313">
        <f>ROUND(SUM(AF27-AI27),1)</f>
        <v>13.1</v>
      </c>
      <c r="AM27" s="307"/>
      <c r="AN27" s="1462">
        <f>ROUND(IF(AI27=0,0,AL27/ABS(AI27)),3)</f>
        <v>2.4E-2</v>
      </c>
      <c r="AO27" s="554"/>
      <c r="AP27" s="302"/>
      <c r="AQ27" s="302"/>
      <c r="AR27" s="302"/>
      <c r="AS27" s="302"/>
      <c r="AT27" s="302"/>
    </row>
    <row r="28" spans="1:46" ht="15.75">
      <c r="A28" s="31"/>
      <c r="B28" s="312" t="s">
        <v>1206</v>
      </c>
      <c r="C28" s="31"/>
      <c r="D28" s="31"/>
      <c r="E28" s="1497">
        <f>ROUND(SUM(E25:E27),1)</f>
        <v>59.6</v>
      </c>
      <c r="F28" s="1457"/>
      <c r="G28" s="1497">
        <f>ROUND(SUM(G25:G27),1)</f>
        <v>55.7</v>
      </c>
      <c r="H28" s="1457"/>
      <c r="I28" s="1497">
        <f>ROUND(SUM(I25:I27),1)</f>
        <v>60.3</v>
      </c>
      <c r="J28" s="1498"/>
      <c r="K28" s="1497">
        <f>ROUND(SUM(K25:K27),1)</f>
        <v>52.5</v>
      </c>
      <c r="L28" s="1496"/>
      <c r="M28" s="1497">
        <f>ROUND(SUM(M25:M27),1)</f>
        <v>60</v>
      </c>
      <c r="N28" s="1496"/>
      <c r="O28" s="1497">
        <f>ROUND(SUM(O25:O27),1)</f>
        <v>59.9</v>
      </c>
      <c r="P28" s="304"/>
      <c r="Q28" s="1497">
        <f>ROUND(SUM(Q25:Q27),1)</f>
        <v>60.3</v>
      </c>
      <c r="R28" s="304"/>
      <c r="S28" s="1497">
        <f>ROUND(SUM(S25:S27),1)</f>
        <v>52.3</v>
      </c>
      <c r="T28" s="304"/>
      <c r="U28" s="1497">
        <f>ROUND(SUM(U25:U27),1)</f>
        <v>54.2</v>
      </c>
      <c r="V28" s="304"/>
      <c r="W28" s="1497">
        <f>ROUND(SUM(W25:W27),1)</f>
        <v>54.9</v>
      </c>
      <c r="X28" s="304"/>
      <c r="Y28" s="1497">
        <f>ROUND(SUM(Y25:Y27),1)</f>
        <v>0</v>
      </c>
      <c r="Z28" s="304"/>
      <c r="AA28" s="1497">
        <f>ROUND(SUM(AA25:AA27),1)</f>
        <v>0</v>
      </c>
      <c r="AB28" s="1499"/>
      <c r="AC28" s="1497">
        <f>ROUND(SUM(AC25:AC27),1)</f>
        <v>0</v>
      </c>
      <c r="AD28" s="1069"/>
      <c r="AE28" s="304"/>
      <c r="AF28" s="691">
        <f>ROUND(SUM(AF25:AF27),1)</f>
        <v>569.70000000000005</v>
      </c>
      <c r="AG28" s="1070"/>
      <c r="AH28" s="305"/>
      <c r="AI28" s="1583">
        <f>ROUND(SUM(AI25:AI27),1)</f>
        <v>556.29999999999995</v>
      </c>
      <c r="AJ28" s="306"/>
      <c r="AK28" s="310"/>
      <c r="AL28" s="691">
        <f>ROUND(SUM(AL25:AL27),1)</f>
        <v>13.4</v>
      </c>
      <c r="AM28" s="307"/>
      <c r="AN28" s="1492">
        <f>ROUND(IF(AI28=0,0,AL28/ABS(AI28)),3)</f>
        <v>2.4E-2</v>
      </c>
      <c r="AO28" s="554"/>
      <c r="AP28" s="302"/>
      <c r="AQ28" s="302"/>
      <c r="AR28" s="302"/>
      <c r="AS28" s="302"/>
      <c r="AT28" s="302"/>
    </row>
    <row r="29" spans="1:46" ht="15.75">
      <c r="A29" s="31"/>
      <c r="B29" s="1067" t="s">
        <v>1163</v>
      </c>
      <c r="C29" s="31"/>
      <c r="D29" s="31"/>
      <c r="E29" s="1894"/>
      <c r="F29" s="1894"/>
      <c r="G29" s="1894"/>
      <c r="H29" s="1894"/>
      <c r="I29" s="1894"/>
      <c r="J29" s="1894"/>
      <c r="K29" s="1894"/>
      <c r="L29" s="1500"/>
      <c r="M29" s="1500"/>
      <c r="N29" s="1500"/>
      <c r="O29" s="1500"/>
      <c r="P29" s="165"/>
      <c r="Q29" s="1500"/>
      <c r="R29" s="165"/>
      <c r="S29" s="1500"/>
      <c r="T29" s="165"/>
      <c r="U29" s="1500"/>
      <c r="V29" s="165"/>
      <c r="W29" s="1500"/>
      <c r="X29" s="165"/>
      <c r="Y29" s="1500"/>
      <c r="Z29" s="165"/>
      <c r="AA29" s="1500"/>
      <c r="AB29" s="1500"/>
      <c r="AC29" s="1500"/>
      <c r="AD29" s="165"/>
      <c r="AE29" s="252"/>
      <c r="AF29" s="165"/>
      <c r="AG29" s="1081"/>
      <c r="AH29" s="59"/>
      <c r="AI29" s="140"/>
      <c r="AJ29" s="165"/>
      <c r="AK29" s="326"/>
      <c r="AL29" s="327"/>
      <c r="AM29" s="327"/>
      <c r="AN29" s="1501"/>
    </row>
    <row r="30" spans="1:46" ht="15.75">
      <c r="A30" s="31"/>
      <c r="B30" s="685" t="s">
        <v>1130</v>
      </c>
      <c r="C30" s="31"/>
      <c r="D30" s="31"/>
      <c r="E30" s="1400">
        <f>+'Exhibit I State'!E29</f>
        <v>0</v>
      </c>
      <c r="F30" s="1457"/>
      <c r="G30" s="1400">
        <f>+'Exhibit I State'!G29</f>
        <v>0</v>
      </c>
      <c r="H30" s="1457"/>
      <c r="I30" s="1400">
        <f>+'Exhibit I State'!I29</f>
        <v>11.9</v>
      </c>
      <c r="J30" s="1498"/>
      <c r="K30" s="1400">
        <f>+'Exhibit I State'!K29</f>
        <v>11.9</v>
      </c>
      <c r="L30" s="1496"/>
      <c r="M30" s="1400">
        <f>+'Exhibit I State'!M29</f>
        <v>11.900000000000004</v>
      </c>
      <c r="N30" s="1496"/>
      <c r="O30" s="1400">
        <f>+'Exhibit I State'!O29</f>
        <v>11.9</v>
      </c>
      <c r="P30" s="304"/>
      <c r="Q30" s="1400">
        <f>+'Exhibit I State'!Q29</f>
        <v>11.999999999999998</v>
      </c>
      <c r="R30" s="304"/>
      <c r="S30" s="1400">
        <f>+'Exhibit I State'!S29</f>
        <v>11.9</v>
      </c>
      <c r="T30" s="304"/>
      <c r="U30" s="1400">
        <f>+'Exhibit I State'!U29</f>
        <v>11.899999999999997</v>
      </c>
      <c r="V30" s="304"/>
      <c r="W30" s="1400">
        <f>+'Exhibit I State'!W29</f>
        <v>11.899999999999986</v>
      </c>
      <c r="X30" s="304"/>
      <c r="Y30" s="1400"/>
      <c r="Z30" s="304"/>
      <c r="AA30" s="1400"/>
      <c r="AB30" s="1400"/>
      <c r="AC30" s="1400">
        <v>0</v>
      </c>
      <c r="AD30" s="1069"/>
      <c r="AE30" s="304"/>
      <c r="AF30" s="66">
        <f>ROUND(SUM(E30:AC30),1)</f>
        <v>95.3</v>
      </c>
      <c r="AG30" s="1070"/>
      <c r="AH30" s="305"/>
      <c r="AI30" s="3626">
        <f>+'Exhibit I State'!AG29</f>
        <v>95.3</v>
      </c>
      <c r="AJ30" s="306"/>
      <c r="AK30" s="310"/>
      <c r="AL30" s="313">
        <f>ROUND(SUM(AF30-AI30),1)</f>
        <v>0</v>
      </c>
      <c r="AM30" s="307"/>
      <c r="AN30" s="1462">
        <f>ROUND(IF(AI30=0,0,AL30/ABS(AI30)),3)</f>
        <v>0</v>
      </c>
      <c r="AO30" s="554"/>
      <c r="AP30" s="302"/>
      <c r="AQ30" s="302"/>
      <c r="AR30" s="302"/>
    </row>
    <row r="31" spans="1:46" ht="15.75">
      <c r="A31" s="31"/>
      <c r="B31" s="312" t="s">
        <v>1207</v>
      </c>
      <c r="C31" s="31"/>
      <c r="D31" s="31"/>
      <c r="E31" s="258">
        <f>ROUND(SUM(E30:E30),1)</f>
        <v>0</v>
      </c>
      <c r="F31" s="938"/>
      <c r="G31" s="258">
        <f>ROUND(SUM(G30:G30),1)</f>
        <v>0</v>
      </c>
      <c r="H31" s="938"/>
      <c r="I31" s="258">
        <f>ROUND(SUM(I30:I30),1)</f>
        <v>11.9</v>
      </c>
      <c r="J31" s="938"/>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11.9</v>
      </c>
      <c r="X31" s="304"/>
      <c r="Y31" s="61">
        <f>ROUND(SUM(Y30:Y30),1)</f>
        <v>0</v>
      </c>
      <c r="Z31" s="304"/>
      <c r="AA31" s="61">
        <f>ROUND(SUM(AA30:AA30),1)</f>
        <v>0</v>
      </c>
      <c r="AB31" s="1576"/>
      <c r="AC31" s="61">
        <f>ROUND(SUM(AC30:AC30),1)</f>
        <v>0</v>
      </c>
      <c r="AD31" s="1069"/>
      <c r="AE31" s="304"/>
      <c r="AF31" s="61">
        <f>ROUND(SUM(AF30:AF30),1)</f>
        <v>95.3</v>
      </c>
      <c r="AG31" s="1070"/>
      <c r="AH31" s="305"/>
      <c r="AI31" s="3581">
        <f>ROUND(SUM(AI30:AI30),1)</f>
        <v>95.3</v>
      </c>
      <c r="AJ31" s="306"/>
      <c r="AK31" s="310"/>
      <c r="AL31" s="1138">
        <f>ROUND(SUM(AF31-AI31),1)</f>
        <v>0</v>
      </c>
      <c r="AM31" s="309"/>
      <c r="AN31" s="1479">
        <f>ROUND(IF(AI31=0,0,AL31/ABS(AI31)),3)</f>
        <v>0</v>
      </c>
      <c r="AO31" s="554"/>
      <c r="AP31" s="302"/>
      <c r="AQ31" s="302"/>
      <c r="AR31" s="302"/>
    </row>
    <row r="32" spans="1:46" ht="15.75">
      <c r="A32" s="31"/>
      <c r="B32" s="312"/>
      <c r="C32" s="31"/>
      <c r="D32" s="31"/>
      <c r="E32" s="258"/>
      <c r="F32" s="938"/>
      <c r="G32" s="258"/>
      <c r="H32" s="938"/>
      <c r="I32" s="258"/>
      <c r="J32" s="938"/>
      <c r="K32" s="258"/>
      <c r="L32" s="304"/>
      <c r="M32" s="258"/>
      <c r="N32" s="304"/>
      <c r="O32" s="258"/>
      <c r="P32" s="304"/>
      <c r="Q32" s="258"/>
      <c r="R32" s="304"/>
      <c r="S32" s="258"/>
      <c r="T32" s="304"/>
      <c r="U32" s="258"/>
      <c r="V32" s="304"/>
      <c r="W32" s="258"/>
      <c r="X32" s="304"/>
      <c r="Y32" s="258"/>
      <c r="Z32" s="304"/>
      <c r="AA32" s="258"/>
      <c r="AB32" s="1576"/>
      <c r="AC32" s="258"/>
      <c r="AD32" s="1069"/>
      <c r="AE32" s="304"/>
      <c r="AF32" s="258"/>
      <c r="AG32" s="1070"/>
      <c r="AH32" s="305"/>
      <c r="AI32" s="305"/>
      <c r="AJ32" s="306"/>
      <c r="AK32" s="310"/>
      <c r="AL32" s="311"/>
      <c r="AM32" s="307"/>
      <c r="AN32" s="1491"/>
      <c r="AO32" s="554"/>
      <c r="AP32" s="302"/>
      <c r="AQ32" s="302"/>
      <c r="AR32" s="302"/>
    </row>
    <row r="33" spans="1:44" ht="15.75">
      <c r="A33" s="31"/>
      <c r="B33" s="312" t="s">
        <v>1126</v>
      </c>
      <c r="C33" s="31"/>
      <c r="D33" s="31"/>
      <c r="E33" s="1895">
        <f>ROUND(SUM(E11+E28+E23+E31),1)</f>
        <v>113.7</v>
      </c>
      <c r="F33" s="1575"/>
      <c r="G33" s="1895">
        <f>ROUND(SUM(G11+G28+G23+G31),1)</f>
        <v>101.4</v>
      </c>
      <c r="H33" s="1575"/>
      <c r="I33" s="1895">
        <f>ROUND(SUM(I11+I28+I23+I31),1)</f>
        <v>138.1</v>
      </c>
      <c r="J33" s="1575"/>
      <c r="K33" s="1895">
        <f>ROUND(SUM(K11+K28+K23+K31),1)</f>
        <v>109.4</v>
      </c>
      <c r="L33" s="304"/>
      <c r="M33" s="1071">
        <f>ROUND(SUM(M11+M28+M23+M31),1)</f>
        <v>120.5</v>
      </c>
      <c r="N33" s="304"/>
      <c r="O33" s="1071">
        <f>ROUND(SUM(O11+O28+O23+O31),1)</f>
        <v>150.6</v>
      </c>
      <c r="P33" s="304"/>
      <c r="Q33" s="1071">
        <f>ROUND(SUM(Q11+Q28+Q23+Q31),1)</f>
        <v>116.6</v>
      </c>
      <c r="R33" s="304"/>
      <c r="S33" s="1071">
        <f>ROUND(SUM(S11+S28+S23+S31),1)</f>
        <v>108.1</v>
      </c>
      <c r="T33" s="304"/>
      <c r="U33" s="1071">
        <f>ROUND(SUM(U11+U28+U23+U31),1)</f>
        <v>131.9</v>
      </c>
      <c r="V33" s="304"/>
      <c r="W33" s="1071">
        <f>ROUND(SUM(W11+W28+W23+W31),1)</f>
        <v>112.5</v>
      </c>
      <c r="X33" s="304"/>
      <c r="Y33" s="1071">
        <f>ROUND(SUM(Y11+Y28+Y23+Y31),1)</f>
        <v>0</v>
      </c>
      <c r="Z33" s="304"/>
      <c r="AA33" s="1071">
        <f>ROUND(SUM(AA11+AA28+AA23+AA31),1)</f>
        <v>0</v>
      </c>
      <c r="AB33" s="1073"/>
      <c r="AC33" s="1071">
        <f>ROUND(SUM(AC15+AC28+AC23+AC31),1)</f>
        <v>0</v>
      </c>
      <c r="AD33" s="1069"/>
      <c r="AE33" s="304"/>
      <c r="AF33" s="1071">
        <f>ROUND(SUM(AF28+AF23+AF31),1)</f>
        <v>1202.8</v>
      </c>
      <c r="AG33" s="1070"/>
      <c r="AH33" s="305"/>
      <c r="AI33" s="1071">
        <f>ROUND(SUM(AI28+AI23+AI31),1)</f>
        <v>1201.2</v>
      </c>
      <c r="AJ33" s="306"/>
      <c r="AK33" s="310"/>
      <c r="AL33" s="1138">
        <f>ROUND(SUM(AF33-AI33),1)</f>
        <v>1.6</v>
      </c>
      <c r="AM33" s="309"/>
      <c r="AN33" s="1479">
        <f>ROUND(IF(AI33=0,0,AL33/ABS(AI33)),3)</f>
        <v>1E-3</v>
      </c>
      <c r="AO33" s="554"/>
      <c r="AP33" s="302"/>
      <c r="AQ33" s="302"/>
      <c r="AR33" s="302"/>
    </row>
    <row r="34" spans="1:44" ht="15.75">
      <c r="A34" s="31"/>
      <c r="B34" s="312"/>
      <c r="C34" s="31"/>
      <c r="D34" s="31"/>
      <c r="E34" s="1896"/>
      <c r="F34" s="1575"/>
      <c r="G34" s="1896"/>
      <c r="H34" s="1575"/>
      <c r="I34" s="1896"/>
      <c r="J34" s="1575"/>
      <c r="K34" s="1896"/>
      <c r="L34" s="304"/>
      <c r="M34" s="1073"/>
      <c r="N34" s="304"/>
      <c r="O34" s="1073"/>
      <c r="P34" s="304"/>
      <c r="Q34" s="1073"/>
      <c r="R34" s="304"/>
      <c r="S34" s="1073"/>
      <c r="T34" s="304"/>
      <c r="U34" s="1073"/>
      <c r="V34" s="304"/>
      <c r="W34" s="1073"/>
      <c r="X34" s="304"/>
      <c r="Y34" s="1073"/>
      <c r="Z34" s="304"/>
      <c r="AA34" s="1073"/>
      <c r="AB34" s="1073"/>
      <c r="AC34" s="1073"/>
      <c r="AD34" s="1413"/>
      <c r="AE34" s="304"/>
      <c r="AF34" s="1073"/>
      <c r="AG34" s="1070"/>
      <c r="AH34" s="305"/>
      <c r="AI34" s="1073"/>
      <c r="AJ34" s="306"/>
      <c r="AK34" s="310"/>
      <c r="AL34" s="1072"/>
      <c r="AM34" s="309"/>
      <c r="AN34" s="1467"/>
      <c r="AO34" s="554"/>
      <c r="AP34" s="302"/>
      <c r="AQ34" s="302"/>
      <c r="AR34" s="302"/>
    </row>
    <row r="35" spans="1:44" ht="15.75">
      <c r="A35" s="31"/>
      <c r="B35" s="261" t="s">
        <v>1033</v>
      </c>
      <c r="C35" s="31"/>
      <c r="D35" s="31"/>
      <c r="E35" s="672"/>
      <c r="F35" s="1575"/>
      <c r="G35" s="672"/>
      <c r="H35" s="1575"/>
      <c r="I35" s="672"/>
      <c r="J35" s="1575"/>
      <c r="K35" s="672"/>
      <c r="L35" s="66"/>
      <c r="M35" s="170"/>
      <c r="N35" s="66"/>
      <c r="O35" s="170"/>
      <c r="P35" s="66"/>
      <c r="Q35" s="170"/>
      <c r="R35" s="66"/>
      <c r="S35" s="170"/>
      <c r="T35" s="66"/>
      <c r="U35" s="170"/>
      <c r="V35" s="66"/>
      <c r="W35" s="170"/>
      <c r="X35" s="66"/>
      <c r="Y35" s="170"/>
      <c r="Z35" s="66"/>
      <c r="AA35" s="170"/>
      <c r="AB35" s="170"/>
      <c r="AC35" s="170"/>
      <c r="AD35" s="66"/>
      <c r="AE35" s="57"/>
      <c r="AF35" s="278"/>
      <c r="AG35" s="993"/>
      <c r="AH35" s="60"/>
      <c r="AI35" s="3627"/>
      <c r="AJ35" s="77"/>
      <c r="AK35" s="335"/>
      <c r="AL35" s="58"/>
      <c r="AM35" s="333"/>
      <c r="AN35" s="1462"/>
      <c r="AO35" s="327"/>
    </row>
    <row r="36" spans="1:44" ht="15.75">
      <c r="A36" s="31"/>
      <c r="B36" s="908" t="s">
        <v>1154</v>
      </c>
      <c r="C36" s="31"/>
      <c r="D36" s="31"/>
      <c r="E36" s="672"/>
      <c r="F36" s="1575"/>
      <c r="G36" s="672"/>
      <c r="H36" s="1575"/>
      <c r="I36" s="672"/>
      <c r="J36" s="1575"/>
      <c r="K36" s="672"/>
      <c r="L36" s="66"/>
      <c r="M36" s="170"/>
      <c r="N36" s="66"/>
      <c r="O36" s="170"/>
      <c r="P36" s="66"/>
      <c r="Q36" s="170"/>
      <c r="R36" s="66"/>
      <c r="S36" s="170"/>
      <c r="T36" s="66"/>
      <c r="U36" s="170"/>
      <c r="V36" s="66"/>
      <c r="W36" s="170"/>
      <c r="X36" s="66"/>
      <c r="Y36" s="170"/>
      <c r="Z36" s="66"/>
      <c r="AA36" s="170"/>
      <c r="AB36" s="170"/>
      <c r="AC36" s="170"/>
      <c r="AD36" s="66"/>
      <c r="AE36" s="57"/>
      <c r="AF36" s="278"/>
      <c r="AG36" s="993"/>
      <c r="AH36" s="60"/>
      <c r="AI36" s="3627"/>
      <c r="AJ36" s="77"/>
      <c r="AK36" s="335"/>
      <c r="AL36" s="58"/>
      <c r="AM36" s="333"/>
      <c r="AN36" s="1462"/>
      <c r="AO36" s="327"/>
    </row>
    <row r="37" spans="1:44" ht="15.75">
      <c r="A37" s="31"/>
      <c r="B37" s="908" t="s">
        <v>1067</v>
      </c>
      <c r="C37" s="31"/>
      <c r="D37" s="31"/>
      <c r="E37" s="672">
        <f>+'Exhibit I State'!E36+'Exhibit I Federal'!E19</f>
        <v>0</v>
      </c>
      <c r="F37" s="1575"/>
      <c r="G37" s="672">
        <f>+'Exhibit I State'!G36+'Exhibit I Federal'!G19</f>
        <v>0</v>
      </c>
      <c r="H37" s="1575"/>
      <c r="I37" s="672">
        <f>+'Exhibit I State'!I36+'Exhibit I Federal'!I19</f>
        <v>23</v>
      </c>
      <c r="J37" s="1575"/>
      <c r="K37" s="672">
        <f>+'Exhibit I State'!K36+'Exhibit I Federal'!K19</f>
        <v>0</v>
      </c>
      <c r="L37" s="66"/>
      <c r="M37" s="672">
        <f>+'Exhibit I State'!M36+'Exhibit I Federal'!M19</f>
        <v>0</v>
      </c>
      <c r="N37" s="66"/>
      <c r="O37" s="672">
        <f>+'Exhibit I State'!O36+'Exhibit I Federal'!O19</f>
        <v>0</v>
      </c>
      <c r="P37" s="66"/>
      <c r="Q37" s="672">
        <f>+'Exhibit I State'!Q36+'Exhibit I Federal'!Q19</f>
        <v>0</v>
      </c>
      <c r="R37" s="66"/>
      <c r="S37" s="672">
        <f>+'Exhibit I State'!S36+'Exhibit I Federal'!S19</f>
        <v>0</v>
      </c>
      <c r="T37" s="66"/>
      <c r="U37" s="672">
        <f>+'Exhibit I State'!U36+'Exhibit I Federal'!U19</f>
        <v>0</v>
      </c>
      <c r="V37" s="66"/>
      <c r="W37" s="672">
        <f>+'Exhibit I State'!W36+'Exhibit I Federal'!W19</f>
        <v>0</v>
      </c>
      <c r="X37" s="66"/>
      <c r="Y37" s="672"/>
      <c r="Z37" s="66"/>
      <c r="AA37" s="672"/>
      <c r="AB37" s="170"/>
      <c r="AC37" s="170">
        <v>0</v>
      </c>
      <c r="AD37" s="66"/>
      <c r="AE37" s="57"/>
      <c r="AF37" s="278">
        <f>ROUND(SUM(E37:AC37),1)</f>
        <v>23</v>
      </c>
      <c r="AG37" s="993"/>
      <c r="AH37" s="60"/>
      <c r="AI37" s="3627">
        <f>+'Exhibit I State'!AG36+'Exhibit I Federal'!AG19</f>
        <v>23</v>
      </c>
      <c r="AJ37" s="77"/>
      <c r="AK37" s="335"/>
      <c r="AL37" s="58">
        <f t="shared" ref="AL37:AL60" si="0">ROUND(SUM(+AF37-AI37),1)</f>
        <v>0</v>
      </c>
      <c r="AM37" s="333"/>
      <c r="AN37" s="1462">
        <f>ROUND(IF(AI37=0,0,AL37/ABS(AI37)),3)</f>
        <v>0</v>
      </c>
      <c r="AO37" s="327"/>
    </row>
    <row r="38" spans="1:44" ht="15.75">
      <c r="A38" s="31"/>
      <c r="B38" s="908" t="s">
        <v>1155</v>
      </c>
      <c r="C38" s="31"/>
      <c r="D38" s="31"/>
      <c r="E38" s="672"/>
      <c r="F38" s="1575"/>
      <c r="G38" s="672"/>
      <c r="H38" s="1575"/>
      <c r="I38" s="672"/>
      <c r="J38" s="1575"/>
      <c r="K38" s="672"/>
      <c r="L38" s="66"/>
      <c r="M38" s="672"/>
      <c r="N38" s="66"/>
      <c r="O38" s="672"/>
      <c r="P38" s="66"/>
      <c r="Q38" s="672"/>
      <c r="R38" s="66"/>
      <c r="S38" s="672"/>
      <c r="T38" s="66"/>
      <c r="U38" s="672"/>
      <c r="V38" s="66"/>
      <c r="W38" s="672"/>
      <c r="X38" s="66"/>
      <c r="Y38" s="672"/>
      <c r="Z38" s="66"/>
      <c r="AA38" s="672"/>
      <c r="AB38" s="170"/>
      <c r="AC38" s="170"/>
      <c r="AD38" s="66"/>
      <c r="AE38" s="57"/>
      <c r="AF38" s="278"/>
      <c r="AG38" s="993"/>
      <c r="AH38" s="60"/>
      <c r="AI38" s="3627"/>
      <c r="AJ38" s="77"/>
      <c r="AK38" s="335"/>
      <c r="AL38" s="58"/>
      <c r="AM38" s="333"/>
      <c r="AN38" s="1462"/>
      <c r="AO38" s="327"/>
    </row>
    <row r="39" spans="1:44" ht="15.75">
      <c r="A39" s="31"/>
      <c r="B39" s="908" t="s">
        <v>1068</v>
      </c>
      <c r="C39" s="31"/>
      <c r="D39" s="31"/>
      <c r="E39" s="672">
        <f>+'Exhibit I State'!E38+'Exhibit I Federal'!E21</f>
        <v>10.1</v>
      </c>
      <c r="F39" s="1575"/>
      <c r="G39" s="672">
        <f>+'Exhibit I State'!G38+'Exhibit I Federal'!G21</f>
        <v>9.2999999999999989</v>
      </c>
      <c r="H39" s="1575"/>
      <c r="I39" s="672">
        <f>+'Exhibit I State'!I38+'Exhibit I Federal'!I21</f>
        <v>8.7000000000000011</v>
      </c>
      <c r="J39" s="1575"/>
      <c r="K39" s="672">
        <f>+'Exhibit I State'!K38+'Exhibit I Federal'!K21</f>
        <v>8.1999999999999975</v>
      </c>
      <c r="L39" s="66"/>
      <c r="M39" s="672">
        <f>+'Exhibit I State'!M38+'Exhibit I Federal'!M21</f>
        <v>8.6</v>
      </c>
      <c r="N39" s="66"/>
      <c r="O39" s="672">
        <f>+'Exhibit I State'!O38+'Exhibit I Federal'!O21</f>
        <v>8.300000000000006</v>
      </c>
      <c r="P39" s="66"/>
      <c r="Q39" s="672">
        <f>+'Exhibit I State'!Q38+'Exhibit I Federal'!Q21</f>
        <v>8.2999999999999954</v>
      </c>
      <c r="R39" s="66"/>
      <c r="S39" s="672">
        <f>+'Exhibit I State'!S38+'Exhibit I Federal'!S21</f>
        <v>8.0000000000000018</v>
      </c>
      <c r="T39" s="66"/>
      <c r="U39" s="672">
        <f>+'Exhibit I State'!U38+'Exhibit I Federal'!U21</f>
        <v>7.6000000000000014</v>
      </c>
      <c r="V39" s="66"/>
      <c r="W39" s="672">
        <f>+'Exhibit I State'!W38+'Exhibit I Federal'!W21</f>
        <v>8.3000000000000096</v>
      </c>
      <c r="X39" s="66"/>
      <c r="Y39" s="672"/>
      <c r="Z39" s="66"/>
      <c r="AA39" s="672"/>
      <c r="AB39" s="170"/>
      <c r="AC39" s="170">
        <v>0</v>
      </c>
      <c r="AD39" s="66"/>
      <c r="AE39" s="57"/>
      <c r="AF39" s="1099">
        <f>ROUND(SUM(E39:AC39),1)</f>
        <v>85.4</v>
      </c>
      <c r="AG39" s="993"/>
      <c r="AH39" s="60"/>
      <c r="AI39" s="3627">
        <f>+'Exhibit I State'!AG38+'Exhibit I Federal'!AG21</f>
        <v>84.1</v>
      </c>
      <c r="AJ39" s="77"/>
      <c r="AK39" s="335"/>
      <c r="AL39" s="58">
        <f t="shared" si="0"/>
        <v>1.3</v>
      </c>
      <c r="AM39" s="333"/>
      <c r="AN39" s="1462">
        <f>ROUND(IF(AI39=0,0,AL39/ABS(AI39)),3)</f>
        <v>1.4999999999999999E-2</v>
      </c>
      <c r="AO39" s="327"/>
    </row>
    <row r="40" spans="1:44" ht="15.75">
      <c r="A40" s="31"/>
      <c r="B40" s="908" t="s">
        <v>1160</v>
      </c>
      <c r="C40" s="31"/>
      <c r="D40" s="31"/>
      <c r="E40" s="672"/>
      <c r="F40" s="1575"/>
      <c r="G40" s="672"/>
      <c r="H40" s="1575"/>
      <c r="I40" s="672"/>
      <c r="J40" s="1575"/>
      <c r="K40" s="672"/>
      <c r="L40" s="66"/>
      <c r="M40" s="672"/>
      <c r="N40" s="66"/>
      <c r="O40" s="672"/>
      <c r="P40" s="66"/>
      <c r="Q40" s="672"/>
      <c r="R40" s="66"/>
      <c r="S40" s="672"/>
      <c r="T40" s="66"/>
      <c r="U40" s="672"/>
      <c r="V40" s="66"/>
      <c r="W40" s="672"/>
      <c r="X40" s="66"/>
      <c r="Y40" s="672"/>
      <c r="Z40" s="66"/>
      <c r="AA40" s="672"/>
      <c r="AB40" s="170"/>
      <c r="AC40" s="170"/>
      <c r="AD40" s="66"/>
      <c r="AE40" s="57"/>
      <c r="AF40" s="1099"/>
      <c r="AG40" s="993"/>
      <c r="AH40" s="60"/>
      <c r="AI40" s="3627"/>
      <c r="AJ40" s="77"/>
      <c r="AK40" s="335"/>
      <c r="AL40" s="58"/>
      <c r="AM40" s="333"/>
      <c r="AN40" s="1462"/>
      <c r="AO40" s="327"/>
    </row>
    <row r="41" spans="1:44" ht="15.75">
      <c r="A41" s="31"/>
      <c r="B41" s="908" t="s">
        <v>1072</v>
      </c>
      <c r="C41" s="31"/>
      <c r="D41" s="31"/>
      <c r="E41" s="672">
        <f>+'Exhibit I State'!E40+'Exhibit I Federal'!E23</f>
        <v>0.8</v>
      </c>
      <c r="F41" s="1575"/>
      <c r="G41" s="672">
        <f>+'Exhibit I State'!G40+'Exhibit I Federal'!G23</f>
        <v>5.6000000000000005</v>
      </c>
      <c r="H41" s="1575"/>
      <c r="I41" s="672">
        <f>+'Exhibit I State'!I40+'Exhibit I Federal'!I23</f>
        <v>3.6999999999999984</v>
      </c>
      <c r="J41" s="1575"/>
      <c r="K41" s="672">
        <f>+'Exhibit I State'!K40+'Exhibit I Federal'!K23</f>
        <v>2.5</v>
      </c>
      <c r="L41" s="66"/>
      <c r="M41" s="672">
        <f>+'Exhibit I State'!M40+'Exhibit I Federal'!M23</f>
        <v>10.7</v>
      </c>
      <c r="N41" s="66"/>
      <c r="O41" s="672">
        <f>+'Exhibit I State'!O40+'Exhibit I Federal'!O23</f>
        <v>1.3000000000000007</v>
      </c>
      <c r="P41" s="66"/>
      <c r="Q41" s="672">
        <f>+'Exhibit I State'!Q40+'Exhibit I Federal'!Q23</f>
        <v>1.1999999999999993</v>
      </c>
      <c r="R41" s="66"/>
      <c r="S41" s="672">
        <f>+'Exhibit I State'!S40+'Exhibit I Federal'!S23</f>
        <v>2</v>
      </c>
      <c r="T41" s="66"/>
      <c r="U41" s="672">
        <f>+'Exhibit I State'!U40+'Exhibit I Federal'!U23</f>
        <v>0.59999999999999787</v>
      </c>
      <c r="V41" s="66"/>
      <c r="W41" s="672">
        <f>+'Exhibit I State'!W40+'Exhibit I Federal'!W23</f>
        <v>0.60000000000000142</v>
      </c>
      <c r="X41" s="66"/>
      <c r="Y41" s="672"/>
      <c r="Z41" s="66"/>
      <c r="AA41" s="672"/>
      <c r="AB41" s="170"/>
      <c r="AC41" s="170">
        <v>0</v>
      </c>
      <c r="AD41" s="66"/>
      <c r="AE41" s="57"/>
      <c r="AF41" s="1099">
        <f t="shared" ref="AF41:AF45" si="1">ROUND(SUM(E41:AC41),1)</f>
        <v>29</v>
      </c>
      <c r="AG41" s="993"/>
      <c r="AH41" s="60"/>
      <c r="AI41" s="3627">
        <f>+'Exhibit I State'!AG40+'Exhibit I Federal'!AG23</f>
        <v>29.8</v>
      </c>
      <c r="AJ41" s="77"/>
      <c r="AK41" s="335"/>
      <c r="AL41" s="58">
        <f t="shared" si="0"/>
        <v>-0.8</v>
      </c>
      <c r="AM41" s="333"/>
      <c r="AN41" s="1462">
        <f>ROUND(IF(AI41=0,0,AL41/ABS(AI41)),3)</f>
        <v>-2.7E-2</v>
      </c>
      <c r="AO41" s="327"/>
    </row>
    <row r="42" spans="1:44" ht="15.75">
      <c r="A42" s="31"/>
      <c r="B42" s="908" t="s">
        <v>1221</v>
      </c>
      <c r="C42" s="31"/>
      <c r="D42" s="31"/>
      <c r="E42" s="672">
        <f>+'Exhibit I State'!E41+'Exhibit I Federal'!E24</f>
        <v>0</v>
      </c>
      <c r="F42" s="1575"/>
      <c r="G42" s="672">
        <f>+'Exhibit I State'!G41+'Exhibit I Federal'!G24</f>
        <v>0</v>
      </c>
      <c r="H42" s="1575"/>
      <c r="I42" s="672">
        <f>+'Exhibit I State'!I41+'Exhibit I Federal'!I24</f>
        <v>0</v>
      </c>
      <c r="J42" s="1575"/>
      <c r="K42" s="672">
        <f>+'Exhibit I State'!K41+'Exhibit I Federal'!K24</f>
        <v>0</v>
      </c>
      <c r="L42" s="66"/>
      <c r="M42" s="672">
        <f>+'Exhibit I State'!M41+'Exhibit I Federal'!M24</f>
        <v>0</v>
      </c>
      <c r="N42" s="66"/>
      <c r="O42" s="672">
        <f>+'Exhibit I State'!O41+'Exhibit I Federal'!O24</f>
        <v>0</v>
      </c>
      <c r="P42" s="66"/>
      <c r="Q42" s="672">
        <f>+'Exhibit I State'!Q41+'Exhibit I Federal'!Q24</f>
        <v>0</v>
      </c>
      <c r="R42" s="66"/>
      <c r="S42" s="672">
        <f>+'Exhibit I State'!S41+'Exhibit I Federal'!S24</f>
        <v>0</v>
      </c>
      <c r="T42" s="66"/>
      <c r="U42" s="672">
        <f>+'Exhibit I State'!U41+'Exhibit I Federal'!U24</f>
        <v>0</v>
      </c>
      <c r="V42" s="66"/>
      <c r="W42" s="672">
        <f>+'Exhibit I State'!W41+'Exhibit I Federal'!W24</f>
        <v>0</v>
      </c>
      <c r="X42" s="66"/>
      <c r="Y42" s="672"/>
      <c r="Z42" s="66"/>
      <c r="AA42" s="672"/>
      <c r="AB42" s="170"/>
      <c r="AC42" s="170">
        <v>0</v>
      </c>
      <c r="AD42" s="66"/>
      <c r="AE42" s="57"/>
      <c r="AF42" s="1099">
        <f t="shared" si="1"/>
        <v>0</v>
      </c>
      <c r="AG42" s="1520"/>
      <c r="AH42" s="60"/>
      <c r="AI42" s="3627">
        <f>+'Exhibit I State'!AG41+'Exhibit I Federal'!AG24</f>
        <v>0</v>
      </c>
      <c r="AJ42" s="77"/>
      <c r="AK42" s="335"/>
      <c r="AL42" s="58">
        <f>ROUND(SUM(+AF42-AI42),1)</f>
        <v>0</v>
      </c>
      <c r="AM42" s="333"/>
      <c r="AN42" s="1462">
        <f>ROUND(IF(AI42=0,0,AL42/ABS(AI42)),3)</f>
        <v>0</v>
      </c>
      <c r="AO42" s="327"/>
    </row>
    <row r="43" spans="1:44" ht="15.75">
      <c r="A43" s="31"/>
      <c r="B43" s="908" t="s">
        <v>1075</v>
      </c>
      <c r="C43" s="31"/>
      <c r="D43" s="31"/>
      <c r="E43" s="672">
        <f>+'Exhibit I State'!E42+'Exhibit I Federal'!E25</f>
        <v>67</v>
      </c>
      <c r="F43" s="1575"/>
      <c r="G43" s="672">
        <f>+'Exhibit I State'!G42+'Exhibit I Federal'!G25</f>
        <v>69.300000000000011</v>
      </c>
      <c r="H43" s="1575"/>
      <c r="I43" s="672">
        <f>+'Exhibit I State'!I42+'Exhibit I Federal'!I25</f>
        <v>65.399999999999977</v>
      </c>
      <c r="J43" s="1575"/>
      <c r="K43" s="672">
        <f>+'Exhibit I State'!K42+'Exhibit I Federal'!K25</f>
        <v>60.800000000000011</v>
      </c>
      <c r="L43" s="66"/>
      <c r="M43" s="672">
        <f>+'Exhibit I State'!M42+'Exhibit I Federal'!M25</f>
        <v>63.600000000000023</v>
      </c>
      <c r="N43" s="66"/>
      <c r="O43" s="672">
        <f>+'Exhibit I State'!O42+'Exhibit I Federal'!O25</f>
        <v>60.399999999999977</v>
      </c>
      <c r="P43" s="66"/>
      <c r="Q43" s="672">
        <f>+'Exhibit I State'!Q42+'Exhibit I Federal'!Q25</f>
        <v>57.399999999999977</v>
      </c>
      <c r="R43" s="66"/>
      <c r="S43" s="672">
        <f>+'Exhibit I State'!S42+'Exhibit I Federal'!S25</f>
        <v>58.5</v>
      </c>
      <c r="T43" s="66"/>
      <c r="U43" s="672">
        <f>+'Exhibit I State'!U42+'Exhibit I Federal'!U25</f>
        <v>52.299999999999955</v>
      </c>
      <c r="V43" s="66"/>
      <c r="W43" s="672">
        <f>+'Exhibit I State'!W42+'Exhibit I Federal'!W25</f>
        <v>59.900000000000091</v>
      </c>
      <c r="X43" s="66"/>
      <c r="Y43" s="672"/>
      <c r="Z43" s="66"/>
      <c r="AA43" s="672"/>
      <c r="AB43" s="170"/>
      <c r="AC43" s="170">
        <v>0</v>
      </c>
      <c r="AD43" s="66"/>
      <c r="AE43" s="57"/>
      <c r="AF43" s="1099">
        <f>ROUND(SUM(E43:AC43),1)</f>
        <v>614.6</v>
      </c>
      <c r="AG43" s="993"/>
      <c r="AH43" s="60"/>
      <c r="AI43" s="3627">
        <f>+'Exhibit I State'!AG42+'Exhibit I Federal'!AG25</f>
        <v>607.4</v>
      </c>
      <c r="AJ43" s="77"/>
      <c r="AK43" s="335"/>
      <c r="AL43" s="58">
        <f t="shared" si="0"/>
        <v>7.2</v>
      </c>
      <c r="AM43" s="333"/>
      <c r="AN43" s="1462">
        <f>ROUND(IF(AI43=0,0,AL43/ABS(AI43)),3)</f>
        <v>1.2E-2</v>
      </c>
      <c r="AO43" s="327"/>
    </row>
    <row r="44" spans="1:44" ht="15.75">
      <c r="A44" s="31"/>
      <c r="B44" s="908" t="s">
        <v>1076</v>
      </c>
      <c r="C44" s="31"/>
      <c r="D44" s="31"/>
      <c r="E44" s="672">
        <f>+'Exhibit I State'!E43+'Exhibit I Federal'!E26</f>
        <v>0.2</v>
      </c>
      <c r="F44" s="1575"/>
      <c r="G44" s="672">
        <f>+'Exhibit I State'!G43+'Exhibit I Federal'!G26</f>
        <v>9.9999999999999978E-2</v>
      </c>
      <c r="H44" s="1575"/>
      <c r="I44" s="672">
        <f>+'Exhibit I State'!I43+'Exhibit I Federal'!I26</f>
        <v>0</v>
      </c>
      <c r="J44" s="1575"/>
      <c r="K44" s="672">
        <f>+'Exhibit I State'!K43+'Exhibit I Federal'!K26</f>
        <v>0</v>
      </c>
      <c r="L44" s="66"/>
      <c r="M44" s="672">
        <f>+'Exhibit I State'!M43+'Exhibit I Federal'!M26</f>
        <v>0</v>
      </c>
      <c r="N44" s="66"/>
      <c r="O44" s="672">
        <f>+'Exhibit I State'!O43+'Exhibit I Federal'!O26</f>
        <v>2.9999999999999996</v>
      </c>
      <c r="P44" s="66"/>
      <c r="Q44" s="672">
        <f>+'Exhibit I State'!Q43+'Exhibit I Federal'!Q26</f>
        <v>12.800000000000002</v>
      </c>
      <c r="R44" s="66"/>
      <c r="S44" s="672">
        <f>+'Exhibit I State'!S43+'Exhibit I Federal'!S26</f>
        <v>-1.2000000000000011</v>
      </c>
      <c r="T44" s="66"/>
      <c r="U44" s="672">
        <f>+'Exhibit I State'!U43+'Exhibit I Federal'!U26</f>
        <v>0</v>
      </c>
      <c r="V44" s="66"/>
      <c r="W44" s="672">
        <f>+'Exhibit I State'!W43+'Exhibit I Federal'!W26</f>
        <v>15.899999999999999</v>
      </c>
      <c r="X44" s="66"/>
      <c r="Y44" s="672"/>
      <c r="Z44" s="66"/>
      <c r="AA44" s="672"/>
      <c r="AB44" s="170"/>
      <c r="AC44" s="170">
        <v>0</v>
      </c>
      <c r="AD44" s="66"/>
      <c r="AE44" s="57"/>
      <c r="AF44" s="1099">
        <f t="shared" si="1"/>
        <v>30.8</v>
      </c>
      <c r="AG44" s="993"/>
      <c r="AH44" s="60"/>
      <c r="AI44" s="3628">
        <f>+'Exhibit I State'!AG43+'Exhibit I Federal'!AG26</f>
        <v>33.4</v>
      </c>
      <c r="AJ44" s="77"/>
      <c r="AK44" s="335"/>
      <c r="AL44" s="684">
        <f>ROUND(SUM(+AF44-AI44),1)</f>
        <v>-2.6</v>
      </c>
      <c r="AM44" s="959"/>
      <c r="AN44" s="1462">
        <f>ROUND(IF(AI44=0,1,AL44/ABS(AI44)),3)</f>
        <v>-7.8E-2</v>
      </c>
      <c r="AO44" s="327"/>
    </row>
    <row r="45" spans="1:44" ht="15.75">
      <c r="A45" s="31"/>
      <c r="B45" s="908" t="s">
        <v>1034</v>
      </c>
      <c r="C45" s="31"/>
      <c r="D45" s="31"/>
      <c r="E45" s="672">
        <f>+'Exhibit I State'!E44+'Exhibit I Federal'!E27</f>
        <v>2.2999999999999998</v>
      </c>
      <c r="F45" s="1575"/>
      <c r="G45" s="672">
        <f>+'Exhibit I State'!G44+'Exhibit I Federal'!G27</f>
        <v>2</v>
      </c>
      <c r="H45" s="1575"/>
      <c r="I45" s="672">
        <f>+'Exhibit I State'!I44+'Exhibit I Federal'!I27</f>
        <v>2.3000000000000007</v>
      </c>
      <c r="J45" s="1575"/>
      <c r="K45" s="672">
        <f>+'Exhibit I State'!K44+'Exhibit I Federal'!K27</f>
        <v>1.7000000000000002</v>
      </c>
      <c r="L45" s="66"/>
      <c r="M45" s="672">
        <f>+'Exhibit I State'!M44+'Exhibit I Federal'!M27</f>
        <v>1.6999999999999993</v>
      </c>
      <c r="N45" s="66"/>
      <c r="O45" s="672">
        <f>+'Exhibit I State'!O44+'Exhibit I Federal'!O27</f>
        <v>2.2999999999999998</v>
      </c>
      <c r="P45" s="66"/>
      <c r="Q45" s="672">
        <f>+'Exhibit I State'!Q44+'Exhibit I Federal'!Q27</f>
        <v>1.8999999999999986</v>
      </c>
      <c r="R45" s="66"/>
      <c r="S45" s="672">
        <f>+'Exhibit I State'!S44+'Exhibit I Federal'!S27</f>
        <v>5.1000000000000023</v>
      </c>
      <c r="T45" s="66"/>
      <c r="U45" s="672">
        <f>+'Exhibit I State'!U44+'Exhibit I Federal'!U27</f>
        <v>1.2999999999999998</v>
      </c>
      <c r="V45" s="66"/>
      <c r="W45" s="672">
        <f>+'Exhibit I State'!W44+'Exhibit I Federal'!W27</f>
        <v>1.5999999999999979</v>
      </c>
      <c r="X45" s="66"/>
      <c r="Y45" s="672"/>
      <c r="Z45" s="66"/>
      <c r="AA45" s="672"/>
      <c r="AB45" s="170"/>
      <c r="AC45" s="170">
        <v>0</v>
      </c>
      <c r="AD45" s="66"/>
      <c r="AE45" s="57"/>
      <c r="AF45" s="1099">
        <f t="shared" si="1"/>
        <v>22.2</v>
      </c>
      <c r="AG45" s="993"/>
      <c r="AH45" s="60"/>
      <c r="AI45" s="3627">
        <f>+'Exhibit I State'!AG44+'Exhibit I Federal'!AG27</f>
        <v>20.099999999999998</v>
      </c>
      <c r="AJ45" s="77"/>
      <c r="AK45" s="335"/>
      <c r="AL45" s="58">
        <f t="shared" si="0"/>
        <v>2.1</v>
      </c>
      <c r="AM45" s="333"/>
      <c r="AN45" s="1518">
        <f>ROUND(IF(AI45=0,1,AL45/ABS(AI45)),3)</f>
        <v>0.104</v>
      </c>
      <c r="AO45" s="327"/>
    </row>
    <row r="46" spans="1:44" ht="15.75">
      <c r="A46" s="31"/>
      <c r="B46" s="908" t="s">
        <v>1035</v>
      </c>
      <c r="C46" s="31"/>
      <c r="D46" s="31"/>
      <c r="E46" s="672">
        <f>+'Exhibit I State'!E45+'Exhibit I Federal'!E28</f>
        <v>1.1000000000000001</v>
      </c>
      <c r="F46" s="1575"/>
      <c r="G46" s="672">
        <f>+'Exhibit I State'!G45+'Exhibit I Federal'!G28</f>
        <v>1</v>
      </c>
      <c r="H46" s="1575"/>
      <c r="I46" s="672">
        <f>+'Exhibit I State'!I45+'Exhibit I Federal'!I28</f>
        <v>1</v>
      </c>
      <c r="J46" s="1575"/>
      <c r="K46" s="672">
        <f>+'Exhibit I State'!K45+'Exhibit I Federal'!K28</f>
        <v>1.0999999999999992</v>
      </c>
      <c r="L46" s="66"/>
      <c r="M46" s="672">
        <f>+'Exhibit I State'!M45+'Exhibit I Federal'!M28</f>
        <v>1.0000000000000004</v>
      </c>
      <c r="N46" s="66"/>
      <c r="O46" s="672">
        <f>+'Exhibit I State'!O45+'Exhibit I Federal'!O28</f>
        <v>1</v>
      </c>
      <c r="P46" s="66"/>
      <c r="Q46" s="672">
        <f>+'Exhibit I State'!Q45+'Exhibit I Federal'!Q28</f>
        <v>1</v>
      </c>
      <c r="R46" s="66"/>
      <c r="S46" s="672">
        <f>+'Exhibit I State'!S45+'Exhibit I Federal'!S28</f>
        <v>0.90000000000000036</v>
      </c>
      <c r="T46" s="66"/>
      <c r="U46" s="672">
        <f>+'Exhibit I State'!U45+'Exhibit I Federal'!U28</f>
        <v>0.80000000000000027</v>
      </c>
      <c r="V46" s="66"/>
      <c r="W46" s="672">
        <f>+'Exhibit I State'!W45+'Exhibit I Federal'!W28</f>
        <v>0.79999999999999938</v>
      </c>
      <c r="X46" s="66"/>
      <c r="Y46" s="672"/>
      <c r="Z46" s="66"/>
      <c r="AA46" s="672"/>
      <c r="AB46" s="170"/>
      <c r="AC46" s="170">
        <v>0</v>
      </c>
      <c r="AD46" s="66"/>
      <c r="AE46" s="57"/>
      <c r="AF46" s="1099">
        <f>ROUND(SUM(E46:AC46),1)</f>
        <v>9.6999999999999993</v>
      </c>
      <c r="AG46" s="993"/>
      <c r="AH46" s="60"/>
      <c r="AI46" s="3627">
        <f>+'Exhibit I State'!AG45+'Exhibit I Federal'!AG28</f>
        <v>9</v>
      </c>
      <c r="AJ46" s="77"/>
      <c r="AK46" s="335"/>
      <c r="AL46" s="58">
        <f>ROUND(SUM(+AF46-AI46),1)</f>
        <v>0.7</v>
      </c>
      <c r="AM46" s="333"/>
      <c r="AN46" s="1462">
        <f>ROUND(IF(AI46=0,1,AL46/ABS(AI46)),3)</f>
        <v>7.8E-2</v>
      </c>
      <c r="AO46" s="327"/>
    </row>
    <row r="47" spans="1:44" ht="15.75">
      <c r="A47" s="31"/>
      <c r="B47" s="908" t="s">
        <v>1158</v>
      </c>
      <c r="C47" s="31"/>
      <c r="D47" s="31"/>
      <c r="E47" s="672"/>
      <c r="F47" s="1575"/>
      <c r="G47" s="672"/>
      <c r="H47" s="1575"/>
      <c r="I47" s="672"/>
      <c r="J47" s="1575"/>
      <c r="K47" s="672"/>
      <c r="L47" s="66"/>
      <c r="M47" s="672"/>
      <c r="N47" s="66"/>
      <c r="O47" s="672"/>
      <c r="P47" s="66"/>
      <c r="Q47" s="672"/>
      <c r="R47" s="66"/>
      <c r="S47" s="672"/>
      <c r="T47" s="66"/>
      <c r="U47" s="672"/>
      <c r="V47" s="66"/>
      <c r="W47" s="672"/>
      <c r="X47" s="66"/>
      <c r="Y47" s="672"/>
      <c r="Z47" s="66"/>
      <c r="AA47" s="672"/>
      <c r="AB47" s="170"/>
      <c r="AC47" s="170"/>
      <c r="AD47" s="66"/>
      <c r="AE47" s="57"/>
      <c r="AF47" s="1099"/>
      <c r="AG47" s="993"/>
      <c r="AH47" s="60"/>
      <c r="AI47" s="3627"/>
      <c r="AJ47" s="77"/>
      <c r="AK47" s="335"/>
      <c r="AL47" s="58"/>
      <c r="AM47" s="333"/>
      <c r="AN47" s="8"/>
      <c r="AO47" s="327"/>
    </row>
    <row r="48" spans="1:44" ht="15.75">
      <c r="A48" s="31"/>
      <c r="B48" s="908" t="s">
        <v>1080</v>
      </c>
      <c r="C48" s="31"/>
      <c r="D48" s="31"/>
      <c r="E48" s="672">
        <f>+'Exhibit I State'!E47+'Exhibit I Federal'!E30</f>
        <v>200.8</v>
      </c>
      <c r="F48" s="1575"/>
      <c r="G48" s="672">
        <f>+'Exhibit I State'!G47+'Exhibit I Federal'!G30</f>
        <v>2.8</v>
      </c>
      <c r="H48" s="1575"/>
      <c r="I48" s="672">
        <f>+'Exhibit I State'!I47+'Exhibit I Federal'!I30</f>
        <v>146.39999999999998</v>
      </c>
      <c r="J48" s="1575"/>
      <c r="K48" s="672">
        <f>+'Exhibit I State'!K47+'Exhibit I Federal'!K30</f>
        <v>155.30000000000001</v>
      </c>
      <c r="L48" s="66"/>
      <c r="M48" s="672">
        <f>+'Exhibit I State'!M47+'Exhibit I Federal'!M30</f>
        <v>79.199999999999989</v>
      </c>
      <c r="N48" s="66"/>
      <c r="O48" s="672">
        <f>+'Exhibit I State'!O47+'Exhibit I Federal'!O30</f>
        <v>499.09999999999997</v>
      </c>
      <c r="P48" s="66"/>
      <c r="Q48" s="672">
        <f>+'Exhibit I State'!Q47+'Exhibit I Federal'!Q30</f>
        <v>1588.1999999999998</v>
      </c>
      <c r="R48" s="66"/>
      <c r="S48" s="672">
        <f>+'Exhibit I State'!S47+'Exhibit I Federal'!S30</f>
        <v>23.599999999999909</v>
      </c>
      <c r="T48" s="66"/>
      <c r="U48" s="672">
        <f>+'Exhibit I State'!U47+'Exhibit I Federal'!U30</f>
        <v>328.29999999999973</v>
      </c>
      <c r="V48" s="66"/>
      <c r="W48" s="672">
        <f>+'Exhibit I State'!W47+'Exhibit I Federal'!W30</f>
        <v>519.40000000000009</v>
      </c>
      <c r="X48" s="66"/>
      <c r="Y48" s="672"/>
      <c r="Z48" s="66"/>
      <c r="AA48" s="672"/>
      <c r="AB48" s="170"/>
      <c r="AC48" s="170">
        <v>0</v>
      </c>
      <c r="AD48" s="66"/>
      <c r="AE48" s="57"/>
      <c r="AF48" s="1099">
        <f>ROUND(SUM(E48:AC48),1)</f>
        <v>3543.1</v>
      </c>
      <c r="AG48" s="993"/>
      <c r="AH48" s="60"/>
      <c r="AI48" s="3627">
        <f>+'Exhibit I State'!AG47+'Exhibit I Federal'!AG30</f>
        <v>3878.1</v>
      </c>
      <c r="AJ48" s="77"/>
      <c r="AK48" s="335"/>
      <c r="AL48" s="58">
        <f t="shared" si="0"/>
        <v>-335</v>
      </c>
      <c r="AM48" s="333"/>
      <c r="AN48" s="1929">
        <f>ROUND(IF(AI48=0,1,AL48/ABS(AI48)),3)</f>
        <v>-8.5999999999999993E-2</v>
      </c>
      <c r="AO48" s="327"/>
    </row>
    <row r="49" spans="1:41" ht="15.75">
      <c r="A49" s="31"/>
      <c r="B49" s="908" t="s">
        <v>1082</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f>+'Exhibit I State'!M48+'Exhibit I Federal'!M31</f>
        <v>0</v>
      </c>
      <c r="N49" s="170"/>
      <c r="O49" s="672">
        <f>+'Exhibit I State'!O48+'Exhibit I Federal'!O31</f>
        <v>0</v>
      </c>
      <c r="P49" s="170"/>
      <c r="Q49" s="672">
        <f>+'Exhibit I State'!Q48+'Exhibit I Federal'!Q31</f>
        <v>0</v>
      </c>
      <c r="R49" s="66"/>
      <c r="S49" s="672">
        <f>+'Exhibit I State'!S48+'Exhibit I Federal'!S31</f>
        <v>0</v>
      </c>
      <c r="T49" s="66"/>
      <c r="U49" s="672">
        <f>+'Exhibit I State'!U48+'Exhibit I Federal'!U31</f>
        <v>0</v>
      </c>
      <c r="V49" s="66"/>
      <c r="W49" s="672">
        <f>+'Exhibit I State'!W48+'Exhibit I Federal'!W31</f>
        <v>0</v>
      </c>
      <c r="X49" s="66"/>
      <c r="Y49" s="672"/>
      <c r="Z49" s="66"/>
      <c r="AA49" s="672"/>
      <c r="AB49" s="170"/>
      <c r="AC49" s="170">
        <v>0</v>
      </c>
      <c r="AD49" s="66"/>
      <c r="AE49" s="57"/>
      <c r="AF49" s="1099">
        <f>ROUND(SUM(E49:AC49),1)</f>
        <v>0</v>
      </c>
      <c r="AG49" s="1520"/>
      <c r="AH49" s="60"/>
      <c r="AI49" s="3627">
        <f>+'Exhibit I State'!AG48+'Exhibit I Federal'!AG31</f>
        <v>0</v>
      </c>
      <c r="AJ49" s="77"/>
      <c r="AK49" s="335"/>
      <c r="AL49" s="58">
        <f t="shared" si="0"/>
        <v>0</v>
      </c>
      <c r="AM49" s="333"/>
      <c r="AN49" s="1462">
        <f>ROUND(IF(AI49=0,0,AL49/ABS(AI49)),3)</f>
        <v>0</v>
      </c>
      <c r="AO49" s="327"/>
    </row>
    <row r="50" spans="1:41" ht="15.75">
      <c r="A50" s="31"/>
      <c r="B50" s="908" t="s">
        <v>1083</v>
      </c>
      <c r="C50" s="31"/>
      <c r="D50" s="31"/>
      <c r="E50" s="672">
        <f>+'Exhibit I State'!E49+'Exhibit I Federal'!E32</f>
        <v>3.5</v>
      </c>
      <c r="F50" s="1575"/>
      <c r="G50" s="672">
        <f>+'Exhibit I State'!G49+'Exhibit I Federal'!G32</f>
        <v>0.10000000000000009</v>
      </c>
      <c r="H50" s="1575"/>
      <c r="I50" s="672">
        <f>+'Exhibit I State'!I49+'Exhibit I Federal'!I32</f>
        <v>0.39999999999999991</v>
      </c>
      <c r="J50" s="1575"/>
      <c r="K50" s="672">
        <f>+'Exhibit I State'!K49+'Exhibit I Federal'!K32</f>
        <v>-0.10000000000000009</v>
      </c>
      <c r="L50" s="66"/>
      <c r="M50" s="672">
        <f>+'Exhibit I State'!M49+'Exhibit I Federal'!M32</f>
        <v>0</v>
      </c>
      <c r="N50" s="66"/>
      <c r="O50" s="672">
        <f>+'Exhibit I State'!O49+'Exhibit I Federal'!O32</f>
        <v>0</v>
      </c>
      <c r="P50" s="66"/>
      <c r="Q50" s="672">
        <f>+'Exhibit I State'!Q49+'Exhibit I Federal'!Q32</f>
        <v>20.400000000000002</v>
      </c>
      <c r="R50" s="66"/>
      <c r="S50" s="672">
        <f>+'Exhibit I State'!S49+'Exhibit I Federal'!S32</f>
        <v>25.3</v>
      </c>
      <c r="T50" s="66"/>
      <c r="U50" s="672">
        <f>+'Exhibit I State'!U49+'Exhibit I Federal'!U32</f>
        <v>0.39999999999999858</v>
      </c>
      <c r="V50" s="66"/>
      <c r="W50" s="672">
        <f>+'Exhibit I State'!W49+'Exhibit I Federal'!W32</f>
        <v>2.2999999999999972</v>
      </c>
      <c r="X50" s="66"/>
      <c r="Y50" s="672"/>
      <c r="Z50" s="66"/>
      <c r="AA50" s="672"/>
      <c r="AB50" s="170"/>
      <c r="AC50" s="170">
        <v>0</v>
      </c>
      <c r="AD50" s="66"/>
      <c r="AE50" s="57"/>
      <c r="AF50" s="1099">
        <f>ROUND(SUM(E50:AC50),1)</f>
        <v>52.3</v>
      </c>
      <c r="AG50" s="993"/>
      <c r="AH50" s="60"/>
      <c r="AI50" s="3627">
        <f>+'Exhibit I State'!AG49+'Exhibit I Federal'!AG32</f>
        <v>5.0999999999999996</v>
      </c>
      <c r="AJ50" s="77"/>
      <c r="AK50" s="335"/>
      <c r="AL50" s="58">
        <f t="shared" si="0"/>
        <v>47.2</v>
      </c>
      <c r="AM50" s="333"/>
      <c r="AN50" s="1603">
        <f>ROUND(IF(AI50=0,1,AL50/ABS(AI50)),3)</f>
        <v>9.2550000000000008</v>
      </c>
      <c r="AO50" s="327"/>
    </row>
    <row r="51" spans="1:41" ht="15.75">
      <c r="A51" s="31"/>
      <c r="B51" s="908" t="s">
        <v>1053</v>
      </c>
      <c r="C51" s="31"/>
      <c r="D51" s="31"/>
      <c r="E51" s="672">
        <f>+'Exhibit I State'!E50+'Exhibit I Federal'!E33</f>
        <v>0.3</v>
      </c>
      <c r="F51" s="1575"/>
      <c r="G51" s="672">
        <f>+'Exhibit I State'!G50+'Exhibit I Federal'!G33</f>
        <v>0</v>
      </c>
      <c r="H51" s="1575"/>
      <c r="I51" s="672">
        <f>+'Exhibit I State'!I50+'Exhibit I Federal'!I33</f>
        <v>0.3</v>
      </c>
      <c r="J51" s="1575"/>
      <c r="K51" s="672">
        <f>+'Exhibit I State'!K50+'Exhibit I Federal'!K33</f>
        <v>0</v>
      </c>
      <c r="L51" s="66"/>
      <c r="M51" s="672">
        <f>+'Exhibit I State'!M50+'Exhibit I Federal'!M33</f>
        <v>0.3000000000000001</v>
      </c>
      <c r="N51" s="66"/>
      <c r="O51" s="672">
        <f>+'Exhibit I State'!O50+'Exhibit I Federal'!O33</f>
        <v>0.1999999999999999</v>
      </c>
      <c r="P51" s="66"/>
      <c r="Q51" s="672">
        <f>+'Exhibit I State'!Q50+'Exhibit I Federal'!Q33</f>
        <v>0.19999999999999996</v>
      </c>
      <c r="R51" s="66"/>
      <c r="S51" s="672">
        <f>+'Exhibit I State'!S50+'Exhibit I Federal'!S33</f>
        <v>0.39999999999999991</v>
      </c>
      <c r="T51" s="66"/>
      <c r="U51" s="672">
        <f>+'Exhibit I State'!U50+'Exhibit I Federal'!U33</f>
        <v>0.10000000000000009</v>
      </c>
      <c r="V51" s="66"/>
      <c r="W51" s="672">
        <f>+'Exhibit I State'!W50+'Exhibit I Federal'!W33</f>
        <v>1.3000000000000005</v>
      </c>
      <c r="X51" s="66"/>
      <c r="Y51" s="672"/>
      <c r="Z51" s="66"/>
      <c r="AA51" s="672"/>
      <c r="AB51" s="170"/>
      <c r="AC51" s="170">
        <v>0</v>
      </c>
      <c r="AD51" s="66"/>
      <c r="AE51" s="57"/>
      <c r="AF51" s="1099">
        <f>ROUND(SUM(E51:AC51),1)</f>
        <v>3.1</v>
      </c>
      <c r="AG51" s="993"/>
      <c r="AH51" s="60"/>
      <c r="AI51" s="3627">
        <f>+'Exhibit I State'!AG50+'Exhibit I Federal'!AG33</f>
        <v>0.9</v>
      </c>
      <c r="AJ51" s="77"/>
      <c r="AK51" s="335"/>
      <c r="AL51" s="58">
        <f t="shared" si="0"/>
        <v>2.2000000000000002</v>
      </c>
      <c r="AM51" s="333"/>
      <c r="AN51" s="8">
        <f>ROUND(IF(AI51=0,0,AL51/ABS(AI51)),3)</f>
        <v>2.444</v>
      </c>
      <c r="AO51" s="327"/>
    </row>
    <row r="52" spans="1:41" ht="15.75">
      <c r="A52" s="31"/>
      <c r="B52" s="908" t="s">
        <v>1054</v>
      </c>
      <c r="C52" s="31"/>
      <c r="D52" s="31"/>
      <c r="E52" s="672">
        <f>+'Exhibit I State'!E51+'Exhibit I Federal'!E34</f>
        <v>0.9</v>
      </c>
      <c r="F52" s="1575"/>
      <c r="G52" s="672">
        <f>+'Exhibit I State'!G51+'Exhibit I Federal'!G34</f>
        <v>0.8</v>
      </c>
      <c r="H52" s="1575"/>
      <c r="I52" s="672">
        <f>+'Exhibit I State'!I51+'Exhibit I Federal'!I34</f>
        <v>0.49999999999999989</v>
      </c>
      <c r="J52" s="1575"/>
      <c r="K52" s="672">
        <f>+'Exhibit I State'!K51+'Exhibit I Federal'!K34</f>
        <v>0.6</v>
      </c>
      <c r="L52" s="66"/>
      <c r="M52" s="672">
        <f>+'Exhibit I State'!M51+'Exhibit I Federal'!M34</f>
        <v>1.6</v>
      </c>
      <c r="N52" s="66"/>
      <c r="O52" s="672">
        <f>+'Exhibit I State'!O51+'Exhibit I Federal'!O34</f>
        <v>0.69999999999999973</v>
      </c>
      <c r="P52" s="66"/>
      <c r="Q52" s="672">
        <f>+'Exhibit I State'!Q51+'Exhibit I Federal'!Q34</f>
        <v>0.70000000000000051</v>
      </c>
      <c r="R52" s="66"/>
      <c r="S52" s="672">
        <f>+'Exhibit I State'!S51+'Exhibit I Federal'!S34</f>
        <v>0.79999999999999971</v>
      </c>
      <c r="T52" s="66"/>
      <c r="U52" s="672">
        <f>+'Exhibit I State'!U51+'Exhibit I Federal'!U34</f>
        <v>0.40000000000000036</v>
      </c>
      <c r="V52" s="66"/>
      <c r="W52" s="672">
        <f>+'Exhibit I State'!W51+'Exhibit I Federal'!W34</f>
        <v>1.0999999999999999</v>
      </c>
      <c r="X52" s="66"/>
      <c r="Y52" s="672"/>
      <c r="Z52" s="66"/>
      <c r="AA52" s="672"/>
      <c r="AB52" s="170"/>
      <c r="AC52" s="170">
        <v>0</v>
      </c>
      <c r="AD52" s="66"/>
      <c r="AE52" s="57"/>
      <c r="AF52" s="1099">
        <f>ROUND(SUM(E52:AC52),1)</f>
        <v>8.1</v>
      </c>
      <c r="AG52" s="993"/>
      <c r="AH52" s="60"/>
      <c r="AI52" s="3629">
        <f>+'Exhibit I State'!AG51+'Exhibit I Federal'!AG34</f>
        <v>9.6</v>
      </c>
      <c r="AJ52" s="77"/>
      <c r="AK52" s="335"/>
      <c r="AL52" s="58">
        <f t="shared" si="0"/>
        <v>-1.5</v>
      </c>
      <c r="AM52" s="333"/>
      <c r="AN52" s="8">
        <f>ROUND(IF(AI52=0,0,AL52/ABS(AI52)),3)</f>
        <v>-0.156</v>
      </c>
      <c r="AO52" s="327"/>
    </row>
    <row r="53" spans="1:41" ht="15.75">
      <c r="A53" s="31"/>
      <c r="B53" s="908" t="s">
        <v>1159</v>
      </c>
      <c r="C53" s="31"/>
      <c r="D53" s="31"/>
      <c r="E53" s="672"/>
      <c r="F53" s="1575"/>
      <c r="G53" s="672"/>
      <c r="H53" s="1575"/>
      <c r="I53" s="672"/>
      <c r="J53" s="1575"/>
      <c r="K53" s="672"/>
      <c r="L53" s="66"/>
      <c r="M53" s="672"/>
      <c r="N53" s="66"/>
      <c r="O53" s="672"/>
      <c r="P53" s="66"/>
      <c r="Q53" s="672"/>
      <c r="R53" s="66"/>
      <c r="S53" s="672"/>
      <c r="T53" s="66"/>
      <c r="U53" s="672"/>
      <c r="V53" s="66"/>
      <c r="W53" s="672"/>
      <c r="X53" s="66"/>
      <c r="Y53" s="672"/>
      <c r="Z53" s="66"/>
      <c r="AA53" s="672"/>
      <c r="AB53" s="170"/>
      <c r="AC53" s="672" t="s">
        <v>15</v>
      </c>
      <c r="AD53" s="66"/>
      <c r="AE53" s="57"/>
      <c r="AF53" s="1099"/>
      <c r="AG53" s="993"/>
      <c r="AH53" s="60"/>
      <c r="AI53" s="3627"/>
      <c r="AJ53" s="77"/>
      <c r="AK53" s="335"/>
      <c r="AL53" s="58"/>
      <c r="AM53" s="333"/>
      <c r="AN53" s="8"/>
      <c r="AO53" s="327"/>
    </row>
    <row r="54" spans="1:41" ht="15.75">
      <c r="A54" s="31"/>
      <c r="B54" s="908" t="s">
        <v>1084</v>
      </c>
      <c r="C54" s="31"/>
      <c r="D54" s="31"/>
      <c r="E54" s="672">
        <f>+'Exhibit I State'!E53+'Exhibit I Federal'!E36</f>
        <v>0</v>
      </c>
      <c r="F54" s="1575"/>
      <c r="G54" s="672">
        <f>+'Exhibit I State'!G53+'Exhibit I Federal'!G36</f>
        <v>0</v>
      </c>
      <c r="H54" s="1575"/>
      <c r="I54" s="672">
        <f>+'Exhibit I State'!I53+'Exhibit I Federal'!I36</f>
        <v>0</v>
      </c>
      <c r="J54" s="1575"/>
      <c r="K54" s="672">
        <f>+'Exhibit I State'!K53+'Exhibit I Federal'!K36</f>
        <v>0</v>
      </c>
      <c r="L54" s="66"/>
      <c r="M54" s="672">
        <f>+'Exhibit I State'!M53+'Exhibit I Federal'!M36</f>
        <v>0</v>
      </c>
      <c r="N54" s="66"/>
      <c r="O54" s="672">
        <f>+'Exhibit I State'!O53+'Exhibit I Federal'!O36</f>
        <v>0</v>
      </c>
      <c r="P54" s="66"/>
      <c r="Q54" s="672">
        <f>+'Exhibit I State'!Q53+'Exhibit I Federal'!Q36</f>
        <v>0</v>
      </c>
      <c r="R54" s="66"/>
      <c r="S54" s="672">
        <f>+'Exhibit I State'!S53+'Exhibit I Federal'!S36</f>
        <v>0</v>
      </c>
      <c r="T54" s="66"/>
      <c r="U54" s="672">
        <f>+'Exhibit I State'!U53+'Exhibit I Federal'!U36</f>
        <v>0</v>
      </c>
      <c r="V54" s="66"/>
      <c r="W54" s="672">
        <f>+'Exhibit I State'!W53+'Exhibit I Federal'!W36</f>
        <v>0</v>
      </c>
      <c r="X54" s="66"/>
      <c r="Y54" s="672"/>
      <c r="Z54" s="66"/>
      <c r="AA54" s="672"/>
      <c r="AB54" s="170"/>
      <c r="AC54" s="362">
        <v>0</v>
      </c>
      <c r="AD54" s="118"/>
      <c r="AE54" s="692"/>
      <c r="AF54" s="1099">
        <f t="shared" ref="AF54:AF58" si="2">ROUND(SUM(E54:AC54),1)</f>
        <v>0</v>
      </c>
      <c r="AG54" s="1125"/>
      <c r="AH54" s="68"/>
      <c r="AI54" s="3627">
        <f>+'Exhibit I State'!AG53+'Exhibit I Federal'!AG36</f>
        <v>0</v>
      </c>
      <c r="AJ54" s="77"/>
      <c r="AK54" s="335"/>
      <c r="AL54" s="684">
        <f>ROUND(SUM(+AF54-AI54),1)</f>
        <v>0</v>
      </c>
      <c r="AM54" s="959"/>
      <c r="AN54" s="1462">
        <f>ROUND(IF(AI54=0,0,AL54/ABS(AI54)),3)</f>
        <v>0</v>
      </c>
      <c r="AO54" s="327"/>
    </row>
    <row r="55" spans="1:41" ht="15.75">
      <c r="A55" s="31"/>
      <c r="B55" s="908" t="s">
        <v>1086</v>
      </c>
      <c r="C55" s="31"/>
      <c r="D55" s="31"/>
      <c r="E55" s="672">
        <f>+'Exhibit I State'!E54+'Exhibit I Federal'!E37</f>
        <v>10.1</v>
      </c>
      <c r="F55" s="1575"/>
      <c r="G55" s="672">
        <f>+'Exhibit I State'!G54+'Exhibit I Federal'!G37</f>
        <v>0.5</v>
      </c>
      <c r="H55" s="1575"/>
      <c r="I55" s="672">
        <f>+'Exhibit I State'!I54+'Exhibit I Federal'!I37</f>
        <v>0.30000000000000071</v>
      </c>
      <c r="J55" s="1575"/>
      <c r="K55" s="672">
        <f>+'Exhibit I State'!K54+'Exhibit I Federal'!K37</f>
        <v>0.59999999999999964</v>
      </c>
      <c r="L55" s="66"/>
      <c r="M55" s="672">
        <f>+'Exhibit I State'!M54+'Exhibit I Federal'!M37</f>
        <v>0.30000000000000071</v>
      </c>
      <c r="N55" s="66"/>
      <c r="O55" s="672">
        <f>+'Exhibit I State'!O54+'Exhibit I Federal'!O37</f>
        <v>0.29999999999999893</v>
      </c>
      <c r="P55" s="66"/>
      <c r="Q55" s="672">
        <f>+'Exhibit I State'!Q54+'Exhibit I Federal'!Q37</f>
        <v>3.4000000000000004</v>
      </c>
      <c r="R55" s="66"/>
      <c r="S55" s="672">
        <f>+'Exhibit I State'!S54+'Exhibit I Federal'!S37</f>
        <v>1.6999999999999993</v>
      </c>
      <c r="T55" s="66"/>
      <c r="U55" s="672">
        <f>+'Exhibit I State'!U54+'Exhibit I Federal'!U37</f>
        <v>2.8000000000000007</v>
      </c>
      <c r="V55" s="66"/>
      <c r="W55" s="672">
        <f>+'Exhibit I State'!W54+'Exhibit I Federal'!W37</f>
        <v>0.39999999999999858</v>
      </c>
      <c r="X55" s="66"/>
      <c r="Y55" s="672"/>
      <c r="Z55" s="66"/>
      <c r="AA55" s="672"/>
      <c r="AB55" s="170"/>
      <c r="AC55" s="362">
        <v>0</v>
      </c>
      <c r="AD55" s="118"/>
      <c r="AE55" s="692"/>
      <c r="AF55" s="1099">
        <f t="shared" si="2"/>
        <v>20.399999999999999</v>
      </c>
      <c r="AG55" s="1125"/>
      <c r="AH55" s="68"/>
      <c r="AI55" s="3627">
        <f>+'Exhibit I State'!AG54+'Exhibit I Federal'!AG37</f>
        <v>1.8</v>
      </c>
      <c r="AJ55" s="77"/>
      <c r="AK55" s="335"/>
      <c r="AL55" s="684">
        <f>ROUND(SUM(+AF55-AI55),1)</f>
        <v>18.600000000000001</v>
      </c>
      <c r="AM55" s="959"/>
      <c r="AN55" s="1502">
        <f>ROUND(IF(AI55=0,1,AL55/ABS(AI55)),3)</f>
        <v>10.333</v>
      </c>
      <c r="AO55" s="327"/>
    </row>
    <row r="56" spans="1:41" ht="15.75">
      <c r="A56" s="31"/>
      <c r="B56" s="908" t="s">
        <v>1087</v>
      </c>
      <c r="C56" s="31"/>
      <c r="D56" s="31"/>
      <c r="E56" s="672">
        <f>+'Exhibit I State'!E55+'Exhibit I Federal'!E38</f>
        <v>-0.9</v>
      </c>
      <c r="F56" s="1575"/>
      <c r="G56" s="672">
        <f>+'Exhibit I State'!G55+'Exhibit I Federal'!G38</f>
        <v>0</v>
      </c>
      <c r="H56" s="1575"/>
      <c r="I56" s="672">
        <f>+'Exhibit I State'!I55+'Exhibit I Federal'!I38</f>
        <v>0</v>
      </c>
      <c r="J56" s="1575"/>
      <c r="K56" s="672">
        <f>+'Exhibit I State'!K55+'Exhibit I Federal'!K38</f>
        <v>0</v>
      </c>
      <c r="L56" s="66"/>
      <c r="M56" s="672">
        <f>+'Exhibit I State'!M55+'Exhibit I Federal'!M38</f>
        <v>0</v>
      </c>
      <c r="N56" s="66"/>
      <c r="O56" s="672">
        <f>+'Exhibit I State'!O55+'Exhibit I Federal'!O38</f>
        <v>0</v>
      </c>
      <c r="P56" s="66"/>
      <c r="Q56" s="672">
        <f>+'Exhibit I State'!Q55+'Exhibit I Federal'!Q38</f>
        <v>0</v>
      </c>
      <c r="R56" s="66"/>
      <c r="S56" s="672">
        <f>+'Exhibit I State'!S55+'Exhibit I Federal'!S38</f>
        <v>0</v>
      </c>
      <c r="T56" s="66"/>
      <c r="U56" s="672">
        <f>+'Exhibit I State'!U55+'Exhibit I Federal'!U38</f>
        <v>0</v>
      </c>
      <c r="V56" s="66"/>
      <c r="W56" s="672">
        <f>+'Exhibit I State'!W55+'Exhibit I Federal'!W38</f>
        <v>0</v>
      </c>
      <c r="X56" s="66"/>
      <c r="Y56" s="672"/>
      <c r="Z56" s="66"/>
      <c r="AA56" s="672"/>
      <c r="AB56" s="170"/>
      <c r="AC56" s="362">
        <v>0</v>
      </c>
      <c r="AD56" s="118"/>
      <c r="AE56" s="692"/>
      <c r="AF56" s="1099">
        <f t="shared" si="2"/>
        <v>-0.9</v>
      </c>
      <c r="AG56" s="2253"/>
      <c r="AH56" s="68"/>
      <c r="AI56" s="3627">
        <f>+'Exhibit I State'!AG55+'Exhibit I Federal'!AG38</f>
        <v>0</v>
      </c>
      <c r="AJ56" s="77"/>
      <c r="AK56" s="335"/>
      <c r="AL56" s="684">
        <f>ROUND(SUM(+AF56-AI56),1)</f>
        <v>-0.9</v>
      </c>
      <c r="AM56" s="959"/>
      <c r="AN56" s="1462">
        <f>ROUND(IF(AI56=0,-1,AL56/ABS(AI56)),3)</f>
        <v>-1</v>
      </c>
      <c r="AO56" s="327"/>
    </row>
    <row r="57" spans="1:41" ht="15.75">
      <c r="A57" s="31"/>
      <c r="B57" s="908" t="s">
        <v>1089</v>
      </c>
      <c r="C57" s="31"/>
      <c r="D57" s="31"/>
      <c r="E57" s="672">
        <f>+'Exhibit I State'!E56</f>
        <v>0</v>
      </c>
      <c r="F57" s="1575"/>
      <c r="G57" s="672">
        <f>+'Exhibit I State'!G56</f>
        <v>0.1</v>
      </c>
      <c r="H57" s="1575"/>
      <c r="I57" s="672">
        <f>+'Exhibit I State'!I56</f>
        <v>0.1</v>
      </c>
      <c r="J57" s="1575"/>
      <c r="K57" s="672">
        <f>+'Exhibit I State'!K56</f>
        <v>0</v>
      </c>
      <c r="L57" s="66"/>
      <c r="M57" s="672">
        <f>+'Exhibit I State'!M56</f>
        <v>0</v>
      </c>
      <c r="N57" s="66"/>
      <c r="O57" s="672">
        <f>+'Exhibit I State'!O56</f>
        <v>0</v>
      </c>
      <c r="P57" s="66"/>
      <c r="Q57" s="672">
        <f>+'Exhibit I State'!Q56</f>
        <v>0</v>
      </c>
      <c r="R57" s="66"/>
      <c r="S57" s="672">
        <f>+'Exhibit I State'!S56</f>
        <v>0</v>
      </c>
      <c r="T57" s="66"/>
      <c r="U57" s="672">
        <f>+'Exhibit I State'!U56</f>
        <v>0</v>
      </c>
      <c r="V57" s="66"/>
      <c r="W57" s="672">
        <f>+'Exhibit I State'!W56</f>
        <v>0</v>
      </c>
      <c r="X57" s="66"/>
      <c r="Y57" s="672"/>
      <c r="Z57" s="66"/>
      <c r="AA57" s="672"/>
      <c r="AB57" s="170"/>
      <c r="AC57" s="362">
        <v>0</v>
      </c>
      <c r="AD57" s="118"/>
      <c r="AE57" s="692"/>
      <c r="AF57" s="1099">
        <f t="shared" si="2"/>
        <v>0.2</v>
      </c>
      <c r="AG57" s="2254"/>
      <c r="AH57" s="68"/>
      <c r="AI57" s="3627">
        <f>+'Exhibit I State'!AG56</f>
        <v>0.3</v>
      </c>
      <c r="AJ57" s="77"/>
      <c r="AK57" s="335"/>
      <c r="AL57" s="684">
        <f>ROUND(SUM(+AF57-AI57),1)</f>
        <v>-0.1</v>
      </c>
      <c r="AM57" s="959"/>
      <c r="AN57" s="1462">
        <f>ROUND(IF(AI57=0,0,AL57/ABS(AI57)),3)</f>
        <v>-0.33300000000000002</v>
      </c>
      <c r="AO57" s="327"/>
    </row>
    <row r="58" spans="1:41" ht="15.75">
      <c r="A58" s="31"/>
      <c r="B58" s="908" t="s">
        <v>1090</v>
      </c>
      <c r="C58" s="31"/>
      <c r="D58" s="31"/>
      <c r="E58" s="672">
        <f>+'Exhibit I State'!E57+'Exhibit I Federal'!E39</f>
        <v>0.2</v>
      </c>
      <c r="F58" s="1575"/>
      <c r="G58" s="672">
        <f>+'Exhibit I State'!G57+'Exhibit I Federal'!G39</f>
        <v>0.49999999999999994</v>
      </c>
      <c r="H58" s="1575"/>
      <c r="I58" s="672">
        <f>+'Exhibit I State'!I57+'Exhibit I Federal'!I39</f>
        <v>0.40000000000000019</v>
      </c>
      <c r="J58" s="1575"/>
      <c r="K58" s="672">
        <f>+'Exhibit I State'!K57+'Exhibit I Federal'!K39</f>
        <v>9.9999999999999811E-2</v>
      </c>
      <c r="L58" s="66"/>
      <c r="M58" s="672">
        <f>+'Exhibit I State'!M57+'Exhibit I Federal'!M39</f>
        <v>0.20000000000000018</v>
      </c>
      <c r="N58" s="66"/>
      <c r="O58" s="672">
        <f>+'Exhibit I State'!O57+'Exhibit I Federal'!O39</f>
        <v>9.9999999999999867E-2</v>
      </c>
      <c r="P58" s="66"/>
      <c r="Q58" s="672">
        <f>+'Exhibit I State'!Q57+'Exhibit I Federal'!Q39</f>
        <v>2.5</v>
      </c>
      <c r="R58" s="66"/>
      <c r="S58" s="672">
        <f>+'Exhibit I State'!S57+'Exhibit I Federal'!S39</f>
        <v>0.29999999999999982</v>
      </c>
      <c r="T58" s="66"/>
      <c r="U58" s="672">
        <f>+'Exhibit I State'!U57+'Exhibit I Federal'!U39</f>
        <v>6.5000000000000027</v>
      </c>
      <c r="V58" s="66"/>
      <c r="W58" s="672">
        <f>+'Exhibit I State'!W57+'Exhibit I Federal'!W39</f>
        <v>1.1999999999999993</v>
      </c>
      <c r="X58" s="66"/>
      <c r="Y58" s="1141"/>
      <c r="Z58" s="66"/>
      <c r="AA58" s="1141"/>
      <c r="AB58" s="170"/>
      <c r="AC58" s="362">
        <v>0</v>
      </c>
      <c r="AD58" s="118"/>
      <c r="AE58" s="692"/>
      <c r="AF58" s="1099">
        <f t="shared" si="2"/>
        <v>12</v>
      </c>
      <c r="AG58" s="1125"/>
      <c r="AH58" s="68"/>
      <c r="AI58" s="3627">
        <f>+'Exhibit I State'!AG57+'Exhibit I Federal'!AG39</f>
        <v>8.1</v>
      </c>
      <c r="AJ58" s="77"/>
      <c r="AK58" s="335"/>
      <c r="AL58" s="58">
        <f t="shared" si="0"/>
        <v>3.9</v>
      </c>
      <c r="AM58" s="333"/>
      <c r="AN58" s="1929">
        <f>ROUND(IF(AI58=0,1,AL58/ABS(AI58)),3)</f>
        <v>0.48099999999999998</v>
      </c>
      <c r="AO58" s="327"/>
    </row>
    <row r="59" spans="1:41" ht="15.75">
      <c r="A59" s="31"/>
      <c r="B59" s="908" t="s">
        <v>1092</v>
      </c>
      <c r="C59" s="31"/>
      <c r="D59" s="31"/>
      <c r="E59" s="672">
        <f>+'Exhibit I State'!E58+'Exhibit I Federal'!E40</f>
        <v>3.6</v>
      </c>
      <c r="F59" s="1575"/>
      <c r="G59" s="672">
        <f>+'Exhibit I State'!G58+'Exhibit I Federal'!G40</f>
        <v>0.80000000000000027</v>
      </c>
      <c r="H59" s="1575"/>
      <c r="I59" s="672">
        <f>+'Exhibit I State'!I58+'Exhibit I Federal'!I40</f>
        <v>1.0999999999999996</v>
      </c>
      <c r="J59" s="1575"/>
      <c r="K59" s="672">
        <f>+'Exhibit I State'!K58+'Exhibit I Federal'!K40</f>
        <v>14.499999999999998</v>
      </c>
      <c r="L59" s="66"/>
      <c r="M59" s="672">
        <f>+'Exhibit I State'!M58+'Exhibit I Federal'!M40</f>
        <v>12.300000000000006</v>
      </c>
      <c r="N59" s="66"/>
      <c r="O59" s="672">
        <f>+'Exhibit I State'!O58+'Exhibit I Federal'!O40</f>
        <v>4.8999999999999968</v>
      </c>
      <c r="P59" s="66"/>
      <c r="Q59" s="672">
        <f>+'Exhibit I State'!Q58+'Exhibit I Federal'!Q40</f>
        <v>4.3999999999999986</v>
      </c>
      <c r="R59" s="66"/>
      <c r="S59" s="672">
        <f>+'Exhibit I State'!S58+'Exhibit I Federal'!S40</f>
        <v>3.1999999999999957</v>
      </c>
      <c r="T59" s="66"/>
      <c r="U59" s="672">
        <f>+'Exhibit I State'!U58+'Exhibit I Federal'!U40</f>
        <v>2.9000000000000057</v>
      </c>
      <c r="V59" s="66"/>
      <c r="W59" s="672">
        <f>+'Exhibit I State'!W58+'Exhibit I Federal'!W40</f>
        <v>6.6999999999999957</v>
      </c>
      <c r="X59" s="66"/>
      <c r="Y59" s="1141"/>
      <c r="Z59" s="66"/>
      <c r="AA59" s="1141"/>
      <c r="AB59" s="170"/>
      <c r="AC59" s="362">
        <v>0</v>
      </c>
      <c r="AD59" s="118"/>
      <c r="AE59" s="692"/>
      <c r="AF59" s="1099">
        <f>ROUND(SUM(E59:AC59),1)</f>
        <v>54.4</v>
      </c>
      <c r="AG59" s="1125"/>
      <c r="AH59" s="68"/>
      <c r="AI59" s="3629">
        <f>+'Exhibit I State'!AG58+'Exhibit I Federal'!AG40</f>
        <v>14.6</v>
      </c>
      <c r="AJ59" s="77"/>
      <c r="AK59" s="335"/>
      <c r="AL59" s="58">
        <f t="shared" si="0"/>
        <v>39.799999999999997</v>
      </c>
      <c r="AM59" s="333"/>
      <c r="AN59" s="1403">
        <f>ROUND(IF(AI59=0,0,AL59/ABS(AI59)),3)</f>
        <v>2.726</v>
      </c>
      <c r="AO59" s="327"/>
    </row>
    <row r="60" spans="1:41" ht="15.75">
      <c r="A60" s="31"/>
      <c r="B60" s="908" t="s">
        <v>1064</v>
      </c>
      <c r="C60" s="31"/>
      <c r="D60" s="31"/>
      <c r="E60" s="672">
        <f>+'Exhibit I State'!E59+'Exhibit I Federal'!E41</f>
        <v>4.1999999999999993</v>
      </c>
      <c r="F60" s="1575"/>
      <c r="G60" s="672">
        <f>+'Exhibit I State'!G59+'Exhibit I Federal'!G41</f>
        <v>0</v>
      </c>
      <c r="H60" s="1575"/>
      <c r="I60" s="672">
        <f>+'Exhibit I State'!I59+'Exhibit I Federal'!I41</f>
        <v>0</v>
      </c>
      <c r="J60" s="1575"/>
      <c r="K60" s="672">
        <f>+'Exhibit I State'!K59+'Exhibit I Federal'!K41</f>
        <v>0</v>
      </c>
      <c r="L60" s="66"/>
      <c r="M60" s="672">
        <f>+'Exhibit I State'!M59+'Exhibit I Federal'!M41</f>
        <v>0</v>
      </c>
      <c r="N60" s="66"/>
      <c r="O60" s="672">
        <f>+'Exhibit I State'!O59+'Exhibit I Federal'!O41</f>
        <v>0</v>
      </c>
      <c r="P60" s="66"/>
      <c r="Q60" s="672">
        <f>+'Exhibit I State'!Q59+'Exhibit I Federal'!Q41</f>
        <v>0.10000000000000053</v>
      </c>
      <c r="R60" s="66"/>
      <c r="S60" s="672">
        <f>+'Exhibit I State'!S59+'Exhibit I Federal'!S41</f>
        <v>0.19999999999999929</v>
      </c>
      <c r="T60" s="66"/>
      <c r="U60" s="672">
        <f>+'Exhibit I State'!U59+'Exhibit I Federal'!U41</f>
        <v>0.10000000000000053</v>
      </c>
      <c r="V60" s="66"/>
      <c r="W60" s="672">
        <f>+'Exhibit I State'!W59+'Exhibit I Federal'!W41</f>
        <v>0</v>
      </c>
      <c r="X60" s="66"/>
      <c r="Y60" s="1141"/>
      <c r="Z60" s="66"/>
      <c r="AA60" s="1141"/>
      <c r="AB60" s="170"/>
      <c r="AC60" s="362">
        <v>0</v>
      </c>
      <c r="AD60" s="118"/>
      <c r="AE60" s="692"/>
      <c r="AF60" s="1099">
        <f>ROUND(SUM(E60:AC60),1)</f>
        <v>4.5999999999999996</v>
      </c>
      <c r="AG60" s="1125"/>
      <c r="AH60" s="68"/>
      <c r="AI60" s="3627">
        <f>+'Exhibit I State'!AG59+'Exhibit I Federal'!AG41</f>
        <v>2.5</v>
      </c>
      <c r="AJ60" s="77"/>
      <c r="AK60" s="335"/>
      <c r="AL60" s="58">
        <f t="shared" si="0"/>
        <v>2.1</v>
      </c>
      <c r="AM60" s="333"/>
      <c r="AN60" s="1518">
        <f>ROUND(IF(AI60=0,1,AL60/ABS(AI60)),3)</f>
        <v>0.84</v>
      </c>
      <c r="AO60" s="327"/>
    </row>
    <row r="61" spans="1:41" s="332" customFormat="1" ht="15.75">
      <c r="A61" s="29"/>
      <c r="B61" s="312" t="s">
        <v>1201</v>
      </c>
      <c r="C61" s="29"/>
      <c r="D61" s="29"/>
      <c r="E61" s="258">
        <f>ROUND(SUM(E37:E60),1)</f>
        <v>304.2</v>
      </c>
      <c r="F61" s="938"/>
      <c r="G61" s="258">
        <f>ROUND(SUM(G37:G60),1)</f>
        <v>92.9</v>
      </c>
      <c r="H61" s="1082"/>
      <c r="I61" s="258">
        <f>ROUND(SUM(I37:I60),1)</f>
        <v>253.6</v>
      </c>
      <c r="J61" s="938"/>
      <c r="K61" s="258">
        <f>ROUND(SUM(K37:K60),1)</f>
        <v>245.3</v>
      </c>
      <c r="L61" s="938"/>
      <c r="M61" s="258">
        <f>ROUND(SUM(M37:M60),1)</f>
        <v>179.5</v>
      </c>
      <c r="N61" s="938"/>
      <c r="O61" s="258">
        <f>ROUND(SUM(O37:O60),1)</f>
        <v>581.6</v>
      </c>
      <c r="P61" s="938"/>
      <c r="Q61" s="258">
        <f>ROUND(SUM(Q37:Q60),1)</f>
        <v>1702.5</v>
      </c>
      <c r="R61" s="938"/>
      <c r="S61" s="1583">
        <f>ROUND(SUM(S37:S60),1)</f>
        <v>128.80000000000001</v>
      </c>
      <c r="T61" s="938"/>
      <c r="U61" s="258">
        <f>ROUND(SUM(U37:U60),1)</f>
        <v>404.1</v>
      </c>
      <c r="V61" s="938"/>
      <c r="W61" s="258">
        <f>ROUND(SUM(W37:W60),1)</f>
        <v>619.5</v>
      </c>
      <c r="X61" s="938"/>
      <c r="Y61" s="258">
        <f>ROUND(SUM(Y37:Y60),1)</f>
        <v>0</v>
      </c>
      <c r="Z61" s="938"/>
      <c r="AA61" s="258">
        <f>ROUND(SUM(AA37:AA60),1)</f>
        <v>0</v>
      </c>
      <c r="AB61" s="1576"/>
      <c r="AC61" s="1583">
        <f>ROUND(SUM(AC37:AC60),1)</f>
        <v>0</v>
      </c>
      <c r="AD61" s="112"/>
      <c r="AE61" s="693"/>
      <c r="AF61" s="1583">
        <f>ROUND(SUM(AF37:AF60),1)</f>
        <v>4512</v>
      </c>
      <c r="AG61" s="1105"/>
      <c r="AH61" s="115"/>
      <c r="AI61" s="1583">
        <f>ROUND(SUM(AI37:AI60),1)</f>
        <v>4727.8</v>
      </c>
      <c r="AJ61" s="84"/>
      <c r="AK61" s="335"/>
      <c r="AL61" s="258">
        <f>ROUND(SUM(AL37:AL60),1)</f>
        <v>-215.8</v>
      </c>
      <c r="AM61" s="1083"/>
      <c r="AN61" s="1084">
        <f>ROUND(SUM(AL61/AI61),3)</f>
        <v>-4.5999999999999999E-2</v>
      </c>
    </row>
    <row r="62" spans="1:41" ht="15.75">
      <c r="A62" s="31"/>
      <c r="B62" s="312"/>
      <c r="C62" s="31"/>
      <c r="D62" s="31"/>
      <c r="E62" s="1575"/>
      <c r="F62" s="1575"/>
      <c r="G62" s="1575"/>
      <c r="H62" s="701"/>
      <c r="I62" s="1575"/>
      <c r="J62" s="1575"/>
      <c r="K62" s="1575"/>
      <c r="L62" s="66"/>
      <c r="M62" s="1575"/>
      <c r="N62" s="66"/>
      <c r="O62" s="1575"/>
      <c r="P62" s="66"/>
      <c r="Q62" s="672"/>
      <c r="R62" s="66"/>
      <c r="S62" s="911"/>
      <c r="T62" s="66"/>
      <c r="U62" s="1575"/>
      <c r="V62" s="66"/>
      <c r="W62" s="1575"/>
      <c r="X62" s="66"/>
      <c r="Y62" s="1575"/>
      <c r="Z62" s="66"/>
      <c r="AA62" s="1575"/>
      <c r="AB62" s="1575"/>
      <c r="AC62" s="911"/>
      <c r="AD62" s="118"/>
      <c r="AE62" s="692"/>
      <c r="AF62" s="1099"/>
      <c r="AG62" s="1104"/>
      <c r="AH62" s="67"/>
      <c r="AI62" s="118"/>
      <c r="AJ62" s="77"/>
      <c r="AK62" s="335"/>
      <c r="AL62" s="58"/>
      <c r="AM62" s="336"/>
      <c r="AN62" s="334"/>
    </row>
    <row r="63" spans="1:41" ht="15.75">
      <c r="A63" s="31"/>
      <c r="B63" s="31" t="s">
        <v>150</v>
      </c>
      <c r="C63" s="31"/>
      <c r="D63" s="31"/>
      <c r="E63" s="701">
        <f>+'Exhibit I State'!E62+'Exhibit I Federal'!E44</f>
        <v>38.299999999999997</v>
      </c>
      <c r="F63" s="1575"/>
      <c r="G63" s="701">
        <f>+'Exhibit I State'!G62+'Exhibit I Federal'!G44</f>
        <v>142.89999999999998</v>
      </c>
      <c r="H63" s="1575"/>
      <c r="I63" s="701">
        <f>+'Exhibit I State'!I62+'Exhibit I Federal'!I44</f>
        <v>132.20000000000005</v>
      </c>
      <c r="J63" s="1575"/>
      <c r="K63" s="701">
        <f>+'Exhibit I State'!K62+'Exhibit I Federal'!K44</f>
        <v>155.69999999999999</v>
      </c>
      <c r="L63" s="66"/>
      <c r="M63" s="701">
        <f>+'Exhibit I State'!M62+'Exhibit I Federal'!M44</f>
        <v>173.60000000000008</v>
      </c>
      <c r="N63" s="66"/>
      <c r="O63" s="701">
        <f>+'Exhibit I State'!O62+'Exhibit I Federal'!O44</f>
        <v>179.59999999999997</v>
      </c>
      <c r="P63" s="66"/>
      <c r="Q63" s="3764">
        <f>+'Exhibit I State'!Q62+'Exhibit I Federal'!Q44</f>
        <v>340.80000000000018</v>
      </c>
      <c r="R63" s="66"/>
      <c r="S63" s="3764">
        <f>+'Exhibit I State'!S62+'Exhibit I Federal'!S44</f>
        <v>184.29999999999973</v>
      </c>
      <c r="T63" s="66"/>
      <c r="U63" s="3764">
        <f>+'Exhibit I State'!U62+'Exhibit I Federal'!U44</f>
        <v>158.69999999999982</v>
      </c>
      <c r="V63" s="66"/>
      <c r="W63" s="3764">
        <f>+'Exhibit I State'!W62+'Exhibit I Federal'!W44</f>
        <v>344.40000000000009</v>
      </c>
      <c r="X63" s="66"/>
      <c r="Y63" s="1054"/>
      <c r="Z63" s="66"/>
      <c r="AA63" s="1054"/>
      <c r="AB63" s="278"/>
      <c r="AC63" s="1099">
        <v>0</v>
      </c>
      <c r="AD63" s="118"/>
      <c r="AE63" s="692"/>
      <c r="AF63" s="118">
        <f>ROUND(SUM(E63:AC63),1)</f>
        <v>1850.5</v>
      </c>
      <c r="AG63" s="1100"/>
      <c r="AH63" s="67"/>
      <c r="AI63" s="118">
        <f>+'Exhibit I State'!AG62+'Exhibit I Federal'!AG44</f>
        <v>2018.6</v>
      </c>
      <c r="AJ63" s="77"/>
      <c r="AK63" s="337"/>
      <c r="AL63" s="338">
        <f>ROUND(SUM(+AF63-AI63),1)</f>
        <v>-168.1</v>
      </c>
      <c r="AM63" s="336"/>
      <c r="AN63" s="339">
        <f>ROUND(SUM(AL63/AI63),3)</f>
        <v>-8.3000000000000004E-2</v>
      </c>
    </row>
    <row r="64" spans="1:41" ht="15.75">
      <c r="A64" s="31"/>
      <c r="B64" s="31"/>
      <c r="C64" s="31"/>
      <c r="D64" s="31"/>
      <c r="E64" s="702"/>
      <c r="F64" s="1575"/>
      <c r="G64" s="702"/>
      <c r="H64" s="1575"/>
      <c r="I64" s="702"/>
      <c r="J64" s="1575"/>
      <c r="K64" s="702"/>
      <c r="L64" s="66"/>
      <c r="M64" s="88"/>
      <c r="N64" s="66"/>
      <c r="O64" s="88"/>
      <c r="P64" s="66"/>
      <c r="Q64" s="672"/>
      <c r="R64" s="66"/>
      <c r="S64" s="126"/>
      <c r="T64" s="66"/>
      <c r="U64" s="88"/>
      <c r="V64" s="66"/>
      <c r="W64" s="88"/>
      <c r="X64" s="66"/>
      <c r="Y64" s="88"/>
      <c r="Z64" s="66"/>
      <c r="AA64" s="88"/>
      <c r="AB64" s="56"/>
      <c r="AC64" s="126"/>
      <c r="AD64" s="118"/>
      <c r="AE64" s="692"/>
      <c r="AF64" s="126"/>
      <c r="AG64" s="1100"/>
      <c r="AH64" s="67"/>
      <c r="AI64" s="126"/>
      <c r="AJ64" s="56"/>
      <c r="AK64" s="337"/>
      <c r="AL64" s="58"/>
      <c r="AM64" s="327"/>
      <c r="AN64" s="334"/>
    </row>
    <row r="65" spans="1:44" ht="15.75">
      <c r="A65" s="31"/>
      <c r="B65" s="29" t="s">
        <v>197</v>
      </c>
      <c r="C65" s="31"/>
      <c r="D65" s="31"/>
      <c r="E65" s="1893">
        <f>ROUND(SUM(+E61+E63+E33),1)</f>
        <v>456.2</v>
      </c>
      <c r="F65" s="938"/>
      <c r="G65" s="1893">
        <f>ROUND(SUM(+G61+G63+G33),1)</f>
        <v>337.2</v>
      </c>
      <c r="H65" s="938"/>
      <c r="I65" s="1893">
        <f>ROUND(SUM(+I61+I63+I33),1)</f>
        <v>523.9</v>
      </c>
      <c r="J65" s="938"/>
      <c r="K65" s="1893">
        <f>ROUND(SUM(+K61+K63+K33),1)</f>
        <v>510.4</v>
      </c>
      <c r="L65" s="62"/>
      <c r="M65" s="314">
        <f>ROUND(SUM(+M61+M63+M33),1)</f>
        <v>473.6</v>
      </c>
      <c r="N65" s="62"/>
      <c r="O65" s="314">
        <f>ROUND(SUM(+O61+O63+O33),1)</f>
        <v>911.8</v>
      </c>
      <c r="P65" s="62"/>
      <c r="Q65" s="314">
        <f>ROUND(SUM(+Q61+Q63+Q33),1)</f>
        <v>2159.9</v>
      </c>
      <c r="R65" s="62"/>
      <c r="S65" s="314">
        <f>ROUND(SUM(+S61+S63+S33),1)</f>
        <v>421.2</v>
      </c>
      <c r="T65" s="62"/>
      <c r="U65" s="314">
        <f>ROUND(SUM(+U61+U63+U33),1)</f>
        <v>694.7</v>
      </c>
      <c r="V65" s="62"/>
      <c r="W65" s="314">
        <f>ROUND(SUM(+W61+W63+W33),1)</f>
        <v>1076.4000000000001</v>
      </c>
      <c r="X65" s="62"/>
      <c r="Y65" s="314">
        <f>ROUND(SUM(+Y61+Y63+Y33),1)</f>
        <v>0</v>
      </c>
      <c r="Z65" s="62"/>
      <c r="AA65" s="314">
        <f>ROUND(SUM(+AA61+AA63+AA33),1)</f>
        <v>0</v>
      </c>
      <c r="AB65" s="1072"/>
      <c r="AC65" s="314">
        <f>ROUND(SUM(+AC61+AC63+AC33),1)</f>
        <v>0</v>
      </c>
      <c r="AD65" s="62"/>
      <c r="AE65" s="64"/>
      <c r="AF65" s="314">
        <f>ROUND(SUM(+AF61+AF63+AF33),1)</f>
        <v>7565.3</v>
      </c>
      <c r="AG65" s="216"/>
      <c r="AH65" s="76"/>
      <c r="AI65" s="314">
        <f>ROUND(SUM(+AI61+AI63+AI33),1)</f>
        <v>7947.6</v>
      </c>
      <c r="AJ65" s="84"/>
      <c r="AK65" s="337"/>
      <c r="AL65" s="314">
        <f>ROUND(SUM(+AL61+AL63+AL33),1)</f>
        <v>-382.3</v>
      </c>
      <c r="AM65" s="166"/>
      <c r="AN65" s="916">
        <f>ROUND(SUM(AL65/AI65),3)</f>
        <v>-4.8000000000000001E-2</v>
      </c>
      <c r="AO65" s="332"/>
      <c r="AP65" s="340"/>
      <c r="AQ65" s="332"/>
      <c r="AR65" s="332"/>
    </row>
    <row r="66" spans="1:44" ht="15.75">
      <c r="A66" s="31"/>
      <c r="B66" s="31"/>
      <c r="C66" s="31"/>
      <c r="D66" s="31"/>
      <c r="E66" s="702"/>
      <c r="F66" s="1575"/>
      <c r="G66" s="702"/>
      <c r="H66" s="1575"/>
      <c r="I66" s="702"/>
      <c r="J66" s="1575"/>
      <c r="K66" s="702"/>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5"/>
      <c r="F67" s="1575"/>
      <c r="G67" s="1575"/>
      <c r="H67" s="1575"/>
      <c r="I67" s="1575"/>
      <c r="J67" s="1575"/>
      <c r="K67" s="1575"/>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5"/>
      <c r="F68" s="1575"/>
      <c r="G68" s="1575"/>
      <c r="H68" s="1575"/>
      <c r="I68" s="1575"/>
      <c r="J68" s="1575"/>
      <c r="K68" s="1575"/>
      <c r="L68" s="66"/>
      <c r="M68" s="66"/>
      <c r="N68" s="66"/>
      <c r="O68" s="66"/>
      <c r="P68" s="66"/>
      <c r="Q68" s="672"/>
      <c r="R68" s="66"/>
      <c r="S68" s="118"/>
      <c r="T68" s="66"/>
      <c r="U68" s="66"/>
      <c r="V68" s="66"/>
      <c r="W68" s="66"/>
      <c r="X68" s="66"/>
      <c r="Y68" s="1575" t="s">
        <v>15</v>
      </c>
      <c r="Z68" s="66"/>
      <c r="AA68" s="1575" t="s">
        <v>15</v>
      </c>
      <c r="AB68" s="66"/>
      <c r="AC68" s="66"/>
      <c r="AD68" s="66"/>
      <c r="AE68" s="57"/>
      <c r="AF68" s="119"/>
      <c r="AG68" s="79"/>
      <c r="AH68" s="56"/>
      <c r="AI68" s="118"/>
      <c r="AJ68" s="66"/>
      <c r="AK68" s="337"/>
      <c r="AL68" s="58"/>
      <c r="AM68" s="327"/>
      <c r="AN68" s="334"/>
    </row>
    <row r="69" spans="1:44" ht="15.75">
      <c r="A69" s="31"/>
      <c r="B69" s="31" t="s">
        <v>25</v>
      </c>
      <c r="C69" s="31"/>
      <c r="D69" s="31"/>
      <c r="E69" s="701">
        <f>+'Exhibit I State'!E68+'Exhibit I Federal'!E50</f>
        <v>9.1999999999999993</v>
      </c>
      <c r="F69" s="1575"/>
      <c r="G69" s="701">
        <f>+'Exhibit I State'!G68+'Exhibit I Federal'!G50</f>
        <v>3.2000000000000011</v>
      </c>
      <c r="H69" s="701"/>
      <c r="I69" s="701">
        <f>+'Exhibit I State'!I68+'Exhibit I Federal'!I50</f>
        <v>10.299999999999999</v>
      </c>
      <c r="J69" s="1575"/>
      <c r="K69" s="701">
        <f>+'Exhibit I State'!K68+'Exhibit I Federal'!K50</f>
        <v>10.700000000000001</v>
      </c>
      <c r="L69" s="66"/>
      <c r="M69" s="701">
        <f>+'Exhibit I State'!M68+'Exhibit I Federal'!M50</f>
        <v>12.000000000000002</v>
      </c>
      <c r="N69" s="66"/>
      <c r="O69" s="701">
        <f>+'Exhibit I State'!O68+'Exhibit I Federal'!O50</f>
        <v>42.399999999999991</v>
      </c>
      <c r="P69" s="66"/>
      <c r="Q69" s="701">
        <f>+'Exhibit I State'!Q68+'Exhibit I Federal'!Q50</f>
        <v>14.400000000000006</v>
      </c>
      <c r="R69" s="66"/>
      <c r="S69" s="701">
        <f>+'Exhibit I State'!S68+'Exhibit I Federal'!S50</f>
        <v>18.200000000000003</v>
      </c>
      <c r="T69" s="66"/>
      <c r="U69" s="701">
        <f>+'Exhibit I State'!U68+'Exhibit I Federal'!U50</f>
        <v>24.900000000000006</v>
      </c>
      <c r="V69" s="66"/>
      <c r="W69" s="701">
        <f>+'Exhibit I State'!W68+'Exhibit I Federal'!W50</f>
        <v>19.900000000000006</v>
      </c>
      <c r="X69" s="66"/>
      <c r="Y69" s="1141"/>
      <c r="Z69" s="66"/>
      <c r="AA69" s="1141"/>
      <c r="AB69" s="278"/>
      <c r="AC69" s="278">
        <v>0</v>
      </c>
      <c r="AD69" s="66"/>
      <c r="AE69" s="57"/>
      <c r="AF69" s="118">
        <f>ROUND(SUM(E69:AC69),1)</f>
        <v>165.2</v>
      </c>
      <c r="AG69" s="79"/>
      <c r="AH69" s="56"/>
      <c r="AI69" s="118">
        <f>+'Exhibit I State'!AG68+'Exhibit I Federal'!AG50</f>
        <v>128.9</v>
      </c>
      <c r="AJ69" s="77"/>
      <c r="AK69" s="335"/>
      <c r="AL69" s="58">
        <f>ROUND(SUM(+AF69-AI69),1)</f>
        <v>36.299999999999997</v>
      </c>
      <c r="AM69" s="336"/>
      <c r="AN69" s="1929">
        <f>ROUND(IF(AI69=0,1,AL69/ABS(AI69)),3)</f>
        <v>0.28199999999999997</v>
      </c>
    </row>
    <row r="70" spans="1:44" ht="15.75">
      <c r="A70" s="31"/>
      <c r="B70" s="31" t="s">
        <v>26</v>
      </c>
      <c r="C70" s="31"/>
      <c r="D70" s="31"/>
      <c r="E70" s="701">
        <f>+'Exhibit I State'!E69+'Exhibit I Federal'!E51</f>
        <v>25.1</v>
      </c>
      <c r="F70" s="1575"/>
      <c r="G70" s="701">
        <f>+'Exhibit I State'!G69+'Exhibit I Federal'!G51</f>
        <v>33.5</v>
      </c>
      <c r="H70" s="1575"/>
      <c r="I70" s="701">
        <f>+'Exhibit I State'!I69+'Exhibit I Federal'!I51</f>
        <v>2.1000000000000014</v>
      </c>
      <c r="J70" s="1575"/>
      <c r="K70" s="701">
        <f>+'Exhibit I State'!K69+'Exhibit I Federal'!K51</f>
        <v>15</v>
      </c>
      <c r="L70" s="66"/>
      <c r="M70" s="701">
        <f>+'Exhibit I State'!M69+'Exhibit I Federal'!M51</f>
        <v>13.999999999999993</v>
      </c>
      <c r="N70" s="66"/>
      <c r="O70" s="701">
        <f>+'Exhibit I State'!O69+'Exhibit I Federal'!O51</f>
        <v>17.599999999999994</v>
      </c>
      <c r="P70" s="66"/>
      <c r="Q70" s="701">
        <f>+'Exhibit I State'!Q69+'Exhibit I Federal'!Q51</f>
        <v>14.800000000000011</v>
      </c>
      <c r="R70" s="66"/>
      <c r="S70" s="701">
        <f>+'Exhibit I State'!S69+'Exhibit I Federal'!S51</f>
        <v>11.900000000000013</v>
      </c>
      <c r="T70" s="66"/>
      <c r="U70" s="701">
        <f>+'Exhibit I State'!U69+'Exhibit I Federal'!U51</f>
        <v>13.300000000000011</v>
      </c>
      <c r="V70" s="66"/>
      <c r="W70" s="701">
        <f>+'Exhibit I State'!W69+'Exhibit I Federal'!W51</f>
        <v>232.6</v>
      </c>
      <c r="X70" s="66"/>
      <c r="Y70" s="1141"/>
      <c r="Z70" s="66"/>
      <c r="AA70" s="1141"/>
      <c r="AB70" s="278"/>
      <c r="AC70" s="278">
        <v>0</v>
      </c>
      <c r="AD70" s="66"/>
      <c r="AE70" s="57"/>
      <c r="AF70" s="118">
        <f>ROUND(SUM(E70:AC70),1)</f>
        <v>379.9</v>
      </c>
      <c r="AG70" s="79"/>
      <c r="AH70" s="56"/>
      <c r="AI70" s="118">
        <f>+'Exhibit I State'!AG69+'Exhibit I Federal'!AG51</f>
        <v>370.1</v>
      </c>
      <c r="AJ70" s="77"/>
      <c r="AK70" s="335"/>
      <c r="AL70" s="58">
        <f t="shared" ref="AL70:AL77" si="3">ROUND(SUM(+AF70-AI70),1)</f>
        <v>9.8000000000000007</v>
      </c>
      <c r="AM70" s="336"/>
      <c r="AN70" s="1462">
        <f>ROUND(IF(AI70=0,0,AL70/ABS(AI70)),3)</f>
        <v>2.5999999999999999E-2</v>
      </c>
    </row>
    <row r="71" spans="1:44" ht="15.75">
      <c r="A71" s="31"/>
      <c r="B71" s="31" t="s">
        <v>27</v>
      </c>
      <c r="C71" s="31"/>
      <c r="D71" s="31"/>
      <c r="E71" s="701">
        <f>+'Exhibit I State'!E70+'Exhibit I Federal'!E52</f>
        <v>31.2</v>
      </c>
      <c r="F71" s="1575"/>
      <c r="G71" s="701">
        <f>+'Exhibit I State'!G70+'Exhibit I Federal'!G52</f>
        <v>121.8</v>
      </c>
      <c r="H71" s="1575"/>
      <c r="I71" s="701">
        <f>+'Exhibit I State'!I70+'Exhibit I Federal'!I52</f>
        <v>149</v>
      </c>
      <c r="J71" s="1575"/>
      <c r="K71" s="701">
        <f>+'Exhibit I State'!K70+'Exhibit I Federal'!K52</f>
        <v>39.399999999999977</v>
      </c>
      <c r="L71" s="66"/>
      <c r="M71" s="701">
        <f>+'Exhibit I State'!M70+'Exhibit I Federal'!M52</f>
        <v>17.800000000000011</v>
      </c>
      <c r="N71" s="66"/>
      <c r="O71" s="701">
        <f>+'Exhibit I State'!O70+'Exhibit I Federal'!O52</f>
        <v>59.100000000000023</v>
      </c>
      <c r="P71" s="66"/>
      <c r="Q71" s="701">
        <f>+'Exhibit I State'!Q70+'Exhibit I Federal'!Q52</f>
        <v>128.39999999999998</v>
      </c>
      <c r="R71" s="66"/>
      <c r="S71" s="701">
        <f>+'Exhibit I State'!S70+'Exhibit I Federal'!S52</f>
        <v>18.599999999999909</v>
      </c>
      <c r="T71" s="66"/>
      <c r="U71" s="701">
        <f>+'Exhibit I State'!U70+'Exhibit I Federal'!U52</f>
        <v>140.60000000000008</v>
      </c>
      <c r="V71" s="66"/>
      <c r="W71" s="701">
        <f>+'Exhibit I State'!W70+'Exhibit I Federal'!W52</f>
        <v>55.300000000000068</v>
      </c>
      <c r="X71" s="66"/>
      <c r="Y71" s="1141"/>
      <c r="Z71" s="66"/>
      <c r="AA71" s="1141"/>
      <c r="AB71" s="701" t="s">
        <v>1282</v>
      </c>
      <c r="AC71" s="701">
        <v>0</v>
      </c>
      <c r="AD71" s="66"/>
      <c r="AE71" s="57"/>
      <c r="AF71" s="118">
        <f>ROUND(SUM(E71:AC71),1)</f>
        <v>761.2</v>
      </c>
      <c r="AG71" s="79"/>
      <c r="AH71" s="56"/>
      <c r="AI71" s="118">
        <f>+'Exhibit I State'!AG70+'Exhibit I Federal'!AG52</f>
        <v>807.9</v>
      </c>
      <c r="AJ71" s="77"/>
      <c r="AK71" s="335"/>
      <c r="AL71" s="58">
        <f t="shared" si="3"/>
        <v>-46.7</v>
      </c>
      <c r="AM71" s="336"/>
      <c r="AN71" s="1462">
        <f>ROUND(IF(AI71=0,0,AL71/ABS(AI71)),3)</f>
        <v>-5.8000000000000003E-2</v>
      </c>
      <c r="AO71" s="327"/>
    </row>
    <row r="72" spans="1:44" ht="15.75">
      <c r="A72" s="31"/>
      <c r="B72" s="31" t="s">
        <v>28</v>
      </c>
      <c r="C72" s="31"/>
      <c r="D72" s="31"/>
      <c r="E72" s="701"/>
      <c r="F72" s="1575"/>
      <c r="G72" s="701"/>
      <c r="H72" s="1575"/>
      <c r="I72" s="701"/>
      <c r="J72" s="1575"/>
      <c r="K72" s="701"/>
      <c r="L72" s="66"/>
      <c r="M72" s="701"/>
      <c r="N72" s="66"/>
      <c r="O72" s="701"/>
      <c r="P72" s="66"/>
      <c r="Q72" s="701"/>
      <c r="R72" s="66"/>
      <c r="S72" s="701"/>
      <c r="T72" s="66"/>
      <c r="U72" s="701"/>
      <c r="V72" s="66"/>
      <c r="W72" s="701"/>
      <c r="X72" s="66"/>
      <c r="Y72" s="1141"/>
      <c r="Z72" s="66"/>
      <c r="AA72" s="1141"/>
      <c r="AB72" s="278"/>
      <c r="AC72" s="278"/>
      <c r="AD72" s="66"/>
      <c r="AE72" s="57"/>
      <c r="AF72" s="911" t="s">
        <v>15</v>
      </c>
      <c r="AG72" s="79"/>
      <c r="AH72" s="56"/>
      <c r="AI72" s="127"/>
      <c r="AJ72" s="66"/>
      <c r="AK72" s="337"/>
      <c r="AL72" s="58" t="s">
        <v>15</v>
      </c>
      <c r="AM72" s="336"/>
      <c r="AN72" s="341" t="s">
        <v>15</v>
      </c>
      <c r="AO72" s="327"/>
    </row>
    <row r="73" spans="1:44" ht="15.75">
      <c r="A73" s="31"/>
      <c r="B73" s="31" t="s">
        <v>29</v>
      </c>
      <c r="C73" s="29"/>
      <c r="D73" s="31"/>
      <c r="E73" s="701">
        <f>+'Exhibit I State'!E72+'Exhibit I Federal'!E54</f>
        <v>0</v>
      </c>
      <c r="F73" s="1575"/>
      <c r="G73" s="701">
        <f>+'Exhibit I State'!G72+'Exhibit I Federal'!G54</f>
        <v>0</v>
      </c>
      <c r="H73" s="1575"/>
      <c r="I73" s="701">
        <f>+'Exhibit I State'!I72+'Exhibit I Federal'!I54</f>
        <v>0</v>
      </c>
      <c r="J73" s="1575"/>
      <c r="K73" s="701">
        <f>+'Exhibit I State'!K72+'Exhibit I Federal'!K54</f>
        <v>0</v>
      </c>
      <c r="L73" s="66"/>
      <c r="M73" s="701">
        <f>+'Exhibit I State'!M72+'Exhibit I Federal'!M54</f>
        <v>0</v>
      </c>
      <c r="N73" s="66"/>
      <c r="O73" s="701">
        <f>+'Exhibit I State'!O72+'Exhibit I Federal'!O54</f>
        <v>0</v>
      </c>
      <c r="P73" s="66"/>
      <c r="Q73" s="701">
        <f>+'Exhibit I State'!Q72+'Exhibit I Federal'!Q54</f>
        <v>0</v>
      </c>
      <c r="R73" s="66"/>
      <c r="S73" s="701">
        <f>+'Exhibit I State'!S72+'Exhibit I Federal'!S54</f>
        <v>0</v>
      </c>
      <c r="T73" s="66"/>
      <c r="U73" s="701">
        <f>+'Exhibit I State'!U72+'Exhibit I Federal'!U54</f>
        <v>0</v>
      </c>
      <c r="V73" s="66"/>
      <c r="W73" s="701">
        <f>+'Exhibit I State'!W72+'Exhibit I Federal'!W54</f>
        <v>0</v>
      </c>
      <c r="X73" s="66"/>
      <c r="Y73" s="1141"/>
      <c r="Z73" s="66"/>
      <c r="AA73" s="1141"/>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1">
        <f>+'Exhibit I State'!E73+'Exhibit I Federal'!E55</f>
        <v>30.8</v>
      </c>
      <c r="F74" s="1575"/>
      <c r="G74" s="701">
        <f>+'Exhibit I State'!G73+'Exhibit I Federal'!G55</f>
        <v>41.600000000000009</v>
      </c>
      <c r="H74" s="1575"/>
      <c r="I74" s="701">
        <f>+'Exhibit I State'!I73+'Exhibit I Federal'!I55</f>
        <v>20.599999999999994</v>
      </c>
      <c r="J74" s="1575"/>
      <c r="K74" s="701">
        <f>+'Exhibit I State'!K73+'Exhibit I Federal'!K55</f>
        <v>75.999999999999986</v>
      </c>
      <c r="L74" s="66"/>
      <c r="M74" s="701">
        <f>+'Exhibit I State'!M73+'Exhibit I Federal'!M55</f>
        <v>17.700000000000017</v>
      </c>
      <c r="N74" s="66"/>
      <c r="O74" s="701">
        <f>+'Exhibit I State'!O73+'Exhibit I Federal'!O55</f>
        <v>20.199999999999964</v>
      </c>
      <c r="P74" s="66"/>
      <c r="Q74" s="701">
        <f>+'Exhibit I State'!Q73+'Exhibit I Federal'!Q55</f>
        <v>72.500000000000014</v>
      </c>
      <c r="R74" s="66"/>
      <c r="S74" s="701">
        <f>+'Exhibit I State'!S73+'Exhibit I Federal'!S55</f>
        <v>34.300000000000026</v>
      </c>
      <c r="T74" s="66"/>
      <c r="U74" s="701">
        <f>+'Exhibit I State'!U73+'Exhibit I Federal'!U55</f>
        <v>44.599999999999952</v>
      </c>
      <c r="V74" s="66"/>
      <c r="W74" s="701">
        <f>+'Exhibit I State'!W73+'Exhibit I Federal'!W55</f>
        <v>88.399999999999991</v>
      </c>
      <c r="X74" s="66"/>
      <c r="Y74" s="1141"/>
      <c r="Z74" s="66"/>
      <c r="AA74" s="1141"/>
      <c r="AB74" s="278"/>
      <c r="AC74" s="278">
        <v>0</v>
      </c>
      <c r="AD74" s="66"/>
      <c r="AE74" s="57"/>
      <c r="AF74" s="911">
        <f t="shared" si="4"/>
        <v>446.7</v>
      </c>
      <c r="AG74" s="79"/>
      <c r="AH74" s="56"/>
      <c r="AI74" s="127">
        <f>+'Exhibit I State'!AG73+'Exhibit I Federal'!AG55</f>
        <v>291.09999999999997</v>
      </c>
      <c r="AJ74" s="77"/>
      <c r="AK74" s="335"/>
      <c r="AL74" s="58">
        <f t="shared" si="3"/>
        <v>155.6</v>
      </c>
      <c r="AM74" s="336"/>
      <c r="AN74" s="8">
        <f>ROUND(IF(AI74=0,0,AL74/ABS(AI74)),3)</f>
        <v>0.53500000000000003</v>
      </c>
    </row>
    <row r="75" spans="1:44" ht="15.75">
      <c r="A75" s="31"/>
      <c r="B75" s="31" t="s">
        <v>31</v>
      </c>
      <c r="C75" s="31"/>
      <c r="D75" s="31"/>
      <c r="E75" s="701">
        <f>+'Exhibit I State'!E74+'Exhibit I Federal'!E56</f>
        <v>10</v>
      </c>
      <c r="F75" s="1575"/>
      <c r="G75" s="701">
        <f>+'Exhibit I State'!G74+'Exhibit I Federal'!G56</f>
        <v>-0.1</v>
      </c>
      <c r="H75" s="1575"/>
      <c r="I75" s="701">
        <f>+'Exhibit I State'!I74+'Exhibit I Federal'!I56</f>
        <v>-0.70000000000000107</v>
      </c>
      <c r="J75" s="1575"/>
      <c r="K75" s="701">
        <f>+'Exhibit I State'!K74+'Exhibit I Federal'!K56</f>
        <v>9.9999999999999645E-2</v>
      </c>
      <c r="L75" s="66"/>
      <c r="M75" s="701">
        <f>+'Exhibit I State'!M74+'Exhibit I Federal'!M56</f>
        <v>0.30000000000000071</v>
      </c>
      <c r="N75" s="66"/>
      <c r="O75" s="701">
        <f>+'Exhibit I State'!O74+'Exhibit I Federal'!O56</f>
        <v>12</v>
      </c>
      <c r="P75" s="66"/>
      <c r="Q75" s="701">
        <f>+'Exhibit I State'!Q74+'Exhibit I Federal'!Q56</f>
        <v>1.1999999999999993</v>
      </c>
      <c r="R75" s="66"/>
      <c r="S75" s="701">
        <f>+'Exhibit I State'!S74+'Exhibit I Federal'!S56</f>
        <v>14.799999999999999</v>
      </c>
      <c r="T75" s="66"/>
      <c r="U75" s="701">
        <f>+'Exhibit I State'!U74+'Exhibit I Federal'!U56</f>
        <v>1.8000000000000007</v>
      </c>
      <c r="V75" s="66"/>
      <c r="W75" s="701">
        <f>+'Exhibit I State'!W74+'Exhibit I Federal'!W56</f>
        <v>44.7</v>
      </c>
      <c r="X75" s="66"/>
      <c r="Y75" s="1141"/>
      <c r="Z75" s="66"/>
      <c r="AA75" s="1141"/>
      <c r="AB75" s="278"/>
      <c r="AC75" s="278">
        <v>0</v>
      </c>
      <c r="AD75" s="66"/>
      <c r="AE75" s="57"/>
      <c r="AF75" s="118">
        <f t="shared" si="4"/>
        <v>84.1</v>
      </c>
      <c r="AG75" s="79"/>
      <c r="AH75" s="56"/>
      <c r="AI75" s="127">
        <f>+'Exhibit I State'!AG74+'Exhibit I Federal'!AG56</f>
        <v>52.099999999999994</v>
      </c>
      <c r="AJ75" s="77"/>
      <c r="AK75" s="335"/>
      <c r="AL75" s="58">
        <f t="shared" si="3"/>
        <v>32</v>
      </c>
      <c r="AM75" s="336"/>
      <c r="AN75" s="1502">
        <f>ROUND(IF(AI75=0,1,AL75/ABS(AI75)),3)</f>
        <v>0.61399999999999999</v>
      </c>
      <c r="AO75" s="327"/>
    </row>
    <row r="76" spans="1:44" ht="15.75">
      <c r="A76" s="31"/>
      <c r="B76" s="31" t="s">
        <v>32</v>
      </c>
      <c r="C76" s="31"/>
      <c r="D76" s="31"/>
      <c r="E76" s="701">
        <f>+'Exhibit I State'!E75+'Exhibit I Federal'!E57</f>
        <v>0</v>
      </c>
      <c r="F76" s="1575"/>
      <c r="G76" s="701">
        <f>+'Exhibit I State'!G75+'Exhibit I Federal'!G57</f>
        <v>10.9</v>
      </c>
      <c r="H76" s="1575"/>
      <c r="I76" s="701">
        <f>+'Exhibit I State'!I75+'Exhibit I Federal'!I57</f>
        <v>86.1</v>
      </c>
      <c r="J76" s="1575"/>
      <c r="K76" s="701">
        <f>+'Exhibit I State'!K75+'Exhibit I Federal'!K57</f>
        <v>6</v>
      </c>
      <c r="L76" s="66"/>
      <c r="M76" s="701">
        <f>+'Exhibit I State'!M75+'Exhibit I Federal'!M57</f>
        <v>9.0999999999999943</v>
      </c>
      <c r="N76" s="66"/>
      <c r="O76" s="701">
        <f>+'Exhibit I State'!O75+'Exhibit I Federal'!O57</f>
        <v>42.800000000000011</v>
      </c>
      <c r="P76" s="66"/>
      <c r="Q76" s="701">
        <f>+'Exhibit I State'!Q75+'Exhibit I Federal'!Q57</f>
        <v>3.1999999999999886</v>
      </c>
      <c r="R76" s="66"/>
      <c r="S76" s="701">
        <f>+'Exhibit I State'!S75+'Exhibit I Federal'!S57</f>
        <v>83.1</v>
      </c>
      <c r="T76" s="66"/>
      <c r="U76" s="701">
        <f>+'Exhibit I State'!U75+'Exhibit I Federal'!U57</f>
        <v>13.300000000000011</v>
      </c>
      <c r="V76" s="66"/>
      <c r="W76" s="701">
        <f>+'Exhibit I State'!W75+'Exhibit I Federal'!W57</f>
        <v>98.899999999999977</v>
      </c>
      <c r="X76" s="66"/>
      <c r="Y76" s="1141"/>
      <c r="Z76" s="66"/>
      <c r="AA76" s="1141"/>
      <c r="AB76" s="278"/>
      <c r="AC76" s="278">
        <v>0</v>
      </c>
      <c r="AD76" s="66"/>
      <c r="AE76" s="57"/>
      <c r="AF76" s="118">
        <f t="shared" si="4"/>
        <v>353.4</v>
      </c>
      <c r="AG76" s="79"/>
      <c r="AH76" s="56"/>
      <c r="AI76" s="127">
        <f>+'Exhibit I State'!AG75+'Exhibit I Federal'!AG57</f>
        <v>260.5</v>
      </c>
      <c r="AJ76" s="66"/>
      <c r="AK76" s="337"/>
      <c r="AL76" s="58">
        <f t="shared" si="3"/>
        <v>92.9</v>
      </c>
      <c r="AM76" s="336"/>
      <c r="AN76" s="1462">
        <f>ROUND(IF(AI76=0,1,AL76/ABS(AI76)),3)</f>
        <v>0.35699999999999998</v>
      </c>
      <c r="AO76" s="327"/>
    </row>
    <row r="77" spans="1:44" ht="15.75">
      <c r="A77" s="31"/>
      <c r="B77" s="31" t="s">
        <v>33</v>
      </c>
      <c r="C77" s="29"/>
      <c r="D77" s="31"/>
      <c r="E77" s="701">
        <f>+'Exhibit I State'!E76+'Exhibit I Federal'!E58</f>
        <v>26.7</v>
      </c>
      <c r="F77" s="1575"/>
      <c r="G77" s="701">
        <f>+'Exhibit I State'!G76+'Exhibit I Federal'!G58</f>
        <v>149.20000000000002</v>
      </c>
      <c r="H77" s="1575"/>
      <c r="I77" s="701">
        <f>+'Exhibit I State'!I76+'Exhibit I Federal'!I58</f>
        <v>197.4</v>
      </c>
      <c r="J77" s="1575"/>
      <c r="K77" s="701">
        <f>+'Exhibit I State'!K76+'Exhibit I Federal'!K58</f>
        <v>39.199999999999989</v>
      </c>
      <c r="L77" s="66"/>
      <c r="M77" s="701">
        <f>+'Exhibit I State'!M76+'Exhibit I Federal'!M58</f>
        <v>40.900000000000006</v>
      </c>
      <c r="N77" s="66"/>
      <c r="O77" s="701">
        <f>+'Exhibit I State'!O76+'Exhibit I Federal'!O58</f>
        <v>61.899999999999977</v>
      </c>
      <c r="P77" s="66"/>
      <c r="Q77" s="701">
        <f>+'Exhibit I State'!Q76+'Exhibit I Federal'!Q58</f>
        <v>37.999999999999886</v>
      </c>
      <c r="R77" s="66"/>
      <c r="S77" s="701">
        <f>+'Exhibit I State'!S76+'Exhibit I Federal'!S58</f>
        <v>43.800000000000068</v>
      </c>
      <c r="T77" s="66"/>
      <c r="U77" s="701">
        <f>+'Exhibit I State'!U76+'Exhibit I Federal'!U58</f>
        <v>102.60000000000005</v>
      </c>
      <c r="V77" s="66"/>
      <c r="W77" s="701">
        <f>+'Exhibit I State'!W76+'Exhibit I Federal'!W58</f>
        <v>31.799999999999926</v>
      </c>
      <c r="X77" s="66"/>
      <c r="Y77" s="1141"/>
      <c r="Z77" s="66"/>
      <c r="AA77" s="1141"/>
      <c r="AB77" s="278"/>
      <c r="AC77" s="278">
        <v>0</v>
      </c>
      <c r="AD77" s="66"/>
      <c r="AE77" s="57"/>
      <c r="AF77" s="118">
        <f t="shared" si="4"/>
        <v>731.5</v>
      </c>
      <c r="AG77" s="79"/>
      <c r="AH77" s="56"/>
      <c r="AI77" s="127">
        <f>+'Exhibit I State'!AG76+'Exhibit I Federal'!AG58</f>
        <v>848</v>
      </c>
      <c r="AJ77" s="66"/>
      <c r="AK77" s="337"/>
      <c r="AL77" s="58">
        <f t="shared" si="3"/>
        <v>-116.5</v>
      </c>
      <c r="AM77" s="336"/>
      <c r="AN77" s="1603">
        <f>ROUND(IF(AI77=0,0,AL77/ABS(AI77)),3)</f>
        <v>-0.13700000000000001</v>
      </c>
      <c r="AO77" s="327"/>
    </row>
    <row r="78" spans="1:44" ht="15.75">
      <c r="A78" s="31"/>
      <c r="B78" s="31" t="s">
        <v>34</v>
      </c>
      <c r="C78" s="31"/>
      <c r="D78" s="31"/>
      <c r="E78" s="701">
        <f>+'Exhibit I State'!E77+'Exhibit I Federal'!E59</f>
        <v>232.7</v>
      </c>
      <c r="F78" s="1575"/>
      <c r="G78" s="701">
        <f>+'Exhibit I State'!G77+'Exhibit I Federal'!G59</f>
        <v>44.70000000000001</v>
      </c>
      <c r="H78" s="1575"/>
      <c r="I78" s="701">
        <f>+'Exhibit I State'!I77+'Exhibit I Federal'!I59</f>
        <v>70.800000000000011</v>
      </c>
      <c r="J78" s="1575"/>
      <c r="K78" s="701">
        <f>+'Exhibit I State'!K77+'Exhibit I Federal'!K59</f>
        <v>57.100000000000009</v>
      </c>
      <c r="L78" s="66"/>
      <c r="M78" s="701">
        <f>+'Exhibit I State'!M77+'Exhibit I Federal'!M59</f>
        <v>45.099999999999994</v>
      </c>
      <c r="N78" s="66"/>
      <c r="O78" s="701">
        <f>+'Exhibit I State'!O77+'Exhibit I Federal'!O59</f>
        <v>508.70000000000005</v>
      </c>
      <c r="P78" s="66"/>
      <c r="Q78" s="701">
        <f>+'Exhibit I State'!Q77+'Exhibit I Federal'!Q59</f>
        <v>80.099999999999795</v>
      </c>
      <c r="R78" s="66"/>
      <c r="S78" s="701">
        <f>+'Exhibit I State'!S77+'Exhibit I Federal'!S59</f>
        <v>36.799999999999969</v>
      </c>
      <c r="T78" s="66"/>
      <c r="U78" s="701">
        <f>+'Exhibit I State'!U77+'Exhibit I Federal'!U59</f>
        <v>281.2</v>
      </c>
      <c r="V78" s="66"/>
      <c r="W78" s="701">
        <f>+'Exhibit I State'!W77+'Exhibit I Federal'!W59</f>
        <v>49.800000000000125</v>
      </c>
      <c r="X78" s="66"/>
      <c r="Y78" s="1141"/>
      <c r="Z78" s="66"/>
      <c r="AA78" s="1141"/>
      <c r="AB78" s="278"/>
      <c r="AC78" s="278">
        <v>0</v>
      </c>
      <c r="AD78" s="66"/>
      <c r="AE78" s="57"/>
      <c r="AF78" s="118">
        <f>ROUND(SUM(E78:AC78),1)</f>
        <v>1407</v>
      </c>
      <c r="AG78" s="79"/>
      <c r="AH78" s="56"/>
      <c r="AI78" s="1060">
        <f>+'Exhibit I State'!AG77+'Exhibit I Federal'!AG59</f>
        <v>1328</v>
      </c>
      <c r="AJ78" s="56"/>
      <c r="AK78" s="337"/>
      <c r="AL78" s="58">
        <f>ROUND(SUM(+AF78-AI78),1)</f>
        <v>79</v>
      </c>
      <c r="AM78" s="327"/>
      <c r="AN78" s="1463">
        <f>ROUND(IF(AI78=0,0,AL78/ABS(AI78)),3)</f>
        <v>5.8999999999999997E-2</v>
      </c>
      <c r="AO78" s="327"/>
    </row>
    <row r="79" spans="1:44" ht="15.75">
      <c r="A79" s="31"/>
      <c r="B79" s="29" t="s">
        <v>198</v>
      </c>
      <c r="C79" s="31"/>
      <c r="D79" s="31"/>
      <c r="E79" s="296">
        <f>ROUND(SUM(E69:E78),1)</f>
        <v>365.7</v>
      </c>
      <c r="F79" s="938"/>
      <c r="G79" s="296">
        <f>ROUND(SUM(G69:G78),1)</f>
        <v>404.8</v>
      </c>
      <c r="H79" s="938"/>
      <c r="I79" s="296">
        <f>ROUND(SUM(I69:I78),1)</f>
        <v>535.6</v>
      </c>
      <c r="J79" s="1576"/>
      <c r="K79" s="296">
        <f>ROUND(SUM(K69:K78),1)</f>
        <v>243.5</v>
      </c>
      <c r="L79" s="76"/>
      <c r="M79" s="296">
        <f>ROUND(SUM(M69:M78),1)</f>
        <v>156.9</v>
      </c>
      <c r="N79" s="76"/>
      <c r="O79" s="296">
        <f>ROUND(SUM(O69:O78),1)</f>
        <v>764.7</v>
      </c>
      <c r="P79" s="62"/>
      <c r="Q79" s="296">
        <f>ROUND(SUM(Q69:Q78),1)</f>
        <v>352.6</v>
      </c>
      <c r="R79" s="62"/>
      <c r="S79" s="1115">
        <f>ROUND(SUM(S69:S78),1)</f>
        <v>261.5</v>
      </c>
      <c r="T79" s="62"/>
      <c r="U79" s="296">
        <f>ROUND(SUM(U69:U78),1)</f>
        <v>622.29999999999995</v>
      </c>
      <c r="V79" s="62"/>
      <c r="W79" s="296">
        <f>ROUND(SUM(W69:W78),1)</f>
        <v>621.4</v>
      </c>
      <c r="X79" s="62"/>
      <c r="Y79" s="296">
        <f>ROUND(SUM(Y69:Y78),1)</f>
        <v>0</v>
      </c>
      <c r="Z79" s="62"/>
      <c r="AA79" s="296">
        <f>ROUND(SUM(AA69:AA78),1)</f>
        <v>0</v>
      </c>
      <c r="AB79" s="1576"/>
      <c r="AC79" s="296">
        <f>ROUND(SUM(AC69:AC78),1)</f>
        <v>0</v>
      </c>
      <c r="AD79" s="62"/>
      <c r="AE79" s="64"/>
      <c r="AF79" s="1115">
        <f>ROUND(SUM(AF69:AF78),1)</f>
        <v>4329</v>
      </c>
      <c r="AG79" s="216"/>
      <c r="AH79" s="76"/>
      <c r="AI79" s="1115">
        <f>ROUND(SUM(AI69:AI78),1)</f>
        <v>4086.6</v>
      </c>
      <c r="AJ79" s="76"/>
      <c r="AK79" s="337"/>
      <c r="AL79" s="296">
        <f>ROUND(SUM(AL69:AL78),1)</f>
        <v>242.4</v>
      </c>
      <c r="AM79" s="343"/>
      <c r="AN79" s="916">
        <f>ROUND(SUM(AL79/AI79),3)</f>
        <v>5.8999999999999997E-2</v>
      </c>
      <c r="AO79" s="332"/>
      <c r="AP79" s="340"/>
      <c r="AQ79" s="332"/>
      <c r="AR79" s="332"/>
    </row>
    <row r="80" spans="1:44" ht="15.75">
      <c r="A80" s="31"/>
      <c r="B80" s="31" t="s">
        <v>199</v>
      </c>
      <c r="C80" s="31"/>
      <c r="D80" s="31"/>
      <c r="E80" s="1575"/>
      <c r="F80" s="1575"/>
      <c r="G80" s="1575"/>
      <c r="H80" s="1575"/>
      <c r="I80" s="1575"/>
      <c r="J80" s="1575"/>
      <c r="K80" s="1575"/>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1">
        <f>+'Exhibit I State'!E80+'Exhibit I Federal'!E62</f>
        <v>0</v>
      </c>
      <c r="F81" s="1575"/>
      <c r="G81" s="701">
        <f>+'Exhibit I State'!G80+'Exhibit I Federal'!G62</f>
        <v>0</v>
      </c>
      <c r="H81" s="1575"/>
      <c r="I81" s="701">
        <f>+'Exhibit I State'!I80+'Exhibit I Federal'!I62</f>
        <v>0</v>
      </c>
      <c r="J81" s="1575"/>
      <c r="K81" s="701">
        <f>+'Exhibit I State'!K80+'Exhibit I Federal'!K62</f>
        <v>0</v>
      </c>
      <c r="L81" s="66"/>
      <c r="M81" s="701">
        <f>+'Exhibit I State'!M80+'Exhibit I Federal'!M62</f>
        <v>0</v>
      </c>
      <c r="N81" s="66"/>
      <c r="O81" s="701">
        <f>+'Exhibit I State'!O80+'Exhibit I Federal'!O62</f>
        <v>0</v>
      </c>
      <c r="P81" s="66"/>
      <c r="Q81" s="701">
        <f>+'Exhibit I State'!Q80+'Exhibit I Federal'!Q62</f>
        <v>0</v>
      </c>
      <c r="R81" s="66"/>
      <c r="S81" s="701">
        <f>+'Exhibit I State'!S80+'Exhibit I Federal'!S62</f>
        <v>0</v>
      </c>
      <c r="T81" s="66"/>
      <c r="U81" s="701">
        <f>+'Exhibit I State'!U80+'Exhibit I Federal'!U62</f>
        <v>0</v>
      </c>
      <c r="V81" s="66"/>
      <c r="W81" s="701">
        <f>+'Exhibit I State'!W80+'Exhibit I Federal'!W62</f>
        <v>0</v>
      </c>
      <c r="X81" s="66"/>
      <c r="Y81" s="1584"/>
      <c r="Z81" s="66"/>
      <c r="AA81" s="1584"/>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1">
        <f>+'Exhibit I State'!E81+'Exhibit I Federal'!E63</f>
        <v>0</v>
      </c>
      <c r="F82" s="1575"/>
      <c r="G82" s="701">
        <f>+'Exhibit I State'!G81+'Exhibit I Federal'!G63</f>
        <v>0</v>
      </c>
      <c r="H82" s="1575"/>
      <c r="I82" s="701">
        <f>+'Exhibit I State'!I81+'Exhibit I Federal'!I63</f>
        <v>0</v>
      </c>
      <c r="J82" s="1575"/>
      <c r="K82" s="701">
        <f>+'Exhibit I State'!K81+'Exhibit I Federal'!K63</f>
        <v>0</v>
      </c>
      <c r="L82" s="66"/>
      <c r="M82" s="701">
        <f>+'Exhibit I State'!M81+'Exhibit I Federal'!M63</f>
        <v>0</v>
      </c>
      <c r="N82" s="66"/>
      <c r="O82" s="701">
        <f>+'Exhibit I State'!O81+'Exhibit I Federal'!O63</f>
        <v>0</v>
      </c>
      <c r="P82" s="66"/>
      <c r="Q82" s="701">
        <f>+'Exhibit I State'!Q81+'Exhibit I Federal'!Q63</f>
        <v>0</v>
      </c>
      <c r="R82" s="66"/>
      <c r="S82" s="701">
        <f>+'Exhibit I State'!S81+'Exhibit I Federal'!S63</f>
        <v>0</v>
      </c>
      <c r="T82" s="66"/>
      <c r="U82" s="701">
        <f>+'Exhibit I State'!U81+'Exhibit I Federal'!U63</f>
        <v>0</v>
      </c>
      <c r="V82" s="66"/>
      <c r="W82" s="701">
        <f>+'Exhibit I State'!W81+'Exhibit I Federal'!W63</f>
        <v>0</v>
      </c>
      <c r="X82" s="66"/>
      <c r="Y82" s="1584"/>
      <c r="Z82" s="66"/>
      <c r="AA82" s="1584"/>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1">
        <f>+'Exhibit I State'!E82+'Exhibit I Federal'!E64</f>
        <v>0</v>
      </c>
      <c r="F83" s="1575"/>
      <c r="G83" s="701">
        <f>+'Exhibit I State'!G82+'Exhibit I Federal'!G64</f>
        <v>0</v>
      </c>
      <c r="H83" s="1575"/>
      <c r="I83" s="701">
        <f>+'Exhibit I State'!I82+'Exhibit I Federal'!I64</f>
        <v>0</v>
      </c>
      <c r="J83" s="1575"/>
      <c r="K83" s="701">
        <f>+'Exhibit I State'!K82+'Exhibit I Federal'!K64</f>
        <v>0</v>
      </c>
      <c r="L83" s="66"/>
      <c r="M83" s="701">
        <f>+'Exhibit I State'!M82+'Exhibit I Federal'!M64</f>
        <v>0</v>
      </c>
      <c r="N83" s="66"/>
      <c r="O83" s="701">
        <f>+'Exhibit I State'!O82+'Exhibit I Federal'!O64</f>
        <v>0</v>
      </c>
      <c r="P83" s="66"/>
      <c r="Q83" s="701">
        <f>+'Exhibit I State'!Q82+'Exhibit I Federal'!Q64</f>
        <v>0</v>
      </c>
      <c r="R83" s="66"/>
      <c r="S83" s="701">
        <f>+'Exhibit I State'!S82+'Exhibit I Federal'!S64</f>
        <v>0</v>
      </c>
      <c r="T83" s="66"/>
      <c r="U83" s="701">
        <f>+'Exhibit I State'!U82+'Exhibit I Federal'!U64</f>
        <v>0</v>
      </c>
      <c r="V83" s="66"/>
      <c r="W83" s="701">
        <f>+'Exhibit I State'!W82+'Exhibit I Federal'!W64</f>
        <v>0</v>
      </c>
      <c r="X83" s="66"/>
      <c r="Y83" s="1584"/>
      <c r="Z83" s="346"/>
      <c r="AA83" s="1584"/>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1">
        <f>+'Exhibit I State'!E83+'Exhibit I Federal'!E65</f>
        <v>434.1</v>
      </c>
      <c r="F84" s="1575"/>
      <c r="G84" s="701">
        <f>+'Exhibit I State'!G83+'Exhibit I Federal'!G65</f>
        <v>528.1</v>
      </c>
      <c r="H84" s="672"/>
      <c r="I84" s="701">
        <f>+'Exhibit I State'!I83+'Exhibit I Federal'!I65</f>
        <v>536.4</v>
      </c>
      <c r="J84" s="672"/>
      <c r="K84" s="701">
        <f>+'Exhibit I State'!K83+'Exhibit I Federal'!K65</f>
        <v>600.69999999999982</v>
      </c>
      <c r="L84" s="66"/>
      <c r="M84" s="701">
        <f>+'Exhibit I State'!M83+'Exhibit I Federal'!M65</f>
        <v>750.4</v>
      </c>
      <c r="N84" s="66"/>
      <c r="O84" s="701">
        <f>+'Exhibit I State'!O83+'Exhibit I Federal'!O65</f>
        <v>582.60000000000014</v>
      </c>
      <c r="P84" s="66"/>
      <c r="Q84" s="701">
        <f>+'Exhibit I State'!Q83+'Exhibit I Federal'!Q65</f>
        <v>710.69999999999993</v>
      </c>
      <c r="R84" s="66"/>
      <c r="S84" s="701">
        <f>+'Exhibit I State'!S83+'Exhibit I Federal'!S65</f>
        <v>705.00000000000045</v>
      </c>
      <c r="T84" s="66"/>
      <c r="U84" s="701">
        <f>+'Exhibit I State'!U83+'Exhibit I Federal'!U65</f>
        <v>577.00000000000023</v>
      </c>
      <c r="V84" s="66"/>
      <c r="W84" s="701">
        <f>+'Exhibit I State'!W83+'Exhibit I Federal'!W65</f>
        <v>551.7999999999995</v>
      </c>
      <c r="X84" s="66"/>
      <c r="Y84" s="1584"/>
      <c r="Z84" s="66"/>
      <c r="AA84" s="1584"/>
      <c r="AB84" s="278"/>
      <c r="AC84" s="278">
        <v>0</v>
      </c>
      <c r="AD84" s="66"/>
      <c r="AE84" s="57"/>
      <c r="AF84" s="119">
        <f>ROUND(SUM(E84:AC84),1)</f>
        <v>5976.8</v>
      </c>
      <c r="AG84" s="79"/>
      <c r="AH84" s="56"/>
      <c r="AI84" s="3630">
        <f>+'Exhibit I State'!AG83+'Exhibit I Federal'!AG65</f>
        <v>5968.3</v>
      </c>
      <c r="AJ84" s="78"/>
      <c r="AK84" s="335"/>
      <c r="AL84" s="338">
        <f>ROUND(SUM(+AF84-AI84),1)</f>
        <v>8.5</v>
      </c>
      <c r="AM84" s="327"/>
      <c r="AN84" s="919">
        <f>ROUND(IF(AI84=0,0,AL84/ABS(AI84)),3)</f>
        <v>1E-3</v>
      </c>
    </row>
    <row r="85" spans="1:44" ht="15.75">
      <c r="A85" s="31"/>
      <c r="B85" s="31"/>
      <c r="C85" s="31"/>
      <c r="D85" s="31"/>
      <c r="E85" s="702"/>
      <c r="F85" s="1575"/>
      <c r="G85" s="702"/>
      <c r="H85" s="1575"/>
      <c r="I85" s="702"/>
      <c r="J85" s="1575"/>
      <c r="K85" s="702"/>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38">
        <f>ROUND(SUM(+E84+E79),1)</f>
        <v>799.8</v>
      </c>
      <c r="F86" s="938"/>
      <c r="G86" s="938">
        <f>ROUND(SUM(+G84+G79),1)</f>
        <v>932.9</v>
      </c>
      <c r="H86" s="938"/>
      <c r="I86" s="938">
        <f>ROUND(SUM(+I84+I79),1)</f>
        <v>1072</v>
      </c>
      <c r="J86" s="938"/>
      <c r="K86" s="938">
        <f>ROUND(SUM(+K84+K79),1)</f>
        <v>844.2</v>
      </c>
      <c r="L86" s="62"/>
      <c r="M86" s="938">
        <f>ROUND(SUM(+M84+M79),1)</f>
        <v>907.3</v>
      </c>
      <c r="N86" s="62"/>
      <c r="O86" s="938">
        <f>ROUND(SUM(+O84+O79),1)</f>
        <v>1347.3</v>
      </c>
      <c r="P86" s="62"/>
      <c r="Q86" s="938">
        <f>ROUND(SUM(+Q84+Q79),1)</f>
        <v>1063.3</v>
      </c>
      <c r="R86" s="62"/>
      <c r="S86" s="112">
        <f>ROUND(SUM(+S84+S79),1)</f>
        <v>966.5</v>
      </c>
      <c r="T86" s="62"/>
      <c r="U86" s="938">
        <f>ROUND(SUM(+U84+U79),1)</f>
        <v>1199.3</v>
      </c>
      <c r="V86" s="62"/>
      <c r="W86" s="938">
        <f>ROUND(SUM(+W84+W79),1)</f>
        <v>1173.2</v>
      </c>
      <c r="X86" s="62"/>
      <c r="Y86" s="938">
        <f>ROUND(SUM(+Y84+Y79),1)</f>
        <v>0</v>
      </c>
      <c r="Z86" s="62"/>
      <c r="AA86" s="938">
        <f>ROUND(SUM(+AA84+AA79),1)</f>
        <v>0</v>
      </c>
      <c r="AB86" s="938"/>
      <c r="AC86" s="938">
        <f>ROUND(SUM(+AC84+AC79),1)</f>
        <v>0</v>
      </c>
      <c r="AD86" s="62"/>
      <c r="AE86" s="64"/>
      <c r="AF86" s="112">
        <f>ROUND(SUM(+AF84+AF79),1)</f>
        <v>10305.799999999999</v>
      </c>
      <c r="AG86" s="216"/>
      <c r="AH86" s="76"/>
      <c r="AI86" s="112">
        <f>ROUND(SUM(+AI84+AI79),1)</f>
        <v>10054.9</v>
      </c>
      <c r="AJ86" s="76"/>
      <c r="AK86" s="337"/>
      <c r="AL86" s="74">
        <f>ROUND(SUM(AL79+AL84),1)</f>
        <v>250.9</v>
      </c>
      <c r="AM86" s="343"/>
      <c r="AN86" s="301">
        <f>ROUND(SUM(AL86/AI86),3)</f>
        <v>2.5000000000000001E-2</v>
      </c>
      <c r="AO86" s="332"/>
      <c r="AP86" s="340"/>
      <c r="AQ86" s="332"/>
      <c r="AR86" s="332"/>
    </row>
    <row r="87" spans="1:44" ht="15.75">
      <c r="A87" s="31"/>
      <c r="B87" s="31"/>
      <c r="C87" s="31"/>
      <c r="D87" s="31"/>
      <c r="E87" s="702"/>
      <c r="F87" s="1575"/>
      <c r="G87" s="702"/>
      <c r="H87" s="1575"/>
      <c r="I87" s="702"/>
      <c r="J87" s="1575"/>
      <c r="K87" s="702"/>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5"/>
      <c r="F88" s="1575"/>
      <c r="G88" s="1575"/>
      <c r="H88" s="1575"/>
      <c r="I88" s="1575"/>
      <c r="J88" s="1575"/>
      <c r="K88" s="1575"/>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38">
        <f>ROUND(SUM(E65-E86),1)</f>
        <v>-343.6</v>
      </c>
      <c r="F89" s="938"/>
      <c r="G89" s="938">
        <f>ROUND(SUM(G65-G86),1)</f>
        <v>-595.70000000000005</v>
      </c>
      <c r="H89" s="938"/>
      <c r="I89" s="938">
        <f>ROUND(SUM(I65-I86),1)</f>
        <v>-548.1</v>
      </c>
      <c r="J89" s="938"/>
      <c r="K89" s="938">
        <f>ROUND(SUM(K65-K86),1)</f>
        <v>-333.8</v>
      </c>
      <c r="L89" s="62"/>
      <c r="M89" s="938">
        <f>ROUND(SUM(M65-M86),1)</f>
        <v>-433.7</v>
      </c>
      <c r="N89" s="62"/>
      <c r="O89" s="938">
        <f>ROUND(SUM(O65-O86),1)</f>
        <v>-435.5</v>
      </c>
      <c r="P89" s="62"/>
      <c r="Q89" s="938">
        <f>ROUND(SUM(Q65-Q86),1)</f>
        <v>1096.5999999999999</v>
      </c>
      <c r="R89" s="62"/>
      <c r="S89" s="112">
        <f>ROUND(SUM(S65-S86),1)</f>
        <v>-545.29999999999995</v>
      </c>
      <c r="T89" s="62"/>
      <c r="U89" s="938">
        <f>ROUND(SUM(U65-U86),1)</f>
        <v>-504.6</v>
      </c>
      <c r="V89" s="62"/>
      <c r="W89" s="938">
        <f>ROUND(SUM(W65-W86),1)</f>
        <v>-96.8</v>
      </c>
      <c r="X89" s="62"/>
      <c r="Y89" s="938">
        <f>ROUND(SUM(Y65-Y86),1)</f>
        <v>0</v>
      </c>
      <c r="Z89" s="62"/>
      <c r="AA89" s="938">
        <f>ROUND(SUM(AA65-AA86),1)</f>
        <v>0</v>
      </c>
      <c r="AB89" s="938"/>
      <c r="AC89" s="938">
        <f>ROUND(SUM(AC65-AC86),1)</f>
        <v>0</v>
      </c>
      <c r="AD89" s="62"/>
      <c r="AE89" s="64"/>
      <c r="AF89" s="112">
        <f>ROUND(SUM(AF65-AF86),1)</f>
        <v>-2740.5</v>
      </c>
      <c r="AG89" s="216"/>
      <c r="AH89" s="76"/>
      <c r="AI89" s="112">
        <f>ROUND(SUM(AI65-AI86),1)</f>
        <v>-2107.3000000000002</v>
      </c>
      <c r="AJ89" s="76"/>
      <c r="AK89" s="337"/>
      <c r="AL89" s="74">
        <f>ROUND(SUM(AL65-AL86),1)</f>
        <v>-633.20000000000005</v>
      </c>
      <c r="AM89" s="343"/>
      <c r="AN89" s="301">
        <f>ROUND(IF(AI89=0,0,AL89/ABS(AI89)),3)</f>
        <v>-0.3</v>
      </c>
      <c r="AO89" s="332"/>
      <c r="AP89" s="332"/>
      <c r="AQ89" s="332"/>
      <c r="AR89" s="332"/>
    </row>
    <row r="90" spans="1:44" ht="15.75">
      <c r="A90" s="31"/>
      <c r="B90" s="31"/>
      <c r="C90" s="31"/>
      <c r="D90" s="31"/>
      <c r="E90" s="702"/>
      <c r="F90" s="1575"/>
      <c r="G90" s="702"/>
      <c r="H90" s="1575"/>
      <c r="I90" s="702"/>
      <c r="J90" s="1575"/>
      <c r="K90" s="702"/>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5"/>
      <c r="F91" s="1575"/>
      <c r="G91" s="1575"/>
      <c r="H91" s="1575"/>
      <c r="I91" s="1575"/>
      <c r="J91" s="1575"/>
      <c r="K91" s="1575"/>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09" customFormat="1" ht="15.75">
      <c r="A92" s="107"/>
      <c r="B92" s="107" t="s">
        <v>207</v>
      </c>
      <c r="C92" s="107"/>
      <c r="D92" s="107"/>
      <c r="E92" s="701">
        <f>+'Exhibit I State'!E91+'Exhibit I Federal'!E73</f>
        <v>0</v>
      </c>
      <c r="F92" s="1575"/>
      <c r="G92" s="701">
        <f>+'Exhibit I State'!G91+'Exhibit I Federal'!G73</f>
        <v>0</v>
      </c>
      <c r="H92" s="672"/>
      <c r="I92" s="701">
        <f>+'Exhibit I State'!I91+'Exhibit I Federal'!I73</f>
        <v>0</v>
      </c>
      <c r="J92" s="1575"/>
      <c r="K92" s="701">
        <f>+'Exhibit I State'!K91+'Exhibit I Federal'!K73</f>
        <v>0</v>
      </c>
      <c r="L92" s="118"/>
      <c r="M92" s="701">
        <f>+'Exhibit I State'!M91+'Exhibit I Federal'!M73</f>
        <v>0</v>
      </c>
      <c r="N92" s="362"/>
      <c r="O92" s="701">
        <f>+'Exhibit I State'!O91+'Exhibit I Federal'!O73</f>
        <v>0</v>
      </c>
      <c r="P92" s="118"/>
      <c r="Q92" s="701">
        <f>+'Exhibit I State'!Q91+'Exhibit I Federal'!Q73</f>
        <v>0</v>
      </c>
      <c r="R92" s="118"/>
      <c r="S92" s="701">
        <f>+'Exhibit I State'!S91+'Exhibit I Federal'!S73</f>
        <v>0</v>
      </c>
      <c r="T92" s="118"/>
      <c r="U92" s="701">
        <f>+'Exhibit I State'!U91+'Exhibit I Federal'!U73</f>
        <v>0</v>
      </c>
      <c r="V92" s="118"/>
      <c r="W92" s="701">
        <f>+'Exhibit I State'!W91+'Exhibit I Federal'!W73</f>
        <v>0</v>
      </c>
      <c r="X92" s="118"/>
      <c r="Y92" s="1584"/>
      <c r="Z92" s="118"/>
      <c r="AA92" s="1584"/>
      <c r="AB92" s="1099"/>
      <c r="AC92" s="1099">
        <v>0</v>
      </c>
      <c r="AD92" s="118"/>
      <c r="AE92" s="692"/>
      <c r="AF92" s="119">
        <f>ROUND(SUM(E92:AC92),1)</f>
        <v>0</v>
      </c>
      <c r="AG92" s="1100"/>
      <c r="AH92" s="67"/>
      <c r="AI92" s="127">
        <f>+'Exhibit I State'!AG91+'Exhibit I Federal'!AG73</f>
        <v>0</v>
      </c>
      <c r="AJ92" s="127"/>
      <c r="AK92" s="1127"/>
      <c r="AL92" s="1843">
        <f>ROUND(SUM(+AF92-AI92),1)</f>
        <v>0</v>
      </c>
      <c r="AM92" s="1102"/>
      <c r="AN92" s="1699">
        <f>ROUND(IF(AI92=0,0,AL92/ABS(AI92)),3)</f>
        <v>0</v>
      </c>
    </row>
    <row r="93" spans="1:44" s="1109" customFormat="1" ht="15.75">
      <c r="A93" s="107"/>
      <c r="B93" s="1776" t="s">
        <v>174</v>
      </c>
      <c r="C93" s="107"/>
      <c r="D93" s="107"/>
      <c r="E93" s="701">
        <f>+'Exhibit I State'!E92+'Exhibit I Federal'!E73</f>
        <v>509.2</v>
      </c>
      <c r="F93" s="1575"/>
      <c r="G93" s="701">
        <f>+'Exhibit I State'!G92+'Exhibit I Federal'!G73</f>
        <v>412.40000000000003</v>
      </c>
      <c r="H93" s="701"/>
      <c r="I93" s="701">
        <f>+'Exhibit I State'!I92+'Exhibit I Federal'!I73</f>
        <v>633.49999999999977</v>
      </c>
      <c r="J93" s="1575"/>
      <c r="K93" s="701">
        <f>+'Exhibit I State'!K92+'Exhibit I Federal'!K73</f>
        <v>260.60000000000014</v>
      </c>
      <c r="L93" s="118"/>
      <c r="M93" s="701">
        <f>+'Exhibit I State'!M92+'Exhibit I Federal'!M73</f>
        <v>486.29999999999995</v>
      </c>
      <c r="N93" s="118"/>
      <c r="O93" s="701">
        <f>+'Exhibit I State'!O92+'Exhibit I Federal'!O73</f>
        <v>752.30000000000041</v>
      </c>
      <c r="P93" s="118"/>
      <c r="Q93" s="701">
        <f>+'Exhibit I State'!Q92+'Exhibit I Federal'!Q73</f>
        <v>-532.50000000000023</v>
      </c>
      <c r="R93" s="118"/>
      <c r="S93" s="701">
        <f>+'Exhibit I State'!S92+'Exhibit I Federal'!S73</f>
        <v>494.60000000000014</v>
      </c>
      <c r="T93" s="118"/>
      <c r="U93" s="701">
        <f>+'Exhibit I State'!U92+'Exhibit I Federal'!U73</f>
        <v>508.40000000000009</v>
      </c>
      <c r="V93" s="118"/>
      <c r="W93" s="701">
        <f>+'Exhibit I State'!W92+'Exhibit I Federal'!W73</f>
        <v>322.89999999999986</v>
      </c>
      <c r="X93" s="118"/>
      <c r="Y93" s="1584"/>
      <c r="Z93" s="118"/>
      <c r="AA93" s="1584"/>
      <c r="AB93" s="3596"/>
      <c r="AC93" s="1839">
        <v>-175.90000000000009</v>
      </c>
      <c r="AD93" s="118"/>
      <c r="AE93" s="692"/>
      <c r="AF93" s="119">
        <f>ROUND(SUM(E93:AC93),1)</f>
        <v>3671.8</v>
      </c>
      <c r="AG93" s="1100"/>
      <c r="AH93" s="67"/>
      <c r="AI93" s="118">
        <v>2680</v>
      </c>
      <c r="AJ93" s="119"/>
      <c r="AK93" s="1101"/>
      <c r="AL93" s="1843">
        <f>ROUND(SUM(+AF93-AI93),1)</f>
        <v>991.8</v>
      </c>
      <c r="AM93" s="1121"/>
      <c r="AN93" s="1844">
        <f>ROUND(IF(AI93=0,0,AL93/ABS(AI93)),3)</f>
        <v>0.37</v>
      </c>
      <c r="AO93" s="1121"/>
      <c r="AP93" s="1122"/>
    </row>
    <row r="94" spans="1:44" ht="15.75">
      <c r="A94" s="31"/>
      <c r="B94" s="54" t="s">
        <v>208</v>
      </c>
      <c r="C94" s="31"/>
      <c r="D94" s="31"/>
      <c r="E94" s="701">
        <f>+'Exhibit I State'!E93+'Exhibit I Federal'!E74</f>
        <v>-45.9</v>
      </c>
      <c r="F94" s="1575"/>
      <c r="G94" s="701">
        <f>+'Exhibit I State'!G93+'Exhibit I Federal'!G74</f>
        <v>-47.70000000000001</v>
      </c>
      <c r="H94" s="1575"/>
      <c r="I94" s="701">
        <f>+'Exhibit I State'!I93+'Exhibit I Federal'!I74</f>
        <v>-48.699999999999996</v>
      </c>
      <c r="J94" s="1575"/>
      <c r="K94" s="701">
        <f>+'Exhibit I State'!K93+'Exhibit I Federal'!K74</f>
        <v>-48.799999999999976</v>
      </c>
      <c r="L94" s="118"/>
      <c r="M94" s="701">
        <f>+'Exhibit I State'!M93+'Exhibit I Federal'!M74</f>
        <v>-69.500000000000028</v>
      </c>
      <c r="N94" s="118"/>
      <c r="O94" s="701">
        <f>+'Exhibit I State'!O93+'Exhibit I Federal'!O74</f>
        <v>-253.50000000000009</v>
      </c>
      <c r="P94" s="118"/>
      <c r="Q94" s="701">
        <f>+'Exhibit I State'!Q93+'Exhibit I Federal'!Q74</f>
        <v>-222.2</v>
      </c>
      <c r="R94" s="118"/>
      <c r="S94" s="701">
        <f>+'Exhibit I State'!S93+'Exhibit I Federal'!S74</f>
        <v>-45.399999999999864</v>
      </c>
      <c r="T94" s="118"/>
      <c r="U94" s="701">
        <f>+'Exhibit I State'!U93+'Exhibit I Federal'!U74</f>
        <v>-88.80000000000004</v>
      </c>
      <c r="V94" s="118"/>
      <c r="W94" s="701">
        <f>+'Exhibit I State'!W93+'Exhibit I Federal'!W74</f>
        <v>-45.700000000000017</v>
      </c>
      <c r="X94" s="118"/>
      <c r="Y94" s="1584"/>
      <c r="Z94" s="118"/>
      <c r="AA94" s="1584"/>
      <c r="AB94" s="3596"/>
      <c r="AC94" s="3582">
        <v>175.9</v>
      </c>
      <c r="AD94" s="66"/>
      <c r="AE94" s="57"/>
      <c r="AF94" s="119">
        <f>ROUND(SUM(E94:AC94),1)</f>
        <v>-740.3</v>
      </c>
      <c r="AG94" s="79"/>
      <c r="AH94" s="56"/>
      <c r="AI94" s="3679">
        <v>-509.5</v>
      </c>
      <c r="AJ94" s="56"/>
      <c r="AK94" s="337"/>
      <c r="AL94" s="913">
        <f>ROUND(-SUM(+AF94-AI94),1)</f>
        <v>230.8</v>
      </c>
      <c r="AM94" s="327"/>
      <c r="AN94" s="919">
        <f>ROUND(IF(AI94=0,0,AL94/ABS(AI94)),3)</f>
        <v>0.45300000000000001</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1208</v>
      </c>
      <c r="C96" s="31"/>
      <c r="D96" s="31"/>
      <c r="E96" s="62">
        <f>ROUND(SUM(E92:E95),1)</f>
        <v>463.3</v>
      </c>
      <c r="F96" s="62"/>
      <c r="G96" s="938">
        <f>ROUND(SUM(G92:G95),1)</f>
        <v>364.7</v>
      </c>
      <c r="H96" s="62"/>
      <c r="I96" s="938">
        <f>ROUND(SUM(I92:I95),1)</f>
        <v>584.79999999999995</v>
      </c>
      <c r="J96" s="62"/>
      <c r="K96" s="938">
        <f>ROUND(SUM(K92:K95),1)</f>
        <v>211.8</v>
      </c>
      <c r="L96" s="62"/>
      <c r="M96" s="938">
        <f>ROUND(SUM(M92:M95),1)</f>
        <v>416.8</v>
      </c>
      <c r="N96" s="62"/>
      <c r="O96" s="938">
        <f>ROUND(SUM(O92:O95),1)</f>
        <v>498.8</v>
      </c>
      <c r="P96" s="62"/>
      <c r="Q96" s="938">
        <f>ROUND(SUM(Q92:Q95),1)</f>
        <v>-754.7</v>
      </c>
      <c r="R96" s="62"/>
      <c r="S96" s="112">
        <f>ROUND(SUM(S92:S95),1)</f>
        <v>449.2</v>
      </c>
      <c r="T96" s="62"/>
      <c r="U96" s="938">
        <f>ROUND(SUM(U92:U95),1)</f>
        <v>419.6</v>
      </c>
      <c r="V96" s="62"/>
      <c r="W96" s="938">
        <f>ROUND(SUM(W92:W95),1)</f>
        <v>277.2</v>
      </c>
      <c r="X96" s="62"/>
      <c r="Y96" s="938">
        <f>ROUND(SUM(Y92:Y95),1)</f>
        <v>0</v>
      </c>
      <c r="Z96" s="62"/>
      <c r="AA96" s="938">
        <f>ROUND(SUM(AA92:AA95),1)</f>
        <v>0</v>
      </c>
      <c r="AB96" s="938"/>
      <c r="AC96" s="938">
        <f>ROUND(SUM(AC92:AC95),1)</f>
        <v>0</v>
      </c>
      <c r="AD96" s="62"/>
      <c r="AE96" s="64"/>
      <c r="AF96" s="112">
        <f>ROUND(SUM(AF92:AF95),1)</f>
        <v>2931.5</v>
      </c>
      <c r="AG96" s="216"/>
      <c r="AH96" s="76"/>
      <c r="AI96" s="112">
        <f>ROUND(SUM(AI92:AI95),1)</f>
        <v>2170.5</v>
      </c>
      <c r="AJ96" s="76"/>
      <c r="AK96" s="337"/>
      <c r="AL96" s="74">
        <f>ROUND(SUM(AF96-AI96),1)</f>
        <v>761</v>
      </c>
      <c r="AM96" s="343"/>
      <c r="AN96" s="351">
        <f>ROUND(SUM(AL96/ABS(AI96)),3)</f>
        <v>0.35099999999999998</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5"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38" t="s">
        <v>15</v>
      </c>
      <c r="H100" s="62"/>
      <c r="I100" s="62"/>
      <c r="J100" s="62"/>
      <c r="K100" s="938"/>
      <c r="L100" s="62"/>
      <c r="M100" s="938"/>
      <c r="N100" s="62"/>
      <c r="O100" s="938"/>
      <c r="P100" s="62"/>
      <c r="Q100" s="938"/>
      <c r="R100" s="62"/>
      <c r="S100" s="938"/>
      <c r="T100" s="62"/>
      <c r="U100" s="938"/>
      <c r="V100" s="62"/>
      <c r="W100" s="938"/>
      <c r="X100" s="62"/>
      <c r="Y100" s="938"/>
      <c r="Z100" s="62"/>
      <c r="AA100" s="938"/>
      <c r="AB100" s="938"/>
      <c r="AC100" s="938"/>
      <c r="AD100" s="62"/>
      <c r="AE100" s="64"/>
      <c r="AF100" s="62" t="s">
        <v>15</v>
      </c>
      <c r="AG100" s="216"/>
      <c r="AH100" s="76"/>
      <c r="AI100" s="3631"/>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1199</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341.9</v>
      </c>
      <c r="R101" s="62"/>
      <c r="S101" s="350">
        <f>ROUND(SUM(S89+S96),1)</f>
        <v>-96.1</v>
      </c>
      <c r="T101" s="62"/>
      <c r="U101" s="350">
        <f>ROUND(SUM(U89+U96),1)</f>
        <v>-85</v>
      </c>
      <c r="V101" s="62"/>
      <c r="W101" s="350">
        <f>ROUND(SUM(W89+W96),1)</f>
        <v>180.4</v>
      </c>
      <c r="X101" s="62"/>
      <c r="Y101" s="350">
        <f>ROUND(SUM(Y89+Y96),1)</f>
        <v>0</v>
      </c>
      <c r="Z101" s="62"/>
      <c r="AA101" s="350">
        <f>ROUND(SUM(AA89+AA96),1)</f>
        <v>0</v>
      </c>
      <c r="AB101" s="2004"/>
      <c r="AC101" s="350">
        <f>ROUND(SUM(AC89+AC96),1)</f>
        <v>0</v>
      </c>
      <c r="AD101" s="62"/>
      <c r="AE101" s="64"/>
      <c r="AF101" s="350">
        <f>ROUND(AF89+AF96,1)</f>
        <v>191</v>
      </c>
      <c r="AG101" s="216"/>
      <c r="AH101" s="76"/>
      <c r="AI101" s="3632">
        <f>ROUND(SUM(AI89+AI96),1)</f>
        <v>63.2</v>
      </c>
      <c r="AJ101" s="349"/>
      <c r="AK101" s="348"/>
      <c r="AL101" s="350">
        <f>ROUND(SUM(+AF101-AI101),1)</f>
        <v>127.8</v>
      </c>
      <c r="AM101" s="343"/>
      <c r="AN101" s="1665">
        <f>ROUND(IF(AI101=0,0,AL101/ABS(AI101)),3)</f>
        <v>2.0219999999999998</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2" t="s">
        <v>184</v>
      </c>
      <c r="AJ102" s="275"/>
      <c r="AK102" s="37"/>
      <c r="AL102" s="327"/>
      <c r="AM102" s="327"/>
      <c r="AN102" s="334"/>
      <c r="AO102" s="327"/>
      <c r="AP102" s="327"/>
    </row>
    <row r="103" spans="1:55" s="30" customFormat="1" ht="15" customHeight="1" thickBot="1">
      <c r="A103" s="31"/>
      <c r="B103" s="29" t="s">
        <v>1209</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-946.2</v>
      </c>
      <c r="R103" s="94"/>
      <c r="S103" s="267">
        <f>ROUND(SUM(+S101+S15),1)</f>
        <v>-1042.3</v>
      </c>
      <c r="T103" s="94"/>
      <c r="U103" s="267">
        <f>ROUND(SUM(+U101+U15),1)</f>
        <v>-1127.3</v>
      </c>
      <c r="V103" s="94"/>
      <c r="W103" s="267">
        <f>ROUND(SUM(+W101+W15),1)</f>
        <v>-946.9</v>
      </c>
      <c r="X103" s="94"/>
      <c r="Y103" s="267">
        <f>ROUND(SUM(+Y101+Y15),1)</f>
        <v>0</v>
      </c>
      <c r="Z103" s="94"/>
      <c r="AA103" s="267">
        <f>ROUND(SUM(+AA101+AA15),1)</f>
        <v>0</v>
      </c>
      <c r="AB103" s="219"/>
      <c r="AC103" s="267">
        <f>ROUND(SUM(+AC101+AC15),1)</f>
        <v>0</v>
      </c>
      <c r="AD103" s="94"/>
      <c r="AE103" s="95"/>
      <c r="AF103" s="267">
        <f>ROUND(SUM(+AF101+AF15),1)</f>
        <v>-946.9</v>
      </c>
      <c r="AG103" s="94"/>
      <c r="AH103" s="95"/>
      <c r="AI103" s="262">
        <f>ROUND(SUM(+AI101+AI15),1)</f>
        <v>-1088</v>
      </c>
      <c r="AJ103" s="273"/>
      <c r="AK103" s="219"/>
      <c r="AL103" s="267">
        <f>ROUND(SUM(+AL101+AL15),1)</f>
        <v>141.1</v>
      </c>
      <c r="AM103" s="182"/>
      <c r="AN103" s="287">
        <f>ROUND(SUM(-(+AF103-AI103)/AI103),3)</f>
        <v>0.13</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0" t="s">
        <v>1312</v>
      </c>
      <c r="C105" s="355"/>
      <c r="D105" s="355"/>
      <c r="E105" s="356"/>
      <c r="F105" s="356"/>
      <c r="G105" s="356"/>
      <c r="AI105" s="3633"/>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8671875" defaultRowHeight="15"/>
  <cols>
    <col min="1" max="1" width="2.5546875" style="2644" customWidth="1"/>
    <col min="2" max="2" width="14.109375" style="2644" customWidth="1"/>
    <col min="3" max="3" width="26.109375" style="2644" customWidth="1"/>
    <col min="4" max="4" width="2" style="2644" customWidth="1"/>
    <col min="5" max="5" width="11.109375" style="2645" bestFit="1" customWidth="1"/>
    <col min="6" max="6" width="1.88671875" style="2645" customWidth="1"/>
    <col min="7" max="7" width="11.88671875" style="2645" customWidth="1"/>
    <col min="8" max="8" width="1.88671875" style="2645" customWidth="1"/>
    <col min="9" max="9" width="11.109375" style="2645" bestFit="1" customWidth="1"/>
    <col min="10" max="10" width="1.88671875" style="2645" customWidth="1"/>
    <col min="11" max="11" width="12" style="2645" customWidth="1"/>
    <col min="12" max="12" width="1.109375" style="2644" customWidth="1"/>
    <col min="13" max="13" width="10.109375" style="2644" bestFit="1" customWidth="1"/>
    <col min="14" max="14" width="1.88671875" style="2644" customWidth="1"/>
    <col min="15" max="15" width="11.109375" style="2644" customWidth="1"/>
    <col min="16" max="16" width="1.88671875" style="2644" customWidth="1"/>
    <col min="17" max="17" width="12.88671875" style="2644" customWidth="1"/>
    <col min="18" max="18" width="1.88671875" style="2644" customWidth="1"/>
    <col min="19" max="19" width="10.5546875" style="2644" customWidth="1"/>
    <col min="20" max="20" width="1.88671875" style="2644" customWidth="1"/>
    <col min="21" max="21" width="10.88671875" style="2644" customWidth="1"/>
    <col min="22" max="22" width="1.88671875" style="2644" customWidth="1"/>
    <col min="23" max="23" width="10.88671875" style="2644" customWidth="1"/>
    <col min="24" max="24" width="1.88671875" style="2644" customWidth="1"/>
    <col min="25" max="25" width="10.88671875" style="2644" customWidth="1"/>
    <col min="26" max="26" width="1.88671875" style="2644" customWidth="1"/>
    <col min="27" max="27" width="9" style="2644" bestFit="1" customWidth="1"/>
    <col min="28" max="29" width="1.88671875" style="2645" customWidth="1"/>
    <col min="30" max="30" width="11.109375" style="2645" bestFit="1" customWidth="1"/>
    <col min="31" max="32" width="1.109375" style="2645" customWidth="1"/>
    <col min="33" max="33" width="11.109375" style="2645" customWidth="1"/>
    <col min="34" max="35" width="1" style="2645" customWidth="1"/>
    <col min="36" max="36" width="13.44140625" style="2645" bestFit="1" customWidth="1"/>
    <col min="37" max="37" width="1.109375" style="2644" customWidth="1"/>
    <col min="38" max="38" width="12.88671875" style="2644" customWidth="1"/>
    <col min="39" max="40" width="8.88671875" style="2644"/>
    <col min="41" max="41" width="19.88671875" style="2644" bestFit="1" customWidth="1"/>
    <col min="42" max="16384" width="8.88671875" style="2644"/>
  </cols>
  <sheetData>
    <row r="1" spans="1:39">
      <c r="B1" s="2294" t="s">
        <v>979</v>
      </c>
    </row>
    <row r="2" spans="1:39">
      <c r="B2" s="2646"/>
    </row>
    <row r="3" spans="1:39" ht="19.5" customHeight="1">
      <c r="A3" s="2647"/>
      <c r="B3" s="2655" t="s">
        <v>0</v>
      </c>
      <c r="C3" s="2648"/>
      <c r="D3" s="2648"/>
      <c r="E3" s="2649"/>
      <c r="F3" s="2650"/>
      <c r="G3" s="2650"/>
      <c r="H3" s="2650"/>
      <c r="I3" s="2650"/>
      <c r="J3" s="2650"/>
      <c r="K3" s="2650"/>
      <c r="L3" s="2651"/>
      <c r="M3" s="2651"/>
      <c r="N3" s="2651"/>
      <c r="O3" s="2651"/>
      <c r="P3" s="2651"/>
      <c r="Q3" s="2651"/>
      <c r="R3" s="2651"/>
      <c r="S3" s="2651"/>
      <c r="T3" s="2651"/>
      <c r="U3" s="2651"/>
      <c r="V3" s="2651"/>
      <c r="W3" s="2651"/>
      <c r="X3" s="2651"/>
      <c r="Y3" s="2651"/>
      <c r="Z3" s="2651"/>
      <c r="AA3" s="2651"/>
      <c r="AB3" s="2650"/>
      <c r="AC3" s="2650"/>
      <c r="AD3" s="2650"/>
      <c r="AE3" s="2650"/>
      <c r="AF3" s="2650"/>
      <c r="AG3" s="2650"/>
      <c r="AH3" s="2650"/>
      <c r="AI3" s="2650"/>
      <c r="AL3" s="2593" t="s">
        <v>195</v>
      </c>
    </row>
    <row r="4" spans="1:39" ht="19.5" customHeight="1">
      <c r="A4" s="2647"/>
      <c r="B4" s="2655" t="s">
        <v>212</v>
      </c>
      <c r="C4" s="2648"/>
      <c r="D4" s="2648"/>
      <c r="E4" s="2649"/>
      <c r="F4" s="2650"/>
      <c r="G4" s="2650"/>
      <c r="H4" s="2650"/>
      <c r="I4" s="2650"/>
      <c r="J4" s="2650"/>
      <c r="K4" s="2650"/>
      <c r="L4" s="2651"/>
      <c r="M4" s="2651"/>
      <c r="N4" s="2651"/>
      <c r="O4" s="2651"/>
      <c r="P4" s="2651"/>
      <c r="Q4" s="2651"/>
      <c r="R4" s="2651"/>
      <c r="S4" s="2651"/>
      <c r="T4" s="2651"/>
      <c r="U4" s="2651"/>
      <c r="V4" s="2651"/>
      <c r="W4" s="2651"/>
      <c r="X4" s="2651"/>
      <c r="Y4" s="2651"/>
      <c r="Z4" s="2651"/>
      <c r="AA4" s="2651"/>
      <c r="AB4" s="2650"/>
      <c r="AC4" s="2650"/>
      <c r="AE4" s="3315"/>
      <c r="AF4" s="3315"/>
    </row>
    <row r="5" spans="1:39" ht="19.5" customHeight="1">
      <c r="A5" s="2647"/>
      <c r="B5" s="2493" t="s">
        <v>149</v>
      </c>
      <c r="C5" s="2648"/>
      <c r="D5" s="2648"/>
      <c r="E5" s="2649"/>
      <c r="F5" s="2650"/>
      <c r="G5" s="2650"/>
      <c r="H5" s="2650"/>
      <c r="I5" s="2650"/>
      <c r="J5" s="2650"/>
      <c r="K5" s="2650"/>
      <c r="L5" s="2651"/>
      <c r="M5" s="2651"/>
      <c r="N5" s="2651"/>
      <c r="O5" s="2651"/>
      <c r="P5" s="2651"/>
      <c r="Q5" s="2651"/>
      <c r="R5" s="2651"/>
      <c r="S5" s="2651"/>
      <c r="T5" s="2651"/>
      <c r="U5" s="2651"/>
      <c r="V5" s="2651"/>
      <c r="W5" s="2651"/>
      <c r="X5" s="2651"/>
      <c r="Y5" s="2651"/>
      <c r="Z5" s="2651"/>
      <c r="AA5" s="2651"/>
      <c r="AB5" s="2650"/>
      <c r="AC5" s="2650"/>
      <c r="AD5" s="2650"/>
      <c r="AE5" s="2650"/>
      <c r="AF5" s="2650"/>
      <c r="AG5" s="2650"/>
      <c r="AH5" s="2650"/>
      <c r="AI5" s="2650"/>
      <c r="AL5" s="2652"/>
    </row>
    <row r="6" spans="1:39" ht="19.5" customHeight="1">
      <c r="A6" s="2647"/>
      <c r="B6" s="2493" t="str">
        <f>'Cashflow Governmental'!A6</f>
        <v xml:space="preserve">FISCAL YEAR 2019-2020   </v>
      </c>
      <c r="C6" s="2648"/>
      <c r="D6" s="2648"/>
      <c r="E6" s="2649"/>
      <c r="F6" s="2650"/>
      <c r="G6" s="2650"/>
      <c r="H6" s="2653"/>
      <c r="I6" s="2650"/>
      <c r="J6" s="2650"/>
      <c r="K6" s="2650"/>
      <c r="L6" s="2651"/>
      <c r="M6" s="2651"/>
      <c r="N6" s="2651"/>
      <c r="O6" s="2651"/>
      <c r="P6" s="2651"/>
      <c r="Q6" s="2651"/>
      <c r="R6" s="2651"/>
      <c r="S6" s="2651"/>
      <c r="T6" s="2651"/>
      <c r="U6" s="2651"/>
      <c r="V6" s="2651"/>
      <c r="W6" s="2651"/>
      <c r="X6" s="2651"/>
      <c r="Y6" s="2651"/>
      <c r="Z6" s="2651"/>
      <c r="AA6" s="2651"/>
      <c r="AB6" s="2650"/>
      <c r="AC6" s="2650"/>
      <c r="AD6" s="2650"/>
      <c r="AE6" s="2654"/>
      <c r="AF6" s="2654"/>
      <c r="AG6" s="2654"/>
      <c r="AH6" s="2654"/>
      <c r="AI6" s="2654"/>
    </row>
    <row r="7" spans="1:39" ht="19.5" customHeight="1">
      <c r="A7" s="2647"/>
      <c r="B7" s="2655" t="s">
        <v>1417</v>
      </c>
      <c r="C7" s="2648"/>
      <c r="D7" s="2648"/>
      <c r="E7" s="2649"/>
      <c r="F7" s="2650"/>
      <c r="G7" s="2650"/>
      <c r="H7" s="2653"/>
      <c r="I7" s="2650"/>
      <c r="J7" s="2650"/>
      <c r="K7" s="2650"/>
      <c r="L7" s="2651"/>
      <c r="M7" s="2651"/>
      <c r="N7" s="2651"/>
      <c r="O7" s="2651"/>
      <c r="P7" s="2651"/>
      <c r="Q7" s="2651"/>
      <c r="R7" s="2651"/>
      <c r="S7" s="2651"/>
      <c r="T7" s="2651"/>
      <c r="U7" s="2651"/>
      <c r="V7" s="2651"/>
      <c r="W7" s="2651"/>
      <c r="X7" s="2651"/>
      <c r="Y7" s="2651"/>
      <c r="Z7" s="2651"/>
      <c r="AA7" s="2651"/>
      <c r="AB7" s="2650"/>
      <c r="AC7" s="2650"/>
      <c r="AD7" s="2650"/>
      <c r="AE7" s="2654"/>
      <c r="AF7" s="2654"/>
      <c r="AG7" s="2654"/>
      <c r="AH7" s="2654"/>
      <c r="AI7" s="2654"/>
    </row>
    <row r="8" spans="1:39" ht="19.5" customHeight="1">
      <c r="A8" s="2647"/>
      <c r="C8" s="2648"/>
      <c r="D8" s="2648"/>
      <c r="E8" s="2649"/>
      <c r="F8" s="2650"/>
      <c r="G8" s="2650"/>
      <c r="H8" s="2650"/>
      <c r="I8" s="2650"/>
      <c r="J8" s="2650"/>
      <c r="K8" s="2650"/>
      <c r="L8" s="2651"/>
      <c r="M8" s="2651"/>
      <c r="N8" s="2651"/>
      <c r="O8" s="2651"/>
      <c r="P8" s="2651"/>
      <c r="Q8" s="2651"/>
      <c r="R8" s="2651"/>
      <c r="S8" s="2651"/>
      <c r="T8" s="2651"/>
      <c r="U8" s="2651"/>
      <c r="V8" s="2651"/>
      <c r="W8" s="2651"/>
      <c r="X8" s="2651"/>
      <c r="Y8" s="2651"/>
      <c r="Z8" s="2651"/>
      <c r="AA8" s="2651"/>
      <c r="AB8" s="2650"/>
      <c r="AC8" s="2656"/>
    </row>
    <row r="9" spans="1:39" ht="15.75" customHeight="1">
      <c r="A9" s="2647"/>
      <c r="B9" s="2655"/>
      <c r="C9" s="2648"/>
      <c r="D9" s="2648"/>
      <c r="E9" s="2649"/>
      <c r="F9" s="2650"/>
      <c r="G9" s="2650"/>
      <c r="H9" s="2650"/>
      <c r="I9" s="2650"/>
      <c r="J9" s="2650"/>
      <c r="K9" s="2650"/>
      <c r="L9" s="2651"/>
      <c r="M9" s="2651"/>
      <c r="N9" s="2651"/>
      <c r="O9" s="2651"/>
      <c r="P9" s="2651"/>
      <c r="Q9" s="2651"/>
      <c r="R9" s="2651"/>
      <c r="S9" s="2651"/>
      <c r="T9" s="2651"/>
      <c r="U9" s="2651"/>
      <c r="V9" s="2651"/>
      <c r="W9" s="2651"/>
      <c r="X9" s="2651"/>
      <c r="Y9" s="2651"/>
      <c r="Z9" s="2651"/>
      <c r="AA9" s="2651"/>
      <c r="AB9" s="2650"/>
      <c r="AC9" s="2656"/>
    </row>
    <row r="10" spans="1:39" ht="15.75" customHeight="1">
      <c r="A10" s="2647"/>
      <c r="B10" s="2657"/>
      <c r="C10" s="2648"/>
      <c r="D10" s="2648"/>
      <c r="E10" s="2649"/>
      <c r="F10" s="2650"/>
      <c r="G10" s="2650"/>
      <c r="H10" s="2650"/>
      <c r="I10" s="2650"/>
      <c r="J10" s="2650"/>
      <c r="K10" s="2650"/>
      <c r="L10" s="2651"/>
      <c r="M10" s="2651"/>
      <c r="N10" s="2651"/>
      <c r="O10" s="2651"/>
      <c r="P10" s="2651"/>
      <c r="Q10" s="2651"/>
      <c r="R10" s="2651"/>
      <c r="S10" s="2651"/>
      <c r="T10" s="2651"/>
      <c r="U10" s="2651"/>
      <c r="V10" s="2651"/>
      <c r="W10" s="2651"/>
      <c r="X10" s="2651"/>
      <c r="Y10" s="2651"/>
      <c r="Z10" s="2651"/>
      <c r="AA10" s="2651"/>
      <c r="AB10" s="2650"/>
      <c r="AC10" s="2656"/>
      <c r="AD10" s="3912" t="s">
        <v>1566</v>
      </c>
      <c r="AE10" s="3912"/>
      <c r="AF10" s="3912"/>
      <c r="AG10" s="3912"/>
      <c r="AH10" s="3912"/>
      <c r="AI10" s="3912"/>
      <c r="AJ10" s="3912"/>
      <c r="AK10" s="3912"/>
      <c r="AL10" s="3912"/>
    </row>
    <row r="11" spans="1:39" ht="15.75" customHeight="1">
      <c r="A11" s="2658"/>
      <c r="B11" s="2658"/>
      <c r="C11" s="2658"/>
      <c r="D11" s="2658"/>
      <c r="E11" s="2659" t="str">
        <f>'Cashflow Governmental'!C13</f>
        <v>2019</v>
      </c>
      <c r="F11" s="2660"/>
      <c r="G11" s="2660"/>
      <c r="H11" s="2660"/>
      <c r="I11" s="2660"/>
      <c r="J11" s="2660"/>
      <c r="K11" s="2660"/>
      <c r="L11" s="2661"/>
      <c r="M11" s="2661"/>
      <c r="N11" s="2661"/>
      <c r="O11" s="2661"/>
      <c r="P11" s="2661"/>
      <c r="Q11" s="2661"/>
      <c r="R11" s="2661"/>
      <c r="S11" s="2661"/>
      <c r="T11" s="2661"/>
      <c r="U11" s="2661"/>
      <c r="V11" s="2661"/>
      <c r="W11" s="2595" t="str">
        <f>'Cashflow Governmental'!U13</f>
        <v>2020</v>
      </c>
      <c r="X11" s="2661"/>
      <c r="Y11" s="2661"/>
      <c r="Z11" s="2661"/>
      <c r="AA11" s="2661"/>
      <c r="AB11" s="2660"/>
      <c r="AC11" s="2660"/>
      <c r="AD11" s="2662"/>
      <c r="AE11" s="2662"/>
      <c r="AF11" s="2662"/>
      <c r="AG11" s="2662"/>
      <c r="AH11" s="2662"/>
      <c r="AI11" s="2662"/>
      <c r="AJ11" s="2663" t="s">
        <v>8</v>
      </c>
      <c r="AK11" s="2505"/>
      <c r="AL11" s="2664" t="s">
        <v>9</v>
      </c>
      <c r="AM11" s="2665"/>
    </row>
    <row r="12" spans="1:39" ht="15.75" customHeight="1">
      <c r="A12" s="2098"/>
      <c r="B12" s="2098"/>
      <c r="C12" s="2098"/>
      <c r="D12" s="2098"/>
      <c r="E12" s="2666" t="s">
        <v>125</v>
      </c>
      <c r="F12" s="2617"/>
      <c r="G12" s="2666" t="s">
        <v>126</v>
      </c>
      <c r="H12" s="2617"/>
      <c r="I12" s="2666" t="s">
        <v>127</v>
      </c>
      <c r="J12" s="2617"/>
      <c r="K12" s="2666" t="s">
        <v>128</v>
      </c>
      <c r="L12" s="2488"/>
      <c r="M12" s="2667" t="s">
        <v>129</v>
      </c>
      <c r="N12" s="2488"/>
      <c r="O12" s="2667" t="s">
        <v>144</v>
      </c>
      <c r="P12" s="2488"/>
      <c r="Q12" s="2667" t="s">
        <v>145</v>
      </c>
      <c r="R12" s="2488"/>
      <c r="S12" s="2667" t="s">
        <v>132</v>
      </c>
      <c r="T12" s="2488"/>
      <c r="U12" s="2667" t="s">
        <v>133</v>
      </c>
      <c r="V12" s="2488"/>
      <c r="W12" s="2667" t="s">
        <v>134</v>
      </c>
      <c r="X12" s="2488"/>
      <c r="Y12" s="2667" t="s">
        <v>135</v>
      </c>
      <c r="Z12" s="2488"/>
      <c r="AA12" s="2667" t="s">
        <v>186</v>
      </c>
      <c r="AB12" s="2617"/>
      <c r="AC12" s="2617"/>
      <c r="AD12" s="2666">
        <f>'Cashflow Governmental'!AB14</f>
        <v>2020</v>
      </c>
      <c r="AE12" s="2617"/>
      <c r="AF12" s="2617"/>
      <c r="AG12" s="2666">
        <f>'Cashflow Governmental'!AE14</f>
        <v>2019</v>
      </c>
      <c r="AH12" s="2668"/>
      <c r="AI12" s="2668"/>
      <c r="AJ12" s="2669" t="s">
        <v>12</v>
      </c>
      <c r="AK12" s="2501"/>
      <c r="AL12" s="2670" t="s">
        <v>13</v>
      </c>
      <c r="AM12" s="2665"/>
    </row>
    <row r="13" spans="1:39" ht="5.25" customHeight="1">
      <c r="A13" s="2098"/>
      <c r="B13" s="2488"/>
      <c r="C13" s="2488"/>
      <c r="D13" s="2098"/>
      <c r="E13" s="2045"/>
      <c r="F13" s="2045"/>
      <c r="G13" s="2045"/>
      <c r="H13" s="2045"/>
      <c r="I13" s="2045"/>
      <c r="J13" s="2045"/>
      <c r="K13" s="2045"/>
      <c r="L13" s="1500"/>
      <c r="M13" s="1500"/>
      <c r="N13" s="1500"/>
      <c r="O13" s="1500"/>
      <c r="P13" s="1500"/>
      <c r="Q13" s="1500"/>
      <c r="R13" s="1500"/>
      <c r="S13" s="1500"/>
      <c r="T13" s="1500"/>
      <c r="U13" s="1500"/>
      <c r="V13" s="1500"/>
      <c r="W13" s="1500"/>
      <c r="X13" s="1500"/>
      <c r="Y13" s="1500"/>
      <c r="Z13" s="1500"/>
      <c r="AA13" s="1500"/>
      <c r="AB13" s="2045"/>
      <c r="AC13" s="2050"/>
      <c r="AD13" s="2045"/>
      <c r="AE13" s="2045"/>
      <c r="AF13" s="2245"/>
      <c r="AG13" s="2045"/>
      <c r="AH13" s="2045"/>
      <c r="AI13" s="2671"/>
      <c r="AJ13" s="2672"/>
      <c r="AK13" s="2673"/>
      <c r="AL13" s="2673"/>
    </row>
    <row r="14" spans="1:39" ht="15.75">
      <c r="A14" s="2098"/>
      <c r="B14" s="1903" t="s">
        <v>1279</v>
      </c>
      <c r="C14" s="2488"/>
      <c r="D14" s="2098"/>
      <c r="E14" s="2514">
        <v>-633.20000000000005</v>
      </c>
      <c r="F14" s="2045"/>
      <c r="G14" s="2083">
        <f>E102</f>
        <v>-446.5</v>
      </c>
      <c r="H14" s="2674"/>
      <c r="I14" s="2083">
        <f>G102</f>
        <v>-699.4</v>
      </c>
      <c r="J14" s="2674"/>
      <c r="K14" s="2083">
        <f>I102</f>
        <v>-636.70000000000005</v>
      </c>
      <c r="L14" s="2675"/>
      <c r="M14" s="2516">
        <f>K102</f>
        <v>-771.8</v>
      </c>
      <c r="N14" s="1500"/>
      <c r="O14" s="2516">
        <f>M102</f>
        <v>-804.6</v>
      </c>
      <c r="P14" s="1500"/>
      <c r="Q14" s="2516">
        <f>O102</f>
        <v>-758.6</v>
      </c>
      <c r="R14" s="2516"/>
      <c r="S14" s="2516">
        <f>Q102</f>
        <v>-373.3</v>
      </c>
      <c r="T14" s="2516"/>
      <c r="U14" s="2516">
        <f>S102</f>
        <v>-491</v>
      </c>
      <c r="V14" s="2516"/>
      <c r="W14" s="2516">
        <f>U102</f>
        <v>-579.70000000000005</v>
      </c>
      <c r="X14" s="2516"/>
      <c r="Y14" s="2516"/>
      <c r="Z14" s="2516"/>
      <c r="AA14" s="2516"/>
      <c r="AB14" s="2045"/>
      <c r="AC14" s="2050"/>
      <c r="AD14" s="2083">
        <f>E14</f>
        <v>-633.20000000000005</v>
      </c>
      <c r="AE14" s="2045"/>
      <c r="AF14" s="2245"/>
      <c r="AG14" s="3623">
        <v>-568.4</v>
      </c>
      <c r="AH14" s="2045"/>
      <c r="AI14" s="2671"/>
      <c r="AJ14" s="2083">
        <f>ROUND(AD14-AG14,1)</f>
        <v>-64.8</v>
      </c>
      <c r="AK14" s="2676"/>
      <c r="AL14" s="2677">
        <f>ROUND(IF(AG14=0,0,AJ14/ABS(AG14)),3)</f>
        <v>-0.114</v>
      </c>
    </row>
    <row r="15" spans="1:39" ht="15.75">
      <c r="A15" s="2098"/>
      <c r="B15" s="2488"/>
      <c r="C15" s="2488"/>
      <c r="D15" s="2098"/>
      <c r="E15" s="2045"/>
      <c r="F15" s="2045"/>
      <c r="G15" s="2045"/>
      <c r="H15" s="2045"/>
      <c r="I15" s="2045"/>
      <c r="J15" s="2045"/>
      <c r="K15" s="2045"/>
      <c r="L15" s="1500"/>
      <c r="M15" s="1500"/>
      <c r="N15" s="1500"/>
      <c r="O15" s="1500"/>
      <c r="P15" s="1500"/>
      <c r="Q15" s="1500"/>
      <c r="R15" s="1500"/>
      <c r="S15" s="1500"/>
      <c r="T15" s="1500"/>
      <c r="U15" s="1500"/>
      <c r="V15" s="1500"/>
      <c r="W15" s="1500"/>
      <c r="X15" s="1500"/>
      <c r="Y15" s="1500"/>
      <c r="Z15" s="1500"/>
      <c r="AA15" s="1500"/>
      <c r="AB15" s="2045"/>
      <c r="AC15" s="2050"/>
      <c r="AD15" s="2045"/>
      <c r="AE15" s="2045"/>
      <c r="AF15" s="2245"/>
      <c r="AG15" s="2045"/>
      <c r="AH15" s="2045"/>
      <c r="AI15" s="2671"/>
      <c r="AJ15" s="2672"/>
      <c r="AK15" s="2673"/>
      <c r="AL15" s="2673"/>
    </row>
    <row r="16" spans="1:39" ht="15.75">
      <c r="A16" s="2098"/>
      <c r="B16" s="2488" t="s">
        <v>196</v>
      </c>
      <c r="C16" s="2098"/>
      <c r="D16" s="2098"/>
      <c r="E16" s="2045"/>
      <c r="F16" s="2045"/>
      <c r="G16" s="2045"/>
      <c r="H16" s="2045"/>
      <c r="I16" s="2045"/>
      <c r="J16" s="2045"/>
      <c r="K16" s="2045"/>
      <c r="L16" s="1500"/>
      <c r="M16" s="1500"/>
      <c r="N16" s="1500"/>
      <c r="O16" s="1500"/>
      <c r="P16" s="1500"/>
      <c r="Q16" s="1500"/>
      <c r="R16" s="1500"/>
      <c r="S16" s="1500"/>
      <c r="T16" s="1500"/>
      <c r="U16" s="1500"/>
      <c r="V16" s="1500"/>
      <c r="W16" s="1500"/>
      <c r="X16" s="1500"/>
      <c r="Y16" s="1500"/>
      <c r="Z16" s="1500"/>
      <c r="AA16" s="1500"/>
      <c r="AB16" s="2045"/>
      <c r="AC16" s="2050"/>
      <c r="AD16" s="2045"/>
      <c r="AE16" s="3316"/>
      <c r="AF16" s="2072"/>
      <c r="AG16" s="2045"/>
      <c r="AH16" s="2045"/>
      <c r="AI16" s="2671"/>
      <c r="AJ16" s="2678"/>
      <c r="AK16" s="1501"/>
      <c r="AL16" s="1501"/>
    </row>
    <row r="17" spans="1:39" ht="15.75">
      <c r="A17" s="2098"/>
      <c r="B17" s="2523" t="s">
        <v>1097</v>
      </c>
      <c r="C17" s="2098"/>
      <c r="D17" s="2098"/>
      <c r="E17" s="2045"/>
      <c r="F17" s="2045"/>
      <c r="G17" s="2045"/>
      <c r="H17" s="2045"/>
      <c r="I17" s="2045"/>
      <c r="J17" s="2045"/>
      <c r="K17" s="2045"/>
      <c r="L17" s="1500"/>
      <c r="M17" s="1500"/>
      <c r="N17" s="1500"/>
      <c r="O17" s="1500"/>
      <c r="P17" s="1500"/>
      <c r="Q17" s="1500"/>
      <c r="R17" s="1500"/>
      <c r="S17" s="1500"/>
      <c r="T17" s="1500"/>
      <c r="U17" s="1500"/>
      <c r="V17" s="1500"/>
      <c r="W17" s="1500"/>
      <c r="X17" s="1500"/>
      <c r="Y17" s="1500"/>
      <c r="Z17" s="1500"/>
      <c r="AA17" s="1500"/>
      <c r="AB17" s="2045"/>
      <c r="AC17" s="2050"/>
      <c r="AD17" s="2045"/>
      <c r="AE17" s="3317"/>
      <c r="AF17" s="2072"/>
      <c r="AG17" s="2045"/>
      <c r="AH17" s="2045"/>
      <c r="AI17" s="2671"/>
      <c r="AJ17" s="2678"/>
      <c r="AK17" s="1501"/>
      <c r="AL17" s="1501"/>
    </row>
    <row r="18" spans="1:39" ht="15.75">
      <c r="A18" s="2098"/>
      <c r="B18" s="2524" t="s">
        <v>1110</v>
      </c>
      <c r="C18" s="2098"/>
      <c r="D18" s="2098"/>
      <c r="E18" s="2679"/>
      <c r="F18" s="2045"/>
      <c r="G18" s="2049"/>
      <c r="H18" s="2049"/>
      <c r="I18" s="2049"/>
      <c r="J18" s="2049"/>
      <c r="K18" s="2049"/>
      <c r="L18" s="2060"/>
      <c r="M18" s="2060"/>
      <c r="N18" s="2060"/>
      <c r="O18" s="2060"/>
      <c r="P18" s="2060"/>
      <c r="Q18" s="2060"/>
      <c r="R18" s="2060"/>
      <c r="S18" s="2060"/>
      <c r="T18" s="2060"/>
      <c r="U18" s="2060"/>
      <c r="V18" s="2060"/>
      <c r="W18" s="2060"/>
      <c r="X18" s="2060"/>
      <c r="Y18" s="2060"/>
      <c r="Z18" s="2060"/>
      <c r="AA18" s="2060"/>
      <c r="AB18" s="2049"/>
      <c r="AC18" s="2093"/>
      <c r="AD18" s="3318" t="s">
        <v>15</v>
      </c>
      <c r="AE18" s="3319"/>
      <c r="AF18" s="2030"/>
      <c r="AG18" s="2049" t="s">
        <v>15</v>
      </c>
      <c r="AH18" s="2049"/>
      <c r="AI18" s="2680"/>
      <c r="AJ18" s="2681"/>
      <c r="AK18" s="1501"/>
      <c r="AL18" s="1501"/>
    </row>
    <row r="19" spans="1:39" s="2645" customFormat="1">
      <c r="A19" s="2526"/>
      <c r="B19" s="2395" t="s">
        <v>1113</v>
      </c>
      <c r="C19" s="2526"/>
      <c r="D19" s="2682" t="s">
        <v>15</v>
      </c>
      <c r="E19" s="2054">
        <v>3.5</v>
      </c>
      <c r="F19" s="2054"/>
      <c r="G19" s="2054">
        <v>0.29999999999999982</v>
      </c>
      <c r="H19" s="2054"/>
      <c r="I19" s="2054">
        <v>19.5</v>
      </c>
      <c r="J19" s="2054"/>
      <c r="K19" s="2054">
        <v>9.9999999999997868E-2</v>
      </c>
      <c r="L19" s="2052"/>
      <c r="M19" s="2054">
        <v>0.10000000000000142</v>
      </c>
      <c r="N19" s="2041"/>
      <c r="O19" s="2054">
        <v>33.70000000000001</v>
      </c>
      <c r="P19" s="2041"/>
      <c r="Q19" s="1839">
        <v>-7.3000000000000078</v>
      </c>
      <c r="R19" s="2041"/>
      <c r="S19" s="1839">
        <v>0.10000000000000142</v>
      </c>
      <c r="T19" s="2041"/>
      <c r="U19" s="1839">
        <v>20.599999999999998</v>
      </c>
      <c r="V19" s="2041"/>
      <c r="W19" s="1839">
        <f>$AD19-$E19-$G19-$I19-$K19-$M19-$O19-$Q19-$S19-$U19</f>
        <v>0</v>
      </c>
      <c r="X19" s="2041"/>
      <c r="Y19" s="1839"/>
      <c r="Z19" s="2041"/>
      <c r="AA19" s="1839"/>
      <c r="AB19" s="2054"/>
      <c r="AC19" s="2055"/>
      <c r="AD19" s="2054">
        <v>70.599999999999994</v>
      </c>
      <c r="AE19" s="3320"/>
      <c r="AF19" s="3321"/>
      <c r="AG19" s="2054">
        <v>68</v>
      </c>
      <c r="AH19" s="2683"/>
      <c r="AI19" s="2684"/>
      <c r="AJ19" s="2054">
        <f>ROUND(AD19-AG19,1)</f>
        <v>2.6</v>
      </c>
      <c r="AK19" s="2685"/>
      <c r="AL19" s="2686">
        <f>ROUND(IF(AG19=0,0,AJ19/ABS(AG19)),3)</f>
        <v>3.7999999999999999E-2</v>
      </c>
    </row>
    <row r="20" spans="1:39" s="2645" customFormat="1" ht="15.75">
      <c r="A20" s="2526"/>
      <c r="B20" s="2395" t="s">
        <v>1115</v>
      </c>
      <c r="C20" s="2526"/>
      <c r="D20" s="2526"/>
      <c r="E20" s="2054">
        <v>36.4</v>
      </c>
      <c r="F20" s="2054"/>
      <c r="G20" s="2054">
        <v>34.800000000000004</v>
      </c>
      <c r="H20" s="2054"/>
      <c r="I20" s="2054">
        <v>36.6</v>
      </c>
      <c r="J20" s="2054"/>
      <c r="K20" s="2054">
        <v>30.39999999999997</v>
      </c>
      <c r="L20" s="2687"/>
      <c r="M20" s="2054">
        <v>37.800000000000018</v>
      </c>
      <c r="N20" s="2687"/>
      <c r="O20" s="2054">
        <v>34.099999999999987</v>
      </c>
      <c r="P20" s="2687"/>
      <c r="Q20" s="1839">
        <v>37.300000000000018</v>
      </c>
      <c r="R20" s="2687"/>
      <c r="S20" s="1839">
        <v>32.9</v>
      </c>
      <c r="T20" s="2687"/>
      <c r="U20" s="1839">
        <v>31.400000000000013</v>
      </c>
      <c r="V20" s="2687"/>
      <c r="W20" s="1839">
        <f t="shared" ref="W20:W21" si="0">$AD20-$E20-$G20-$I20-$K20-$M20-$O20-$Q20-$S20-$U20</f>
        <v>33.499999999999993</v>
      </c>
      <c r="X20" s="2687"/>
      <c r="Y20" s="1839"/>
      <c r="Z20" s="2687"/>
      <c r="AA20" s="1839"/>
      <c r="AB20" s="2054"/>
      <c r="AC20" s="2093"/>
      <c r="AD20" s="2054">
        <v>345.2</v>
      </c>
      <c r="AE20" s="3319"/>
      <c r="AF20" s="2030"/>
      <c r="AG20" s="2054">
        <v>352.1</v>
      </c>
      <c r="AH20" s="2049"/>
      <c r="AI20" s="2680"/>
      <c r="AJ20" s="2049">
        <f>ROUND(AD20-AG20,1)</f>
        <v>-6.9</v>
      </c>
      <c r="AK20" s="2688"/>
      <c r="AL20" s="1699">
        <f>ROUND(IF(AG20=0,0,AJ20/ABS(AG20)),3)</f>
        <v>-0.02</v>
      </c>
      <c r="AM20" s="2678"/>
    </row>
    <row r="21" spans="1:39" s="2645" customFormat="1" ht="15.75">
      <c r="A21" s="2526"/>
      <c r="B21" s="2395" t="s">
        <v>1117</v>
      </c>
      <c r="C21" s="2526"/>
      <c r="D21" s="2526"/>
      <c r="E21" s="2054">
        <v>14.2</v>
      </c>
      <c r="F21" s="2054"/>
      <c r="G21" s="2054">
        <v>10.600000000000001</v>
      </c>
      <c r="H21" s="2054"/>
      <c r="I21" s="2054">
        <v>9.8000000000000007</v>
      </c>
      <c r="J21" s="2054"/>
      <c r="K21" s="2054">
        <v>14.500000000000004</v>
      </c>
      <c r="L21" s="2687"/>
      <c r="M21" s="2054">
        <v>10.699999999999989</v>
      </c>
      <c r="N21" s="2687"/>
      <c r="O21" s="2054">
        <v>10.999999999999996</v>
      </c>
      <c r="P21" s="2687"/>
      <c r="Q21" s="1839">
        <v>14.3</v>
      </c>
      <c r="R21" s="2687"/>
      <c r="S21" s="1839">
        <v>10.900000000000006</v>
      </c>
      <c r="T21" s="2687"/>
      <c r="U21" s="1839">
        <v>13.800000000000008</v>
      </c>
      <c r="V21" s="2687"/>
      <c r="W21" s="1839">
        <f t="shared" si="0"/>
        <v>12.199999999999992</v>
      </c>
      <c r="X21" s="2687"/>
      <c r="Y21" s="1839"/>
      <c r="Z21" s="2687"/>
      <c r="AA21" s="1839"/>
      <c r="AB21" s="2054"/>
      <c r="AC21" s="2093"/>
      <c r="AD21" s="2054">
        <v>122</v>
      </c>
      <c r="AE21" s="3319"/>
      <c r="AF21" s="2030"/>
      <c r="AG21" s="2054">
        <v>129.5</v>
      </c>
      <c r="AH21" s="2049"/>
      <c r="AI21" s="2680"/>
      <c r="AJ21" s="2049">
        <f>ROUND(AD21-AG21,1)</f>
        <v>-7.5</v>
      </c>
      <c r="AK21" s="2688"/>
      <c r="AL21" s="2255">
        <f>ROUND(IF(AG21=0,0,AJ21/ABS(AG21)),3)</f>
        <v>-5.8000000000000003E-2</v>
      </c>
    </row>
    <row r="22" spans="1:39" ht="15.75">
      <c r="A22" s="2098"/>
      <c r="B22" s="2534" t="s">
        <v>1205</v>
      </c>
      <c r="C22" s="2098"/>
      <c r="D22" s="2098"/>
      <c r="E22" s="1497">
        <f>ROUND(SUM(E19:E21),1)</f>
        <v>54.1</v>
      </c>
      <c r="F22" s="2054"/>
      <c r="G22" s="1497">
        <f>ROUND(SUM(G19:G21),1)</f>
        <v>45.7</v>
      </c>
      <c r="H22" s="2054"/>
      <c r="I22" s="1497">
        <f>ROUND(SUM(I19:I21),1)</f>
        <v>65.900000000000006</v>
      </c>
      <c r="J22" s="2054"/>
      <c r="K22" s="1497">
        <f>ROUND(SUM(K19:K21),1)</f>
        <v>45</v>
      </c>
      <c r="L22" s="1480"/>
      <c r="M22" s="1497">
        <f>ROUND(SUM(M19:M21),1)</f>
        <v>48.6</v>
      </c>
      <c r="N22" s="1480"/>
      <c r="O22" s="1497">
        <f>ROUND(SUM(O19:O21),1)</f>
        <v>78.8</v>
      </c>
      <c r="P22" s="2060"/>
      <c r="Q22" s="1497">
        <f>ROUND(SUM(Q19:Q21),1)</f>
        <v>44.3</v>
      </c>
      <c r="R22" s="2060"/>
      <c r="S22" s="1497">
        <f>ROUND(SUM(S19:S21),1)</f>
        <v>43.9</v>
      </c>
      <c r="T22" s="2060"/>
      <c r="U22" s="1497">
        <f>ROUND(SUM(U19:U21),1)</f>
        <v>65.8</v>
      </c>
      <c r="V22" s="2060"/>
      <c r="W22" s="1497">
        <f>ROUND(SUM(W19:W21),1)</f>
        <v>45.7</v>
      </c>
      <c r="X22" s="2060"/>
      <c r="Y22" s="1497">
        <f>ROUND(SUM(Y19:Y21),1)</f>
        <v>0</v>
      </c>
      <c r="Z22" s="2060"/>
      <c r="AA22" s="1497">
        <f>ROUND(SUM(AA19:AA21),1)</f>
        <v>0</v>
      </c>
      <c r="AB22" s="2049"/>
      <c r="AC22" s="2093"/>
      <c r="AD22" s="1497">
        <f>ROUND(SUM(AD19:AD21),1)</f>
        <v>537.79999999999995</v>
      </c>
      <c r="AE22" s="3322"/>
      <c r="AF22" s="2030"/>
      <c r="AG22" s="1497">
        <f>ROUND(SUM(AG19:AG21),1)</f>
        <v>549.6</v>
      </c>
      <c r="AH22" s="2049"/>
      <c r="AI22" s="2680"/>
      <c r="AJ22" s="1497">
        <f>ROUND(SUM(AJ19:AJ21),1)</f>
        <v>-11.8</v>
      </c>
      <c r="AK22" s="2689"/>
      <c r="AL22" s="1479">
        <f>ROUND(IF(AG22=0,0,AJ22/ABS(AG22)),3)</f>
        <v>-2.1000000000000001E-2</v>
      </c>
    </row>
    <row r="23" spans="1:39" ht="15.75">
      <c r="A23" s="2098"/>
      <c r="B23" s="2524" t="s">
        <v>1101</v>
      </c>
      <c r="C23" s="2098"/>
      <c r="D23" s="2098"/>
      <c r="E23" s="2054"/>
      <c r="F23" s="2054"/>
      <c r="G23" s="2054"/>
      <c r="H23" s="2054"/>
      <c r="I23" s="2054"/>
      <c r="J23" s="2054"/>
      <c r="K23" s="2054"/>
      <c r="L23" s="1480"/>
      <c r="M23" s="1480"/>
      <c r="N23" s="1480"/>
      <c r="O23" s="1480"/>
      <c r="P23" s="2060"/>
      <c r="Q23" s="2690"/>
      <c r="R23" s="2060"/>
      <c r="S23" s="2690"/>
      <c r="T23" s="2060"/>
      <c r="U23" s="2690"/>
      <c r="V23" s="2060"/>
      <c r="W23" s="2691"/>
      <c r="X23" s="2060"/>
      <c r="Y23" s="2690"/>
      <c r="Z23" s="2060"/>
      <c r="AA23" s="2691"/>
      <c r="AB23" s="2049"/>
      <c r="AC23" s="2093"/>
      <c r="AD23" s="2048"/>
      <c r="AE23" s="3319"/>
      <c r="AF23" s="2030"/>
      <c r="AG23" s="2048"/>
      <c r="AH23" s="2049"/>
      <c r="AI23" s="2680"/>
      <c r="AJ23" s="2048"/>
      <c r="AK23" s="1501"/>
      <c r="AL23" s="2692"/>
    </row>
    <row r="24" spans="1:39" s="2645" customFormat="1" ht="15.75">
      <c r="A24" s="2526"/>
      <c r="B24" s="2395" t="s">
        <v>1120</v>
      </c>
      <c r="C24" s="2526"/>
      <c r="D24" s="2526"/>
      <c r="E24" s="2054">
        <v>0</v>
      </c>
      <c r="F24" s="2054"/>
      <c r="G24" s="2054">
        <v>0</v>
      </c>
      <c r="H24" s="2054"/>
      <c r="I24" s="2054">
        <v>0</v>
      </c>
      <c r="J24" s="2054"/>
      <c r="K24" s="2054">
        <v>0</v>
      </c>
      <c r="L24" s="2687"/>
      <c r="M24" s="2054">
        <v>0</v>
      </c>
      <c r="N24" s="2687"/>
      <c r="O24" s="2054">
        <v>0</v>
      </c>
      <c r="P24" s="2687"/>
      <c r="Q24" s="1839">
        <v>0</v>
      </c>
      <c r="R24" s="2687"/>
      <c r="S24" s="1839">
        <v>0</v>
      </c>
      <c r="T24" s="2687"/>
      <c r="U24" s="1839">
        <v>0</v>
      </c>
      <c r="V24" s="2687"/>
      <c r="W24" s="1839">
        <f t="shared" ref="W24:W26" si="1">$AD24-$E24-$G24-$I24-$K24-$M24-$O24-$Q24-$S24-$U24</f>
        <v>0</v>
      </c>
      <c r="X24" s="2687"/>
      <c r="Y24" s="1839"/>
      <c r="Z24" s="2687"/>
      <c r="AA24" s="1839"/>
      <c r="AB24" s="2049"/>
      <c r="AC24" s="2093"/>
      <c r="AD24" s="2054">
        <v>0</v>
      </c>
      <c r="AE24" s="3322"/>
      <c r="AF24" s="2030"/>
      <c r="AG24" s="2054">
        <v>0</v>
      </c>
      <c r="AH24" s="2049"/>
      <c r="AI24" s="2680"/>
      <c r="AJ24" s="2049">
        <f>ROUND(AD24-AG24,1)</f>
        <v>0</v>
      </c>
      <c r="AK24" s="2678"/>
      <c r="AL24" s="1699">
        <f>ROUND(IF(AG24=0,0,AJ24/ABS(AG24)),3)</f>
        <v>0</v>
      </c>
    </row>
    <row r="25" spans="1:39" s="2645" customFormat="1" ht="15.75">
      <c r="A25" s="2526"/>
      <c r="B25" s="2395" t="s">
        <v>1121</v>
      </c>
      <c r="C25" s="2526"/>
      <c r="D25" s="2526"/>
      <c r="E25" s="2054">
        <v>3.3</v>
      </c>
      <c r="F25" s="2054"/>
      <c r="G25" s="2054">
        <v>-0.1</v>
      </c>
      <c r="H25" s="2054"/>
      <c r="I25" s="2054">
        <v>1.9</v>
      </c>
      <c r="J25" s="2054"/>
      <c r="K25" s="2054">
        <v>0</v>
      </c>
      <c r="L25" s="2687"/>
      <c r="M25" s="2054">
        <v>0</v>
      </c>
      <c r="N25" s="2687"/>
      <c r="O25" s="2054">
        <v>3.0999999999999992</v>
      </c>
      <c r="P25" s="2687"/>
      <c r="Q25" s="1839">
        <v>0.10000000000000142</v>
      </c>
      <c r="R25" s="2687"/>
      <c r="S25" s="1839">
        <v>9.9999999999999645E-2</v>
      </c>
      <c r="T25" s="2687"/>
      <c r="U25" s="1839">
        <v>2.6999999999999997</v>
      </c>
      <c r="V25" s="2687"/>
      <c r="W25" s="1839">
        <f t="shared" si="1"/>
        <v>0</v>
      </c>
      <c r="X25" s="2687"/>
      <c r="Y25" s="1839"/>
      <c r="Z25" s="2687"/>
      <c r="AA25" s="1839"/>
      <c r="AB25" s="2049"/>
      <c r="AC25" s="2093"/>
      <c r="AD25" s="2054">
        <v>11.1</v>
      </c>
      <c r="AE25" s="3322"/>
      <c r="AF25" s="2030"/>
      <c r="AG25" s="2054">
        <v>10.8</v>
      </c>
      <c r="AH25" s="2049"/>
      <c r="AI25" s="2680"/>
      <c r="AJ25" s="2049">
        <f>ROUND(AD25-AG25,1)</f>
        <v>0.3</v>
      </c>
      <c r="AK25" s="2678"/>
      <c r="AL25" s="1774">
        <f>ROUND(IF(AG25=0,1,AJ25/ABS(AG25)),3)</f>
        <v>2.8000000000000001E-2</v>
      </c>
    </row>
    <row r="26" spans="1:39" s="2645" customFormat="1" ht="15.75">
      <c r="A26" s="2526"/>
      <c r="B26" s="2395" t="s">
        <v>1124</v>
      </c>
      <c r="C26" s="2617"/>
      <c r="D26" s="2526"/>
      <c r="E26" s="2054">
        <v>56.3</v>
      </c>
      <c r="F26" s="2054"/>
      <c r="G26" s="2054">
        <v>55.8</v>
      </c>
      <c r="H26" s="2054"/>
      <c r="I26" s="2054">
        <v>58.400000000000006</v>
      </c>
      <c r="J26" s="2054"/>
      <c r="K26" s="2054">
        <v>52.499999999999986</v>
      </c>
      <c r="L26" s="2687"/>
      <c r="M26" s="2054">
        <v>59.999999999999986</v>
      </c>
      <c r="N26" s="2687"/>
      <c r="O26" s="2054">
        <v>56.800000000000011</v>
      </c>
      <c r="P26" s="2687"/>
      <c r="Q26" s="1839">
        <v>60.2</v>
      </c>
      <c r="R26" s="2687"/>
      <c r="S26" s="1839">
        <v>52.199999999999918</v>
      </c>
      <c r="T26" s="2687"/>
      <c r="U26" s="1839">
        <v>51.5</v>
      </c>
      <c r="V26" s="2687"/>
      <c r="W26" s="1839">
        <f t="shared" si="1"/>
        <v>54.900000000000105</v>
      </c>
      <c r="X26" s="2687"/>
      <c r="Y26" s="1839"/>
      <c r="Z26" s="2687"/>
      <c r="AA26" s="1839"/>
      <c r="AB26" s="2049"/>
      <c r="AC26" s="2093"/>
      <c r="AD26" s="2054">
        <v>558.6</v>
      </c>
      <c r="AE26" s="3319"/>
      <c r="AF26" s="2030"/>
      <c r="AG26" s="2054">
        <v>545.5</v>
      </c>
      <c r="AH26" s="2049"/>
      <c r="AI26" s="2680"/>
      <c r="AJ26" s="2049">
        <f>ROUND(AD26-AG26,1)</f>
        <v>13.1</v>
      </c>
      <c r="AK26" s="2688"/>
      <c r="AL26" s="2693">
        <f>ROUND(IF(AG26=0,0,AJ26/ABS(AG26)),3)</f>
        <v>2.4E-2</v>
      </c>
    </row>
    <row r="27" spans="1:39" ht="15.75">
      <c r="A27" s="2098"/>
      <c r="B27" s="2534" t="s">
        <v>1206</v>
      </c>
      <c r="C27" s="2488"/>
      <c r="D27" s="2098"/>
      <c r="E27" s="1497">
        <f>ROUND(SUM(E24:E26),1)</f>
        <v>59.6</v>
      </c>
      <c r="F27" s="2054"/>
      <c r="G27" s="1497">
        <f>ROUND(SUM(G24:G26),1)</f>
        <v>55.7</v>
      </c>
      <c r="H27" s="2054"/>
      <c r="I27" s="1497">
        <f>ROUND(SUM(I24:I26),1)</f>
        <v>60.3</v>
      </c>
      <c r="J27" s="2054"/>
      <c r="K27" s="1497">
        <f>ROUND(SUM(K24:K26),1)</f>
        <v>52.5</v>
      </c>
      <c r="L27" s="1480"/>
      <c r="M27" s="1497">
        <f>ROUND(SUM(M24:M26),1)</f>
        <v>60</v>
      </c>
      <c r="N27" s="1480"/>
      <c r="O27" s="1497">
        <f>ROUND(SUM(O24:O26),1)</f>
        <v>59.9</v>
      </c>
      <c r="P27" s="2060"/>
      <c r="Q27" s="1497">
        <f>ROUND(SUM(Q24:Q26),1)</f>
        <v>60.3</v>
      </c>
      <c r="R27" s="2060"/>
      <c r="S27" s="1497">
        <f>ROUND(SUM(S24:S26),1)</f>
        <v>52.3</v>
      </c>
      <c r="T27" s="2060"/>
      <c r="U27" s="1497">
        <f>ROUND(SUM(U24:U26),1)</f>
        <v>54.2</v>
      </c>
      <c r="V27" s="2060"/>
      <c r="W27" s="1497">
        <f>ROUND(SUM(W24:W26),1)</f>
        <v>54.9</v>
      </c>
      <c r="X27" s="2060"/>
      <c r="Y27" s="1497">
        <f>ROUND(SUM(Y24:Y26),1)</f>
        <v>0</v>
      </c>
      <c r="Z27" s="2060"/>
      <c r="AA27" s="1497">
        <f>ROUND(SUM(AA24:AA26),1)</f>
        <v>0</v>
      </c>
      <c r="AB27" s="2049"/>
      <c r="AC27" s="2093"/>
      <c r="AD27" s="1497">
        <f>ROUND(SUM(AD24:AD26),1)</f>
        <v>569.70000000000005</v>
      </c>
      <c r="AE27" s="3322"/>
      <c r="AF27" s="2030"/>
      <c r="AG27" s="1497">
        <f>ROUND(SUM(AG24:AG26),1)</f>
        <v>556.29999999999995</v>
      </c>
      <c r="AH27" s="2049"/>
      <c r="AI27" s="2680"/>
      <c r="AJ27" s="1497">
        <f>ROUND(SUM(AJ24:AJ26),1)</f>
        <v>13.4</v>
      </c>
      <c r="AK27" s="2689"/>
      <c r="AL27" s="1494">
        <f>ROUND(IF(AG27=0,0,AJ27/ABS(AG27)),3)</f>
        <v>2.4E-2</v>
      </c>
    </row>
    <row r="28" spans="1:39" ht="15.75">
      <c r="A28" s="2098"/>
      <c r="B28" s="2524" t="s">
        <v>1102</v>
      </c>
      <c r="C28" s="2098"/>
      <c r="D28" s="2098"/>
      <c r="E28" s="2694"/>
      <c r="F28" s="2054"/>
      <c r="G28" s="2694"/>
      <c r="H28" s="2054"/>
      <c r="I28" s="2053"/>
      <c r="J28" s="2054"/>
      <c r="K28" s="2053"/>
      <c r="L28" s="1480"/>
      <c r="M28" s="1480"/>
      <c r="N28" s="1480"/>
      <c r="O28" s="1480"/>
      <c r="P28" s="2060"/>
      <c r="Q28" s="2690"/>
      <c r="R28" s="2060"/>
      <c r="S28" s="2690"/>
      <c r="T28" s="2060"/>
      <c r="U28" s="2690"/>
      <c r="V28" s="2060"/>
      <c r="W28" s="2690"/>
      <c r="X28" s="2060"/>
      <c r="Y28" s="2690"/>
      <c r="Z28" s="2060"/>
      <c r="AA28" s="2690"/>
      <c r="AB28" s="2049"/>
      <c r="AC28" s="2093"/>
      <c r="AD28" s="2049"/>
      <c r="AE28" s="3323"/>
      <c r="AF28" s="3324"/>
      <c r="AG28" s="2049"/>
      <c r="AH28" s="2048"/>
      <c r="AI28" s="2695"/>
      <c r="AJ28" s="2048"/>
      <c r="AK28" s="2696"/>
      <c r="AL28" s="1462"/>
      <c r="AM28" s="1501"/>
    </row>
    <row r="29" spans="1:39" ht="15.75">
      <c r="A29" s="2098"/>
      <c r="B29" s="2294" t="s">
        <v>1130</v>
      </c>
      <c r="C29" s="2098"/>
      <c r="D29" s="2098"/>
      <c r="E29" s="2054">
        <v>0</v>
      </c>
      <c r="F29" s="2054"/>
      <c r="G29" s="2054">
        <v>0</v>
      </c>
      <c r="H29" s="2054"/>
      <c r="I29" s="2054">
        <v>11.9</v>
      </c>
      <c r="J29" s="2054"/>
      <c r="K29" s="2054">
        <v>11.9</v>
      </c>
      <c r="L29" s="2687"/>
      <c r="M29" s="2054">
        <v>11.900000000000004</v>
      </c>
      <c r="N29" s="2687"/>
      <c r="O29" s="2054">
        <v>11.9</v>
      </c>
      <c r="P29" s="2687"/>
      <c r="Q29" s="1839">
        <v>11.999999999999998</v>
      </c>
      <c r="R29" s="2687"/>
      <c r="S29" s="1839">
        <v>11.9</v>
      </c>
      <c r="T29" s="2687"/>
      <c r="U29" s="1839">
        <v>11.899999999999997</v>
      </c>
      <c r="V29" s="2687"/>
      <c r="W29" s="1839">
        <f t="shared" ref="W29" si="2">$AD29-$E29-$G29-$I29-$K29-$M29-$O29-$Q29-$S29-$U29</f>
        <v>11.899999999999986</v>
      </c>
      <c r="X29" s="2687"/>
      <c r="Y29" s="1839"/>
      <c r="Z29" s="2687"/>
      <c r="AA29" s="1839"/>
      <c r="AB29" s="2049"/>
      <c r="AC29" s="2093"/>
      <c r="AD29" s="2054">
        <v>95.3</v>
      </c>
      <c r="AE29" s="3325"/>
      <c r="AF29" s="3324"/>
      <c r="AG29" s="2054">
        <v>95.3</v>
      </c>
      <c r="AH29" s="2048"/>
      <c r="AI29" s="2695"/>
      <c r="AJ29" s="2049">
        <f>ROUND(AD29-AG29,1)</f>
        <v>0</v>
      </c>
      <c r="AK29" s="2696"/>
      <c r="AL29" s="1463">
        <f>ROUND(IF(AG29=0,0,AJ29/ABS(AG29)),3)</f>
        <v>0</v>
      </c>
      <c r="AM29" s="1501"/>
    </row>
    <row r="30" spans="1:39" ht="15.75">
      <c r="B30" s="2534" t="s">
        <v>1207</v>
      </c>
      <c r="C30" s="2098"/>
      <c r="D30" s="2098"/>
      <c r="E30" s="1497">
        <f>ROUND(SUM(E29:E29),1)</f>
        <v>0</v>
      </c>
      <c r="F30" s="2054"/>
      <c r="G30" s="1497">
        <f>ROUND(SUM(G29:G29),1)</f>
        <v>0</v>
      </c>
      <c r="H30" s="2054"/>
      <c r="I30" s="1497">
        <f>ROUND(SUM(I29:I29),1)</f>
        <v>11.9</v>
      </c>
      <c r="J30" s="2054"/>
      <c r="K30" s="1497">
        <f>ROUND(SUM(K29:K29),1)</f>
        <v>11.9</v>
      </c>
      <c r="L30" s="1480"/>
      <c r="M30" s="1497">
        <f>ROUND(SUM(M29:M29),1)</f>
        <v>11.9</v>
      </c>
      <c r="N30" s="1480"/>
      <c r="O30" s="1497">
        <f>ROUND(SUM(O29:O29),1)</f>
        <v>11.9</v>
      </c>
      <c r="P30" s="2060"/>
      <c r="Q30" s="1497">
        <f>ROUND(SUM(Q29:Q29),1)</f>
        <v>12</v>
      </c>
      <c r="R30" s="2060"/>
      <c r="S30" s="1497">
        <f>ROUND(SUM(S29:S29),1)</f>
        <v>11.9</v>
      </c>
      <c r="T30" s="2060"/>
      <c r="U30" s="1497">
        <f>ROUND(SUM(U29:U29),1)</f>
        <v>11.9</v>
      </c>
      <c r="V30" s="2060"/>
      <c r="W30" s="1497">
        <f>ROUND(SUM(W29:W29),1)</f>
        <v>11.9</v>
      </c>
      <c r="X30" s="2060"/>
      <c r="Y30" s="1497">
        <f>ROUND(SUM(Y29:Y29),1)</f>
        <v>0</v>
      </c>
      <c r="Z30" s="2060"/>
      <c r="AA30" s="1497">
        <f>ROUND(SUM(AA29:AA29),1)</f>
        <v>0</v>
      </c>
      <c r="AB30" s="2049"/>
      <c r="AC30" s="2093"/>
      <c r="AD30" s="1497">
        <f>ROUND(SUM(AD29:AD29),1)</f>
        <v>95.3</v>
      </c>
      <c r="AE30" s="3325"/>
      <c r="AF30" s="3324"/>
      <c r="AG30" s="1497">
        <f>ROUND(SUM(AG29:AG29),1)</f>
        <v>95.3</v>
      </c>
      <c r="AH30" s="2048"/>
      <c r="AI30" s="2695"/>
      <c r="AJ30" s="1497">
        <f>ROUND(SUM(AJ29:AJ29),1)</f>
        <v>0</v>
      </c>
      <c r="AK30" s="2696"/>
      <c r="AL30" s="1479">
        <f>ROUND(IF(AG30=0,0,AJ30/ABS(AG30)),3)</f>
        <v>0</v>
      </c>
      <c r="AM30" s="1501"/>
    </row>
    <row r="31" spans="1:39" ht="15.75">
      <c r="A31" s="2098"/>
      <c r="B31" s="2488"/>
      <c r="C31" s="2098"/>
      <c r="D31" s="2098"/>
      <c r="E31" s="2694"/>
      <c r="F31" s="2054"/>
      <c r="G31" s="2694"/>
      <c r="H31" s="2054"/>
      <c r="I31" s="2053"/>
      <c r="J31" s="2054"/>
      <c r="K31" s="2053"/>
      <c r="L31" s="1480"/>
      <c r="M31" s="1480"/>
      <c r="N31" s="1480"/>
      <c r="O31" s="1480"/>
      <c r="P31" s="2060"/>
      <c r="Q31" s="2690"/>
      <c r="R31" s="2060"/>
      <c r="S31" s="2690"/>
      <c r="T31" s="2060"/>
      <c r="U31" s="2690"/>
      <c r="V31" s="2060"/>
      <c r="W31" s="2690"/>
      <c r="X31" s="2060"/>
      <c r="Y31" s="2690"/>
      <c r="Z31" s="2060"/>
      <c r="AA31" s="2690"/>
      <c r="AB31" s="2049"/>
      <c r="AC31" s="2093"/>
      <c r="AD31" s="2049"/>
      <c r="AE31" s="3325"/>
      <c r="AF31" s="3324"/>
      <c r="AG31" s="2049"/>
      <c r="AH31" s="2048"/>
      <c r="AI31" s="2695"/>
      <c r="AJ31" s="2048"/>
      <c r="AK31" s="2696"/>
      <c r="AL31" s="2697"/>
      <c r="AM31" s="1501"/>
    </row>
    <row r="32" spans="1:39" s="2701" customFormat="1" ht="15.75">
      <c r="A32" s="2488"/>
      <c r="B32" s="2534" t="s">
        <v>1126</v>
      </c>
      <c r="C32" s="2488"/>
      <c r="D32" s="2488"/>
      <c r="E32" s="2698">
        <f>ROUND(SUM(+E27+E22+E30),1)</f>
        <v>113.7</v>
      </c>
      <c r="F32" s="2104"/>
      <c r="G32" s="2698">
        <f>ROUND(SUM(+G27+G22+G30),1)</f>
        <v>101.4</v>
      </c>
      <c r="H32" s="2104"/>
      <c r="I32" s="2698">
        <f>ROUND(SUM(+I27+I22+I30),1)</f>
        <v>138.1</v>
      </c>
      <c r="J32" s="2104"/>
      <c r="K32" s="2698">
        <f>ROUND(SUM(+K27+K22+K30),1)</f>
        <v>109.4</v>
      </c>
      <c r="L32" s="1498"/>
      <c r="M32" s="2089">
        <f>ROUND(SUM(+M27+M22+M30),1)</f>
        <v>120.5</v>
      </c>
      <c r="N32" s="1498"/>
      <c r="O32" s="2089">
        <f>ROUND(SUM(+O27+O22+O30),1)</f>
        <v>150.6</v>
      </c>
      <c r="P32" s="1498"/>
      <c r="Q32" s="2089">
        <f>ROUND(SUM(+Q27+Q22+Q30),1)</f>
        <v>116.6</v>
      </c>
      <c r="R32" s="1498"/>
      <c r="S32" s="2089">
        <f>ROUND(SUM(+S27+S22+S30),1)</f>
        <v>108.1</v>
      </c>
      <c r="T32" s="1498"/>
      <c r="U32" s="2089">
        <f>ROUND(SUM(+U27+U22+U30),1)</f>
        <v>131.9</v>
      </c>
      <c r="V32" s="1498"/>
      <c r="W32" s="2089">
        <f>ROUND(SUM(+W27+W22+W30),1)</f>
        <v>112.5</v>
      </c>
      <c r="X32" s="1498"/>
      <c r="Y32" s="2089">
        <f>ROUND(SUM(+Y27+Y22+Y30),1)</f>
        <v>0</v>
      </c>
      <c r="Z32" s="1498"/>
      <c r="AA32" s="2089">
        <f>ROUND(SUM(+AA27+AA22+AA30),1)</f>
        <v>0</v>
      </c>
      <c r="AB32" s="2104"/>
      <c r="AC32" s="2618"/>
      <c r="AD32" s="2089">
        <f>ROUND(SUM(+AD27+AD22+AD30),1)</f>
        <v>1202.8</v>
      </c>
      <c r="AE32" s="3326"/>
      <c r="AF32" s="3327"/>
      <c r="AG32" s="2089">
        <f>ROUND(SUM(+AG27+AG22+AG30),1)</f>
        <v>1201.2</v>
      </c>
      <c r="AH32" s="2699"/>
      <c r="AI32" s="2695"/>
      <c r="AJ32" s="2089">
        <f>ROUND(SUM(+AJ27+AJ22+AJ30),1)</f>
        <v>1.6</v>
      </c>
      <c r="AK32" s="2500"/>
      <c r="AL32" s="1494">
        <f>ROUND(IF(AG32=0,1,AJ32/ABS(AG32)),3)</f>
        <v>1E-3</v>
      </c>
      <c r="AM32" s="2700"/>
    </row>
    <row r="33" spans="1:40" ht="15.75">
      <c r="A33" s="2098"/>
      <c r="B33" s="2530"/>
      <c r="C33" s="2098"/>
      <c r="D33" s="2098"/>
      <c r="E33" s="2694"/>
      <c r="F33" s="2054"/>
      <c r="G33" s="2694"/>
      <c r="H33" s="2054"/>
      <c r="I33" s="2053"/>
      <c r="J33" s="2054"/>
      <c r="K33" s="2053"/>
      <c r="L33" s="1480"/>
      <c r="M33" s="1480"/>
      <c r="N33" s="1480"/>
      <c r="O33" s="1480"/>
      <c r="P33" s="2060"/>
      <c r="Q33" s="2690"/>
      <c r="R33" s="2060"/>
      <c r="S33" s="2690"/>
      <c r="T33" s="2060"/>
      <c r="U33" s="2702"/>
      <c r="V33" s="2049"/>
      <c r="W33" s="2702"/>
      <c r="X33" s="2049"/>
      <c r="Y33" s="2702"/>
      <c r="Z33" s="2049"/>
      <c r="AA33" s="2702"/>
      <c r="AB33" s="2049"/>
      <c r="AC33" s="2093"/>
      <c r="AD33" s="2049"/>
      <c r="AE33" s="3325"/>
      <c r="AF33" s="3324"/>
      <c r="AG33" s="2049"/>
      <c r="AH33" s="2048"/>
      <c r="AI33" s="2695"/>
      <c r="AJ33" s="2048"/>
      <c r="AK33" s="2703"/>
      <c r="AL33" s="1699"/>
      <c r="AM33" s="2678"/>
      <c r="AN33" s="2645"/>
    </row>
    <row r="34" spans="1:40" ht="15.75">
      <c r="A34" s="2098"/>
      <c r="B34" s="2523" t="s">
        <v>1033</v>
      </c>
      <c r="C34" s="2098"/>
      <c r="D34" s="2098"/>
      <c r="E34" s="2053"/>
      <c r="F34" s="2054"/>
      <c r="G34" s="2053"/>
      <c r="H34" s="2054"/>
      <c r="I34" s="2053"/>
      <c r="J34" s="2054"/>
      <c r="K34" s="2053"/>
      <c r="L34" s="1480"/>
      <c r="M34" s="1480"/>
      <c r="N34" s="1480"/>
      <c r="O34" s="1480"/>
      <c r="P34" s="2060"/>
      <c r="Q34" s="2690"/>
      <c r="R34" s="2060"/>
      <c r="S34" s="2690"/>
      <c r="T34" s="2060"/>
      <c r="U34" s="2702"/>
      <c r="V34" s="2049"/>
      <c r="W34" s="2702"/>
      <c r="X34" s="2049"/>
      <c r="Y34" s="2702"/>
      <c r="Z34" s="2049"/>
      <c r="AA34" s="2702"/>
      <c r="AB34" s="2049"/>
      <c r="AC34" s="2093"/>
      <c r="AD34" s="2049"/>
      <c r="AE34" s="3319"/>
      <c r="AF34" s="2030"/>
      <c r="AG34" s="2049"/>
      <c r="AH34" s="2048"/>
      <c r="AI34" s="2695"/>
      <c r="AJ34" s="2048"/>
      <c r="AK34" s="2688"/>
      <c r="AL34" s="1848"/>
      <c r="AM34" s="2645"/>
      <c r="AN34" s="2645"/>
    </row>
    <row r="35" spans="1:40" ht="15.75">
      <c r="A35" s="2098"/>
      <c r="B35" s="2547" t="s">
        <v>1154</v>
      </c>
      <c r="C35" s="2530"/>
      <c r="D35" s="2098"/>
      <c r="E35" s="2053"/>
      <c r="F35" s="2054"/>
      <c r="G35" s="2053"/>
      <c r="H35" s="2054"/>
      <c r="I35" s="2053"/>
      <c r="J35" s="2054"/>
      <c r="K35" s="2053"/>
      <c r="L35" s="1480"/>
      <c r="M35" s="1480"/>
      <c r="N35" s="1480"/>
      <c r="O35" s="1480"/>
      <c r="P35" s="2060"/>
      <c r="Q35" s="2690"/>
      <c r="R35" s="2060"/>
      <c r="S35" s="2690"/>
      <c r="T35" s="2060"/>
      <c r="U35" s="2702"/>
      <c r="V35" s="2049"/>
      <c r="W35" s="2702"/>
      <c r="X35" s="2049"/>
      <c r="Y35" s="2702"/>
      <c r="Z35" s="2049"/>
      <c r="AA35" s="2702"/>
      <c r="AB35" s="2049"/>
      <c r="AC35" s="2093"/>
      <c r="AD35" s="2049"/>
      <c r="AE35" s="3322"/>
      <c r="AF35" s="2030"/>
      <c r="AG35" s="2049"/>
      <c r="AH35" s="2048"/>
      <c r="AI35" s="2695"/>
      <c r="AJ35" s="2048"/>
      <c r="AK35" s="2688"/>
      <c r="AL35" s="1848"/>
      <c r="AM35" s="2645"/>
      <c r="AN35" s="2645"/>
    </row>
    <row r="36" spans="1:40" ht="15.75">
      <c r="A36" s="2098"/>
      <c r="B36" s="2547" t="s">
        <v>1067</v>
      </c>
      <c r="C36" s="2530"/>
      <c r="D36" s="2098"/>
      <c r="E36" s="2054">
        <v>0</v>
      </c>
      <c r="F36" s="2054"/>
      <c r="G36" s="2054">
        <v>0</v>
      </c>
      <c r="H36" s="2054"/>
      <c r="I36" s="2054">
        <v>23</v>
      </c>
      <c r="J36" s="2054"/>
      <c r="K36" s="2054">
        <v>0</v>
      </c>
      <c r="L36" s="2687"/>
      <c r="M36" s="2054">
        <v>0</v>
      </c>
      <c r="N36" s="2687"/>
      <c r="O36" s="2054">
        <v>0</v>
      </c>
      <c r="P36" s="2687"/>
      <c r="Q36" s="1839">
        <v>0</v>
      </c>
      <c r="R36" s="2687"/>
      <c r="S36" s="1839">
        <v>0</v>
      </c>
      <c r="T36" s="2687"/>
      <c r="U36" s="1839">
        <v>0</v>
      </c>
      <c r="V36" s="2687"/>
      <c r="W36" s="1839">
        <f t="shared" ref="W36:W59" si="3">$AD36-$E36-$G36-$I36-$K36-$M36-$O36-$Q36-$S36-$U36</f>
        <v>0</v>
      </c>
      <c r="X36" s="2687"/>
      <c r="Y36" s="1839"/>
      <c r="Z36" s="2687"/>
      <c r="AA36" s="1839"/>
      <c r="AB36" s="2049"/>
      <c r="AC36" s="2093"/>
      <c r="AD36" s="2054">
        <v>23</v>
      </c>
      <c r="AE36" s="3322"/>
      <c r="AF36" s="2030"/>
      <c r="AG36" s="2054">
        <v>23</v>
      </c>
      <c r="AH36" s="2048"/>
      <c r="AI36" s="2695"/>
      <c r="AJ36" s="2049">
        <f t="shared" ref="AJ36:AJ59" si="4">ROUND(AD36-AG36,1)</f>
        <v>0</v>
      </c>
      <c r="AK36" s="2688"/>
      <c r="AL36" s="1699">
        <f>ROUND(IF(AG36=0,0,AJ36/ABS(AG36)),3)</f>
        <v>0</v>
      </c>
      <c r="AM36" s="2645"/>
      <c r="AN36" s="2645"/>
    </row>
    <row r="37" spans="1:40" ht="15.75">
      <c r="A37" s="2098"/>
      <c r="B37" s="2547" t="s">
        <v>1155</v>
      </c>
      <c r="C37" s="2530"/>
      <c r="D37" s="2098"/>
      <c r="E37" s="2054" t="s">
        <v>15</v>
      </c>
      <c r="F37" s="2054"/>
      <c r="G37" s="2054"/>
      <c r="H37" s="2054"/>
      <c r="I37" s="2054"/>
      <c r="J37" s="2054"/>
      <c r="K37" s="2054"/>
      <c r="L37" s="2687"/>
      <c r="M37" s="2054"/>
      <c r="N37" s="2687"/>
      <c r="O37" s="2054"/>
      <c r="P37" s="2687"/>
      <c r="Q37" s="1839"/>
      <c r="R37" s="2687"/>
      <c r="S37" s="1839"/>
      <c r="T37" s="2687"/>
      <c r="U37" s="1839"/>
      <c r="V37" s="2687"/>
      <c r="W37" s="1839"/>
      <c r="X37" s="2687"/>
      <c r="Y37" s="1839"/>
      <c r="Z37" s="2687"/>
      <c r="AA37" s="1839"/>
      <c r="AB37" s="2049"/>
      <c r="AC37" s="2093"/>
      <c r="AD37" s="2702"/>
      <c r="AE37" s="3322"/>
      <c r="AF37" s="2030"/>
      <c r="AG37" s="2702"/>
      <c r="AH37" s="2048"/>
      <c r="AI37" s="2695"/>
      <c r="AJ37" s="2049"/>
      <c r="AK37" s="2688"/>
      <c r="AL37" s="1848"/>
      <c r="AM37" s="2645"/>
      <c r="AN37" s="2645"/>
    </row>
    <row r="38" spans="1:40" ht="15.75">
      <c r="A38" s="2098"/>
      <c r="B38" s="2547" t="s">
        <v>1068</v>
      </c>
      <c r="C38" s="2530"/>
      <c r="D38" s="2098"/>
      <c r="E38" s="2054">
        <v>10.1</v>
      </c>
      <c r="F38" s="2054"/>
      <c r="G38" s="2054">
        <v>9.2999999999999989</v>
      </c>
      <c r="H38" s="2054"/>
      <c r="I38" s="2054">
        <v>8.7000000000000011</v>
      </c>
      <c r="J38" s="2054"/>
      <c r="K38" s="2054">
        <v>8.1999999999999975</v>
      </c>
      <c r="L38" s="2687"/>
      <c r="M38" s="2054">
        <v>8.6</v>
      </c>
      <c r="N38" s="2687"/>
      <c r="O38" s="2054">
        <v>8.300000000000006</v>
      </c>
      <c r="P38" s="2687"/>
      <c r="Q38" s="1839">
        <v>8.2999999999999954</v>
      </c>
      <c r="R38" s="2687"/>
      <c r="S38" s="1839">
        <v>8.0000000000000018</v>
      </c>
      <c r="T38" s="2687"/>
      <c r="U38" s="1839">
        <v>7.6000000000000014</v>
      </c>
      <c r="V38" s="2687"/>
      <c r="W38" s="1839">
        <f t="shared" si="3"/>
        <v>8.3000000000000096</v>
      </c>
      <c r="X38" s="2687"/>
      <c r="Y38" s="1839"/>
      <c r="Z38" s="2687"/>
      <c r="AA38" s="1839"/>
      <c r="AB38" s="2049"/>
      <c r="AC38" s="2093"/>
      <c r="AD38" s="2054">
        <v>85.4</v>
      </c>
      <c r="AE38" s="3322"/>
      <c r="AF38" s="2030"/>
      <c r="AG38" s="2054">
        <v>84.1</v>
      </c>
      <c r="AH38" s="2048"/>
      <c r="AI38" s="2695"/>
      <c r="AJ38" s="2049">
        <f t="shared" si="4"/>
        <v>1.3</v>
      </c>
      <c r="AK38" s="2688"/>
      <c r="AL38" s="1699">
        <f>ROUND(IF(AG38=0,0,AJ38/ABS(AG38)),3)</f>
        <v>1.4999999999999999E-2</v>
      </c>
      <c r="AM38" s="2645"/>
      <c r="AN38" s="2645"/>
    </row>
    <row r="39" spans="1:40" s="2645" customFormat="1" ht="15.75">
      <c r="A39" s="2526"/>
      <c r="B39" s="2547" t="s">
        <v>1160</v>
      </c>
      <c r="C39" s="2567"/>
      <c r="D39" s="2526"/>
      <c r="E39" s="2054" t="s">
        <v>15</v>
      </c>
      <c r="F39" s="2054"/>
      <c r="G39" s="2054"/>
      <c r="H39" s="2054"/>
      <c r="I39" s="2054"/>
      <c r="J39" s="2054"/>
      <c r="K39" s="2054"/>
      <c r="L39" s="2687"/>
      <c r="M39" s="2054"/>
      <c r="N39" s="2687"/>
      <c r="O39" s="2054"/>
      <c r="P39" s="2687"/>
      <c r="Q39" s="1839"/>
      <c r="R39" s="2687"/>
      <c r="S39" s="1839"/>
      <c r="T39" s="2687"/>
      <c r="U39" s="1839"/>
      <c r="V39" s="2687"/>
      <c r="W39" s="1839"/>
      <c r="X39" s="2687"/>
      <c r="Y39" s="1839"/>
      <c r="Z39" s="2687"/>
      <c r="AA39" s="1839"/>
      <c r="AB39" s="2049"/>
      <c r="AC39" s="2093"/>
      <c r="AD39" s="2702"/>
      <c r="AE39" s="3322"/>
      <c r="AF39" s="2030"/>
      <c r="AG39" s="2702"/>
      <c r="AH39" s="2048"/>
      <c r="AI39" s="2695"/>
      <c r="AJ39" s="2049"/>
      <c r="AK39" s="2688"/>
      <c r="AL39" s="1848"/>
    </row>
    <row r="40" spans="1:40" ht="15.75">
      <c r="A40" s="2098"/>
      <c r="B40" s="2547" t="s">
        <v>1072</v>
      </c>
      <c r="C40" s="2530"/>
      <c r="D40" s="2098"/>
      <c r="E40" s="2054">
        <v>0.8</v>
      </c>
      <c r="F40" s="2054"/>
      <c r="G40" s="2054">
        <v>5.6000000000000005</v>
      </c>
      <c r="H40" s="2054"/>
      <c r="I40" s="2054">
        <v>3.6999999999999984</v>
      </c>
      <c r="J40" s="2054"/>
      <c r="K40" s="2054">
        <v>2.5</v>
      </c>
      <c r="L40" s="2687"/>
      <c r="M40" s="2054">
        <v>10.7</v>
      </c>
      <c r="N40" s="2687"/>
      <c r="O40" s="2054">
        <v>1.3000000000000007</v>
      </c>
      <c r="P40" s="2687"/>
      <c r="Q40" s="1839">
        <v>1.1999999999999993</v>
      </c>
      <c r="R40" s="2687"/>
      <c r="S40" s="1839">
        <v>2</v>
      </c>
      <c r="T40" s="2687"/>
      <c r="U40" s="1839">
        <v>0.59999999999999787</v>
      </c>
      <c r="V40" s="2687"/>
      <c r="W40" s="1839">
        <f t="shared" si="3"/>
        <v>0.60000000000000142</v>
      </c>
      <c r="X40" s="2687"/>
      <c r="Y40" s="1839"/>
      <c r="Z40" s="2687"/>
      <c r="AA40" s="1839"/>
      <c r="AB40" s="2049"/>
      <c r="AC40" s="2093"/>
      <c r="AD40" s="2054">
        <v>29</v>
      </c>
      <c r="AE40" s="3322"/>
      <c r="AF40" s="2030"/>
      <c r="AG40" s="2054">
        <v>29.8</v>
      </c>
      <c r="AH40" s="2048"/>
      <c r="AI40" s="2695"/>
      <c r="AJ40" s="2049">
        <f t="shared" si="4"/>
        <v>-0.8</v>
      </c>
      <c r="AK40" s="2688"/>
      <c r="AL40" s="1699">
        <f>ROUND(IF(AG40=0,0,AJ40/ABS(AG40)),3)</f>
        <v>-2.7E-2</v>
      </c>
      <c r="AM40" s="2645"/>
      <c r="AN40" s="2645"/>
    </row>
    <row r="41" spans="1:40" ht="15.75">
      <c r="A41" s="2098"/>
      <c r="B41" s="2547" t="s">
        <v>1221</v>
      </c>
      <c r="C41" s="2530"/>
      <c r="D41" s="2098"/>
      <c r="E41" s="2054">
        <v>0</v>
      </c>
      <c r="F41" s="2054"/>
      <c r="G41" s="2054">
        <v>0</v>
      </c>
      <c r="H41" s="2054"/>
      <c r="I41" s="2054">
        <v>0</v>
      </c>
      <c r="J41" s="2054"/>
      <c r="K41" s="2054">
        <v>0</v>
      </c>
      <c r="L41" s="2687"/>
      <c r="M41" s="2054">
        <v>0</v>
      </c>
      <c r="N41" s="2687"/>
      <c r="O41" s="2054">
        <v>0</v>
      </c>
      <c r="P41" s="2687"/>
      <c r="Q41" s="1839">
        <v>0</v>
      </c>
      <c r="R41" s="2687"/>
      <c r="S41" s="1839">
        <v>0</v>
      </c>
      <c r="T41" s="2687"/>
      <c r="U41" s="1839">
        <v>0</v>
      </c>
      <c r="V41" s="2687"/>
      <c r="W41" s="1839">
        <f t="shared" si="3"/>
        <v>0</v>
      </c>
      <c r="X41" s="2687"/>
      <c r="Y41" s="1839"/>
      <c r="Z41" s="2687"/>
      <c r="AA41" s="1839"/>
      <c r="AB41" s="2049"/>
      <c r="AC41" s="2093"/>
      <c r="AD41" s="2054">
        <v>0</v>
      </c>
      <c r="AE41" s="3328"/>
      <c r="AF41" s="2030"/>
      <c r="AG41" s="2054">
        <v>0</v>
      </c>
      <c r="AH41" s="2048"/>
      <c r="AI41" s="2695"/>
      <c r="AJ41" s="2049">
        <f>ROUND(AD41-AG41,1)</f>
        <v>0</v>
      </c>
      <c r="AK41" s="2688"/>
      <c r="AL41" s="1774">
        <f>ROUND(IF(AG41=0,0,AJ41/ABS(AG41)),3)</f>
        <v>0</v>
      </c>
      <c r="AM41" s="2645"/>
      <c r="AN41" s="2645"/>
    </row>
    <row r="42" spans="1:40" ht="15.75">
      <c r="A42" s="2098"/>
      <c r="B42" s="2547" t="s">
        <v>1075</v>
      </c>
      <c r="C42" s="2530"/>
      <c r="D42" s="2098"/>
      <c r="E42" s="2054">
        <v>67</v>
      </c>
      <c r="F42" s="2054"/>
      <c r="G42" s="2054">
        <v>69.300000000000011</v>
      </c>
      <c r="H42" s="2054"/>
      <c r="I42" s="2054">
        <v>65.399999999999977</v>
      </c>
      <c r="J42" s="2054"/>
      <c r="K42" s="2054">
        <v>60.800000000000011</v>
      </c>
      <c r="L42" s="2687"/>
      <c r="M42" s="2054">
        <v>63.600000000000023</v>
      </c>
      <c r="N42" s="2687"/>
      <c r="O42" s="2054">
        <v>60.399999999999977</v>
      </c>
      <c r="P42" s="2687"/>
      <c r="Q42" s="1839">
        <v>57.399999999999977</v>
      </c>
      <c r="R42" s="2687"/>
      <c r="S42" s="1839">
        <v>58.5</v>
      </c>
      <c r="T42" s="2687"/>
      <c r="U42" s="1839">
        <v>52.299999999999955</v>
      </c>
      <c r="V42" s="2687"/>
      <c r="W42" s="1839">
        <f t="shared" si="3"/>
        <v>59.900000000000091</v>
      </c>
      <c r="X42" s="2687"/>
      <c r="Y42" s="1839"/>
      <c r="Z42" s="2687"/>
      <c r="AA42" s="1839"/>
      <c r="AB42" s="2049"/>
      <c r="AC42" s="2093"/>
      <c r="AD42" s="2054">
        <v>614.6</v>
      </c>
      <c r="AE42" s="3322"/>
      <c r="AF42" s="2030"/>
      <c r="AG42" s="2054">
        <v>607.4</v>
      </c>
      <c r="AH42" s="2048"/>
      <c r="AI42" s="2695"/>
      <c r="AJ42" s="2049">
        <f t="shared" si="4"/>
        <v>7.2</v>
      </c>
      <c r="AK42" s="2688"/>
      <c r="AL42" s="1699">
        <f>ROUND(IF(AG42=0,0,AJ42/ABS(AG42)),3)</f>
        <v>1.2E-2</v>
      </c>
      <c r="AM42" s="2645"/>
      <c r="AN42" s="2645"/>
    </row>
    <row r="43" spans="1:40" ht="15.75">
      <c r="A43" s="2098"/>
      <c r="B43" s="2547" t="s">
        <v>1076</v>
      </c>
      <c r="C43" s="2530"/>
      <c r="D43" s="2098"/>
      <c r="E43" s="2054">
        <v>0.2</v>
      </c>
      <c r="F43" s="2054"/>
      <c r="G43" s="2054">
        <v>9.9999999999999978E-2</v>
      </c>
      <c r="H43" s="2054"/>
      <c r="I43" s="2054">
        <v>0</v>
      </c>
      <c r="J43" s="2054"/>
      <c r="K43" s="2054">
        <v>0</v>
      </c>
      <c r="L43" s="2687"/>
      <c r="M43" s="2054">
        <v>0</v>
      </c>
      <c r="N43" s="2687"/>
      <c r="O43" s="2054">
        <v>2.9999999999999996</v>
      </c>
      <c r="P43" s="2687"/>
      <c r="Q43" s="1839">
        <v>12.800000000000002</v>
      </c>
      <c r="R43" s="2687"/>
      <c r="S43" s="1839">
        <v>-1.2000000000000011</v>
      </c>
      <c r="T43" s="2687"/>
      <c r="U43" s="1839">
        <v>0</v>
      </c>
      <c r="V43" s="2687"/>
      <c r="W43" s="1839">
        <f t="shared" si="3"/>
        <v>15.899999999999999</v>
      </c>
      <c r="X43" s="2687"/>
      <c r="Y43" s="1839"/>
      <c r="Z43" s="2687"/>
      <c r="AA43" s="1839"/>
      <c r="AB43" s="2049"/>
      <c r="AC43" s="2093"/>
      <c r="AD43" s="2054">
        <v>30.8</v>
      </c>
      <c r="AE43" s="3322"/>
      <c r="AF43" s="2030"/>
      <c r="AG43" s="2054">
        <v>33.4</v>
      </c>
      <c r="AH43" s="2048"/>
      <c r="AI43" s="2695"/>
      <c r="AJ43" s="2049">
        <f t="shared" si="4"/>
        <v>-2.6</v>
      </c>
      <c r="AK43" s="2688"/>
      <c r="AL43" s="1774">
        <f>ROUND(IF(AG43=0,1,AJ43/ABS(AG43)),3)</f>
        <v>-7.8E-2</v>
      </c>
      <c r="AM43" s="2645"/>
      <c r="AN43" s="2645"/>
    </row>
    <row r="44" spans="1:40" ht="15.75">
      <c r="A44" s="2098"/>
      <c r="B44" s="2547" t="s">
        <v>1034</v>
      </c>
      <c r="C44" s="2530"/>
      <c r="D44" s="2098"/>
      <c r="E44" s="2054">
        <v>2.2999999999999998</v>
      </c>
      <c r="F44" s="2054"/>
      <c r="G44" s="2054">
        <v>2</v>
      </c>
      <c r="H44" s="2054"/>
      <c r="I44" s="2054">
        <v>2.3000000000000007</v>
      </c>
      <c r="J44" s="2054"/>
      <c r="K44" s="2054">
        <v>1.7000000000000002</v>
      </c>
      <c r="L44" s="2687"/>
      <c r="M44" s="2054">
        <v>1.6999999999999993</v>
      </c>
      <c r="N44" s="2687"/>
      <c r="O44" s="2054">
        <v>2.2999999999999998</v>
      </c>
      <c r="P44" s="2687"/>
      <c r="Q44" s="1839">
        <v>1.8999999999999986</v>
      </c>
      <c r="R44" s="2687"/>
      <c r="S44" s="1839">
        <v>5.1000000000000023</v>
      </c>
      <c r="T44" s="2687"/>
      <c r="U44" s="1839">
        <v>1.2999999999999998</v>
      </c>
      <c r="V44" s="2687"/>
      <c r="W44" s="1839">
        <f t="shared" si="3"/>
        <v>1.5999999999999979</v>
      </c>
      <c r="X44" s="2687"/>
      <c r="Y44" s="1839"/>
      <c r="Z44" s="2687"/>
      <c r="AA44" s="1839"/>
      <c r="AB44" s="2049"/>
      <c r="AC44" s="2093"/>
      <c r="AD44" s="2054">
        <v>22.2</v>
      </c>
      <c r="AE44" s="3322"/>
      <c r="AF44" s="2030"/>
      <c r="AG44" s="2054">
        <v>20.099999999999998</v>
      </c>
      <c r="AH44" s="2048"/>
      <c r="AI44" s="2695"/>
      <c r="AJ44" s="2049">
        <f t="shared" si="4"/>
        <v>2.1</v>
      </c>
      <c r="AK44" s="2688"/>
      <c r="AL44" s="1779">
        <f>ROUND(IF(AG44=0,1,AJ44/ABS(AG44)),3)</f>
        <v>0.104</v>
      </c>
      <c r="AM44" s="2645"/>
      <c r="AN44" s="2645"/>
    </row>
    <row r="45" spans="1:40" ht="15.75">
      <c r="A45" s="2098"/>
      <c r="B45" s="2547" t="s">
        <v>1035</v>
      </c>
      <c r="C45" s="2530"/>
      <c r="D45" s="2098"/>
      <c r="E45" s="2054">
        <v>1.1000000000000001</v>
      </c>
      <c r="F45" s="2054"/>
      <c r="G45" s="2054">
        <v>1</v>
      </c>
      <c r="H45" s="2054"/>
      <c r="I45" s="2054">
        <v>1</v>
      </c>
      <c r="J45" s="2054"/>
      <c r="K45" s="2054">
        <v>1.0999999999999992</v>
      </c>
      <c r="L45" s="2687"/>
      <c r="M45" s="2054">
        <v>1.0000000000000004</v>
      </c>
      <c r="N45" s="2687"/>
      <c r="O45" s="2054">
        <v>1</v>
      </c>
      <c r="P45" s="2687"/>
      <c r="Q45" s="1839">
        <v>1</v>
      </c>
      <c r="R45" s="2687"/>
      <c r="S45" s="1839">
        <v>0.90000000000000036</v>
      </c>
      <c r="T45" s="2687"/>
      <c r="U45" s="1839">
        <v>0.80000000000000027</v>
      </c>
      <c r="V45" s="2687"/>
      <c r="W45" s="1839">
        <f t="shared" si="3"/>
        <v>0.79999999999999938</v>
      </c>
      <c r="X45" s="2687"/>
      <c r="Y45" s="1839"/>
      <c r="Z45" s="2687"/>
      <c r="AA45" s="1839"/>
      <c r="AB45" s="2049"/>
      <c r="AC45" s="2093"/>
      <c r="AD45" s="2054">
        <v>9.6999999999999993</v>
      </c>
      <c r="AE45" s="3322"/>
      <c r="AF45" s="2030"/>
      <c r="AG45" s="2054">
        <v>9</v>
      </c>
      <c r="AH45" s="2048"/>
      <c r="AI45" s="2695"/>
      <c r="AJ45" s="2049">
        <f t="shared" si="4"/>
        <v>0.7</v>
      </c>
      <c r="AK45" s="2688"/>
      <c r="AL45" s="1774">
        <f>ROUND(IF(AG45=0,1,AJ45/ABS(AG45)),3)</f>
        <v>7.8E-2</v>
      </c>
      <c r="AM45" s="2645"/>
      <c r="AN45" s="2645"/>
    </row>
    <row r="46" spans="1:40" ht="15.75">
      <c r="A46" s="2098"/>
      <c r="B46" s="2547" t="s">
        <v>1158</v>
      </c>
      <c r="C46" s="2530"/>
      <c r="D46" s="2098"/>
      <c r="E46" s="2054" t="s">
        <v>15</v>
      </c>
      <c r="F46" s="2054"/>
      <c r="G46" s="2054"/>
      <c r="H46" s="2054"/>
      <c r="I46" s="2054"/>
      <c r="J46" s="2054"/>
      <c r="K46" s="2054"/>
      <c r="L46" s="2687"/>
      <c r="M46" s="2054"/>
      <c r="N46" s="2687"/>
      <c r="O46" s="2054"/>
      <c r="P46" s="2687"/>
      <c r="Q46" s="1839"/>
      <c r="R46" s="2687"/>
      <c r="S46" s="1839"/>
      <c r="T46" s="2687"/>
      <c r="U46" s="1839"/>
      <c r="V46" s="2687"/>
      <c r="W46" s="1839"/>
      <c r="X46" s="2687"/>
      <c r="Y46" s="1839"/>
      <c r="Z46" s="2687"/>
      <c r="AA46" s="1839"/>
      <c r="AB46" s="2049"/>
      <c r="AC46" s="2093"/>
      <c r="AD46" s="2702"/>
      <c r="AE46" s="3322"/>
      <c r="AF46" s="2030"/>
      <c r="AG46" s="2702"/>
      <c r="AH46" s="2048"/>
      <c r="AI46" s="2695"/>
      <c r="AJ46" s="2049"/>
      <c r="AK46" s="2688"/>
      <c r="AL46" s="1848"/>
      <c r="AM46" s="2645"/>
      <c r="AN46" s="2645"/>
    </row>
    <row r="47" spans="1:40" ht="15.75">
      <c r="A47" s="2098"/>
      <c r="B47" s="2547" t="s">
        <v>1080</v>
      </c>
      <c r="C47" s="2530"/>
      <c r="D47" s="2098"/>
      <c r="E47" s="2054">
        <v>200.8</v>
      </c>
      <c r="F47" s="2054"/>
      <c r="G47" s="2054">
        <v>2.8</v>
      </c>
      <c r="H47" s="2054"/>
      <c r="I47" s="2054">
        <v>146.39999999999998</v>
      </c>
      <c r="J47" s="2054"/>
      <c r="K47" s="2054">
        <v>155.30000000000001</v>
      </c>
      <c r="L47" s="2687"/>
      <c r="M47" s="2054">
        <v>79.199999999999989</v>
      </c>
      <c r="N47" s="2687"/>
      <c r="O47" s="2054">
        <v>499.09999999999997</v>
      </c>
      <c r="P47" s="2687"/>
      <c r="Q47" s="1839">
        <v>1588.1999999999998</v>
      </c>
      <c r="R47" s="2687"/>
      <c r="S47" s="1839">
        <v>23.599999999999909</v>
      </c>
      <c r="T47" s="2687"/>
      <c r="U47" s="1839">
        <v>328.29999999999973</v>
      </c>
      <c r="V47" s="2687"/>
      <c r="W47" s="1839">
        <f t="shared" si="3"/>
        <v>519.40000000000009</v>
      </c>
      <c r="X47" s="2687"/>
      <c r="Y47" s="1839"/>
      <c r="Z47" s="2687"/>
      <c r="AA47" s="1839"/>
      <c r="AB47" s="2049"/>
      <c r="AC47" s="2093"/>
      <c r="AD47" s="2054">
        <v>3543.1</v>
      </c>
      <c r="AE47" s="3322"/>
      <c r="AF47" s="2030"/>
      <c r="AG47" s="2054">
        <v>3878.1</v>
      </c>
      <c r="AH47" s="2048"/>
      <c r="AI47" s="2695"/>
      <c r="AJ47" s="2049">
        <f t="shared" si="4"/>
        <v>-335</v>
      </c>
      <c r="AK47" s="2688"/>
      <c r="AL47" s="1929">
        <f>ROUND(IF(AG47=0,1,AJ47/ABS(AG47)),3)</f>
        <v>-8.5999999999999993E-2</v>
      </c>
      <c r="AM47" s="2645"/>
      <c r="AN47" s="2645"/>
    </row>
    <row r="48" spans="1:40" s="2707" customFormat="1" ht="15.75">
      <c r="A48" s="2704"/>
      <c r="B48" s="2547" t="s">
        <v>1082</v>
      </c>
      <c r="C48" s="2530"/>
      <c r="D48" s="2530"/>
      <c r="E48" s="2054">
        <v>0</v>
      </c>
      <c r="F48" s="2053"/>
      <c r="G48" s="2054">
        <v>0</v>
      </c>
      <c r="H48" s="2053"/>
      <c r="I48" s="2054">
        <v>0</v>
      </c>
      <c r="J48" s="2053"/>
      <c r="K48" s="2054">
        <v>0</v>
      </c>
      <c r="L48" s="2687"/>
      <c r="M48" s="2054">
        <v>0</v>
      </c>
      <c r="N48" s="2687"/>
      <c r="O48" s="2054">
        <v>0</v>
      </c>
      <c r="P48" s="2687"/>
      <c r="Q48" s="1839">
        <v>0</v>
      </c>
      <c r="R48" s="2687"/>
      <c r="S48" s="1839">
        <v>0</v>
      </c>
      <c r="T48" s="2687"/>
      <c r="U48" s="1839">
        <v>0</v>
      </c>
      <c r="V48" s="2687"/>
      <c r="W48" s="1839">
        <f t="shared" si="3"/>
        <v>0</v>
      </c>
      <c r="X48" s="2687"/>
      <c r="Y48" s="1839"/>
      <c r="Z48" s="2687"/>
      <c r="AA48" s="1839"/>
      <c r="AB48" s="2054"/>
      <c r="AC48" s="2055"/>
      <c r="AD48" s="2054">
        <v>0</v>
      </c>
      <c r="AE48" s="3329"/>
      <c r="AF48" s="2095"/>
      <c r="AG48" s="2054">
        <v>0</v>
      </c>
      <c r="AH48" s="2086"/>
      <c r="AI48" s="2695"/>
      <c r="AJ48" s="2054">
        <f t="shared" si="4"/>
        <v>0</v>
      </c>
      <c r="AK48" s="2705"/>
      <c r="AL48" s="1774">
        <f>ROUND(IF(AG48=0,0,AJ48/ABS(AG48)),3)</f>
        <v>0</v>
      </c>
      <c r="AM48" s="2706"/>
      <c r="AN48" s="2706"/>
    </row>
    <row r="49" spans="1:41" ht="15.75">
      <c r="A49" s="2098"/>
      <c r="B49" s="2547" t="s">
        <v>1083</v>
      </c>
      <c r="C49" s="2530"/>
      <c r="D49" s="2098"/>
      <c r="E49" s="2054">
        <v>3.5</v>
      </c>
      <c r="F49" s="2054"/>
      <c r="G49" s="2054">
        <v>0.10000000000000009</v>
      </c>
      <c r="H49" s="2054"/>
      <c r="I49" s="2054">
        <v>0.39999999999999991</v>
      </c>
      <c r="J49" s="2054"/>
      <c r="K49" s="2054">
        <v>-0.10000000000000009</v>
      </c>
      <c r="L49" s="2687"/>
      <c r="M49" s="2054">
        <v>0</v>
      </c>
      <c r="N49" s="2687"/>
      <c r="O49" s="2054">
        <v>0</v>
      </c>
      <c r="P49" s="2687"/>
      <c r="Q49" s="1839">
        <v>20.400000000000002</v>
      </c>
      <c r="R49" s="2687"/>
      <c r="S49" s="1839">
        <v>25.3</v>
      </c>
      <c r="T49" s="2687"/>
      <c r="U49" s="1839">
        <v>0.39999999999999858</v>
      </c>
      <c r="V49" s="2687"/>
      <c r="W49" s="1839">
        <f t="shared" si="3"/>
        <v>2.2999999999999972</v>
      </c>
      <c r="X49" s="2687"/>
      <c r="Y49" s="1839"/>
      <c r="Z49" s="2687"/>
      <c r="AA49" s="1839"/>
      <c r="AB49" s="2049"/>
      <c r="AC49" s="2093"/>
      <c r="AD49" s="2054">
        <v>52.3</v>
      </c>
      <c r="AE49" s="3322"/>
      <c r="AF49" s="2030"/>
      <c r="AG49" s="2054">
        <v>5.0999999999999996</v>
      </c>
      <c r="AH49" s="2048"/>
      <c r="AI49" s="2695"/>
      <c r="AJ49" s="2049">
        <f t="shared" si="4"/>
        <v>47.2</v>
      </c>
      <c r="AK49" s="2688"/>
      <c r="AL49" s="2708">
        <f>ROUND(IF(AG49=0,1,AJ49/ABS(AG49)),3)</f>
        <v>9.2550000000000008</v>
      </c>
      <c r="AM49" s="2645"/>
      <c r="AN49" s="2645"/>
    </row>
    <row r="50" spans="1:41" ht="15.75">
      <c r="A50" s="2098"/>
      <c r="B50" s="2547" t="s">
        <v>1053</v>
      </c>
      <c r="C50" s="2530"/>
      <c r="D50" s="2098"/>
      <c r="E50" s="2054">
        <v>0.3</v>
      </c>
      <c r="F50" s="2054"/>
      <c r="G50" s="2054">
        <v>0</v>
      </c>
      <c r="H50" s="2054"/>
      <c r="I50" s="2054">
        <v>0.3</v>
      </c>
      <c r="J50" s="2054"/>
      <c r="K50" s="2054">
        <v>0</v>
      </c>
      <c r="L50" s="2687"/>
      <c r="M50" s="2054">
        <v>0.3000000000000001</v>
      </c>
      <c r="N50" s="2687"/>
      <c r="O50" s="2054">
        <v>0.1999999999999999</v>
      </c>
      <c r="P50" s="2687"/>
      <c r="Q50" s="1839">
        <v>0.19999999999999996</v>
      </c>
      <c r="R50" s="2687"/>
      <c r="S50" s="1839">
        <v>0.39999999999999991</v>
      </c>
      <c r="T50" s="2687"/>
      <c r="U50" s="1839">
        <v>0.10000000000000009</v>
      </c>
      <c r="V50" s="2687"/>
      <c r="W50" s="1839">
        <f t="shared" si="3"/>
        <v>1.3000000000000005</v>
      </c>
      <c r="X50" s="2687"/>
      <c r="Y50" s="1839"/>
      <c r="Z50" s="2687"/>
      <c r="AA50" s="1839"/>
      <c r="AB50" s="2049"/>
      <c r="AC50" s="2093"/>
      <c r="AD50" s="2054">
        <v>3.1</v>
      </c>
      <c r="AE50" s="3322"/>
      <c r="AF50" s="2030"/>
      <c r="AG50" s="2054">
        <v>0.9</v>
      </c>
      <c r="AH50" s="2048"/>
      <c r="AI50" s="2695"/>
      <c r="AJ50" s="2049">
        <f t="shared" si="4"/>
        <v>2.2000000000000002</v>
      </c>
      <c r="AK50" s="2688"/>
      <c r="AL50" s="1699">
        <f>ROUND(IF(AG50=0,1,AJ50/ABS(AG50)),3)</f>
        <v>2.444</v>
      </c>
      <c r="AM50" s="2645"/>
      <c r="AN50" s="2645"/>
    </row>
    <row r="51" spans="1:41" ht="15.75">
      <c r="A51" s="2098"/>
      <c r="B51" s="2547" t="s">
        <v>1054</v>
      </c>
      <c r="C51" s="2530"/>
      <c r="D51" s="2098"/>
      <c r="E51" s="2054">
        <v>0.8</v>
      </c>
      <c r="F51" s="2054"/>
      <c r="G51" s="2054">
        <v>0.8</v>
      </c>
      <c r="H51" s="2054"/>
      <c r="I51" s="2054">
        <v>0.39999999999999991</v>
      </c>
      <c r="J51" s="2054"/>
      <c r="K51" s="2054">
        <v>0.5</v>
      </c>
      <c r="L51" s="2687"/>
      <c r="M51" s="2054">
        <v>1.6</v>
      </c>
      <c r="N51" s="2687"/>
      <c r="O51" s="2054">
        <v>0.59999999999999964</v>
      </c>
      <c r="P51" s="2687"/>
      <c r="Q51" s="1839">
        <v>0.60000000000000053</v>
      </c>
      <c r="R51" s="2687"/>
      <c r="S51" s="1839">
        <v>0.69999999999999973</v>
      </c>
      <c r="T51" s="2687"/>
      <c r="U51" s="1839">
        <v>0.40000000000000036</v>
      </c>
      <c r="V51" s="2687"/>
      <c r="W51" s="1839">
        <f t="shared" si="3"/>
        <v>1</v>
      </c>
      <c r="X51" s="2687"/>
      <c r="Y51" s="1839"/>
      <c r="Z51" s="2687"/>
      <c r="AA51" s="1839"/>
      <c r="AB51" s="2049"/>
      <c r="AC51" s="2093"/>
      <c r="AD51" s="2054">
        <v>7.4</v>
      </c>
      <c r="AE51" s="3322"/>
      <c r="AF51" s="2030"/>
      <c r="AG51" s="2054">
        <v>9</v>
      </c>
      <c r="AH51" s="2048"/>
      <c r="AI51" s="2695"/>
      <c r="AJ51" s="2049">
        <f t="shared" si="4"/>
        <v>-1.6</v>
      </c>
      <c r="AK51" s="2688"/>
      <c r="AL51" s="1699">
        <f>ROUND(IF(AG51=0,0,AJ51/ABS(AG51)),3)</f>
        <v>-0.17799999999999999</v>
      </c>
      <c r="AM51" s="2645"/>
      <c r="AN51" s="2645"/>
    </row>
    <row r="52" spans="1:41" ht="15.75">
      <c r="A52" s="2098"/>
      <c r="B52" s="2547" t="s">
        <v>1159</v>
      </c>
      <c r="C52" s="2530"/>
      <c r="D52" s="2098"/>
      <c r="E52" s="2054" t="s">
        <v>15</v>
      </c>
      <c r="F52" s="2054"/>
      <c r="G52" s="2054"/>
      <c r="H52" s="2054"/>
      <c r="I52" s="2054"/>
      <c r="J52" s="2054"/>
      <c r="K52" s="2054"/>
      <c r="L52" s="2687"/>
      <c r="M52" s="2054"/>
      <c r="N52" s="2687"/>
      <c r="O52" s="2054"/>
      <c r="P52" s="2687"/>
      <c r="Q52" s="1839"/>
      <c r="R52" s="2687"/>
      <c r="S52" s="1839"/>
      <c r="T52" s="2687"/>
      <c r="U52" s="1839"/>
      <c r="V52" s="2687"/>
      <c r="W52" s="1839"/>
      <c r="X52" s="2687"/>
      <c r="Y52" s="1839"/>
      <c r="Z52" s="2687"/>
      <c r="AA52" s="1839"/>
      <c r="AB52" s="2049"/>
      <c r="AC52" s="2093"/>
      <c r="AD52" s="2702"/>
      <c r="AE52" s="3322"/>
      <c r="AF52" s="2030"/>
      <c r="AG52" s="2702"/>
      <c r="AH52" s="2048"/>
      <c r="AI52" s="2695"/>
      <c r="AJ52" s="2049"/>
      <c r="AK52" s="2688"/>
      <c r="AL52" s="1848"/>
      <c r="AM52" s="2645"/>
      <c r="AN52" s="2645"/>
    </row>
    <row r="53" spans="1:41" ht="15.75">
      <c r="A53" s="2098"/>
      <c r="B53" s="2547" t="s">
        <v>1084</v>
      </c>
      <c r="C53" s="2530"/>
      <c r="D53" s="2098"/>
      <c r="E53" s="2054">
        <v>0</v>
      </c>
      <c r="F53" s="2053"/>
      <c r="G53" s="2054">
        <v>0</v>
      </c>
      <c r="H53" s="2054"/>
      <c r="I53" s="2054">
        <v>0</v>
      </c>
      <c r="J53" s="2054"/>
      <c r="K53" s="2054">
        <v>0</v>
      </c>
      <c r="L53" s="2687"/>
      <c r="M53" s="2054">
        <v>0</v>
      </c>
      <c r="N53" s="2687"/>
      <c r="O53" s="2054">
        <v>0</v>
      </c>
      <c r="P53" s="2687"/>
      <c r="Q53" s="1839">
        <v>0</v>
      </c>
      <c r="R53" s="2687"/>
      <c r="S53" s="1839">
        <v>0</v>
      </c>
      <c r="T53" s="2687"/>
      <c r="U53" s="1839">
        <v>0</v>
      </c>
      <c r="V53" s="2687"/>
      <c r="W53" s="1839">
        <f t="shared" si="3"/>
        <v>0</v>
      </c>
      <c r="X53" s="2687"/>
      <c r="Y53" s="1839"/>
      <c r="Z53" s="2687"/>
      <c r="AA53" s="1839"/>
      <c r="AB53" s="2049"/>
      <c r="AC53" s="2093"/>
      <c r="AD53" s="2054">
        <v>0</v>
      </c>
      <c r="AE53" s="3322"/>
      <c r="AF53" s="2030"/>
      <c r="AG53" s="2054">
        <v>0</v>
      </c>
      <c r="AH53" s="2048"/>
      <c r="AI53" s="2695"/>
      <c r="AJ53" s="2049">
        <f t="shared" si="4"/>
        <v>0</v>
      </c>
      <c r="AK53" s="2688"/>
      <c r="AL53" s="1699">
        <f>ROUND(IF(AG53=0,0,AJ53/ABS(AG53)),3)</f>
        <v>0</v>
      </c>
      <c r="AM53" s="2645"/>
      <c r="AN53" s="2645"/>
    </row>
    <row r="54" spans="1:41" ht="15.75">
      <c r="A54" s="2098"/>
      <c r="B54" s="2547" t="s">
        <v>1086</v>
      </c>
      <c r="C54" s="2530"/>
      <c r="D54" s="2098"/>
      <c r="E54" s="2054">
        <v>10.1</v>
      </c>
      <c r="F54" s="2053"/>
      <c r="G54" s="2054">
        <v>0.5</v>
      </c>
      <c r="H54" s="2054"/>
      <c r="I54" s="2054">
        <v>0.30000000000000071</v>
      </c>
      <c r="J54" s="2054"/>
      <c r="K54" s="2054">
        <v>0.59999999999999964</v>
      </c>
      <c r="L54" s="2687"/>
      <c r="M54" s="2054">
        <v>0.30000000000000071</v>
      </c>
      <c r="N54" s="2687"/>
      <c r="O54" s="2054">
        <v>0.29999999999999893</v>
      </c>
      <c r="P54" s="2687"/>
      <c r="Q54" s="1839">
        <v>3.4000000000000004</v>
      </c>
      <c r="R54" s="2687"/>
      <c r="S54" s="1839">
        <v>1.6999999999999993</v>
      </c>
      <c r="T54" s="2687"/>
      <c r="U54" s="1839">
        <v>2.8000000000000007</v>
      </c>
      <c r="V54" s="2687"/>
      <c r="W54" s="1839">
        <f t="shared" si="3"/>
        <v>0.39999999999999858</v>
      </c>
      <c r="X54" s="2687"/>
      <c r="Y54" s="1839"/>
      <c r="Z54" s="2687"/>
      <c r="AA54" s="1839"/>
      <c r="AB54" s="2049"/>
      <c r="AC54" s="2093"/>
      <c r="AD54" s="2054">
        <v>20.399999999999999</v>
      </c>
      <c r="AE54" s="3322"/>
      <c r="AF54" s="2030"/>
      <c r="AG54" s="2054">
        <v>1.8</v>
      </c>
      <c r="AH54" s="2048"/>
      <c r="AI54" s="2695"/>
      <c r="AJ54" s="2049">
        <f t="shared" si="4"/>
        <v>18.600000000000001</v>
      </c>
      <c r="AK54" s="2688"/>
      <c r="AL54" s="2255">
        <f>ROUND(IF(AG54=0,1,AJ54/ABS(AG54)),3)</f>
        <v>10.333</v>
      </c>
      <c r="AM54" s="2645"/>
      <c r="AN54" s="2645"/>
    </row>
    <row r="55" spans="1:41" ht="15.75">
      <c r="A55" s="2098"/>
      <c r="B55" s="2547" t="s">
        <v>1087</v>
      </c>
      <c r="C55" s="2530"/>
      <c r="D55" s="2098"/>
      <c r="E55" s="2054">
        <v>-0.9</v>
      </c>
      <c r="F55" s="2053"/>
      <c r="G55" s="2054">
        <v>0</v>
      </c>
      <c r="H55" s="2054"/>
      <c r="I55" s="2054">
        <v>0</v>
      </c>
      <c r="J55" s="2054"/>
      <c r="K55" s="2054">
        <v>0</v>
      </c>
      <c r="L55" s="2687"/>
      <c r="M55" s="2054">
        <v>0</v>
      </c>
      <c r="N55" s="2687"/>
      <c r="O55" s="2054">
        <v>0</v>
      </c>
      <c r="P55" s="2687"/>
      <c r="Q55" s="1839">
        <v>0</v>
      </c>
      <c r="R55" s="2687"/>
      <c r="S55" s="1839">
        <v>0</v>
      </c>
      <c r="T55" s="2687"/>
      <c r="U55" s="1839">
        <v>0</v>
      </c>
      <c r="V55" s="2687"/>
      <c r="W55" s="1839">
        <f t="shared" si="3"/>
        <v>0</v>
      </c>
      <c r="X55" s="2687"/>
      <c r="Y55" s="1839"/>
      <c r="Z55" s="2687"/>
      <c r="AA55" s="1839"/>
      <c r="AB55" s="2049"/>
      <c r="AC55" s="2093"/>
      <c r="AD55" s="2054">
        <v>-0.9</v>
      </c>
      <c r="AE55" s="2241"/>
      <c r="AF55" s="2030"/>
      <c r="AG55" s="2054">
        <v>0</v>
      </c>
      <c r="AH55" s="2048"/>
      <c r="AI55" s="2695"/>
      <c r="AJ55" s="2049">
        <f t="shared" si="4"/>
        <v>-0.9</v>
      </c>
      <c r="AK55" s="2688"/>
      <c r="AL55" s="1699">
        <f>ROUND(IF(AG55=0,-1,AJ55/ABS(AG55)),3)</f>
        <v>-1</v>
      </c>
      <c r="AM55" s="2645"/>
      <c r="AN55" s="2645"/>
    </row>
    <row r="56" spans="1:41" ht="15.75">
      <c r="A56" s="2098"/>
      <c r="B56" s="2547" t="s">
        <v>1089</v>
      </c>
      <c r="C56" s="2530"/>
      <c r="D56" s="2098"/>
      <c r="E56" s="2054">
        <v>0</v>
      </c>
      <c r="F56" s="2053"/>
      <c r="G56" s="2054">
        <v>0.1</v>
      </c>
      <c r="H56" s="2054"/>
      <c r="I56" s="2054">
        <v>0.1</v>
      </c>
      <c r="J56" s="2054"/>
      <c r="K56" s="2054">
        <v>0</v>
      </c>
      <c r="L56" s="2687"/>
      <c r="M56" s="2054">
        <v>0</v>
      </c>
      <c r="N56" s="2687"/>
      <c r="O56" s="2054">
        <v>0</v>
      </c>
      <c r="P56" s="2687"/>
      <c r="Q56" s="1839">
        <v>0</v>
      </c>
      <c r="R56" s="2687"/>
      <c r="S56" s="1839">
        <v>0</v>
      </c>
      <c r="T56" s="2687"/>
      <c r="U56" s="1839">
        <v>0</v>
      </c>
      <c r="V56" s="2687"/>
      <c r="W56" s="1839">
        <f t="shared" si="3"/>
        <v>0</v>
      </c>
      <c r="X56" s="2687"/>
      <c r="Y56" s="1839"/>
      <c r="Z56" s="2687"/>
      <c r="AA56" s="1839"/>
      <c r="AB56" s="2049"/>
      <c r="AC56" s="2093"/>
      <c r="AD56" s="2054">
        <v>0.2</v>
      </c>
      <c r="AE56" s="3330"/>
      <c r="AF56" s="2030"/>
      <c r="AG56" s="2054">
        <v>0.3</v>
      </c>
      <c r="AH56" s="2048"/>
      <c r="AI56" s="2695"/>
      <c r="AJ56" s="2049">
        <f>ROUND(AD56-AG56,1)</f>
        <v>-0.1</v>
      </c>
      <c r="AK56" s="2688"/>
      <c r="AL56" s="1699">
        <f>ROUND(IF(AG56=0,0,AJ56/ABS(AG56)),3)</f>
        <v>-0.33300000000000002</v>
      </c>
      <c r="AM56" s="2645"/>
      <c r="AN56" s="2645"/>
    </row>
    <row r="57" spans="1:41" ht="15.75">
      <c r="A57" s="2098"/>
      <c r="B57" s="2547" t="s">
        <v>1090</v>
      </c>
      <c r="C57" s="2530"/>
      <c r="D57" s="2098"/>
      <c r="E57" s="2054">
        <v>0.2</v>
      </c>
      <c r="F57" s="2053"/>
      <c r="G57" s="2054">
        <v>0.49999999999999994</v>
      </c>
      <c r="H57" s="2054"/>
      <c r="I57" s="2054">
        <v>0.40000000000000019</v>
      </c>
      <c r="J57" s="2054"/>
      <c r="K57" s="2054">
        <v>9.9999999999999811E-2</v>
      </c>
      <c r="L57" s="2687"/>
      <c r="M57" s="2054">
        <v>0.20000000000000018</v>
      </c>
      <c r="N57" s="2687"/>
      <c r="O57" s="2054">
        <v>9.9999999999999867E-2</v>
      </c>
      <c r="P57" s="2687"/>
      <c r="Q57" s="1839">
        <v>2.5</v>
      </c>
      <c r="R57" s="2687"/>
      <c r="S57" s="1839">
        <v>0.29999999999999982</v>
      </c>
      <c r="T57" s="2687"/>
      <c r="U57" s="1839">
        <v>6.5000000000000027</v>
      </c>
      <c r="V57" s="2687"/>
      <c r="W57" s="1839">
        <f t="shared" si="3"/>
        <v>1.1999999999999993</v>
      </c>
      <c r="X57" s="2687"/>
      <c r="Y57" s="1839"/>
      <c r="Z57" s="2687"/>
      <c r="AA57" s="1839"/>
      <c r="AB57" s="2049"/>
      <c r="AC57" s="2093"/>
      <c r="AD57" s="2054">
        <v>12</v>
      </c>
      <c r="AE57" s="3322"/>
      <c r="AF57" s="2030"/>
      <c r="AG57" s="2054">
        <v>8.1</v>
      </c>
      <c r="AH57" s="2048"/>
      <c r="AI57" s="2695"/>
      <c r="AJ57" s="2049">
        <f t="shared" si="4"/>
        <v>3.9</v>
      </c>
      <c r="AK57" s="2688"/>
      <c r="AL57" s="1929">
        <f>ROUND(IF(AG57=0,1,AJ57/ABS(AG57)),3)</f>
        <v>0.48099999999999998</v>
      </c>
      <c r="AM57" s="2645"/>
      <c r="AN57" s="2645"/>
    </row>
    <row r="58" spans="1:41" ht="15.75">
      <c r="A58" s="2098"/>
      <c r="B58" s="2547" t="s">
        <v>1092</v>
      </c>
      <c r="C58" s="2530"/>
      <c r="D58" s="2098"/>
      <c r="E58" s="2054">
        <v>3.6</v>
      </c>
      <c r="F58" s="2053"/>
      <c r="G58" s="2054">
        <v>0.80000000000000027</v>
      </c>
      <c r="H58" s="2054"/>
      <c r="I58" s="2054">
        <v>1.0999999999999996</v>
      </c>
      <c r="J58" s="2054"/>
      <c r="K58" s="2054">
        <v>14.499999999999998</v>
      </c>
      <c r="L58" s="2687"/>
      <c r="M58" s="2054">
        <v>12.300000000000006</v>
      </c>
      <c r="N58" s="2687"/>
      <c r="O58" s="2054">
        <v>4.8999999999999968</v>
      </c>
      <c r="P58" s="2687"/>
      <c r="Q58" s="1839">
        <v>4.3999999999999986</v>
      </c>
      <c r="R58" s="2687"/>
      <c r="S58" s="1839">
        <v>3.1999999999999957</v>
      </c>
      <c r="T58" s="2687"/>
      <c r="U58" s="1839">
        <v>2.9000000000000057</v>
      </c>
      <c r="V58" s="2687"/>
      <c r="W58" s="1839">
        <f t="shared" si="3"/>
        <v>6.6999999999999957</v>
      </c>
      <c r="X58" s="2687"/>
      <c r="Y58" s="1839"/>
      <c r="Z58" s="2687"/>
      <c r="AA58" s="1839"/>
      <c r="AB58" s="2049"/>
      <c r="AC58" s="2093"/>
      <c r="AD58" s="1856">
        <v>54.4</v>
      </c>
      <c r="AE58" s="3322"/>
      <c r="AF58" s="2030"/>
      <c r="AG58" s="1856">
        <v>14.6</v>
      </c>
      <c r="AH58" s="2048"/>
      <c r="AI58" s="2695"/>
      <c r="AJ58" s="2049">
        <f t="shared" si="4"/>
        <v>39.799999999999997</v>
      </c>
      <c r="AK58" s="2688"/>
      <c r="AL58" s="2255">
        <f>ROUND(IF(AG58=0,0,AJ58/ABS(AG58)),3)</f>
        <v>2.726</v>
      </c>
      <c r="AM58" s="2645"/>
      <c r="AN58" s="2645"/>
    </row>
    <row r="59" spans="1:41" ht="15.75">
      <c r="A59" s="2098"/>
      <c r="B59" s="2547" t="s">
        <v>1064</v>
      </c>
      <c r="C59" s="2530"/>
      <c r="D59" s="2098"/>
      <c r="E59" s="2054">
        <v>4.1999999999999993</v>
      </c>
      <c r="F59" s="2053"/>
      <c r="G59" s="2054">
        <v>0</v>
      </c>
      <c r="H59" s="2054"/>
      <c r="I59" s="2054">
        <v>0</v>
      </c>
      <c r="J59" s="2054"/>
      <c r="K59" s="2054">
        <v>0</v>
      </c>
      <c r="L59" s="2687"/>
      <c r="M59" s="2054">
        <v>0</v>
      </c>
      <c r="N59" s="2687"/>
      <c r="O59" s="2054">
        <v>0</v>
      </c>
      <c r="P59" s="2687"/>
      <c r="Q59" s="1839">
        <v>0.10000000000000053</v>
      </c>
      <c r="R59" s="2687"/>
      <c r="S59" s="1839">
        <v>0.19999999999999929</v>
      </c>
      <c r="T59" s="2687"/>
      <c r="U59" s="1839">
        <v>0.10000000000000053</v>
      </c>
      <c r="V59" s="2687"/>
      <c r="W59" s="1839">
        <f t="shared" si="3"/>
        <v>0</v>
      </c>
      <c r="X59" s="2687"/>
      <c r="Y59" s="1839"/>
      <c r="Z59" s="2687"/>
      <c r="AA59" s="1839"/>
      <c r="AB59" s="2049"/>
      <c r="AC59" s="2093"/>
      <c r="AD59" s="1856">
        <v>4.5999999999999996</v>
      </c>
      <c r="AE59" s="3322"/>
      <c r="AF59" s="2030"/>
      <c r="AG59" s="1856">
        <v>2.2000000000000002</v>
      </c>
      <c r="AH59" s="2048"/>
      <c r="AI59" s="2695"/>
      <c r="AJ59" s="2049">
        <f t="shared" si="4"/>
        <v>2.4</v>
      </c>
      <c r="AK59" s="2688"/>
      <c r="AL59" s="1844">
        <f>ROUND(IF(AG59=0,1,AJ59/ABS(AG59)),3)</f>
        <v>1.091</v>
      </c>
      <c r="AM59" s="2645"/>
      <c r="AN59" s="2709"/>
    </row>
    <row r="60" spans="1:41" s="2701" customFormat="1" ht="15.75" collapsed="1">
      <c r="A60" s="2488"/>
      <c r="B60" s="2534" t="s">
        <v>1201</v>
      </c>
      <c r="C60" s="2488"/>
      <c r="D60" s="2488"/>
      <c r="E60" s="1497">
        <f>ROUND(SUM(E34:E59),1)</f>
        <v>304.10000000000002</v>
      </c>
      <c r="F60" s="2104"/>
      <c r="G60" s="1497">
        <f>ROUND(SUM(G34:G59),1)</f>
        <v>92.9</v>
      </c>
      <c r="H60" s="2710"/>
      <c r="I60" s="1497">
        <f>ROUND(SUM(I34:I59),1)</f>
        <v>253.5</v>
      </c>
      <c r="J60" s="2104"/>
      <c r="K60" s="1497">
        <f>ROUND(SUM(K34:K59),1)</f>
        <v>245.2</v>
      </c>
      <c r="L60" s="1480"/>
      <c r="M60" s="1497">
        <f>ROUND(SUM(M34:M59),1)</f>
        <v>179.5</v>
      </c>
      <c r="N60" s="1480"/>
      <c r="O60" s="1497">
        <f>ROUND(SUM(O34:O59),1)</f>
        <v>581.5</v>
      </c>
      <c r="P60" s="2060"/>
      <c r="Q60" s="1497">
        <f>ROUND(SUM(Q34:Q59),1)</f>
        <v>1702.4</v>
      </c>
      <c r="R60" s="2060"/>
      <c r="S60" s="1497">
        <f>ROUND(SUM(S34:S59),1)</f>
        <v>128.69999999999999</v>
      </c>
      <c r="T60" s="2060"/>
      <c r="U60" s="1497">
        <f>ROUND(SUM(U34:U59),1)</f>
        <v>404.1</v>
      </c>
      <c r="V60" s="2049"/>
      <c r="W60" s="1497">
        <f>ROUND(SUM(W34:W59),1)</f>
        <v>619.4</v>
      </c>
      <c r="X60" s="2049"/>
      <c r="Y60" s="1497">
        <f>ROUND(SUM(Y34:Y59),1)</f>
        <v>0</v>
      </c>
      <c r="Z60" s="2049"/>
      <c r="AA60" s="1497">
        <f>ROUND(SUM(AA34:AA59),1)</f>
        <v>0</v>
      </c>
      <c r="AB60" s="2104"/>
      <c r="AC60" s="2618"/>
      <c r="AD60" s="1497">
        <f>ROUND(SUM(AD34:AD59),1)</f>
        <v>4511.3</v>
      </c>
      <c r="AE60" s="3331"/>
      <c r="AF60" s="1499"/>
      <c r="AG60" s="1497">
        <f>ROUND(SUM(AG34:AG59),1)</f>
        <v>4726.8999999999996</v>
      </c>
      <c r="AH60" s="2699"/>
      <c r="AI60" s="2695"/>
      <c r="AJ60" s="1497">
        <f>ROUND(SUM(AJ34:AJ59),1)</f>
        <v>-215.6</v>
      </c>
      <c r="AK60" s="2711"/>
      <c r="AL60" s="2256">
        <f>ROUND(IF(AG60=0,0,AJ60/ABS(AG60)),3)</f>
        <v>-4.5999999999999999E-2</v>
      </c>
      <c r="AM60" s="2712"/>
      <c r="AN60" s="2712"/>
    </row>
    <row r="61" spans="1:41" s="2701" customFormat="1" ht="15.75">
      <c r="A61" s="2488"/>
      <c r="B61" s="2534"/>
      <c r="C61" s="2488"/>
      <c r="D61" s="2488"/>
      <c r="E61" s="1499"/>
      <c r="F61" s="2104"/>
      <c r="G61" s="1499"/>
      <c r="H61" s="2710"/>
      <c r="I61" s="1499"/>
      <c r="J61" s="2104"/>
      <c r="K61" s="1499"/>
      <c r="L61" s="2687"/>
      <c r="M61" s="1839"/>
      <c r="N61" s="2687"/>
      <c r="O61" s="1839"/>
      <c r="P61" s="2687"/>
      <c r="Q61" s="1839"/>
      <c r="R61" s="2687"/>
      <c r="S61" s="1839"/>
      <c r="T61" s="2687"/>
      <c r="U61" s="1839"/>
      <c r="V61" s="2687"/>
      <c r="W61" s="1839"/>
      <c r="X61" s="2687"/>
      <c r="Y61" s="1839"/>
      <c r="Z61" s="2687"/>
      <c r="AA61" s="1839"/>
      <c r="AB61" s="2104"/>
      <c r="AC61" s="2618"/>
      <c r="AD61" s="1499"/>
      <c r="AE61" s="3332"/>
      <c r="AF61" s="1499"/>
      <c r="AG61" s="1499"/>
      <c r="AH61" s="2699"/>
      <c r="AI61" s="2695"/>
      <c r="AJ61" s="1499"/>
      <c r="AK61" s="2711"/>
      <c r="AL61" s="2713"/>
      <c r="AM61" s="2712"/>
      <c r="AN61" s="2712"/>
    </row>
    <row r="62" spans="1:41" ht="15.75">
      <c r="A62" s="2098"/>
      <c r="B62" s="2098" t="s">
        <v>150</v>
      </c>
      <c r="C62" s="2098"/>
      <c r="D62" s="2098"/>
      <c r="E62" s="2054">
        <v>0</v>
      </c>
      <c r="F62" s="2054"/>
      <c r="G62" s="2054">
        <v>0</v>
      </c>
      <c r="H62" s="2054"/>
      <c r="I62" s="2054">
        <v>0</v>
      </c>
      <c r="J62" s="2054"/>
      <c r="K62" s="2054">
        <v>0</v>
      </c>
      <c r="L62" s="2687"/>
      <c r="M62" s="2054">
        <v>0</v>
      </c>
      <c r="N62" s="2687"/>
      <c r="O62" s="2054">
        <v>2.2999999999999998</v>
      </c>
      <c r="P62" s="2687"/>
      <c r="Q62" s="1839">
        <v>0</v>
      </c>
      <c r="R62" s="2687"/>
      <c r="S62" s="1839">
        <v>0</v>
      </c>
      <c r="T62" s="2687"/>
      <c r="U62" s="1839">
        <v>0</v>
      </c>
      <c r="V62" s="2687"/>
      <c r="W62" s="1839">
        <f t="shared" ref="W62" si="5">$AD62-$E62-$G62-$I62-$K62-$M62-$O62-$Q62-$S62-$U62</f>
        <v>0</v>
      </c>
      <c r="X62" s="2687"/>
      <c r="Y62" s="1839"/>
      <c r="Z62" s="2687"/>
      <c r="AA62" s="1839"/>
      <c r="AB62" s="2049"/>
      <c r="AC62" s="2093"/>
      <c r="AD62" s="2054">
        <v>2.2999999999999998</v>
      </c>
      <c r="AE62" s="3319"/>
      <c r="AF62" s="2030"/>
      <c r="AG62" s="2054">
        <v>2.5</v>
      </c>
      <c r="AH62" s="2048"/>
      <c r="AI62" s="2680"/>
      <c r="AJ62" s="2049">
        <f>ROUND(AD62-AG62,1)</f>
        <v>-0.2</v>
      </c>
      <c r="AK62" s="2688"/>
      <c r="AL62" s="1699">
        <f>ROUND(IF(AG62=0,0,AJ62/ABS(AG62)),3)</f>
        <v>-0.08</v>
      </c>
      <c r="AM62" s="2645"/>
      <c r="AN62" s="2645"/>
    </row>
    <row r="63" spans="1:41" ht="15.75">
      <c r="A63" s="2098"/>
      <c r="B63" s="2098"/>
      <c r="C63" s="2098"/>
      <c r="D63" s="2098"/>
      <c r="E63" s="2556"/>
      <c r="F63" s="2054"/>
      <c r="G63" s="2556"/>
      <c r="H63" s="2054"/>
      <c r="I63" s="2556"/>
      <c r="J63" s="2054"/>
      <c r="K63" s="2714"/>
      <c r="L63" s="2687"/>
      <c r="M63" s="2715"/>
      <c r="N63" s="2716"/>
      <c r="O63" s="2715"/>
      <c r="P63" s="2716"/>
      <c r="Q63" s="2715"/>
      <c r="R63" s="2716"/>
      <c r="S63" s="2715"/>
      <c r="T63" s="2716"/>
      <c r="U63" s="2715"/>
      <c r="V63" s="2716"/>
      <c r="W63" s="2715"/>
      <c r="X63" s="2716"/>
      <c r="Y63" s="2715"/>
      <c r="Z63" s="2716"/>
      <c r="AA63" s="2715"/>
      <c r="AB63" s="2049"/>
      <c r="AC63" s="2093"/>
      <c r="AD63" s="2105"/>
      <c r="AE63" s="3319"/>
      <c r="AF63" s="2030"/>
      <c r="AG63" s="2105"/>
      <c r="AH63" s="2030"/>
      <c r="AI63" s="2680"/>
      <c r="AJ63" s="2105"/>
      <c r="AK63" s="2678"/>
      <c r="AL63" s="2229"/>
      <c r="AM63" s="2645"/>
      <c r="AN63" s="2645"/>
    </row>
    <row r="64" spans="1:41" ht="15.75">
      <c r="A64" s="2098"/>
      <c r="B64" s="2488" t="s">
        <v>197</v>
      </c>
      <c r="C64" s="2098"/>
      <c r="D64" s="2098"/>
      <c r="E64" s="2108">
        <f>ROUND(SUM(E32+E60+E62),1)</f>
        <v>417.8</v>
      </c>
      <c r="F64" s="2104"/>
      <c r="G64" s="2717">
        <f>ROUND(SUM(G32+G60+G62),1)</f>
        <v>194.3</v>
      </c>
      <c r="H64" s="2104"/>
      <c r="I64" s="2717">
        <f>ROUND(SUM(I32+I60+I62),1)</f>
        <v>391.6</v>
      </c>
      <c r="J64" s="2104"/>
      <c r="K64" s="2717">
        <f>ROUND(SUM(K32+K60+K62),1)</f>
        <v>354.6</v>
      </c>
      <c r="L64" s="1498"/>
      <c r="M64" s="1606">
        <f>ROUND(SUM(M32+M60+M62),1)</f>
        <v>300</v>
      </c>
      <c r="N64" s="1499"/>
      <c r="O64" s="1606">
        <f>ROUND(SUM(O32+O60+O62),1)</f>
        <v>734.4</v>
      </c>
      <c r="P64" s="1499"/>
      <c r="Q64" s="1606">
        <f>ROUND(SUM(Q32+Q60+Q62),1)</f>
        <v>1819</v>
      </c>
      <c r="R64" s="1499"/>
      <c r="S64" s="1606">
        <f>ROUND(SUM(S32+S60+S62),1)</f>
        <v>236.8</v>
      </c>
      <c r="T64" s="1499"/>
      <c r="U64" s="1606">
        <f>ROUND(SUM(U32+U60+U62),1)</f>
        <v>536</v>
      </c>
      <c r="V64" s="1499"/>
      <c r="W64" s="1606">
        <f>ROUND(SUM(W32+W60+W62),1)</f>
        <v>731.9</v>
      </c>
      <c r="X64" s="1499"/>
      <c r="Y64" s="1606">
        <f>ROUND(SUM(Y32+Y60+Y62),1)</f>
        <v>0</v>
      </c>
      <c r="Z64" s="1499"/>
      <c r="AA64" s="1606">
        <f>ROUND(SUM(AA32+AA60+AA62),1)</f>
        <v>0</v>
      </c>
      <c r="AB64" s="2104"/>
      <c r="AC64" s="2618"/>
      <c r="AD64" s="1606">
        <f>ROUND(SUM(AD32+AD60+AD62),1)</f>
        <v>5716.4</v>
      </c>
      <c r="AE64" s="3331"/>
      <c r="AF64" s="1499"/>
      <c r="AG64" s="1606">
        <f>ROUND(SUM(AG32+AG60+AG62),1)</f>
        <v>5930.6</v>
      </c>
      <c r="AH64" s="2699"/>
      <c r="AI64" s="2680"/>
      <c r="AJ64" s="1606">
        <f>ROUND(SUM(AJ32+AJ60+AJ62),1)</f>
        <v>-214.2</v>
      </c>
      <c r="AK64" s="2718"/>
      <c r="AL64" s="2719">
        <f>ROUND(IF(AG64=0,0,AJ64/ABS(AG64)),3)</f>
        <v>-3.5999999999999997E-2</v>
      </c>
      <c r="AM64" s="2712"/>
      <c r="AN64" s="2645"/>
      <c r="AO64" s="2720"/>
    </row>
    <row r="65" spans="1:41" ht="15.75">
      <c r="A65" s="2098"/>
      <c r="B65" s="2098"/>
      <c r="C65" s="2098"/>
      <c r="D65" s="2098"/>
      <c r="E65" s="2095"/>
      <c r="F65" s="2054"/>
      <c r="G65" s="2556"/>
      <c r="H65" s="2054"/>
      <c r="I65" s="2556"/>
      <c r="J65" s="2054"/>
      <c r="K65" s="2556"/>
      <c r="L65" s="2687"/>
      <c r="M65" s="1839"/>
      <c r="N65" s="2687"/>
      <c r="O65" s="1839"/>
      <c r="P65" s="2687"/>
      <c r="Q65" s="1839"/>
      <c r="R65" s="2687"/>
      <c r="S65" s="1839"/>
      <c r="T65" s="2687"/>
      <c r="U65" s="1839"/>
      <c r="V65" s="2687"/>
      <c r="W65" s="1839"/>
      <c r="X65" s="2687"/>
      <c r="Y65" s="1839"/>
      <c r="Z65" s="2687"/>
      <c r="AA65" s="1839"/>
      <c r="AB65" s="2241"/>
      <c r="AC65" s="2030"/>
      <c r="AD65" s="2105"/>
      <c r="AE65" s="2241"/>
      <c r="AF65" s="2030"/>
      <c r="AG65" s="2105"/>
      <c r="AH65" s="2030"/>
      <c r="AI65" s="2680"/>
      <c r="AJ65" s="2681"/>
      <c r="AK65" s="2678"/>
      <c r="AL65" s="1848"/>
      <c r="AM65" s="2645"/>
      <c r="AN65" s="2645"/>
    </row>
    <row r="66" spans="1:41" ht="15.75">
      <c r="A66" s="2098"/>
      <c r="B66" s="2488" t="s">
        <v>23</v>
      </c>
      <c r="C66" s="2098"/>
      <c r="D66" s="2098"/>
      <c r="E66" s="2054"/>
      <c r="F66" s="2054"/>
      <c r="G66" s="2054"/>
      <c r="H66" s="2054"/>
      <c r="I66" s="2054"/>
      <c r="J66" s="2054"/>
      <c r="K66" s="2054"/>
      <c r="L66" s="2687"/>
      <c r="M66" s="1839"/>
      <c r="N66" s="2687"/>
      <c r="O66" s="1839"/>
      <c r="P66" s="2687"/>
      <c r="Q66" s="1839"/>
      <c r="R66" s="2687"/>
      <c r="S66" s="1839"/>
      <c r="T66" s="2687"/>
      <c r="U66" s="1839"/>
      <c r="V66" s="2687"/>
      <c r="W66" s="1839"/>
      <c r="X66" s="2687"/>
      <c r="Y66" s="1839"/>
      <c r="Z66" s="2687"/>
      <c r="AA66" s="1839"/>
      <c r="AB66" s="2241"/>
      <c r="AC66" s="2030"/>
      <c r="AD66" s="2049"/>
      <c r="AE66" s="2241"/>
      <c r="AF66" s="2030"/>
      <c r="AG66" s="2049"/>
      <c r="AH66" s="2049"/>
      <c r="AI66" s="2680"/>
      <c r="AJ66" s="2681"/>
      <c r="AK66" s="2678"/>
      <c r="AL66" s="1848"/>
      <c r="AM66" s="2645"/>
      <c r="AN66" s="2645"/>
    </row>
    <row r="67" spans="1:41" ht="15.75">
      <c r="A67" s="2098"/>
      <c r="B67" s="2098" t="s">
        <v>152</v>
      </c>
      <c r="C67" s="2098"/>
      <c r="D67" s="2098"/>
      <c r="E67" s="2054"/>
      <c r="F67" s="2054"/>
      <c r="G67" s="2054"/>
      <c r="H67" s="2054"/>
      <c r="I67" s="2054"/>
      <c r="J67" s="2054"/>
      <c r="K67" s="2054"/>
      <c r="L67" s="2687"/>
      <c r="M67" s="1839"/>
      <c r="N67" s="2687"/>
      <c r="O67" s="1839"/>
      <c r="P67" s="2687"/>
      <c r="Q67" s="1839"/>
      <c r="R67" s="2687"/>
      <c r="S67" s="1839"/>
      <c r="T67" s="2687"/>
      <c r="U67" s="1839"/>
      <c r="V67" s="2687"/>
      <c r="W67" s="1839"/>
      <c r="X67" s="2687"/>
      <c r="Y67" s="1839"/>
      <c r="Z67" s="2687"/>
      <c r="AA67" s="1839"/>
      <c r="AB67" s="2049"/>
      <c r="AC67" s="2093"/>
      <c r="AD67" s="2049"/>
      <c r="AE67" s="3319"/>
      <c r="AF67" s="2030"/>
      <c r="AG67" s="2049"/>
      <c r="AH67" s="2049"/>
      <c r="AI67" s="2680"/>
      <c r="AJ67" s="2681"/>
      <c r="AK67" s="2678"/>
      <c r="AL67" s="1848"/>
      <c r="AM67" s="2645"/>
      <c r="AN67" s="2645"/>
    </row>
    <row r="68" spans="1:41" ht="15.75">
      <c r="A68" s="2098"/>
      <c r="B68" s="2098" t="s">
        <v>25</v>
      </c>
      <c r="C68" s="2098"/>
      <c r="D68" s="2098"/>
      <c r="E68" s="2054">
        <v>9.1999999999999993</v>
      </c>
      <c r="F68" s="2054"/>
      <c r="G68" s="2054">
        <v>3.2000000000000011</v>
      </c>
      <c r="H68" s="2054"/>
      <c r="I68" s="2054">
        <v>10.299999999999999</v>
      </c>
      <c r="J68" s="2054"/>
      <c r="K68" s="2054">
        <v>10.700000000000001</v>
      </c>
      <c r="L68" s="2687"/>
      <c r="M68" s="2054">
        <v>12.000000000000002</v>
      </c>
      <c r="N68" s="2687"/>
      <c r="O68" s="2054">
        <v>42.399999999999991</v>
      </c>
      <c r="P68" s="2687"/>
      <c r="Q68" s="1839">
        <v>14.400000000000006</v>
      </c>
      <c r="R68" s="2687"/>
      <c r="S68" s="1839">
        <v>18.200000000000003</v>
      </c>
      <c r="T68" s="2687"/>
      <c r="U68" s="1839">
        <v>24.900000000000006</v>
      </c>
      <c r="V68" s="2687"/>
      <c r="W68" s="1839">
        <f t="shared" ref="W68:W77" si="6">$AD68-$E68-$G68-$I68-$K68-$M68-$O68-$Q68-$S68-$U68</f>
        <v>19.900000000000006</v>
      </c>
      <c r="X68" s="2687"/>
      <c r="Y68" s="1839"/>
      <c r="Z68" s="2687"/>
      <c r="AA68" s="1839"/>
      <c r="AB68" s="2049"/>
      <c r="AC68" s="2093"/>
      <c r="AD68" s="2054">
        <v>165.2</v>
      </c>
      <c r="AE68" s="3319"/>
      <c r="AF68" s="2030"/>
      <c r="AG68" s="2054">
        <v>128.9</v>
      </c>
      <c r="AH68" s="2048"/>
      <c r="AI68" s="2695"/>
      <c r="AJ68" s="2049">
        <f t="shared" ref="AJ68:AJ77" si="7">ROUND(AD68-AG68,1)</f>
        <v>36.299999999999997</v>
      </c>
      <c r="AK68" s="2688"/>
      <c r="AL68" s="1929">
        <f>ROUND(IF(AG68=0,1,AJ68/ABS(AG68)),3)</f>
        <v>0.28199999999999997</v>
      </c>
      <c r="AM68" s="2645"/>
      <c r="AN68" s="2645"/>
    </row>
    <row r="69" spans="1:41" ht="15.75">
      <c r="A69" s="2098"/>
      <c r="B69" s="2098" t="s">
        <v>26</v>
      </c>
      <c r="C69" s="2098"/>
      <c r="D69" s="2098"/>
      <c r="E69" s="2054">
        <v>25.1</v>
      </c>
      <c r="F69" s="2054"/>
      <c r="G69" s="2054">
        <v>33.5</v>
      </c>
      <c r="H69" s="2054"/>
      <c r="I69" s="2054">
        <v>2.1000000000000014</v>
      </c>
      <c r="J69" s="2054"/>
      <c r="K69" s="2054">
        <v>15</v>
      </c>
      <c r="L69" s="2687"/>
      <c r="M69" s="2054">
        <v>13.999999999999993</v>
      </c>
      <c r="N69" s="2687"/>
      <c r="O69" s="2054">
        <v>17.599999999999994</v>
      </c>
      <c r="P69" s="2687"/>
      <c r="Q69" s="1839">
        <v>14.800000000000011</v>
      </c>
      <c r="R69" s="2687"/>
      <c r="S69" s="1839">
        <v>11.900000000000013</v>
      </c>
      <c r="T69" s="2687"/>
      <c r="U69" s="1839">
        <v>13.300000000000011</v>
      </c>
      <c r="V69" s="2687"/>
      <c r="W69" s="1839">
        <f t="shared" si="6"/>
        <v>61.599999999999994</v>
      </c>
      <c r="X69" s="2687"/>
      <c r="Y69" s="1839"/>
      <c r="Z69" s="2687"/>
      <c r="AA69" s="1839"/>
      <c r="AB69" s="2049"/>
      <c r="AC69" s="2093"/>
      <c r="AD69" s="2054">
        <v>208.9</v>
      </c>
      <c r="AE69" s="3319"/>
      <c r="AF69" s="2030"/>
      <c r="AG69" s="2054">
        <v>195.1</v>
      </c>
      <c r="AH69" s="2048"/>
      <c r="AI69" s="2695"/>
      <c r="AJ69" s="2049">
        <f t="shared" si="7"/>
        <v>13.8</v>
      </c>
      <c r="AK69" s="2688"/>
      <c r="AL69" s="1699">
        <f>ROUND(IF(AG69=0,0,AJ69/ABS(AG69)),3)</f>
        <v>7.0999999999999994E-2</v>
      </c>
      <c r="AM69" s="2645"/>
      <c r="AN69" s="2645"/>
    </row>
    <row r="70" spans="1:41" ht="15.75">
      <c r="A70" s="2098"/>
      <c r="B70" s="2098" t="s">
        <v>27</v>
      </c>
      <c r="C70" s="2098"/>
      <c r="D70" s="2098"/>
      <c r="E70" s="2054">
        <v>31.2</v>
      </c>
      <c r="F70" s="2054"/>
      <c r="G70" s="2054">
        <v>121.8</v>
      </c>
      <c r="H70" s="2054"/>
      <c r="I70" s="2054">
        <v>149</v>
      </c>
      <c r="J70" s="2054"/>
      <c r="K70" s="2054">
        <v>39.399999999999977</v>
      </c>
      <c r="L70" s="2687"/>
      <c r="M70" s="2054">
        <v>17.800000000000011</v>
      </c>
      <c r="N70" s="2687"/>
      <c r="O70" s="2054">
        <v>59.100000000000023</v>
      </c>
      <c r="P70" s="2687"/>
      <c r="Q70" s="1839">
        <v>128.39999999999998</v>
      </c>
      <c r="R70" s="2687"/>
      <c r="S70" s="1839">
        <v>18.599999999999909</v>
      </c>
      <c r="T70" s="2687"/>
      <c r="U70" s="1839">
        <v>140.60000000000008</v>
      </c>
      <c r="V70" s="2687"/>
      <c r="W70" s="1839">
        <f t="shared" si="6"/>
        <v>55.300000000000068</v>
      </c>
      <c r="X70" s="2687"/>
      <c r="Y70" s="1839"/>
      <c r="Z70" s="2687"/>
      <c r="AA70" s="1839"/>
      <c r="AB70" s="2049"/>
      <c r="AC70" s="2093"/>
      <c r="AD70" s="2054">
        <v>761.2</v>
      </c>
      <c r="AE70" s="3319"/>
      <c r="AF70" s="2030"/>
      <c r="AG70" s="2054">
        <v>807.9</v>
      </c>
      <c r="AH70" s="2048"/>
      <c r="AI70" s="2695"/>
      <c r="AJ70" s="2049">
        <f t="shared" si="7"/>
        <v>-46.7</v>
      </c>
      <c r="AK70" s="2688"/>
      <c r="AL70" s="1699">
        <f>ROUND(IF(AG70=0,0,AJ70/ABS(AG70)),3)</f>
        <v>-5.8000000000000003E-2</v>
      </c>
      <c r="AM70" s="2678"/>
      <c r="AN70" s="2645"/>
    </row>
    <row r="71" spans="1:41" ht="15.75">
      <c r="A71" s="2098"/>
      <c r="B71" s="2098" t="s">
        <v>28</v>
      </c>
      <c r="C71" s="2098"/>
      <c r="D71" s="2098"/>
      <c r="E71" s="2054" t="s">
        <v>15</v>
      </c>
      <c r="F71" s="2054"/>
      <c r="G71" s="2054"/>
      <c r="H71" s="2054"/>
      <c r="I71" s="2054"/>
      <c r="J71" s="2054"/>
      <c r="K71" s="2054"/>
      <c r="L71" s="2687"/>
      <c r="M71" s="2054"/>
      <c r="N71" s="2687"/>
      <c r="O71" s="2054"/>
      <c r="P71" s="2687"/>
      <c r="Q71" s="1839"/>
      <c r="R71" s="2687"/>
      <c r="S71" s="1839"/>
      <c r="T71" s="2687"/>
      <c r="U71" s="1839"/>
      <c r="V71" s="2687"/>
      <c r="W71" s="1839"/>
      <c r="X71" s="2687"/>
      <c r="Y71" s="1839"/>
      <c r="Z71" s="2687"/>
      <c r="AA71" s="1839"/>
      <c r="AB71" s="2049"/>
      <c r="AC71" s="2093"/>
      <c r="AD71" s="2054"/>
      <c r="AE71" s="3319"/>
      <c r="AF71" s="2030"/>
      <c r="AG71" s="2054"/>
      <c r="AH71" s="2049"/>
      <c r="AI71" s="2680"/>
      <c r="AJ71" s="2054"/>
      <c r="AK71" s="2688"/>
      <c r="AL71" s="1848"/>
      <c r="AM71" s="2678"/>
      <c r="AN71" s="2645"/>
    </row>
    <row r="72" spans="1:41" ht="15.75">
      <c r="A72" s="2098"/>
      <c r="B72" s="2098" t="s">
        <v>29</v>
      </c>
      <c r="C72" s="2488"/>
      <c r="D72" s="2098"/>
      <c r="E72" s="2054">
        <v>0</v>
      </c>
      <c r="F72" s="2054"/>
      <c r="G72" s="2054">
        <v>0</v>
      </c>
      <c r="H72" s="2054"/>
      <c r="I72" s="2054">
        <v>0</v>
      </c>
      <c r="J72" s="2054"/>
      <c r="K72" s="2054">
        <v>0</v>
      </c>
      <c r="L72" s="2687"/>
      <c r="M72" s="2054">
        <v>0</v>
      </c>
      <c r="N72" s="2687"/>
      <c r="O72" s="2054">
        <v>0</v>
      </c>
      <c r="P72" s="2687"/>
      <c r="Q72" s="1839">
        <v>0</v>
      </c>
      <c r="R72" s="2687"/>
      <c r="S72" s="1839">
        <v>0</v>
      </c>
      <c r="T72" s="2687"/>
      <c r="U72" s="1839">
        <v>0</v>
      </c>
      <c r="V72" s="2687"/>
      <c r="W72" s="1839">
        <f t="shared" si="6"/>
        <v>0</v>
      </c>
      <c r="X72" s="2687"/>
      <c r="Y72" s="1839"/>
      <c r="Z72" s="2687"/>
      <c r="AA72" s="1839"/>
      <c r="AB72" s="2049"/>
      <c r="AC72" s="2093"/>
      <c r="AD72" s="2054">
        <v>0</v>
      </c>
      <c r="AE72" s="3319"/>
      <c r="AF72" s="2030"/>
      <c r="AG72" s="2054">
        <v>0</v>
      </c>
      <c r="AH72" s="2049"/>
      <c r="AI72" s="2680"/>
      <c r="AJ72" s="2049">
        <f t="shared" si="7"/>
        <v>0</v>
      </c>
      <c r="AK72" s="2678"/>
      <c r="AL72" s="2255">
        <f>ROUND(IF(AG72=0,0,AJ72/ABS(AG72)),3)</f>
        <v>0</v>
      </c>
      <c r="AM72" s="2678"/>
      <c r="AN72" s="2645"/>
    </row>
    <row r="73" spans="1:41" ht="15.75">
      <c r="A73" s="2098"/>
      <c r="B73" s="2098" t="s">
        <v>30</v>
      </c>
      <c r="C73" s="2098"/>
      <c r="D73" s="2098"/>
      <c r="E73" s="2054">
        <v>30.8</v>
      </c>
      <c r="F73" s="2054"/>
      <c r="G73" s="2054">
        <v>41.600000000000009</v>
      </c>
      <c r="H73" s="2054"/>
      <c r="I73" s="2054">
        <v>20.599999999999994</v>
      </c>
      <c r="J73" s="2054"/>
      <c r="K73" s="2054">
        <v>75.59999999999998</v>
      </c>
      <c r="L73" s="2687"/>
      <c r="M73" s="2054">
        <v>17.700000000000017</v>
      </c>
      <c r="N73" s="2687"/>
      <c r="O73" s="2054">
        <v>19.399999999999963</v>
      </c>
      <c r="P73" s="2687"/>
      <c r="Q73" s="1839">
        <v>34.800000000000011</v>
      </c>
      <c r="R73" s="2687"/>
      <c r="S73" s="1839">
        <v>34.100000000000023</v>
      </c>
      <c r="T73" s="2687"/>
      <c r="U73" s="1839">
        <v>44.599999999999952</v>
      </c>
      <c r="V73" s="2687"/>
      <c r="W73" s="1839">
        <f t="shared" si="6"/>
        <v>88.399999999999991</v>
      </c>
      <c r="X73" s="2687"/>
      <c r="Y73" s="1839"/>
      <c r="Z73" s="2687"/>
      <c r="AA73" s="1839"/>
      <c r="AB73" s="2049"/>
      <c r="AC73" s="2093"/>
      <c r="AD73" s="2054">
        <v>407.59999999999997</v>
      </c>
      <c r="AE73" s="3319"/>
      <c r="AF73" s="2030"/>
      <c r="AG73" s="2054">
        <v>246.2</v>
      </c>
      <c r="AH73" s="2048"/>
      <c r="AI73" s="2695"/>
      <c r="AJ73" s="2049">
        <f t="shared" si="7"/>
        <v>161.4</v>
      </c>
      <c r="AK73" s="2688"/>
      <c r="AL73" s="1699">
        <f>ROUND(IF(AG73=0,0,AJ73/ABS(AG73)),3)</f>
        <v>0.65600000000000003</v>
      </c>
      <c r="AM73" s="2645"/>
      <c r="AN73" s="2645"/>
    </row>
    <row r="74" spans="1:41" ht="15.75">
      <c r="A74" s="2098"/>
      <c r="B74" s="2098" t="s">
        <v>31</v>
      </c>
      <c r="C74" s="2098"/>
      <c r="D74" s="2098"/>
      <c r="E74" s="2054">
        <v>10</v>
      </c>
      <c r="F74" s="2054"/>
      <c r="G74" s="2054">
        <v>-0.1</v>
      </c>
      <c r="H74" s="2054"/>
      <c r="I74" s="2054">
        <v>-10.8</v>
      </c>
      <c r="J74" s="2054"/>
      <c r="K74" s="2054">
        <v>0</v>
      </c>
      <c r="L74" s="2687"/>
      <c r="M74" s="2054">
        <v>0.30000000000000071</v>
      </c>
      <c r="N74" s="2687"/>
      <c r="O74" s="2054">
        <v>2</v>
      </c>
      <c r="P74" s="2687"/>
      <c r="Q74" s="1839">
        <v>1.1999999999999993</v>
      </c>
      <c r="R74" s="2687"/>
      <c r="S74" s="1839">
        <v>6.4</v>
      </c>
      <c r="T74" s="2687"/>
      <c r="U74" s="1839">
        <v>1.8000000000000007</v>
      </c>
      <c r="V74" s="2687"/>
      <c r="W74" s="1839">
        <f t="shared" si="6"/>
        <v>44.7</v>
      </c>
      <c r="X74" s="2687"/>
      <c r="Y74" s="1839"/>
      <c r="Z74" s="2687"/>
      <c r="AA74" s="1839"/>
      <c r="AB74" s="2049"/>
      <c r="AC74" s="2093"/>
      <c r="AD74" s="2054">
        <v>55.5</v>
      </c>
      <c r="AE74" s="3319"/>
      <c r="AF74" s="2030"/>
      <c r="AG74" s="2054">
        <v>26.2</v>
      </c>
      <c r="AH74" s="2048"/>
      <c r="AI74" s="2695"/>
      <c r="AJ74" s="2049">
        <f t="shared" si="7"/>
        <v>29.3</v>
      </c>
      <c r="AK74" s="2688"/>
      <c r="AL74" s="1779">
        <f>ROUND(IF(AG74=0,1,AJ74/ABS(AG74)),3)</f>
        <v>1.1180000000000001</v>
      </c>
      <c r="AM74" s="2678"/>
      <c r="AN74" s="2645"/>
    </row>
    <row r="75" spans="1:41" ht="15.75">
      <c r="A75" s="2098"/>
      <c r="B75" s="2098" t="s">
        <v>32</v>
      </c>
      <c r="C75" s="2098"/>
      <c r="D75" s="2098"/>
      <c r="E75" s="2054">
        <v>0</v>
      </c>
      <c r="F75" s="2054"/>
      <c r="G75" s="2054">
        <v>10.9</v>
      </c>
      <c r="H75" s="2054"/>
      <c r="I75" s="2054">
        <v>86.1</v>
      </c>
      <c r="J75" s="2054"/>
      <c r="K75" s="2054">
        <v>6</v>
      </c>
      <c r="L75" s="2687"/>
      <c r="M75" s="2054">
        <v>9.0999999999999943</v>
      </c>
      <c r="N75" s="2687"/>
      <c r="O75" s="2054">
        <v>42.800000000000011</v>
      </c>
      <c r="P75" s="2687"/>
      <c r="Q75" s="1839">
        <v>3.1999999999999886</v>
      </c>
      <c r="R75" s="2687"/>
      <c r="S75" s="1839">
        <v>83.1</v>
      </c>
      <c r="T75" s="2687"/>
      <c r="U75" s="1839">
        <v>13.300000000000011</v>
      </c>
      <c r="V75" s="2687"/>
      <c r="W75" s="1839">
        <f t="shared" si="6"/>
        <v>98.899999999999977</v>
      </c>
      <c r="X75" s="2687"/>
      <c r="Y75" s="1839"/>
      <c r="Z75" s="2687"/>
      <c r="AA75" s="1839"/>
      <c r="AB75" s="2049"/>
      <c r="AC75" s="2093"/>
      <c r="AD75" s="2054">
        <v>353.4</v>
      </c>
      <c r="AE75" s="3319"/>
      <c r="AF75" s="2030"/>
      <c r="AG75" s="2054">
        <v>260.5</v>
      </c>
      <c r="AH75" s="2049"/>
      <c r="AI75" s="2680"/>
      <c r="AJ75" s="2049">
        <f t="shared" si="7"/>
        <v>92.9</v>
      </c>
      <c r="AK75" s="2688"/>
      <c r="AL75" s="1774">
        <f>ROUND(IF(AG75=0,1,AJ75/ABS(AG75)),3)</f>
        <v>0.35699999999999998</v>
      </c>
      <c r="AM75" s="2678"/>
      <c r="AN75" s="2645"/>
    </row>
    <row r="76" spans="1:41" ht="15.75">
      <c r="A76" s="2098"/>
      <c r="B76" s="2098" t="s">
        <v>33</v>
      </c>
      <c r="C76" s="2488"/>
      <c r="D76" s="2098"/>
      <c r="E76" s="2054">
        <v>26.7</v>
      </c>
      <c r="F76" s="2054"/>
      <c r="G76" s="2054">
        <v>149.20000000000002</v>
      </c>
      <c r="H76" s="2054"/>
      <c r="I76" s="2054">
        <v>197.4</v>
      </c>
      <c r="J76" s="2054"/>
      <c r="K76" s="2054">
        <v>39.199999999999989</v>
      </c>
      <c r="L76" s="2687"/>
      <c r="M76" s="2054">
        <v>40.900000000000006</v>
      </c>
      <c r="N76" s="2687"/>
      <c r="O76" s="2054">
        <v>61.899999999999977</v>
      </c>
      <c r="P76" s="2687"/>
      <c r="Q76" s="1839">
        <v>37.999999999999886</v>
      </c>
      <c r="R76" s="2687"/>
      <c r="S76" s="1839">
        <v>43.800000000000068</v>
      </c>
      <c r="T76" s="2687"/>
      <c r="U76" s="1839">
        <v>102.60000000000005</v>
      </c>
      <c r="V76" s="2687"/>
      <c r="W76" s="1839">
        <f t="shared" si="6"/>
        <v>31.799999999999926</v>
      </c>
      <c r="X76" s="2687"/>
      <c r="Y76" s="1839"/>
      <c r="Z76" s="2687"/>
      <c r="AA76" s="1839"/>
      <c r="AB76" s="2049"/>
      <c r="AC76" s="2093"/>
      <c r="AD76" s="2054">
        <v>731.5</v>
      </c>
      <c r="AE76" s="3319"/>
      <c r="AF76" s="2030"/>
      <c r="AG76" s="2054">
        <v>848</v>
      </c>
      <c r="AH76" s="2049"/>
      <c r="AI76" s="2680"/>
      <c r="AJ76" s="2049">
        <f t="shared" si="7"/>
        <v>-116.5</v>
      </c>
      <c r="AK76" s="2678"/>
      <c r="AL76" s="1844">
        <f>ROUND(IF(AG76=0,0,AJ76/ABS(AG76)),3)</f>
        <v>-0.13700000000000001</v>
      </c>
      <c r="AM76" s="2678"/>
      <c r="AN76" s="2645"/>
    </row>
    <row r="77" spans="1:41" ht="15.75">
      <c r="A77" s="2098"/>
      <c r="B77" s="2098" t="s">
        <v>34</v>
      </c>
      <c r="C77" s="2098"/>
      <c r="D77" s="2098"/>
      <c r="E77" s="2054">
        <v>192.7</v>
      </c>
      <c r="F77" s="2054"/>
      <c r="G77" s="2054">
        <v>7.1</v>
      </c>
      <c r="H77" s="2054"/>
      <c r="I77" s="2054">
        <v>23.20000000000001</v>
      </c>
      <c r="J77" s="2054"/>
      <c r="K77" s="2054">
        <v>19.300000000000011</v>
      </c>
      <c r="L77" s="2687"/>
      <c r="M77" s="2054">
        <v>5.7999999999999829</v>
      </c>
      <c r="N77" s="2687"/>
      <c r="O77" s="2054">
        <v>476.30000000000007</v>
      </c>
      <c r="P77" s="2687"/>
      <c r="Q77" s="1839">
        <v>29.599999999999795</v>
      </c>
      <c r="R77" s="2687"/>
      <c r="S77" s="1839">
        <v>4.7999999999999545</v>
      </c>
      <c r="T77" s="2687"/>
      <c r="U77" s="1839">
        <v>222.5</v>
      </c>
      <c r="V77" s="2687"/>
      <c r="W77" s="1839">
        <f t="shared" si="6"/>
        <v>9.9000000000000909</v>
      </c>
      <c r="X77" s="2687"/>
      <c r="Y77" s="1839"/>
      <c r="Z77" s="2687"/>
      <c r="AA77" s="1839"/>
      <c r="AB77" s="2049"/>
      <c r="AC77" s="2093"/>
      <c r="AD77" s="2054">
        <v>991.2</v>
      </c>
      <c r="AE77" s="3319"/>
      <c r="AF77" s="2030"/>
      <c r="AG77" s="2054">
        <v>959.2</v>
      </c>
      <c r="AH77" s="2030"/>
      <c r="AI77" s="2680"/>
      <c r="AJ77" s="2049">
        <f t="shared" si="7"/>
        <v>32</v>
      </c>
      <c r="AK77" s="2688"/>
      <c r="AL77" s="2255">
        <f>ROUND(IF(AG77=0,0,AJ77/ABS(AG77)),3)</f>
        <v>3.3000000000000002E-2</v>
      </c>
      <c r="AM77" s="2678"/>
      <c r="AN77" s="2645"/>
    </row>
    <row r="78" spans="1:41" ht="15.75">
      <c r="A78" s="2098"/>
      <c r="B78" s="2488" t="s">
        <v>198</v>
      </c>
      <c r="C78" s="2098"/>
      <c r="D78" s="2098"/>
      <c r="E78" s="2230">
        <f>ROUND(SUM(E68:E77),1)</f>
        <v>325.7</v>
      </c>
      <c r="F78" s="2104"/>
      <c r="G78" s="2230">
        <f>ROUND(SUM(G68:G77),1)</f>
        <v>367.2</v>
      </c>
      <c r="H78" s="2104"/>
      <c r="I78" s="2230">
        <f>ROUND(SUM(I68:I77),1)</f>
        <v>477.9</v>
      </c>
      <c r="J78" s="1499"/>
      <c r="K78" s="2230">
        <f>ROUND(SUM(K68:K77),1)</f>
        <v>205.2</v>
      </c>
      <c r="L78" s="1498"/>
      <c r="M78" s="2070">
        <f>ROUND(SUM(M68:M77),1)</f>
        <v>117.6</v>
      </c>
      <c r="N78" s="1481"/>
      <c r="O78" s="2070">
        <f>ROUND(SUM(O68:O77),1)</f>
        <v>721.5</v>
      </c>
      <c r="P78" s="1498"/>
      <c r="Q78" s="2070">
        <f>ROUND(SUM(Q68:Q77),1)</f>
        <v>264.39999999999998</v>
      </c>
      <c r="R78" s="1498"/>
      <c r="S78" s="2070">
        <f>ROUND(SUM(S68:S77),1)</f>
        <v>220.9</v>
      </c>
      <c r="T78" s="1498"/>
      <c r="U78" s="2230">
        <f>ROUND(SUM(U68:U77),1)</f>
        <v>563.6</v>
      </c>
      <c r="V78" s="2104"/>
      <c r="W78" s="2230">
        <f>ROUND(SUM(W68:W77),1)</f>
        <v>410.5</v>
      </c>
      <c r="X78" s="2104"/>
      <c r="Y78" s="2230">
        <f>ROUND(SUM(Y68:Y77),1)</f>
        <v>0</v>
      </c>
      <c r="Z78" s="2104"/>
      <c r="AA78" s="2230">
        <f>ROUND(SUM(AA68:AA77),1)</f>
        <v>0</v>
      </c>
      <c r="AB78" s="2104"/>
      <c r="AC78" s="2618"/>
      <c r="AD78" s="2230">
        <f>ROUND(SUM(AD68:AD77),1)</f>
        <v>3674.5</v>
      </c>
      <c r="AE78" s="3331"/>
      <c r="AF78" s="1499"/>
      <c r="AG78" s="2230">
        <f>ROUND(SUM(AG68:AG77),1)</f>
        <v>3472</v>
      </c>
      <c r="AH78" s="1499"/>
      <c r="AI78" s="2680"/>
      <c r="AJ78" s="2230">
        <f>ROUND(SUM(AJ68:AJ77),1)</f>
        <v>202.5</v>
      </c>
      <c r="AK78" s="2721"/>
      <c r="AL78" s="2256">
        <f>ROUND(IF(AG78=0,0,AJ78/ABS(AG78)),3)</f>
        <v>5.8000000000000003E-2</v>
      </c>
      <c r="AM78" s="2645"/>
      <c r="AN78" s="2645"/>
      <c r="AO78" s="2720"/>
    </row>
    <row r="79" spans="1:41" ht="15.75">
      <c r="A79" s="2098"/>
      <c r="B79" s="2098" t="s">
        <v>199</v>
      </c>
      <c r="C79" s="2098"/>
      <c r="D79" s="2098"/>
      <c r="E79" s="2054"/>
      <c r="F79" s="2054"/>
      <c r="G79" s="2054"/>
      <c r="H79" s="2054"/>
      <c r="I79" s="2054"/>
      <c r="J79" s="2054"/>
      <c r="K79" s="2054"/>
      <c r="L79" s="2060"/>
      <c r="M79" s="2060"/>
      <c r="N79" s="2060"/>
      <c r="O79" s="2060"/>
      <c r="P79" s="2060"/>
      <c r="Q79" s="2060"/>
      <c r="R79" s="2060"/>
      <c r="S79" s="2060"/>
      <c r="T79" s="2060"/>
      <c r="U79" s="2049"/>
      <c r="V79" s="2049"/>
      <c r="W79" s="2049"/>
      <c r="X79" s="2049"/>
      <c r="Y79" s="2049"/>
      <c r="Z79" s="2049"/>
      <c r="AA79" s="2049"/>
      <c r="AB79" s="2049"/>
      <c r="AC79" s="2093"/>
      <c r="AD79" s="2049"/>
      <c r="AE79" s="3319"/>
      <c r="AF79" s="2030"/>
      <c r="AG79" s="2049"/>
      <c r="AH79" s="2049"/>
      <c r="AI79" s="2680"/>
      <c r="AJ79" s="2681"/>
      <c r="AK79" s="2678"/>
      <c r="AL79" s="1848"/>
      <c r="AM79" s="2645"/>
      <c r="AN79" s="2645"/>
    </row>
    <row r="80" spans="1:41" ht="15.75">
      <c r="A80" s="2098"/>
      <c r="B80" s="2098" t="s">
        <v>200</v>
      </c>
      <c r="C80" s="2098"/>
      <c r="D80" s="2098"/>
      <c r="E80" s="2054">
        <v>0</v>
      </c>
      <c r="F80" s="2054"/>
      <c r="G80" s="2054">
        <v>0</v>
      </c>
      <c r="H80" s="2054"/>
      <c r="I80" s="2054">
        <v>0</v>
      </c>
      <c r="J80" s="2054"/>
      <c r="K80" s="2054">
        <v>0</v>
      </c>
      <c r="L80" s="2687"/>
      <c r="M80" s="2054">
        <v>0</v>
      </c>
      <c r="N80" s="2687"/>
      <c r="O80" s="2054">
        <v>0</v>
      </c>
      <c r="P80" s="2687"/>
      <c r="Q80" s="1839">
        <v>0</v>
      </c>
      <c r="R80" s="2687"/>
      <c r="S80" s="1839">
        <v>0</v>
      </c>
      <c r="T80" s="2687"/>
      <c r="U80" s="1839">
        <v>0</v>
      </c>
      <c r="V80" s="2687"/>
      <c r="W80" s="1839">
        <f t="shared" ref="W80:W83" si="8">$AD80-$E80-$G80-$I80-$K80-$M80-$O80-$Q80-$S80-$U80</f>
        <v>0</v>
      </c>
      <c r="X80" s="2687"/>
      <c r="Y80" s="1839"/>
      <c r="Z80" s="2687"/>
      <c r="AA80" s="1839"/>
      <c r="AB80" s="2049"/>
      <c r="AC80" s="2093"/>
      <c r="AD80" s="2054">
        <v>0</v>
      </c>
      <c r="AE80" s="3319"/>
      <c r="AF80" s="2030"/>
      <c r="AG80" s="2054">
        <v>0</v>
      </c>
      <c r="AH80" s="2722"/>
      <c r="AI80" s="2723"/>
      <c r="AJ80" s="2049">
        <f>ROUND(AD80-AG80,1)</f>
        <v>0</v>
      </c>
      <c r="AK80" s="2678"/>
      <c r="AL80" s="1699">
        <f>ROUND(IF(AG80=0,0,AJ80/ABS(AG80)),3)</f>
        <v>0</v>
      </c>
      <c r="AM80" s="2645"/>
      <c r="AN80" s="2645"/>
    </row>
    <row r="81" spans="1:41" ht="15.75">
      <c r="A81" s="2098"/>
      <c r="B81" s="2098" t="s">
        <v>201</v>
      </c>
      <c r="C81" s="2098"/>
      <c r="D81" s="2098"/>
      <c r="E81" s="2054">
        <v>0</v>
      </c>
      <c r="F81" s="2054"/>
      <c r="G81" s="2054">
        <v>0</v>
      </c>
      <c r="H81" s="2054"/>
      <c r="I81" s="2054">
        <v>0</v>
      </c>
      <c r="J81" s="2054"/>
      <c r="K81" s="2054">
        <v>0</v>
      </c>
      <c r="L81" s="2687"/>
      <c r="M81" s="2054">
        <v>0</v>
      </c>
      <c r="N81" s="2687"/>
      <c r="O81" s="2054">
        <v>0</v>
      </c>
      <c r="P81" s="2687"/>
      <c r="Q81" s="1839">
        <v>0</v>
      </c>
      <c r="R81" s="2687"/>
      <c r="S81" s="1839">
        <v>0</v>
      </c>
      <c r="T81" s="2687"/>
      <c r="U81" s="1839">
        <v>0</v>
      </c>
      <c r="V81" s="2687"/>
      <c r="W81" s="1839">
        <f t="shared" si="8"/>
        <v>0</v>
      </c>
      <c r="X81" s="2687"/>
      <c r="Y81" s="1839"/>
      <c r="Z81" s="2687"/>
      <c r="AA81" s="1839"/>
      <c r="AB81" s="2049"/>
      <c r="AC81" s="2093"/>
      <c r="AD81" s="2054">
        <v>0</v>
      </c>
      <c r="AE81" s="3319"/>
      <c r="AF81" s="2030"/>
      <c r="AG81" s="2054">
        <v>0</v>
      </c>
      <c r="AH81" s="2722"/>
      <c r="AI81" s="2723"/>
      <c r="AJ81" s="2049">
        <f>ROUND(AD81-AG81,1)</f>
        <v>0</v>
      </c>
      <c r="AK81" s="2678"/>
      <c r="AL81" s="1699">
        <f>ROUND(IF(AG81=0,0,AJ81/ABS(AG81)),3)</f>
        <v>0</v>
      </c>
      <c r="AM81" s="2645"/>
      <c r="AN81" s="2645"/>
    </row>
    <row r="82" spans="1:41" ht="15.75">
      <c r="A82" s="2098"/>
      <c r="B82" s="2098" t="s">
        <v>202</v>
      </c>
      <c r="C82" s="2098"/>
      <c r="D82" s="2098"/>
      <c r="E82" s="2054">
        <v>0</v>
      </c>
      <c r="F82" s="2054"/>
      <c r="G82" s="2054">
        <v>0</v>
      </c>
      <c r="H82" s="2054"/>
      <c r="I82" s="2054">
        <v>0</v>
      </c>
      <c r="J82" s="2054"/>
      <c r="K82" s="2054">
        <v>0</v>
      </c>
      <c r="L82" s="2687"/>
      <c r="M82" s="2054">
        <v>0</v>
      </c>
      <c r="N82" s="2687"/>
      <c r="O82" s="2054">
        <v>0</v>
      </c>
      <c r="P82" s="2687"/>
      <c r="Q82" s="1839">
        <v>0</v>
      </c>
      <c r="R82" s="2687"/>
      <c r="S82" s="1839">
        <v>0</v>
      </c>
      <c r="T82" s="2687"/>
      <c r="U82" s="1839">
        <v>0</v>
      </c>
      <c r="V82" s="2687"/>
      <c r="W82" s="1839">
        <f t="shared" si="8"/>
        <v>0</v>
      </c>
      <c r="X82" s="2687"/>
      <c r="Y82" s="1839"/>
      <c r="Z82" s="2687"/>
      <c r="AA82" s="1839"/>
      <c r="AB82" s="2724"/>
      <c r="AC82" s="2725"/>
      <c r="AD82" s="2054">
        <v>0</v>
      </c>
      <c r="AE82" s="3319"/>
      <c r="AF82" s="2030"/>
      <c r="AG82" s="2054">
        <v>0</v>
      </c>
      <c r="AH82" s="2722"/>
      <c r="AI82" s="2723"/>
      <c r="AJ82" s="2049">
        <f>ROUND(AD82-AG82,1)</f>
        <v>0</v>
      </c>
      <c r="AK82" s="1501"/>
      <c r="AL82" s="1462">
        <f>ROUND(IF(AG82=0,0,AJ82/ABS(AG82)),3)</f>
        <v>0</v>
      </c>
    </row>
    <row r="83" spans="1:41" ht="15.75">
      <c r="A83" s="2098"/>
      <c r="B83" s="2562" t="s">
        <v>173</v>
      </c>
      <c r="C83" s="2098"/>
      <c r="D83" s="2098"/>
      <c r="E83" s="2054">
        <v>368.7</v>
      </c>
      <c r="F83" s="2054"/>
      <c r="G83" s="2054">
        <v>444.7</v>
      </c>
      <c r="H83" s="2054"/>
      <c r="I83" s="2054">
        <v>435.8</v>
      </c>
      <c r="J83" s="2054"/>
      <c r="K83" s="2054">
        <v>496.2999999999999</v>
      </c>
      <c r="L83" s="2687"/>
      <c r="M83" s="2054">
        <v>632</v>
      </c>
      <c r="N83" s="2687"/>
      <c r="O83" s="2054">
        <v>465.70000000000005</v>
      </c>
      <c r="P83" s="2687"/>
      <c r="Q83" s="1839">
        <v>590.5</v>
      </c>
      <c r="R83" s="2687"/>
      <c r="S83" s="1839">
        <v>582.80000000000041</v>
      </c>
      <c r="T83" s="2687"/>
      <c r="U83" s="1839">
        <v>480.80000000000018</v>
      </c>
      <c r="V83" s="2687"/>
      <c r="W83" s="1839">
        <f t="shared" si="8"/>
        <v>500.69999999999959</v>
      </c>
      <c r="X83" s="2687"/>
      <c r="Y83" s="1839"/>
      <c r="Z83" s="2687"/>
      <c r="AA83" s="1839"/>
      <c r="AB83" s="2049"/>
      <c r="AC83" s="2093"/>
      <c r="AD83" s="3333">
        <v>4998</v>
      </c>
      <c r="AE83" s="3319"/>
      <c r="AF83" s="2030"/>
      <c r="AG83" s="3333">
        <v>4877.6000000000004</v>
      </c>
      <c r="AH83" s="2726"/>
      <c r="AI83" s="2695"/>
      <c r="AJ83" s="2727">
        <f>ROUND(AD83-AG83,1)</f>
        <v>120.4</v>
      </c>
      <c r="AK83" s="1501"/>
      <c r="AL83" s="1463">
        <f>ROUND(IF(AG83=0,0,AJ83/ABS(AG83)),3)</f>
        <v>2.5000000000000001E-2</v>
      </c>
    </row>
    <row r="84" spans="1:41" ht="15.75">
      <c r="A84" s="2098"/>
      <c r="B84" s="2098"/>
      <c r="C84" s="2098"/>
      <c r="D84" s="2098"/>
      <c r="E84" s="2556"/>
      <c r="F84" s="2054"/>
      <c r="G84" s="2556"/>
      <c r="H84" s="2054"/>
      <c r="I84" s="2556"/>
      <c r="J84" s="2054"/>
      <c r="K84" s="2556"/>
      <c r="L84" s="2060"/>
      <c r="M84" s="2059"/>
      <c r="N84" s="2060"/>
      <c r="O84" s="2059"/>
      <c r="P84" s="2060"/>
      <c r="Q84" s="2059"/>
      <c r="R84" s="2060"/>
      <c r="S84" s="2059"/>
      <c r="T84" s="2060"/>
      <c r="U84" s="2059"/>
      <c r="V84" s="2060"/>
      <c r="W84" s="2059"/>
      <c r="X84" s="2060"/>
      <c r="Y84" s="2059"/>
      <c r="Z84" s="2060"/>
      <c r="AA84" s="2059"/>
      <c r="AB84" s="2049"/>
      <c r="AC84" s="2093"/>
      <c r="AD84" s="2681"/>
      <c r="AE84" s="3319"/>
      <c r="AF84" s="2030"/>
      <c r="AG84" s="2681"/>
      <c r="AH84" s="2681"/>
      <c r="AI84" s="2728"/>
      <c r="AJ84" s="2681"/>
      <c r="AK84" s="1501"/>
      <c r="AL84" s="2692"/>
    </row>
    <row r="85" spans="1:41" ht="15.75">
      <c r="A85" s="2098"/>
      <c r="B85" s="2488" t="s">
        <v>203</v>
      </c>
      <c r="C85" s="2098"/>
      <c r="D85" s="2098"/>
      <c r="E85" s="2104">
        <f>ROUND(SUM(E78:E83),1)</f>
        <v>694.4</v>
      </c>
      <c r="F85" s="2104"/>
      <c r="G85" s="2104">
        <f>ROUND(SUM(G78:G83),1)</f>
        <v>811.9</v>
      </c>
      <c r="H85" s="2104"/>
      <c r="I85" s="2104">
        <f>ROUND(SUM(I78:I83),1)</f>
        <v>913.7</v>
      </c>
      <c r="J85" s="2104"/>
      <c r="K85" s="2104">
        <f>ROUND(SUM(K78:K83),1)</f>
        <v>701.5</v>
      </c>
      <c r="L85" s="1498"/>
      <c r="M85" s="1498">
        <f>ROUND(SUM(M78:M83),1)</f>
        <v>749.6</v>
      </c>
      <c r="N85" s="1498"/>
      <c r="O85" s="1498">
        <f>ROUND(SUM(O78:O83),1)</f>
        <v>1187.2</v>
      </c>
      <c r="P85" s="1498"/>
      <c r="Q85" s="1498">
        <f>ROUND(SUM(Q78:Q83),1)</f>
        <v>854.9</v>
      </c>
      <c r="R85" s="1498"/>
      <c r="S85" s="1498">
        <f>ROUND(SUM(S78:S83),1)</f>
        <v>803.7</v>
      </c>
      <c r="T85" s="1498"/>
      <c r="U85" s="1498">
        <f>ROUND(SUM(U78:U83),1)</f>
        <v>1044.4000000000001</v>
      </c>
      <c r="V85" s="1498"/>
      <c r="W85" s="1498">
        <f>ROUND(SUM(W78:W83),1)</f>
        <v>911.2</v>
      </c>
      <c r="X85" s="1498"/>
      <c r="Y85" s="1498">
        <f>ROUND(SUM(Y78:Y83),1)</f>
        <v>0</v>
      </c>
      <c r="Z85" s="1498"/>
      <c r="AA85" s="1498">
        <f>ROUND(SUM(AA78:AA83),1)</f>
        <v>0</v>
      </c>
      <c r="AB85" s="2104"/>
      <c r="AC85" s="2618"/>
      <c r="AD85" s="2104">
        <f>ROUND(SUM(AD78:AD83),1)</f>
        <v>8672.5</v>
      </c>
      <c r="AE85" s="3331"/>
      <c r="AF85" s="1499"/>
      <c r="AG85" s="2104">
        <f>ROUND(SUM(AG78:AG83),1)</f>
        <v>8349.6</v>
      </c>
      <c r="AH85" s="1499"/>
      <c r="AI85" s="2680"/>
      <c r="AJ85" s="2108">
        <f>ROUND(AD85-AG85,1)</f>
        <v>322.89999999999998</v>
      </c>
      <c r="AK85" s="2700"/>
      <c r="AL85" s="1494">
        <f>ROUND(IF(AG85=0,0,AJ85/ABS(AG85)),3)</f>
        <v>3.9E-2</v>
      </c>
      <c r="AM85" s="2701"/>
      <c r="AN85" s="2701"/>
      <c r="AO85" s="2701"/>
    </row>
    <row r="86" spans="1:41" ht="15.75">
      <c r="A86" s="2098"/>
      <c r="B86" s="2098"/>
      <c r="C86" s="2098"/>
      <c r="D86" s="2098"/>
      <c r="E86" s="2556"/>
      <c r="F86" s="2054"/>
      <c r="G86" s="2556"/>
      <c r="H86" s="2054"/>
      <c r="I86" s="2556"/>
      <c r="J86" s="2054"/>
      <c r="K86" s="2556"/>
      <c r="L86" s="2060"/>
      <c r="M86" s="2059"/>
      <c r="N86" s="2060"/>
      <c r="O86" s="2059"/>
      <c r="P86" s="2060"/>
      <c r="Q86" s="2059"/>
      <c r="R86" s="2060"/>
      <c r="S86" s="2059"/>
      <c r="T86" s="2060"/>
      <c r="U86" s="2059"/>
      <c r="V86" s="2060"/>
      <c r="W86" s="2059"/>
      <c r="X86" s="2060"/>
      <c r="Y86" s="2059"/>
      <c r="Z86" s="2060"/>
      <c r="AA86" s="2059"/>
      <c r="AB86" s="2049"/>
      <c r="AC86" s="2093"/>
      <c r="AD86" s="2105"/>
      <c r="AE86" s="3319"/>
      <c r="AF86" s="2030"/>
      <c r="AG86" s="2105"/>
      <c r="AH86" s="2030"/>
      <c r="AI86" s="2680"/>
      <c r="AJ86" s="2681"/>
      <c r="AK86" s="1501"/>
      <c r="AL86" s="2692"/>
    </row>
    <row r="87" spans="1:41" ht="15.75">
      <c r="A87" s="2098"/>
      <c r="B87" s="2488" t="s">
        <v>204</v>
      </c>
      <c r="C87" s="2098"/>
      <c r="D87" s="2098"/>
      <c r="E87" s="2054"/>
      <c r="F87" s="2054"/>
      <c r="G87" s="2054"/>
      <c r="H87" s="2054"/>
      <c r="I87" s="2054"/>
      <c r="J87" s="2054"/>
      <c r="K87" s="2054"/>
      <c r="L87" s="2060"/>
      <c r="M87" s="2060"/>
      <c r="N87" s="2060"/>
      <c r="O87" s="2060"/>
      <c r="P87" s="2060"/>
      <c r="Q87" s="2060"/>
      <c r="R87" s="2060"/>
      <c r="S87" s="2060"/>
      <c r="T87" s="2060"/>
      <c r="U87" s="2060"/>
      <c r="V87" s="2060"/>
      <c r="W87" s="2060"/>
      <c r="X87" s="2060"/>
      <c r="Y87" s="2060"/>
      <c r="Z87" s="2060"/>
      <c r="AA87" s="2060"/>
      <c r="AB87" s="2049"/>
      <c r="AC87" s="2093"/>
      <c r="AD87" s="2681"/>
      <c r="AE87" s="3319"/>
      <c r="AF87" s="2030"/>
      <c r="AG87" s="2681"/>
      <c r="AH87" s="2681"/>
      <c r="AI87" s="2728"/>
      <c r="AJ87" s="2681"/>
      <c r="AK87" s="1501"/>
      <c r="AL87" s="2692"/>
    </row>
    <row r="88" spans="1:41" ht="15.75">
      <c r="A88" s="2098"/>
      <c r="B88" s="2488" t="s">
        <v>205</v>
      </c>
      <c r="C88" s="2098"/>
      <c r="D88" s="2098"/>
      <c r="E88" s="2104">
        <f>ROUND(SUM(E64-E85),1)</f>
        <v>-276.60000000000002</v>
      </c>
      <c r="F88" s="2104"/>
      <c r="G88" s="2104">
        <f>ROUND(SUM(G64-G85),1)</f>
        <v>-617.6</v>
      </c>
      <c r="H88" s="2104"/>
      <c r="I88" s="2104">
        <f>ROUND(SUM(I64-I85),1)</f>
        <v>-522.1</v>
      </c>
      <c r="J88" s="2104"/>
      <c r="K88" s="2104">
        <f>ROUND(SUM(K64-K85),1)</f>
        <v>-346.9</v>
      </c>
      <c r="L88" s="1498"/>
      <c r="M88" s="1498">
        <f>ROUND(SUM(M64-M85),1)</f>
        <v>-449.6</v>
      </c>
      <c r="N88" s="1498"/>
      <c r="O88" s="1498">
        <f>ROUND(SUM(O64-O85),1)</f>
        <v>-452.8</v>
      </c>
      <c r="P88" s="1498"/>
      <c r="Q88" s="1498">
        <f>ROUND(SUM(Q64-Q85),1)</f>
        <v>964.1</v>
      </c>
      <c r="R88" s="1498"/>
      <c r="S88" s="1498">
        <f>ROUND(SUM(S64-S85),1)</f>
        <v>-566.9</v>
      </c>
      <c r="T88" s="1498"/>
      <c r="U88" s="1498">
        <f>ROUND(SUM(U64-U85),1)</f>
        <v>-508.4</v>
      </c>
      <c r="V88" s="1498"/>
      <c r="W88" s="1498">
        <f>ROUND(SUM(W64-W85),1)</f>
        <v>-179.3</v>
      </c>
      <c r="X88" s="1498"/>
      <c r="Y88" s="1498">
        <f>ROUND(SUM(Y64-Y85),1)</f>
        <v>0</v>
      </c>
      <c r="Z88" s="1498"/>
      <c r="AA88" s="1498">
        <f>ROUND(SUM(AA64-AA85),1)</f>
        <v>0</v>
      </c>
      <c r="AB88" s="2104"/>
      <c r="AC88" s="2618"/>
      <c r="AD88" s="2104">
        <f>ROUND(SUM(AD64-AD85),1)</f>
        <v>-2956.1</v>
      </c>
      <c r="AE88" s="3331"/>
      <c r="AF88" s="1499"/>
      <c r="AG88" s="2104">
        <f>ROUND(SUM(AG64-AG85),1)</f>
        <v>-2419</v>
      </c>
      <c r="AH88" s="1499"/>
      <c r="AI88" s="2680"/>
      <c r="AJ88" s="2108">
        <f>ROUND(AD88-AG88,1)</f>
        <v>-537.1</v>
      </c>
      <c r="AK88" s="2700"/>
      <c r="AL88" s="1503">
        <f>ROUND(IF(AG88=0,0,AJ88/ABS(AG88)),3)</f>
        <v>-0.222</v>
      </c>
      <c r="AM88" s="2701"/>
      <c r="AN88" s="2729"/>
    </row>
    <row r="89" spans="1:41" ht="15.75">
      <c r="A89" s="2098"/>
      <c r="B89" s="2098"/>
      <c r="C89" s="2098"/>
      <c r="D89" s="2098"/>
      <c r="E89" s="2556"/>
      <c r="F89" s="2054"/>
      <c r="G89" s="2556"/>
      <c r="H89" s="2054"/>
      <c r="I89" s="2556"/>
      <c r="J89" s="2054"/>
      <c r="K89" s="2556"/>
      <c r="L89" s="2060"/>
      <c r="M89" s="2059"/>
      <c r="N89" s="2060"/>
      <c r="O89" s="2059"/>
      <c r="P89" s="2060"/>
      <c r="Q89" s="2059"/>
      <c r="R89" s="2060"/>
      <c r="S89" s="2059"/>
      <c r="T89" s="2060"/>
      <c r="U89" s="2059"/>
      <c r="V89" s="2060"/>
      <c r="W89" s="2059"/>
      <c r="X89" s="2060"/>
      <c r="Y89" s="2059"/>
      <c r="Z89" s="2060"/>
      <c r="AA89" s="2059"/>
      <c r="AB89" s="2049"/>
      <c r="AC89" s="2093"/>
      <c r="AD89" s="2105"/>
      <c r="AE89" s="3319"/>
      <c r="AF89" s="2030"/>
      <c r="AG89" s="2105"/>
      <c r="AH89" s="2030"/>
      <c r="AI89" s="2680"/>
      <c r="AJ89" s="2681"/>
      <c r="AK89" s="1501"/>
      <c r="AL89" s="2692"/>
    </row>
    <row r="90" spans="1:41" ht="15.75">
      <c r="A90" s="2098"/>
      <c r="B90" s="2488" t="s">
        <v>206</v>
      </c>
      <c r="C90" s="2098"/>
      <c r="D90" s="2098"/>
      <c r="E90" s="2054"/>
      <c r="F90" s="2054"/>
      <c r="G90" s="2054"/>
      <c r="H90" s="2054"/>
      <c r="I90" s="2054"/>
      <c r="J90" s="2054"/>
      <c r="K90" s="2054"/>
      <c r="L90" s="2060"/>
      <c r="M90" s="2060"/>
      <c r="N90" s="2060"/>
      <c r="O90" s="2060"/>
      <c r="P90" s="2060"/>
      <c r="Q90" s="2060"/>
      <c r="R90" s="2060"/>
      <c r="S90" s="2060"/>
      <c r="T90" s="2060"/>
      <c r="U90" s="2060"/>
      <c r="V90" s="2060"/>
      <c r="W90" s="2060"/>
      <c r="X90" s="2060"/>
      <c r="Y90" s="2060"/>
      <c r="Z90" s="2060"/>
      <c r="AA90" s="2060"/>
      <c r="AB90" s="2049"/>
      <c r="AC90" s="2093"/>
      <c r="AD90" s="2722"/>
      <c r="AE90" s="3319"/>
      <c r="AF90" s="2030"/>
      <c r="AG90" s="2722"/>
      <c r="AH90" s="2722"/>
      <c r="AI90" s="2723"/>
      <c r="AJ90" s="2681"/>
      <c r="AK90" s="1501"/>
      <c r="AL90" s="2692"/>
    </row>
    <row r="91" spans="1:41" ht="15.75">
      <c r="A91" s="2098"/>
      <c r="B91" s="2098" t="s">
        <v>207</v>
      </c>
      <c r="C91" s="2098"/>
      <c r="D91" s="2098"/>
      <c r="E91" s="2054">
        <v>0</v>
      </c>
      <c r="F91" s="2054"/>
      <c r="G91" s="2054">
        <v>0</v>
      </c>
      <c r="H91" s="2054"/>
      <c r="I91" s="2054">
        <v>0</v>
      </c>
      <c r="J91" s="2054"/>
      <c r="K91" s="2054">
        <v>0</v>
      </c>
      <c r="L91" s="2687"/>
      <c r="M91" s="2054">
        <v>0</v>
      </c>
      <c r="N91" s="2687"/>
      <c r="O91" s="2054">
        <v>0</v>
      </c>
      <c r="P91" s="2687"/>
      <c r="Q91" s="1839">
        <v>0</v>
      </c>
      <c r="R91" s="2687"/>
      <c r="S91" s="1839">
        <v>0</v>
      </c>
      <c r="T91" s="2687"/>
      <c r="U91" s="1839">
        <v>0</v>
      </c>
      <c r="V91" s="2687"/>
      <c r="W91" s="1839">
        <f t="shared" ref="W91:W93" si="9">$AD91-$E91-$G91-$I91-$K91-$M91-$O91-$Q91-$S91-$U91</f>
        <v>0</v>
      </c>
      <c r="X91" s="2687"/>
      <c r="Y91" s="1839"/>
      <c r="Z91" s="2687"/>
      <c r="AA91" s="1839"/>
      <c r="AB91" s="2049"/>
      <c r="AC91" s="2093"/>
      <c r="AD91" s="2054">
        <v>0</v>
      </c>
      <c r="AE91" s="3319"/>
      <c r="AF91" s="2030"/>
      <c r="AG91" s="2054">
        <v>0</v>
      </c>
      <c r="AH91" s="2722"/>
      <c r="AI91" s="2723"/>
      <c r="AJ91" s="2049">
        <f>ROUND(AD91-AG91,1)</f>
        <v>0</v>
      </c>
      <c r="AK91" s="2689"/>
      <c r="AL91" s="1475">
        <f>ROUND(IF(AG91=0,0,AJ91/ABS(AG91)),3)</f>
        <v>0</v>
      </c>
    </row>
    <row r="92" spans="1:41" ht="15.75">
      <c r="A92" s="2098"/>
      <c r="B92" s="2562" t="s">
        <v>174</v>
      </c>
      <c r="C92" s="2098"/>
      <c r="D92" s="2098"/>
      <c r="E92" s="2054">
        <v>509.2</v>
      </c>
      <c r="F92" s="2054"/>
      <c r="G92" s="2054">
        <v>412.40000000000003</v>
      </c>
      <c r="H92" s="2054"/>
      <c r="I92" s="2054">
        <v>633.49999999999977</v>
      </c>
      <c r="J92" s="2054"/>
      <c r="K92" s="2054">
        <v>260.60000000000014</v>
      </c>
      <c r="L92" s="2687"/>
      <c r="M92" s="2054">
        <v>486.29999999999995</v>
      </c>
      <c r="N92" s="2687"/>
      <c r="O92" s="2054">
        <v>752.30000000000041</v>
      </c>
      <c r="P92" s="2687"/>
      <c r="Q92" s="1839">
        <v>-532.50000000000023</v>
      </c>
      <c r="R92" s="2687"/>
      <c r="S92" s="1839">
        <v>494.60000000000014</v>
      </c>
      <c r="T92" s="2687"/>
      <c r="U92" s="1839">
        <v>508.40000000000009</v>
      </c>
      <c r="V92" s="2687"/>
      <c r="W92" s="1839">
        <f t="shared" si="9"/>
        <v>322.89999999999986</v>
      </c>
      <c r="X92" s="2687"/>
      <c r="Y92" s="1839"/>
      <c r="Z92" s="2687"/>
      <c r="AA92" s="1839"/>
      <c r="AB92" s="2049"/>
      <c r="AC92" s="2093"/>
      <c r="AD92" s="2054">
        <v>3847.7000000000003</v>
      </c>
      <c r="AE92" s="3319"/>
      <c r="AF92" s="2030"/>
      <c r="AG92" s="2054">
        <v>2864.2</v>
      </c>
      <c r="AH92" s="2048"/>
      <c r="AI92" s="2695"/>
      <c r="AJ92" s="2049">
        <f>ROUND(AD92-AG92,1)</f>
        <v>983.5</v>
      </c>
      <c r="AK92" s="1501"/>
      <c r="AL92" s="1462">
        <f>ROUND(IF(AG92=0,0,AJ92/ABS(AG92)),3)</f>
        <v>0.34300000000000003</v>
      </c>
      <c r="AM92" s="1501"/>
    </row>
    <row r="93" spans="1:41" ht="15.75">
      <c r="A93" s="2098"/>
      <c r="B93" s="2562" t="s">
        <v>208</v>
      </c>
      <c r="C93" s="2098"/>
      <c r="D93" s="2098"/>
      <c r="E93" s="2054">
        <v>-45.9</v>
      </c>
      <c r="F93" s="2054"/>
      <c r="G93" s="2054">
        <v>-47.70000000000001</v>
      </c>
      <c r="H93" s="2054"/>
      <c r="I93" s="2054">
        <v>-48.699999999999996</v>
      </c>
      <c r="J93" s="2054"/>
      <c r="K93" s="2054">
        <v>-48.799999999999976</v>
      </c>
      <c r="L93" s="2687"/>
      <c r="M93" s="2054">
        <v>-69.500000000000028</v>
      </c>
      <c r="N93" s="2687"/>
      <c r="O93" s="2054">
        <v>-253.50000000000009</v>
      </c>
      <c r="P93" s="2687"/>
      <c r="Q93" s="1839">
        <v>-46.299999999999983</v>
      </c>
      <c r="R93" s="2687"/>
      <c r="S93" s="1839">
        <v>-45.399999999999864</v>
      </c>
      <c r="T93" s="2687"/>
      <c r="U93" s="1839">
        <v>-88.700000000000045</v>
      </c>
      <c r="V93" s="2687"/>
      <c r="W93" s="1839">
        <f t="shared" si="9"/>
        <v>-45.600000000000023</v>
      </c>
      <c r="X93" s="2687"/>
      <c r="Y93" s="1839"/>
      <c r="Z93" s="2687"/>
      <c r="AA93" s="1839"/>
      <c r="AB93" s="2049"/>
      <c r="AC93" s="2093"/>
      <c r="AD93" s="3333">
        <v>-740.1</v>
      </c>
      <c r="AE93" s="3319"/>
      <c r="AF93" s="2030"/>
      <c r="AG93" s="3333">
        <v>-509.3</v>
      </c>
      <c r="AH93" s="2030"/>
      <c r="AI93" s="2680"/>
      <c r="AJ93" s="2727">
        <f>ROUND(-AD93+AG93,1)</f>
        <v>230.8</v>
      </c>
      <c r="AK93" s="1501"/>
      <c r="AL93" s="1463">
        <f>ROUND(IF(AG93=0,0,AJ93/ABS(AG93)),3)</f>
        <v>0.45300000000000001</v>
      </c>
      <c r="AM93" s="1501"/>
    </row>
    <row r="94" spans="1:41" ht="15.75">
      <c r="A94" s="2098"/>
      <c r="B94" s="2098"/>
      <c r="C94" s="2098"/>
      <c r="D94" s="2098"/>
      <c r="E94" s="2105"/>
      <c r="F94" s="2049"/>
      <c r="G94" s="2105"/>
      <c r="H94" s="2049"/>
      <c r="I94" s="2105"/>
      <c r="J94" s="2049"/>
      <c r="K94" s="2105"/>
      <c r="L94" s="2060"/>
      <c r="M94" s="2059"/>
      <c r="N94" s="2060"/>
      <c r="O94" s="2059"/>
      <c r="P94" s="2060"/>
      <c r="Q94" s="2059"/>
      <c r="R94" s="2060"/>
      <c r="S94" s="2059"/>
      <c r="T94" s="2060"/>
      <c r="U94" s="2105"/>
      <c r="V94" s="2060"/>
      <c r="W94" s="2059"/>
      <c r="X94" s="2060"/>
      <c r="Y94" s="2059"/>
      <c r="Z94" s="2060"/>
      <c r="AA94" s="2059"/>
      <c r="AB94" s="2049"/>
      <c r="AC94" s="2093"/>
      <c r="AD94" s="2681"/>
      <c r="AE94" s="3319"/>
      <c r="AF94" s="2030"/>
      <c r="AG94" s="2681"/>
      <c r="AH94" s="2681"/>
      <c r="AI94" s="2728"/>
      <c r="AJ94" s="2681"/>
      <c r="AK94" s="1501"/>
      <c r="AL94" s="2692"/>
    </row>
    <row r="95" spans="1:41" ht="15.75">
      <c r="A95" s="2098"/>
      <c r="B95" s="2488" t="s">
        <v>1210</v>
      </c>
      <c r="C95" s="2098"/>
      <c r="D95" s="2098"/>
      <c r="E95" s="2104">
        <f>ROUND(SUM(E91:E93),1)</f>
        <v>463.3</v>
      </c>
      <c r="F95" s="2104"/>
      <c r="G95" s="2104">
        <f>ROUND(SUM(G91:G93),1)</f>
        <v>364.7</v>
      </c>
      <c r="H95" s="2104"/>
      <c r="I95" s="2104">
        <f>ROUND(SUM(I91:I93),1)</f>
        <v>584.79999999999995</v>
      </c>
      <c r="J95" s="2104"/>
      <c r="K95" s="2104">
        <f>ROUND(SUM(K91:K93),1)</f>
        <v>211.8</v>
      </c>
      <c r="L95" s="1498"/>
      <c r="M95" s="1498">
        <f>ROUND(SUM(M91:M93),1)</f>
        <v>416.8</v>
      </c>
      <c r="N95" s="1498"/>
      <c r="O95" s="1498">
        <f>ROUND(SUM(O91:O93),1)</f>
        <v>498.8</v>
      </c>
      <c r="P95" s="1498"/>
      <c r="Q95" s="1498">
        <f>ROUND(SUM(Q91:Q93),1)</f>
        <v>-578.79999999999995</v>
      </c>
      <c r="R95" s="1498"/>
      <c r="S95" s="1498">
        <f>ROUND(SUM(S91:S93),1)</f>
        <v>449.2</v>
      </c>
      <c r="T95" s="1498"/>
      <c r="U95" s="1498">
        <f>ROUND(SUM(U91:U93),1)</f>
        <v>419.7</v>
      </c>
      <c r="V95" s="1498"/>
      <c r="W95" s="1498">
        <f>ROUND(SUM(W91:W93),1)</f>
        <v>277.3</v>
      </c>
      <c r="X95" s="1498"/>
      <c r="Y95" s="1498">
        <f>ROUND(SUM(Y91:Y93),1)</f>
        <v>0</v>
      </c>
      <c r="Z95" s="1498"/>
      <c r="AA95" s="1498">
        <f>ROUND(SUM(AA91:AA93),1)</f>
        <v>0</v>
      </c>
      <c r="AB95" s="2104"/>
      <c r="AC95" s="2618"/>
      <c r="AD95" s="1499">
        <f>ROUND(SUM(AD91:AD93),1)</f>
        <v>3107.6</v>
      </c>
      <c r="AE95" s="3331"/>
      <c r="AF95" s="1499"/>
      <c r="AG95" s="1499">
        <f>ROUND(SUM(AG91:AG93),1)</f>
        <v>2354.9</v>
      </c>
      <c r="AH95" s="1499"/>
      <c r="AI95" s="2680"/>
      <c r="AJ95" s="2108">
        <f>ROUND(AD95-AG95,1)</f>
        <v>752.7</v>
      </c>
      <c r="AK95" s="2700"/>
      <c r="AL95" s="1503">
        <f>ROUND(IF(AG95=0,0,AJ95/ABS(AG95)),3)</f>
        <v>0.32</v>
      </c>
      <c r="AM95" s="2701"/>
      <c r="AN95" s="2701"/>
      <c r="AO95" s="2729"/>
    </row>
    <row r="96" spans="1:41" ht="15.75">
      <c r="A96" s="2098"/>
      <c r="B96" s="2098"/>
      <c r="C96" s="2098"/>
      <c r="D96" s="2098"/>
      <c r="E96" s="2105"/>
      <c r="F96" s="2049"/>
      <c r="G96" s="2105"/>
      <c r="H96" s="2049"/>
      <c r="I96" s="2105"/>
      <c r="J96" s="2049"/>
      <c r="K96" s="2105"/>
      <c r="L96" s="2060"/>
      <c r="M96" s="2059"/>
      <c r="N96" s="2060"/>
      <c r="O96" s="2059"/>
      <c r="P96" s="2060"/>
      <c r="Q96" s="2059"/>
      <c r="R96" s="2060"/>
      <c r="S96" s="2059"/>
      <c r="T96" s="2060"/>
      <c r="U96" s="2059"/>
      <c r="V96" s="2060"/>
      <c r="W96" s="2059"/>
      <c r="X96" s="2060"/>
      <c r="Y96" s="2059"/>
      <c r="Z96" s="2060"/>
      <c r="AA96" s="2059"/>
      <c r="AB96" s="2049"/>
      <c r="AC96" s="2093"/>
      <c r="AD96" s="2105"/>
      <c r="AE96" s="3319"/>
      <c r="AF96" s="2030"/>
      <c r="AG96" s="2105"/>
      <c r="AH96" s="2030"/>
      <c r="AI96" s="2680"/>
      <c r="AJ96" s="2681"/>
      <c r="AK96" s="1501"/>
      <c r="AL96" s="2692"/>
      <c r="AO96" s="2720"/>
    </row>
    <row r="97" spans="1:41" ht="15.75">
      <c r="A97" s="2098"/>
      <c r="B97" s="2098"/>
      <c r="C97" s="2098"/>
      <c r="D97" s="2098"/>
      <c r="E97" s="2049" t="s">
        <v>15</v>
      </c>
      <c r="F97" s="2049" t="s">
        <v>15</v>
      </c>
      <c r="G97" s="2049" t="s">
        <v>15</v>
      </c>
      <c r="H97" s="2049"/>
      <c r="I97" s="2049" t="s">
        <v>15</v>
      </c>
      <c r="J97" s="2049"/>
      <c r="K97" s="2049" t="s">
        <v>15</v>
      </c>
      <c r="L97" s="2060"/>
      <c r="M97" s="2060" t="s">
        <v>15</v>
      </c>
      <c r="N97" s="2060"/>
      <c r="O97" s="2060" t="s">
        <v>15</v>
      </c>
      <c r="P97" s="2060"/>
      <c r="Q97" s="2060" t="s">
        <v>15</v>
      </c>
      <c r="R97" s="2060"/>
      <c r="S97" s="2060" t="s">
        <v>15</v>
      </c>
      <c r="T97" s="2060"/>
      <c r="U97" s="2060" t="s">
        <v>15</v>
      </c>
      <c r="V97" s="2060"/>
      <c r="W97" s="2060" t="s">
        <v>15</v>
      </c>
      <c r="X97" s="2060"/>
      <c r="Y97" s="2060" t="s">
        <v>15</v>
      </c>
      <c r="Z97" s="2060"/>
      <c r="AA97" s="2060" t="s">
        <v>15</v>
      </c>
      <c r="AB97" s="2049"/>
      <c r="AC97" s="2093"/>
      <c r="AD97" s="2049"/>
      <c r="AE97" s="3319"/>
      <c r="AF97" s="2030"/>
      <c r="AG97" s="2049"/>
      <c r="AH97" s="2049"/>
      <c r="AI97" s="2680"/>
      <c r="AJ97" s="2681" t="s">
        <v>15</v>
      </c>
      <c r="AK97" s="1501"/>
      <c r="AL97" s="2692"/>
    </row>
    <row r="98" spans="1:41" ht="15.75">
      <c r="A98" s="2098"/>
      <c r="B98" s="2488" t="s">
        <v>210</v>
      </c>
      <c r="C98" s="2098"/>
      <c r="D98" s="2098"/>
      <c r="E98" s="2049"/>
      <c r="F98" s="2049"/>
      <c r="G98" s="2049" t="s">
        <v>15</v>
      </c>
      <c r="H98" s="2049"/>
      <c r="I98" s="2049" t="s">
        <v>15</v>
      </c>
      <c r="J98" s="2049"/>
      <c r="K98" s="2049" t="s">
        <v>15</v>
      </c>
      <c r="L98" s="2060"/>
      <c r="M98" s="2060" t="s">
        <v>15</v>
      </c>
      <c r="N98" s="2060"/>
      <c r="O98" s="2060" t="s">
        <v>15</v>
      </c>
      <c r="P98" s="2060"/>
      <c r="Q98" s="2060" t="s">
        <v>15</v>
      </c>
      <c r="R98" s="2060"/>
      <c r="S98" s="2060" t="s">
        <v>15</v>
      </c>
      <c r="T98" s="2060"/>
      <c r="U98" s="2060" t="s">
        <v>15</v>
      </c>
      <c r="V98" s="2060"/>
      <c r="W98" s="2060" t="s">
        <v>15</v>
      </c>
      <c r="X98" s="2060"/>
      <c r="Y98" s="2060" t="s">
        <v>15</v>
      </c>
      <c r="Z98" s="2060"/>
      <c r="AA98" s="2060" t="s">
        <v>15</v>
      </c>
      <c r="AB98" s="2049"/>
      <c r="AC98" s="2093"/>
      <c r="AD98" s="2049"/>
      <c r="AE98" s="3319"/>
      <c r="AF98" s="2030"/>
      <c r="AG98" s="2049"/>
      <c r="AH98" s="2049"/>
      <c r="AI98" s="2680"/>
      <c r="AJ98" s="2681"/>
      <c r="AK98" s="1501"/>
      <c r="AL98" s="2692"/>
    </row>
    <row r="99" spans="1:41" ht="15.75">
      <c r="A99" s="2098"/>
      <c r="B99" s="2488" t="s">
        <v>211</v>
      </c>
      <c r="C99" s="2098"/>
      <c r="D99" s="2098"/>
      <c r="E99" s="2049" t="s">
        <v>15</v>
      </c>
      <c r="F99" s="2049"/>
      <c r="G99" s="2049"/>
      <c r="H99" s="2049"/>
      <c r="I99" s="2049"/>
      <c r="J99" s="2049"/>
      <c r="K99" s="2049"/>
      <c r="L99" s="2060"/>
      <c r="M99" s="2060"/>
      <c r="N99" s="2060"/>
      <c r="O99" s="2060"/>
      <c r="P99" s="2060"/>
      <c r="Q99" s="2060"/>
      <c r="R99" s="2060"/>
      <c r="S99" s="2060"/>
      <c r="T99" s="2060"/>
      <c r="U99" s="2060"/>
      <c r="V99" s="2060"/>
      <c r="W99" s="2060"/>
      <c r="X99" s="2060"/>
      <c r="Y99" s="2060"/>
      <c r="Z99" s="2060"/>
      <c r="AA99" s="2060"/>
      <c r="AB99" s="2049"/>
      <c r="AC99" s="2093"/>
      <c r="AD99" s="2681"/>
      <c r="AE99" s="3319"/>
      <c r="AF99" s="2030"/>
      <c r="AG99" s="2681"/>
      <c r="AH99" s="2681"/>
      <c r="AI99" s="2728"/>
      <c r="AJ99" s="2681"/>
      <c r="AK99" s="1501"/>
      <c r="AL99" s="2692"/>
      <c r="AO99" s="2730"/>
    </row>
    <row r="100" spans="1:41" s="2739" customFormat="1" ht="15.75">
      <c r="A100" s="2060"/>
      <c r="B100" s="1498" t="s">
        <v>1211</v>
      </c>
      <c r="C100" s="2060"/>
      <c r="D100" s="2060"/>
      <c r="E100" s="2731">
        <f>ROUND(SUM(E88+E95),1)</f>
        <v>186.7</v>
      </c>
      <c r="F100" s="2732"/>
      <c r="G100" s="2731">
        <f>ROUND(SUM(G88+G95),1)</f>
        <v>-252.9</v>
      </c>
      <c r="H100" s="2732"/>
      <c r="I100" s="2731">
        <f>ROUND(SUM(I88+I95),1)</f>
        <v>62.7</v>
      </c>
      <c r="J100" s="2732"/>
      <c r="K100" s="2731">
        <f>ROUND(SUM(K88+K95),1)</f>
        <v>-135.1</v>
      </c>
      <c r="L100" s="2733"/>
      <c r="M100" s="2731">
        <f>ROUND(SUM(M88+M95),1)</f>
        <v>-32.799999999999997</v>
      </c>
      <c r="N100" s="2733"/>
      <c r="O100" s="2731">
        <f>ROUND(SUM(O88+O95),1)</f>
        <v>46</v>
      </c>
      <c r="P100" s="2733"/>
      <c r="Q100" s="2731">
        <f>ROUND(SUM(Q88+Q95),1)</f>
        <v>385.3</v>
      </c>
      <c r="R100" s="2733"/>
      <c r="S100" s="2731">
        <f>ROUND(SUM(S88+S95),1)</f>
        <v>-117.7</v>
      </c>
      <c r="T100" s="2733"/>
      <c r="U100" s="2731">
        <f>ROUND(SUM(U88+U95),1)</f>
        <v>-88.7</v>
      </c>
      <c r="V100" s="2733"/>
      <c r="W100" s="2731">
        <f>ROUND(SUM(W88+W95),1)</f>
        <v>98</v>
      </c>
      <c r="X100" s="2734"/>
      <c r="Y100" s="2731">
        <f>ROUND(SUM(Y88+Y95),1)</f>
        <v>0</v>
      </c>
      <c r="Z100" s="2733"/>
      <c r="AA100" s="2731">
        <f>ROUND(SUM(AA88+AA95),1)</f>
        <v>0</v>
      </c>
      <c r="AB100" s="2732"/>
      <c r="AC100" s="2735"/>
      <c r="AD100" s="2731">
        <f>ROUND(SUM(AD88+AD95),1)</f>
        <v>151.5</v>
      </c>
      <c r="AE100" s="3334"/>
      <c r="AF100" s="1499"/>
      <c r="AG100" s="2731">
        <f>ROUND(SUM(AG88+AG95),1)</f>
        <v>-64.099999999999994</v>
      </c>
      <c r="AH100" s="2736"/>
      <c r="AI100" s="2728"/>
      <c r="AJ100" s="2731">
        <f>ROUND(SUM(AJ88+AJ95),1)</f>
        <v>215.6</v>
      </c>
      <c r="AK100" s="2737"/>
      <c r="AL100" s="1503">
        <f>ROUND(IF(AG100=0,0,AJ100/ABS(AG100)),3)</f>
        <v>3.363</v>
      </c>
      <c r="AM100" s="2738"/>
    </row>
    <row r="101" spans="1:41">
      <c r="B101" s="2740"/>
      <c r="X101" s="2741"/>
      <c r="AC101" s="2742"/>
      <c r="AF101" s="2742"/>
      <c r="AI101" s="2743"/>
    </row>
    <row r="102" spans="1:41" ht="16.5" thickBot="1">
      <c r="B102" s="2488" t="s">
        <v>1209</v>
      </c>
      <c r="C102" s="2744"/>
      <c r="D102" s="2744"/>
      <c r="E102" s="2745">
        <f>ROUND(SUM(E14+E100),1)</f>
        <v>-446.5</v>
      </c>
      <c r="F102" s="2746"/>
      <c r="G102" s="2745">
        <f>ROUND(SUM(G14+G100),1)</f>
        <v>-699.4</v>
      </c>
      <c r="I102" s="2745">
        <f>ROUND(SUM(I14+I100),1)</f>
        <v>-636.70000000000005</v>
      </c>
      <c r="K102" s="2745">
        <f>ROUND(SUM(K14+K100),1)</f>
        <v>-771.8</v>
      </c>
      <c r="M102" s="2747">
        <f>ROUND(SUM(M14+M100),1)</f>
        <v>-804.6</v>
      </c>
      <c r="O102" s="2747">
        <f>ROUND(SUM(O14+O100),1)</f>
        <v>-758.6</v>
      </c>
      <c r="Q102" s="2747">
        <f>ROUND(SUM(Q14+Q100),1)</f>
        <v>-373.3</v>
      </c>
      <c r="S102" s="2747">
        <f>ROUND(SUM(S14+S100),1)</f>
        <v>-491</v>
      </c>
      <c r="U102" s="2747">
        <f>ROUND(SUM(U14+U100),1)</f>
        <v>-579.70000000000005</v>
      </c>
      <c r="W102" s="2747">
        <f>ROUND(SUM(W14+W100),1)</f>
        <v>-481.7</v>
      </c>
      <c r="Y102" s="2747">
        <f>ROUND(SUM(Y14+Y100),1)</f>
        <v>0</v>
      </c>
      <c r="AA102" s="2747">
        <f>ROUND(SUM(AA14+AA100),1)</f>
        <v>0</v>
      </c>
      <c r="AC102" s="2742"/>
      <c r="AD102" s="2745">
        <f>ROUND(SUM(AD14+AD100),1)</f>
        <v>-481.7</v>
      </c>
      <c r="AF102" s="2742"/>
      <c r="AG102" s="2745">
        <f>ROUND(SUM(AG14+AG100),1)</f>
        <v>-632.5</v>
      </c>
      <c r="AI102" s="2743"/>
      <c r="AJ102" s="2745">
        <f>ROUND(SUM(AJ14+AJ100),1)</f>
        <v>150.80000000000001</v>
      </c>
      <c r="AL102" s="2031">
        <f>ROUND(IF(AG102=0,0,AJ102/ABS(AG102)),3)</f>
        <v>0.23799999999999999</v>
      </c>
    </row>
    <row r="103" spans="1:41" ht="15.75" thickTop="1">
      <c r="B103" s="2748"/>
      <c r="C103" s="2744"/>
      <c r="D103" s="2744"/>
      <c r="E103" s="2746"/>
      <c r="F103" s="2746"/>
      <c r="G103" s="2746"/>
      <c r="AG103" s="3624"/>
      <c r="AJ103" s="2749"/>
    </row>
    <row r="104" spans="1:41">
      <c r="B104" s="2750"/>
    </row>
    <row r="105" spans="1:41">
      <c r="B105" s="2750"/>
      <c r="AD105" s="3318"/>
    </row>
    <row r="106" spans="1:41">
      <c r="B106" s="2751"/>
    </row>
    <row r="107" spans="1:41">
      <c r="B107" s="2750"/>
    </row>
    <row r="108" spans="1:41">
      <c r="B108" s="2750"/>
    </row>
    <row r="109" spans="1:41">
      <c r="B109" s="2751"/>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8671875" defaultRowHeight="15"/>
  <cols>
    <col min="1" max="1" width="2.5546875" style="101" customWidth="1"/>
    <col min="2" max="2" width="14.109375" style="101" customWidth="1"/>
    <col min="3" max="3" width="26.5546875" style="101" customWidth="1"/>
    <col min="4" max="4" width="2.109375" style="1109" customWidth="1"/>
    <col min="5" max="5" width="11.109375" style="1109" customWidth="1"/>
    <col min="6" max="6" width="1.88671875" style="1109" customWidth="1"/>
    <col min="7" max="7" width="11" style="1109" bestFit="1" customWidth="1"/>
    <col min="8" max="8" width="1.88671875" style="1109" customWidth="1"/>
    <col min="9" max="9" width="11" style="1109" bestFit="1" customWidth="1"/>
    <col min="10" max="10" width="1.88671875" style="1109" customWidth="1"/>
    <col min="11" max="11" width="12.109375" style="1109" customWidth="1"/>
    <col min="12" max="12" width="1.88671875" style="101" customWidth="1"/>
    <col min="13" max="13" width="11" style="101" customWidth="1"/>
    <col min="14" max="14" width="1.88671875" style="101" customWidth="1"/>
    <col min="15" max="15" width="13.88671875" style="101" customWidth="1"/>
    <col min="16" max="16" width="1.88671875" style="101" customWidth="1"/>
    <col min="17" max="17" width="12.44140625" style="101" customWidth="1"/>
    <col min="18" max="18" width="1.88671875" style="101" customWidth="1"/>
    <col min="19" max="19" width="12.5546875" style="101" customWidth="1"/>
    <col min="20" max="20" width="1.88671875" style="101" customWidth="1"/>
    <col min="21" max="21" width="10.88671875" style="101" customWidth="1"/>
    <col min="22" max="22" width="1.88671875" style="101" customWidth="1"/>
    <col min="23" max="23" width="10.5546875" style="101" customWidth="1"/>
    <col min="24" max="24" width="1.88671875" style="101" customWidth="1"/>
    <col min="25" max="25" width="10.88671875" style="101" customWidth="1"/>
    <col min="26" max="26" width="1.88671875" style="101" customWidth="1"/>
    <col min="27" max="27" width="11.88671875" style="1109" customWidth="1"/>
    <col min="28" max="29" width="1.88671875" style="1109" customWidth="1"/>
    <col min="30" max="30" width="10.5546875" style="1109" customWidth="1"/>
    <col min="31" max="32" width="1" style="1109" customWidth="1"/>
    <col min="33" max="33" width="12.88671875" style="1109" customWidth="1"/>
    <col min="34" max="35" width="1" style="1109" customWidth="1"/>
    <col min="36" max="36" width="13.109375" style="1109" bestFit="1" customWidth="1"/>
    <col min="37" max="37" width="1.109375" style="101" customWidth="1"/>
    <col min="38" max="38" width="11.5546875" style="101" customWidth="1"/>
    <col min="39" max="16384" width="8.88671875" style="101"/>
  </cols>
  <sheetData>
    <row r="1" spans="1:39">
      <c r="B1" s="657" t="s">
        <v>979</v>
      </c>
    </row>
    <row r="2" spans="1:39">
      <c r="B2" s="841"/>
    </row>
    <row r="3" spans="1:39" ht="19.5" customHeight="1">
      <c r="A3" s="316"/>
      <c r="B3" s="322" t="s">
        <v>0</v>
      </c>
      <c r="C3" s="317"/>
      <c r="D3" s="1110"/>
      <c r="E3" s="1110"/>
      <c r="F3" s="1111"/>
      <c r="G3" s="1111"/>
      <c r="H3" s="1111"/>
      <c r="I3" s="1111"/>
      <c r="J3" s="1111"/>
      <c r="K3" s="1111"/>
      <c r="L3" s="318"/>
      <c r="M3" s="318"/>
      <c r="N3" s="318"/>
      <c r="O3" s="318"/>
      <c r="P3" s="318"/>
      <c r="Q3" s="318"/>
      <c r="R3" s="318"/>
      <c r="S3" s="361"/>
      <c r="T3" s="318"/>
      <c r="U3" s="318"/>
      <c r="V3" s="318"/>
      <c r="W3" s="318"/>
      <c r="X3" s="318"/>
      <c r="Y3" s="318"/>
      <c r="Z3" s="318"/>
      <c r="AA3" s="1111"/>
      <c r="AB3" s="1111"/>
      <c r="AC3" s="1111"/>
      <c r="AD3" s="1111"/>
      <c r="AE3" s="1111"/>
      <c r="AF3" s="1111"/>
      <c r="AG3" s="1111"/>
      <c r="AH3" s="1111"/>
      <c r="AI3" s="1111"/>
      <c r="AL3" s="270" t="s">
        <v>195</v>
      </c>
    </row>
    <row r="4" spans="1:39" ht="19.5" customHeight="1">
      <c r="A4" s="316"/>
      <c r="B4" s="322" t="s">
        <v>213</v>
      </c>
      <c r="C4" s="317"/>
      <c r="D4" s="1110"/>
      <c r="E4" s="1110"/>
      <c r="F4" s="1111"/>
      <c r="G4" s="1111"/>
      <c r="H4" s="1111"/>
      <c r="I4" s="1111"/>
      <c r="J4" s="1111"/>
      <c r="K4" s="1111"/>
      <c r="L4" s="318"/>
      <c r="M4" s="318"/>
      <c r="N4" s="318"/>
      <c r="O4" s="318"/>
      <c r="P4" s="318"/>
      <c r="Q4" s="318"/>
      <c r="R4" s="318"/>
      <c r="S4" s="318"/>
      <c r="T4" s="318"/>
      <c r="U4" s="318"/>
      <c r="V4" s="318"/>
      <c r="W4" s="318"/>
      <c r="X4" s="318"/>
      <c r="Y4" s="318"/>
      <c r="Z4" s="318"/>
      <c r="AA4" s="1111"/>
      <c r="AB4" s="1111"/>
      <c r="AC4" s="1111"/>
      <c r="AE4" s="3335"/>
      <c r="AF4" s="3335"/>
    </row>
    <row r="5" spans="1:39" ht="19.5" customHeight="1">
      <c r="A5" s="316"/>
      <c r="B5" s="1578" t="s">
        <v>149</v>
      </c>
      <c r="C5" s="317"/>
      <c r="D5" s="1110"/>
      <c r="E5" s="1110"/>
      <c r="F5" s="1111"/>
      <c r="G5" s="1111"/>
      <c r="H5" s="1111"/>
      <c r="I5" s="1111"/>
      <c r="J5" s="1111"/>
      <c r="K5" s="1111"/>
      <c r="L5" s="318"/>
      <c r="M5" s="318"/>
      <c r="N5" s="318"/>
      <c r="O5" s="318"/>
      <c r="P5" s="318"/>
      <c r="Q5" s="318"/>
      <c r="R5" s="318"/>
      <c r="S5" s="318"/>
      <c r="T5" s="318"/>
      <c r="U5" s="318"/>
      <c r="V5" s="318"/>
      <c r="W5" s="318"/>
      <c r="X5" s="318"/>
      <c r="Y5" s="318"/>
      <c r="Z5" s="318"/>
      <c r="AA5" s="1111"/>
      <c r="AB5" s="1111"/>
      <c r="AC5" s="1111"/>
      <c r="AD5" s="1111"/>
      <c r="AE5" s="1111"/>
      <c r="AF5" s="1111"/>
      <c r="AG5" s="1111"/>
      <c r="AH5" s="1111"/>
      <c r="AI5" s="1111"/>
      <c r="AL5" s="270"/>
    </row>
    <row r="6" spans="1:39" ht="19.5" customHeight="1">
      <c r="A6" s="316"/>
      <c r="B6" s="1578" t="str">
        <f>'Cashflow Governmental'!A6</f>
        <v xml:space="preserve">FISCAL YEAR 2019-2020   </v>
      </c>
      <c r="C6" s="899"/>
      <c r="D6" s="1110"/>
      <c r="E6" s="1110"/>
      <c r="F6" s="1111"/>
      <c r="G6" s="1111"/>
      <c r="H6" s="1112"/>
      <c r="I6" s="1111"/>
      <c r="J6" s="1111"/>
      <c r="K6" s="1111"/>
      <c r="L6" s="318"/>
      <c r="M6" s="318"/>
      <c r="N6" s="318"/>
      <c r="O6" s="318"/>
      <c r="P6" s="318"/>
      <c r="Q6" s="318"/>
      <c r="R6" s="318"/>
      <c r="S6" s="318"/>
      <c r="T6" s="318"/>
      <c r="U6" s="318"/>
      <c r="V6" s="318"/>
      <c r="W6" s="318"/>
      <c r="X6" s="318"/>
      <c r="Y6" s="318"/>
      <c r="Z6" s="318"/>
      <c r="AA6" s="1111"/>
      <c r="AB6" s="1111"/>
      <c r="AC6" s="1111"/>
      <c r="AD6" s="1111"/>
      <c r="AE6" s="1116"/>
      <c r="AF6" s="1116"/>
      <c r="AG6" s="1116"/>
      <c r="AH6" s="1116"/>
      <c r="AI6" s="1116"/>
    </row>
    <row r="7" spans="1:39" ht="19.5" customHeight="1">
      <c r="A7" s="316"/>
      <c r="B7" s="322" t="s">
        <v>1417</v>
      </c>
      <c r="C7" s="317"/>
      <c r="D7" s="1110"/>
      <c r="E7" s="1110"/>
      <c r="F7" s="1111"/>
      <c r="G7" s="1111"/>
      <c r="H7" s="1112"/>
      <c r="I7" s="1111"/>
      <c r="J7" s="1111"/>
      <c r="K7" s="1111"/>
      <c r="L7" s="318"/>
      <c r="M7" s="318"/>
      <c r="N7" s="318"/>
      <c r="O7" s="318"/>
      <c r="P7" s="318"/>
      <c r="Q7" s="318"/>
      <c r="R7" s="318"/>
      <c r="S7" s="318"/>
      <c r="T7" s="318"/>
      <c r="U7" s="318"/>
      <c r="V7" s="318"/>
      <c r="W7" s="318"/>
      <c r="X7" s="318"/>
      <c r="Y7" s="318"/>
      <c r="Z7" s="318"/>
      <c r="AA7" s="1111"/>
      <c r="AB7" s="1111"/>
      <c r="AC7" s="1111"/>
      <c r="AD7" s="1111"/>
      <c r="AE7" s="1116"/>
      <c r="AF7" s="1116"/>
      <c r="AG7" s="1116"/>
      <c r="AH7" s="1116"/>
      <c r="AI7" s="1116"/>
    </row>
    <row r="8" spans="1:39" ht="19.5" customHeight="1">
      <c r="A8" s="316"/>
      <c r="B8" s="268"/>
      <c r="C8" s="317"/>
      <c r="D8" s="1110"/>
      <c r="E8" s="1110"/>
      <c r="F8" s="1111"/>
      <c r="G8" s="1111"/>
      <c r="H8" s="1112"/>
      <c r="I8" s="1111"/>
      <c r="J8" s="1111"/>
      <c r="K8" s="1111"/>
      <c r="L8" s="318"/>
      <c r="M8" s="318"/>
      <c r="N8" s="318"/>
      <c r="O8" s="318"/>
      <c r="P8" s="318"/>
      <c r="Q8" s="318"/>
      <c r="R8" s="318"/>
      <c r="S8" s="318"/>
      <c r="T8" s="318"/>
      <c r="U8" s="318"/>
      <c r="V8" s="318"/>
      <c r="W8" s="318"/>
      <c r="X8" s="318"/>
      <c r="Y8" s="318"/>
      <c r="Z8" s="318"/>
      <c r="AA8" s="1111"/>
      <c r="AB8" s="1111"/>
      <c r="AC8" s="1111"/>
      <c r="AD8" s="1111"/>
      <c r="AE8" s="1116"/>
      <c r="AF8" s="1116"/>
      <c r="AG8" s="1116"/>
      <c r="AH8" s="1116"/>
      <c r="AI8" s="1116"/>
    </row>
    <row r="9" spans="1:39" ht="15.75" customHeight="1">
      <c r="A9" s="316"/>
      <c r="B9" s="322"/>
      <c r="C9" s="317"/>
      <c r="D9" s="1110"/>
      <c r="E9" s="1110"/>
      <c r="F9" s="1111"/>
      <c r="G9" s="1111"/>
      <c r="H9" s="1111"/>
      <c r="I9" s="1111"/>
      <c r="J9" s="1111"/>
      <c r="K9" s="1111"/>
      <c r="L9" s="318"/>
      <c r="M9" s="318"/>
      <c r="N9" s="318"/>
      <c r="O9" s="318"/>
      <c r="P9" s="318"/>
      <c r="Q9" s="318"/>
      <c r="R9" s="318"/>
      <c r="S9" s="318"/>
      <c r="T9" s="318"/>
      <c r="U9" s="318"/>
      <c r="V9" s="318"/>
      <c r="W9" s="318"/>
      <c r="X9" s="318"/>
      <c r="Y9" s="318"/>
      <c r="Z9" s="318"/>
      <c r="AA9" s="1111"/>
      <c r="AB9" s="1111"/>
      <c r="AC9" s="1117"/>
    </row>
    <row r="10" spans="1:39" ht="23.25">
      <c r="A10" s="316"/>
      <c r="B10" s="322"/>
      <c r="C10" s="317"/>
      <c r="D10" s="1110"/>
      <c r="E10" s="1110"/>
      <c r="F10" s="1111"/>
      <c r="G10" s="1111"/>
      <c r="H10" s="1111"/>
      <c r="I10" s="1111"/>
      <c r="J10" s="1111"/>
      <c r="K10" s="1111"/>
      <c r="L10" s="318"/>
      <c r="M10" s="318"/>
      <c r="N10" s="318"/>
      <c r="O10" s="318"/>
      <c r="P10" s="318"/>
      <c r="Q10" s="318"/>
      <c r="R10" s="318"/>
      <c r="S10" s="318"/>
      <c r="T10" s="318"/>
      <c r="U10" s="318"/>
      <c r="V10" s="318"/>
      <c r="W10" s="318"/>
      <c r="X10" s="318"/>
      <c r="Y10" s="318"/>
      <c r="Z10" s="318"/>
      <c r="AA10" s="1111"/>
      <c r="AB10" s="1111"/>
      <c r="AC10" s="1117"/>
      <c r="AD10" s="3916" t="s">
        <v>1566</v>
      </c>
      <c r="AE10" s="3917"/>
      <c r="AF10" s="3917"/>
      <c r="AG10" s="3917"/>
      <c r="AH10" s="3917"/>
      <c r="AI10" s="3917"/>
      <c r="AJ10" s="3917"/>
      <c r="AK10" s="3917"/>
      <c r="AL10" s="3917"/>
    </row>
    <row r="11" spans="1:39" ht="15.75">
      <c r="A11" s="325"/>
      <c r="B11" s="325"/>
      <c r="C11" s="325"/>
      <c r="D11" s="1129"/>
      <c r="E11" s="756" t="str">
        <f>'Cashflow Governmental'!C13</f>
        <v>2019</v>
      </c>
      <c r="F11" s="1113"/>
      <c r="G11" s="1113"/>
      <c r="H11" s="1113"/>
      <c r="I11" s="1113"/>
      <c r="J11" s="1113"/>
      <c r="K11" s="1113"/>
      <c r="L11" s="774"/>
      <c r="M11" s="774"/>
      <c r="N11" s="774"/>
      <c r="O11" s="774"/>
      <c r="P11" s="774"/>
      <c r="Q11" s="774"/>
      <c r="R11" s="774"/>
      <c r="S11" s="774"/>
      <c r="T11" s="774"/>
      <c r="U11" s="774"/>
      <c r="V11" s="774"/>
      <c r="W11" s="761" t="str">
        <f>'Cashflow Governmental'!U13</f>
        <v>2020</v>
      </c>
      <c r="X11" s="774"/>
      <c r="Y11" s="774"/>
      <c r="Z11" s="774"/>
      <c r="AA11" s="1113"/>
      <c r="AB11" s="1113"/>
      <c r="AC11" s="1113"/>
      <c r="AD11" s="1118"/>
      <c r="AE11" s="1118"/>
      <c r="AF11" s="1118"/>
      <c r="AG11" s="1118"/>
      <c r="AH11" s="1118"/>
      <c r="AI11" s="1118"/>
      <c r="AJ11" s="1119" t="s">
        <v>8</v>
      </c>
      <c r="AK11" s="765"/>
      <c r="AL11" s="762" t="s">
        <v>9</v>
      </c>
      <c r="AM11" s="778"/>
    </row>
    <row r="12" spans="1:39" ht="15.75">
      <c r="A12" s="31"/>
      <c r="B12" s="31"/>
      <c r="C12" s="31"/>
      <c r="D12" s="107"/>
      <c r="E12" s="776" t="s">
        <v>125</v>
      </c>
      <c r="F12" s="105"/>
      <c r="G12" s="776" t="s">
        <v>126</v>
      </c>
      <c r="H12" s="105"/>
      <c r="I12" s="776" t="s">
        <v>127</v>
      </c>
      <c r="J12" s="105"/>
      <c r="K12" s="776" t="s">
        <v>128</v>
      </c>
      <c r="L12" s="29"/>
      <c r="M12" s="750" t="s">
        <v>129</v>
      </c>
      <c r="N12" s="29"/>
      <c r="O12" s="750" t="s">
        <v>144</v>
      </c>
      <c r="P12" s="29"/>
      <c r="Q12" s="750" t="s">
        <v>145</v>
      </c>
      <c r="R12" s="29"/>
      <c r="S12" s="750" t="s">
        <v>132</v>
      </c>
      <c r="T12" s="29"/>
      <c r="U12" s="750" t="s">
        <v>133</v>
      </c>
      <c r="V12" s="29"/>
      <c r="W12" s="750" t="s">
        <v>134</v>
      </c>
      <c r="X12" s="29"/>
      <c r="Y12" s="750" t="s">
        <v>135</v>
      </c>
      <c r="Z12" s="29"/>
      <c r="AA12" s="776" t="s">
        <v>186</v>
      </c>
      <c r="AB12" s="105"/>
      <c r="AC12" s="105"/>
      <c r="AD12" s="776">
        <f>'Cashflow Governmental'!AB14</f>
        <v>2020</v>
      </c>
      <c r="AE12" s="105" t="s">
        <v>15</v>
      </c>
      <c r="AF12" s="105"/>
      <c r="AG12" s="776">
        <f>'Cashflow Governmental'!AE14</f>
        <v>2019</v>
      </c>
      <c r="AH12" s="777"/>
      <c r="AI12" s="777"/>
      <c r="AJ12" s="1120" t="s">
        <v>12</v>
      </c>
      <c r="AK12" s="764"/>
      <c r="AL12" s="770" t="s">
        <v>13</v>
      </c>
      <c r="AM12" s="778"/>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88"/>
      <c r="AD13" s="140"/>
      <c r="AE13" s="140"/>
      <c r="AF13" s="3312"/>
      <c r="AG13" s="140"/>
      <c r="AH13" s="140"/>
      <c r="AI13" s="1006"/>
      <c r="AJ13" s="1121"/>
      <c r="AK13" s="327"/>
      <c r="AL13" s="327"/>
    </row>
    <row r="14" spans="1:39" ht="15.75">
      <c r="A14" s="31"/>
      <c r="B14" s="1888" t="s">
        <v>1247</v>
      </c>
      <c r="C14" s="29"/>
      <c r="D14" s="1899"/>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f>O82</f>
        <v>-529.5</v>
      </c>
      <c r="R14" s="671"/>
      <c r="S14" s="94">
        <f>Q82</f>
        <v>-572.9</v>
      </c>
      <c r="T14" s="50"/>
      <c r="U14" s="94">
        <f>S82</f>
        <v>-551.29999999999995</v>
      </c>
      <c r="V14" s="671"/>
      <c r="W14" s="94">
        <f>U82</f>
        <v>-547.6</v>
      </c>
      <c r="X14" s="671"/>
      <c r="Y14" s="94"/>
      <c r="Z14" s="50"/>
      <c r="AA14" s="135"/>
      <c r="AB14" s="140"/>
      <c r="AC14" s="1088"/>
      <c r="AD14" s="1904">
        <f>E14</f>
        <v>-504.7</v>
      </c>
      <c r="AE14" s="140"/>
      <c r="AF14" s="3312"/>
      <c r="AG14" s="1904">
        <v>-582.79999999999995</v>
      </c>
      <c r="AH14" s="140"/>
      <c r="AI14" s="1006"/>
      <c r="AJ14" s="1905">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88"/>
      <c r="AD15" s="140"/>
      <c r="AE15" s="140"/>
      <c r="AF15" s="3312"/>
      <c r="AG15" s="140"/>
      <c r="AH15" s="140"/>
      <c r="AI15" s="1006"/>
      <c r="AJ15" s="1121"/>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88"/>
      <c r="AD16" s="140"/>
      <c r="AE16" s="117"/>
      <c r="AF16" s="3312"/>
      <c r="AG16" s="140"/>
      <c r="AH16" s="140"/>
      <c r="AI16" s="1006"/>
      <c r="AJ16" s="1121"/>
      <c r="AK16" s="327"/>
      <c r="AL16" s="327"/>
    </row>
    <row r="17" spans="1:38" ht="15.75">
      <c r="A17" s="31"/>
      <c r="B17" s="908" t="s">
        <v>1033</v>
      </c>
      <c r="C17" s="31"/>
      <c r="D17" s="107"/>
      <c r="E17" s="1099"/>
      <c r="F17" s="118"/>
      <c r="G17" s="1099"/>
      <c r="H17" s="118"/>
      <c r="I17" s="1099"/>
      <c r="J17" s="118"/>
      <c r="K17" s="1099"/>
      <c r="L17" s="118"/>
      <c r="M17" s="118"/>
      <c r="N17" s="118"/>
      <c r="O17" s="1099"/>
      <c r="P17" s="118"/>
      <c r="Q17" s="1099"/>
      <c r="R17" s="118"/>
      <c r="S17" s="1099"/>
      <c r="T17" s="118"/>
      <c r="U17" s="1099"/>
      <c r="V17" s="118"/>
      <c r="W17" s="1099"/>
      <c r="X17" s="118"/>
      <c r="Y17" s="1099"/>
      <c r="Z17" s="118"/>
      <c r="AA17" s="1099"/>
      <c r="AB17" s="118"/>
      <c r="AC17" s="692"/>
      <c r="AD17" s="3336"/>
      <c r="AE17" s="1100"/>
      <c r="AF17" s="67"/>
      <c r="AG17" s="118"/>
      <c r="AH17" s="119"/>
      <c r="AI17" s="1101"/>
      <c r="AJ17" s="119"/>
      <c r="AK17" s="1102"/>
      <c r="AL17" s="1103"/>
    </row>
    <row r="18" spans="1:38" ht="15.75">
      <c r="A18" s="31"/>
      <c r="B18" s="908" t="s">
        <v>1154</v>
      </c>
      <c r="C18" s="31"/>
      <c r="D18" s="107"/>
      <c r="E18" s="1099"/>
      <c r="F18" s="118"/>
      <c r="G18" s="1099"/>
      <c r="H18" s="118"/>
      <c r="I18" s="1099"/>
      <c r="J18" s="118"/>
      <c r="K18" s="1099"/>
      <c r="L18" s="66"/>
      <c r="M18" s="66"/>
      <c r="N18" s="66"/>
      <c r="O18" s="278"/>
      <c r="P18" s="66"/>
      <c r="Q18" s="278"/>
      <c r="R18" s="66"/>
      <c r="S18" s="278"/>
      <c r="T18" s="66"/>
      <c r="U18" s="278"/>
      <c r="V18" s="66"/>
      <c r="W18" s="278"/>
      <c r="X18" s="66"/>
      <c r="Y18" s="278"/>
      <c r="Z18" s="66"/>
      <c r="AA18" s="1099"/>
      <c r="AB18" s="118"/>
      <c r="AC18" s="692"/>
      <c r="AD18" s="3336"/>
      <c r="AE18" s="1104"/>
      <c r="AF18" s="67"/>
      <c r="AG18" s="118"/>
      <c r="AH18" s="119"/>
      <c r="AI18" s="1101"/>
      <c r="AJ18" s="119"/>
      <c r="AK18" s="336"/>
      <c r="AL18" s="8"/>
    </row>
    <row r="19" spans="1:38" s="1009" customFormat="1">
      <c r="A19" s="1010"/>
      <c r="B19" s="908" t="s">
        <v>1067</v>
      </c>
      <c r="C19" s="1010"/>
      <c r="D19" s="1010"/>
      <c r="E19" s="1584">
        <v>0</v>
      </c>
      <c r="F19" s="911"/>
      <c r="G19" s="1584">
        <v>0</v>
      </c>
      <c r="H19" s="911"/>
      <c r="I19" s="1584">
        <v>0</v>
      </c>
      <c r="J19" s="911"/>
      <c r="K19" s="1584">
        <v>0</v>
      </c>
      <c r="L19" s="911"/>
      <c r="M19" s="1584">
        <v>0</v>
      </c>
      <c r="N19" s="911"/>
      <c r="O19" s="1584">
        <v>0</v>
      </c>
      <c r="P19" s="911"/>
      <c r="Q19" s="1584">
        <v>0</v>
      </c>
      <c r="R19" s="911"/>
      <c r="S19" s="1584">
        <v>0</v>
      </c>
      <c r="T19" s="1450"/>
      <c r="U19" s="1584">
        <v>0</v>
      </c>
      <c r="V19" s="911"/>
      <c r="W19" s="1584">
        <f>$AD19-$E19-$G19-$I19-$K19-$M19-$O19-$Q19-$S19-$U19</f>
        <v>0</v>
      </c>
      <c r="X19" s="911"/>
      <c r="Y19" s="1584"/>
      <c r="Z19" s="911"/>
      <c r="AA19" s="1584"/>
      <c r="AB19" s="911"/>
      <c r="AC19" s="1451"/>
      <c r="AD19" s="1584">
        <v>0</v>
      </c>
      <c r="AE19" s="3337"/>
      <c r="AF19" s="1040"/>
      <c r="AG19" s="1584">
        <v>0</v>
      </c>
      <c r="AH19" s="698"/>
      <c r="AI19" s="1985"/>
      <c r="AJ19" s="698">
        <f>ROUND(AD19-AG19,1)</f>
        <v>0</v>
      </c>
      <c r="AK19" s="1773"/>
      <c r="AL19" s="1774">
        <f>ROUND(IF(AG19=0,0,AJ19/ABS(AG19)),3)</f>
        <v>0</v>
      </c>
    </row>
    <row r="20" spans="1:38" s="1009" customFormat="1" ht="15.75">
      <c r="A20" s="1010"/>
      <c r="B20" s="908" t="s">
        <v>1155</v>
      </c>
      <c r="C20" s="1010"/>
      <c r="D20" s="1010"/>
      <c r="E20" s="1584" t="s">
        <v>15</v>
      </c>
      <c r="F20" s="911"/>
      <c r="G20" s="1584"/>
      <c r="H20" s="911"/>
      <c r="I20" s="1584"/>
      <c r="J20" s="911"/>
      <c r="K20" s="1584"/>
      <c r="L20" s="911"/>
      <c r="M20" s="1584"/>
      <c r="N20" s="911"/>
      <c r="O20" s="1584"/>
      <c r="P20" s="911"/>
      <c r="Q20" s="1584"/>
      <c r="R20" s="911"/>
      <c r="S20" s="1584"/>
      <c r="T20" s="911"/>
      <c r="U20" s="1584"/>
      <c r="V20" s="911"/>
      <c r="W20" s="1584"/>
      <c r="X20" s="911"/>
      <c r="Y20" s="1584"/>
      <c r="Z20" s="911"/>
      <c r="AA20" s="1584"/>
      <c r="AB20" s="911"/>
      <c r="AC20" s="1451"/>
      <c r="AD20" s="911"/>
      <c r="AE20" s="3337"/>
      <c r="AF20" s="1040"/>
      <c r="AG20" s="911"/>
      <c r="AH20" s="698"/>
      <c r="AI20" s="1101"/>
      <c r="AJ20" s="698" t="s">
        <v>15</v>
      </c>
      <c r="AK20" s="1773"/>
      <c r="AL20" s="1775" t="s">
        <v>15</v>
      </c>
    </row>
    <row r="21" spans="1:38" s="1009" customFormat="1" ht="15.75">
      <c r="A21" s="1010"/>
      <c r="B21" s="908" t="s">
        <v>1068</v>
      </c>
      <c r="C21" s="1010"/>
      <c r="D21" s="1010"/>
      <c r="E21" s="1584">
        <v>0</v>
      </c>
      <c r="F21" s="911"/>
      <c r="G21" s="1584">
        <v>0</v>
      </c>
      <c r="H21" s="911"/>
      <c r="I21" s="1584">
        <v>0</v>
      </c>
      <c r="J21" s="911"/>
      <c r="K21" s="1584">
        <v>0</v>
      </c>
      <c r="L21" s="911"/>
      <c r="M21" s="1584">
        <v>0</v>
      </c>
      <c r="N21" s="911"/>
      <c r="O21" s="1584">
        <v>0</v>
      </c>
      <c r="P21" s="911"/>
      <c r="Q21" s="1584">
        <v>0</v>
      </c>
      <c r="R21" s="911"/>
      <c r="S21" s="1584">
        <v>0</v>
      </c>
      <c r="T21" s="1584"/>
      <c r="U21" s="1584">
        <v>0</v>
      </c>
      <c r="V21" s="911"/>
      <c r="W21" s="1584">
        <f t="shared" ref="W21:W41" si="0">$AD21-$E21-$G21-$I21-$K21-$M21-$O21-$Q21-$S21-$U21</f>
        <v>0</v>
      </c>
      <c r="X21" s="911"/>
      <c r="Y21" s="1584"/>
      <c r="Z21" s="911"/>
      <c r="AA21" s="1584"/>
      <c r="AB21" s="911"/>
      <c r="AC21" s="1451"/>
      <c r="AD21" s="1584">
        <v>0</v>
      </c>
      <c r="AE21" s="3337"/>
      <c r="AF21" s="1040"/>
      <c r="AG21" s="1584">
        <v>0</v>
      </c>
      <c r="AH21" s="698"/>
      <c r="AI21" s="1101"/>
      <c r="AJ21" s="698">
        <f t="shared" ref="AJ21:AJ41" si="1">ROUND(AD21-AG21,1)</f>
        <v>0</v>
      </c>
      <c r="AK21" s="1773"/>
      <c r="AL21" s="1775">
        <f>ROUND(IF(AG21=0,0,AJ21/ABS(AG21)),3)</f>
        <v>0</v>
      </c>
    </row>
    <row r="22" spans="1:38" s="1009" customFormat="1" ht="15.75">
      <c r="A22" s="1010"/>
      <c r="B22" s="908" t="s">
        <v>1160</v>
      </c>
      <c r="C22" s="1010"/>
      <c r="D22" s="1010"/>
      <c r="E22" s="1584" t="s">
        <v>15</v>
      </c>
      <c r="F22" s="911"/>
      <c r="G22" s="1584"/>
      <c r="H22" s="911"/>
      <c r="I22" s="1584"/>
      <c r="J22" s="911"/>
      <c r="K22" s="1584"/>
      <c r="L22" s="911"/>
      <c r="M22" s="1584"/>
      <c r="N22" s="911"/>
      <c r="O22" s="1584"/>
      <c r="P22" s="911"/>
      <c r="Q22" s="1584"/>
      <c r="R22" s="911"/>
      <c r="S22" s="1584"/>
      <c r="T22" s="911"/>
      <c r="U22" s="1584"/>
      <c r="V22" s="911"/>
      <c r="W22" s="1584"/>
      <c r="X22" s="911"/>
      <c r="Y22" s="1584"/>
      <c r="Z22" s="911"/>
      <c r="AA22" s="1584"/>
      <c r="AB22" s="911"/>
      <c r="AC22" s="1451"/>
      <c r="AD22" s="911"/>
      <c r="AE22" s="3337"/>
      <c r="AF22" s="1040"/>
      <c r="AG22" s="911"/>
      <c r="AH22" s="698"/>
      <c r="AI22" s="1101"/>
      <c r="AJ22" s="698" t="s">
        <v>15</v>
      </c>
      <c r="AK22" s="1773"/>
      <c r="AL22" s="1775" t="s">
        <v>15</v>
      </c>
    </row>
    <row r="23" spans="1:38" s="1009" customFormat="1" ht="15.75">
      <c r="A23" s="1010"/>
      <c r="B23" s="908" t="s">
        <v>1072</v>
      </c>
      <c r="C23" s="1010"/>
      <c r="D23" s="1010"/>
      <c r="E23" s="1584">
        <v>0</v>
      </c>
      <c r="F23" s="911"/>
      <c r="G23" s="1584">
        <v>0</v>
      </c>
      <c r="H23" s="911"/>
      <c r="I23" s="1584">
        <v>0</v>
      </c>
      <c r="J23" s="911"/>
      <c r="K23" s="1584">
        <v>0</v>
      </c>
      <c r="L23" s="911"/>
      <c r="M23" s="1584">
        <v>0</v>
      </c>
      <c r="N23" s="911"/>
      <c r="O23" s="1584">
        <v>0</v>
      </c>
      <c r="P23" s="911"/>
      <c r="Q23" s="1584">
        <v>0</v>
      </c>
      <c r="R23" s="911"/>
      <c r="S23" s="1584">
        <v>0</v>
      </c>
      <c r="T23" s="1584"/>
      <c r="U23" s="1584">
        <v>0</v>
      </c>
      <c r="V23" s="911"/>
      <c r="W23" s="1584">
        <f t="shared" si="0"/>
        <v>0</v>
      </c>
      <c r="X23" s="911"/>
      <c r="Y23" s="1584"/>
      <c r="Z23" s="911"/>
      <c r="AA23" s="1584"/>
      <c r="AB23" s="911"/>
      <c r="AC23" s="1451"/>
      <c r="AD23" s="1584">
        <v>0</v>
      </c>
      <c r="AE23" s="3337"/>
      <c r="AF23" s="1040"/>
      <c r="AG23" s="1584">
        <v>0</v>
      </c>
      <c r="AH23" s="698"/>
      <c r="AI23" s="1101"/>
      <c r="AJ23" s="698">
        <f t="shared" si="1"/>
        <v>0</v>
      </c>
      <c r="AK23" s="1773"/>
      <c r="AL23" s="1775">
        <f t="shared" ref="AL23:AL28" si="2">ROUND(IF(AG23=0,0,AJ23/ABS(AG23)),3)</f>
        <v>0</v>
      </c>
    </row>
    <row r="24" spans="1:38" s="1009" customFormat="1" ht="15.75">
      <c r="A24" s="1010"/>
      <c r="B24" s="908" t="s">
        <v>1221</v>
      </c>
      <c r="C24" s="1010"/>
      <c r="D24" s="1010"/>
      <c r="E24" s="1584">
        <v>0</v>
      </c>
      <c r="F24" s="911"/>
      <c r="G24" s="1584">
        <v>0</v>
      </c>
      <c r="H24" s="911"/>
      <c r="I24" s="1584">
        <v>0</v>
      </c>
      <c r="J24" s="911"/>
      <c r="K24" s="1584">
        <v>0</v>
      </c>
      <c r="L24" s="911"/>
      <c r="M24" s="1584">
        <v>0</v>
      </c>
      <c r="N24" s="911"/>
      <c r="O24" s="1584">
        <v>0</v>
      </c>
      <c r="P24" s="911"/>
      <c r="Q24" s="1584">
        <v>0</v>
      </c>
      <c r="R24" s="911"/>
      <c r="S24" s="1584">
        <v>0</v>
      </c>
      <c r="T24" s="1584"/>
      <c r="U24" s="1584">
        <v>0</v>
      </c>
      <c r="V24" s="911"/>
      <c r="W24" s="1584">
        <f t="shared" si="0"/>
        <v>0</v>
      </c>
      <c r="X24" s="911"/>
      <c r="Y24" s="1584"/>
      <c r="Z24" s="911"/>
      <c r="AA24" s="1584"/>
      <c r="AB24" s="911"/>
      <c r="AC24" s="1451"/>
      <c r="AD24" s="1584">
        <v>0</v>
      </c>
      <c r="AE24" s="3337"/>
      <c r="AF24" s="1040"/>
      <c r="AG24" s="1584">
        <v>0</v>
      </c>
      <c r="AH24" s="698"/>
      <c r="AI24" s="1101"/>
      <c r="AJ24" s="698">
        <f>ROUND(AD24-AG24,1)</f>
        <v>0</v>
      </c>
      <c r="AK24" s="1773"/>
      <c r="AL24" s="1775">
        <f t="shared" si="2"/>
        <v>0</v>
      </c>
    </row>
    <row r="25" spans="1:38" s="1009" customFormat="1" ht="15.75">
      <c r="A25" s="1010"/>
      <c r="B25" s="908" t="s">
        <v>1075</v>
      </c>
      <c r="C25" s="1010"/>
      <c r="D25" s="1010"/>
      <c r="E25" s="1584">
        <v>0</v>
      </c>
      <c r="F25" s="911"/>
      <c r="G25" s="1584">
        <v>0</v>
      </c>
      <c r="H25" s="911"/>
      <c r="I25" s="1584">
        <v>0</v>
      </c>
      <c r="J25" s="911"/>
      <c r="K25" s="1584">
        <v>0</v>
      </c>
      <c r="L25" s="911"/>
      <c r="M25" s="1584">
        <v>0</v>
      </c>
      <c r="N25" s="911"/>
      <c r="O25" s="1584">
        <v>0</v>
      </c>
      <c r="P25" s="911"/>
      <c r="Q25" s="1584">
        <v>0</v>
      </c>
      <c r="R25" s="911"/>
      <c r="S25" s="1584">
        <v>0</v>
      </c>
      <c r="T25" s="1584"/>
      <c r="U25" s="1584">
        <v>0</v>
      </c>
      <c r="V25" s="911"/>
      <c r="W25" s="1584">
        <f t="shared" si="0"/>
        <v>0</v>
      </c>
      <c r="X25" s="911"/>
      <c r="Y25" s="1584"/>
      <c r="Z25" s="911"/>
      <c r="AA25" s="1584"/>
      <c r="AB25" s="911"/>
      <c r="AC25" s="1451"/>
      <c r="AD25" s="1584">
        <v>0</v>
      </c>
      <c r="AE25" s="3337"/>
      <c r="AF25" s="1040"/>
      <c r="AG25" s="1584">
        <v>0</v>
      </c>
      <c r="AH25" s="698"/>
      <c r="AI25" s="1101"/>
      <c r="AJ25" s="698">
        <f t="shared" si="1"/>
        <v>0</v>
      </c>
      <c r="AK25" s="1773"/>
      <c r="AL25" s="1775">
        <f t="shared" si="2"/>
        <v>0</v>
      </c>
    </row>
    <row r="26" spans="1:38" s="1009" customFormat="1" ht="15.75">
      <c r="A26" s="1010"/>
      <c r="B26" s="908" t="s">
        <v>1076</v>
      </c>
      <c r="C26" s="1010"/>
      <c r="D26" s="1010"/>
      <c r="E26" s="1584">
        <v>0</v>
      </c>
      <c r="F26" s="911"/>
      <c r="G26" s="1584">
        <v>0</v>
      </c>
      <c r="H26" s="911"/>
      <c r="I26" s="1584">
        <v>0</v>
      </c>
      <c r="J26" s="911"/>
      <c r="K26" s="1584">
        <v>0</v>
      </c>
      <c r="L26" s="911"/>
      <c r="M26" s="1584">
        <v>0</v>
      </c>
      <c r="N26" s="911"/>
      <c r="O26" s="1584">
        <v>0</v>
      </c>
      <c r="P26" s="911"/>
      <c r="Q26" s="1584">
        <v>0</v>
      </c>
      <c r="R26" s="911"/>
      <c r="S26" s="1584">
        <v>0</v>
      </c>
      <c r="T26" s="1584"/>
      <c r="U26" s="1584">
        <v>0</v>
      </c>
      <c r="V26" s="911"/>
      <c r="W26" s="1584">
        <f t="shared" si="0"/>
        <v>0</v>
      </c>
      <c r="X26" s="911"/>
      <c r="Y26" s="1584"/>
      <c r="Z26" s="911"/>
      <c r="AA26" s="1584"/>
      <c r="AB26" s="911"/>
      <c r="AC26" s="1451"/>
      <c r="AD26" s="1584">
        <v>0</v>
      </c>
      <c r="AE26" s="3337"/>
      <c r="AF26" s="1040"/>
      <c r="AG26" s="1584">
        <v>0</v>
      </c>
      <c r="AH26" s="698"/>
      <c r="AI26" s="1101"/>
      <c r="AJ26" s="698">
        <f t="shared" si="1"/>
        <v>0</v>
      </c>
      <c r="AK26" s="1773"/>
      <c r="AL26" s="1775">
        <f t="shared" si="2"/>
        <v>0</v>
      </c>
    </row>
    <row r="27" spans="1:38" s="1009" customFormat="1" ht="15.75">
      <c r="A27" s="1010"/>
      <c r="B27" s="908" t="s">
        <v>1034</v>
      </c>
      <c r="C27" s="1010"/>
      <c r="D27" s="1010"/>
      <c r="E27" s="1584">
        <v>0</v>
      </c>
      <c r="F27" s="911"/>
      <c r="G27" s="1584">
        <v>0</v>
      </c>
      <c r="H27" s="911"/>
      <c r="I27" s="1584">
        <v>0</v>
      </c>
      <c r="J27" s="911"/>
      <c r="K27" s="1584">
        <v>0</v>
      </c>
      <c r="L27" s="911"/>
      <c r="M27" s="1584">
        <v>0</v>
      </c>
      <c r="N27" s="911"/>
      <c r="O27" s="1584">
        <v>0</v>
      </c>
      <c r="P27" s="911"/>
      <c r="Q27" s="1584">
        <v>0</v>
      </c>
      <c r="R27" s="911"/>
      <c r="S27" s="1584">
        <v>0</v>
      </c>
      <c r="T27" s="1584"/>
      <c r="U27" s="1584">
        <v>0</v>
      </c>
      <c r="V27" s="911"/>
      <c r="W27" s="1584">
        <f t="shared" si="0"/>
        <v>0</v>
      </c>
      <c r="X27" s="911"/>
      <c r="Y27" s="1584"/>
      <c r="Z27" s="911"/>
      <c r="AA27" s="1584"/>
      <c r="AB27" s="911"/>
      <c r="AC27" s="1451"/>
      <c r="AD27" s="1584">
        <v>0</v>
      </c>
      <c r="AE27" s="3337"/>
      <c r="AF27" s="1040"/>
      <c r="AG27" s="1584">
        <v>0</v>
      </c>
      <c r="AH27" s="698"/>
      <c r="AI27" s="1101"/>
      <c r="AJ27" s="698">
        <f t="shared" si="1"/>
        <v>0</v>
      </c>
      <c r="AK27" s="1773"/>
      <c r="AL27" s="1775">
        <f t="shared" si="2"/>
        <v>0</v>
      </c>
    </row>
    <row r="28" spans="1:38" s="1009" customFormat="1" ht="15.75">
      <c r="A28" s="1010"/>
      <c r="B28" s="908" t="s">
        <v>1035</v>
      </c>
      <c r="C28" s="1010"/>
      <c r="D28" s="1010"/>
      <c r="E28" s="1584">
        <v>0</v>
      </c>
      <c r="F28" s="911"/>
      <c r="G28" s="1584">
        <v>0</v>
      </c>
      <c r="H28" s="911"/>
      <c r="I28" s="1584">
        <v>0</v>
      </c>
      <c r="J28" s="911"/>
      <c r="K28" s="1584">
        <v>0</v>
      </c>
      <c r="L28" s="911"/>
      <c r="M28" s="1584">
        <v>0</v>
      </c>
      <c r="N28" s="911"/>
      <c r="O28" s="1584">
        <v>0</v>
      </c>
      <c r="P28" s="911"/>
      <c r="Q28" s="1584">
        <v>0</v>
      </c>
      <c r="R28" s="911"/>
      <c r="S28" s="1584">
        <v>0</v>
      </c>
      <c r="T28" s="1584"/>
      <c r="U28" s="1584">
        <v>0</v>
      </c>
      <c r="V28" s="911"/>
      <c r="W28" s="1584">
        <f t="shared" si="0"/>
        <v>0</v>
      </c>
      <c r="X28" s="911"/>
      <c r="Y28" s="1584"/>
      <c r="Z28" s="911"/>
      <c r="AA28" s="1584"/>
      <c r="AB28" s="911"/>
      <c r="AC28" s="1451"/>
      <c r="AD28" s="1584">
        <v>0</v>
      </c>
      <c r="AE28" s="3337"/>
      <c r="AF28" s="1040"/>
      <c r="AG28" s="1584">
        <v>0</v>
      </c>
      <c r="AH28" s="698"/>
      <c r="AI28" s="1101"/>
      <c r="AJ28" s="698">
        <f t="shared" si="1"/>
        <v>0</v>
      </c>
      <c r="AK28" s="1773"/>
      <c r="AL28" s="1775">
        <f t="shared" si="2"/>
        <v>0</v>
      </c>
    </row>
    <row r="29" spans="1:38" s="1009" customFormat="1" ht="15.75">
      <c r="A29" s="1010"/>
      <c r="B29" s="908" t="s">
        <v>1158</v>
      </c>
      <c r="C29" s="1010"/>
      <c r="D29" s="1010"/>
      <c r="E29" s="1584" t="s">
        <v>15</v>
      </c>
      <c r="F29" s="911"/>
      <c r="G29" s="1584"/>
      <c r="H29" s="911"/>
      <c r="I29" s="1584"/>
      <c r="J29" s="911"/>
      <c r="K29" s="1584"/>
      <c r="L29" s="911"/>
      <c r="M29" s="1584"/>
      <c r="N29" s="911"/>
      <c r="O29" s="1584"/>
      <c r="P29" s="911"/>
      <c r="Q29" s="1584"/>
      <c r="R29" s="911"/>
      <c r="S29" s="1584"/>
      <c r="T29" s="911"/>
      <c r="U29" s="1584"/>
      <c r="V29" s="911"/>
      <c r="W29" s="1584"/>
      <c r="X29" s="911"/>
      <c r="Y29" s="1584"/>
      <c r="Z29" s="911"/>
      <c r="AA29" s="1584"/>
      <c r="AB29" s="911"/>
      <c r="AC29" s="1451"/>
      <c r="AD29" s="911"/>
      <c r="AE29" s="3337"/>
      <c r="AF29" s="1040"/>
      <c r="AG29" s="911"/>
      <c r="AH29" s="698"/>
      <c r="AI29" s="1101"/>
      <c r="AJ29" s="698" t="s">
        <v>15</v>
      </c>
      <c r="AK29" s="1773"/>
      <c r="AL29" s="1775" t="s">
        <v>15</v>
      </c>
    </row>
    <row r="30" spans="1:38" s="1009" customFormat="1" ht="15.75">
      <c r="A30" s="1010"/>
      <c r="B30" s="908" t="s">
        <v>1080</v>
      </c>
      <c r="C30" s="1010"/>
      <c r="D30" s="1010"/>
      <c r="E30" s="1584">
        <v>0</v>
      </c>
      <c r="F30" s="911"/>
      <c r="G30" s="1584">
        <v>0</v>
      </c>
      <c r="H30" s="911"/>
      <c r="I30" s="1584">
        <v>0</v>
      </c>
      <c r="J30" s="911"/>
      <c r="K30" s="1584">
        <v>0</v>
      </c>
      <c r="L30" s="911"/>
      <c r="M30" s="1584">
        <v>0</v>
      </c>
      <c r="N30" s="911"/>
      <c r="O30" s="1584">
        <v>0</v>
      </c>
      <c r="P30" s="911"/>
      <c r="Q30" s="1584">
        <v>0</v>
      </c>
      <c r="R30" s="911"/>
      <c r="S30" s="1584">
        <v>0</v>
      </c>
      <c r="T30" s="1584"/>
      <c r="U30" s="1584">
        <v>0</v>
      </c>
      <c r="V30" s="911"/>
      <c r="W30" s="1584">
        <f t="shared" si="0"/>
        <v>0</v>
      </c>
      <c r="X30" s="911"/>
      <c r="Y30" s="1584"/>
      <c r="Z30" s="911"/>
      <c r="AA30" s="1584"/>
      <c r="AB30" s="911"/>
      <c r="AC30" s="1451"/>
      <c r="AD30" s="1584">
        <v>0</v>
      </c>
      <c r="AE30" s="3337"/>
      <c r="AF30" s="1040"/>
      <c r="AG30" s="1584">
        <v>0</v>
      </c>
      <c r="AH30" s="698"/>
      <c r="AI30" s="1101"/>
      <c r="AJ30" s="698">
        <f t="shared" si="1"/>
        <v>0</v>
      </c>
      <c r="AK30" s="1773"/>
      <c r="AL30" s="1775">
        <f>ROUND(IF(AG30=0,0,AJ30/ABS(AG30)),3)</f>
        <v>0</v>
      </c>
    </row>
    <row r="31" spans="1:38" s="1009" customFormat="1" ht="15.75">
      <c r="A31" s="1010"/>
      <c r="B31" s="908" t="s">
        <v>1082</v>
      </c>
      <c r="C31" s="1010"/>
      <c r="D31" s="1010"/>
      <c r="E31" s="1584">
        <v>0</v>
      </c>
      <c r="F31" s="1584"/>
      <c r="G31" s="1584">
        <v>0</v>
      </c>
      <c r="H31" s="1584"/>
      <c r="I31" s="1584">
        <v>0</v>
      </c>
      <c r="J31" s="1584"/>
      <c r="K31" s="1584">
        <v>0</v>
      </c>
      <c r="L31" s="911"/>
      <c r="M31" s="1584">
        <v>0</v>
      </c>
      <c r="N31" s="911"/>
      <c r="O31" s="1584">
        <v>0</v>
      </c>
      <c r="P31" s="911"/>
      <c r="Q31" s="1584">
        <v>0</v>
      </c>
      <c r="R31" s="911"/>
      <c r="S31" s="1584">
        <v>0</v>
      </c>
      <c r="T31" s="1584"/>
      <c r="U31" s="1584">
        <v>0</v>
      </c>
      <c r="V31" s="911"/>
      <c r="W31" s="1584">
        <f t="shared" si="0"/>
        <v>0</v>
      </c>
      <c r="X31" s="911"/>
      <c r="Y31" s="1584"/>
      <c r="Z31" s="911"/>
      <c r="AA31" s="1584"/>
      <c r="AB31" s="911"/>
      <c r="AC31" s="1451"/>
      <c r="AD31" s="1584">
        <v>0</v>
      </c>
      <c r="AE31" s="3337"/>
      <c r="AF31" s="1040"/>
      <c r="AG31" s="1584">
        <v>0</v>
      </c>
      <c r="AH31" s="698"/>
      <c r="AI31" s="1101"/>
      <c r="AJ31" s="698">
        <f t="shared" si="1"/>
        <v>0</v>
      </c>
      <c r="AK31" s="1773"/>
      <c r="AL31" s="1775">
        <f>ROUND(IF(AG31=0,0,AJ31/ABS(AG31)),3)</f>
        <v>0</v>
      </c>
    </row>
    <row r="32" spans="1:38" s="1009" customFormat="1" ht="15.75">
      <c r="A32" s="1010"/>
      <c r="B32" s="908" t="s">
        <v>1083</v>
      </c>
      <c r="C32" s="1010"/>
      <c r="D32" s="1010"/>
      <c r="E32" s="1584">
        <v>0</v>
      </c>
      <c r="F32" s="911"/>
      <c r="G32" s="1584">
        <v>0</v>
      </c>
      <c r="H32" s="911"/>
      <c r="I32" s="1584">
        <v>0</v>
      </c>
      <c r="J32" s="911"/>
      <c r="K32" s="1584">
        <v>0</v>
      </c>
      <c r="L32" s="911"/>
      <c r="M32" s="1584">
        <v>0</v>
      </c>
      <c r="N32" s="911"/>
      <c r="O32" s="1584">
        <v>0</v>
      </c>
      <c r="P32" s="911"/>
      <c r="Q32" s="1584">
        <v>0</v>
      </c>
      <c r="R32" s="911"/>
      <c r="S32" s="1584">
        <v>0</v>
      </c>
      <c r="T32" s="1584"/>
      <c r="U32" s="1584">
        <v>0</v>
      </c>
      <c r="V32" s="911"/>
      <c r="W32" s="1584">
        <f t="shared" si="0"/>
        <v>0</v>
      </c>
      <c r="X32" s="911"/>
      <c r="Y32" s="1584"/>
      <c r="Z32" s="911"/>
      <c r="AA32" s="1584"/>
      <c r="AB32" s="911"/>
      <c r="AC32" s="1451"/>
      <c r="AD32" s="1584">
        <v>0</v>
      </c>
      <c r="AE32" s="3337"/>
      <c r="AF32" s="1040"/>
      <c r="AG32" s="1584">
        <v>0</v>
      </c>
      <c r="AH32" s="698"/>
      <c r="AI32" s="1101"/>
      <c r="AJ32" s="698">
        <f>ROUND(AD32-AG32,1)</f>
        <v>0</v>
      </c>
      <c r="AK32" s="1773"/>
      <c r="AL32" s="1775">
        <f>ROUND(IF(AG32=0,0,AJ32/ABS(AG32)),3)</f>
        <v>0</v>
      </c>
    </row>
    <row r="33" spans="1:39" s="1109" customFormat="1" ht="15.75">
      <c r="A33" s="107"/>
      <c r="B33" s="908" t="s">
        <v>1053</v>
      </c>
      <c r="C33" s="107"/>
      <c r="D33" s="107"/>
      <c r="E33" s="1584">
        <v>0</v>
      </c>
      <c r="F33" s="911"/>
      <c r="G33" s="1584">
        <v>0</v>
      </c>
      <c r="H33" s="911"/>
      <c r="I33" s="1584">
        <v>0</v>
      </c>
      <c r="J33" s="911"/>
      <c r="K33" s="1584">
        <v>0</v>
      </c>
      <c r="L33" s="911"/>
      <c r="M33" s="1584">
        <v>0</v>
      </c>
      <c r="N33" s="911"/>
      <c r="O33" s="1584">
        <v>0</v>
      </c>
      <c r="P33" s="911"/>
      <c r="Q33" s="1584">
        <v>0</v>
      </c>
      <c r="R33" s="911"/>
      <c r="S33" s="1584">
        <v>0</v>
      </c>
      <c r="T33" s="1584"/>
      <c r="U33" s="1584">
        <v>0</v>
      </c>
      <c r="V33" s="911"/>
      <c r="W33" s="1584">
        <f t="shared" si="0"/>
        <v>0</v>
      </c>
      <c r="X33" s="911"/>
      <c r="Y33" s="1584"/>
      <c r="Z33" s="911"/>
      <c r="AA33" s="1584"/>
      <c r="AB33" s="911"/>
      <c r="AC33" s="1451"/>
      <c r="AD33" s="1584">
        <v>0</v>
      </c>
      <c r="AE33" s="3337"/>
      <c r="AF33" s="1040"/>
      <c r="AG33" s="1584">
        <v>0</v>
      </c>
      <c r="AH33" s="119"/>
      <c r="AI33" s="1101"/>
      <c r="AJ33" s="119">
        <f t="shared" si="1"/>
        <v>0</v>
      </c>
      <c r="AK33" s="1102"/>
      <c r="AL33" s="1777">
        <f>ROUND(IF(AG33=0,0,AJ33/ABS(AG33)),3)</f>
        <v>0</v>
      </c>
    </row>
    <row r="34" spans="1:39" s="1109" customFormat="1" ht="15.75">
      <c r="A34" s="107"/>
      <c r="B34" s="908" t="s">
        <v>1054</v>
      </c>
      <c r="C34" s="107"/>
      <c r="D34" s="107"/>
      <c r="E34" s="1584">
        <v>0.1</v>
      </c>
      <c r="F34" s="911"/>
      <c r="G34" s="1584">
        <v>0</v>
      </c>
      <c r="H34" s="911"/>
      <c r="I34" s="1584">
        <v>0.1</v>
      </c>
      <c r="J34" s="911"/>
      <c r="K34" s="1584">
        <v>9.9999999999999978E-2</v>
      </c>
      <c r="L34" s="911"/>
      <c r="M34" s="1584">
        <v>0</v>
      </c>
      <c r="N34" s="911"/>
      <c r="O34" s="1584">
        <v>0.10000000000000006</v>
      </c>
      <c r="P34" s="911"/>
      <c r="Q34" s="1584">
        <v>0.1</v>
      </c>
      <c r="R34" s="911"/>
      <c r="S34" s="1584">
        <v>9.9999999999999978E-2</v>
      </c>
      <c r="T34" s="1584"/>
      <c r="U34" s="1584">
        <v>0</v>
      </c>
      <c r="V34" s="911"/>
      <c r="W34" s="1584">
        <f t="shared" si="0"/>
        <v>9.999999999999995E-2</v>
      </c>
      <c r="X34" s="911"/>
      <c r="Y34" s="1584"/>
      <c r="Z34" s="911"/>
      <c r="AA34" s="1584"/>
      <c r="AB34" s="911"/>
      <c r="AC34" s="1451"/>
      <c r="AD34" s="1584">
        <v>0.7</v>
      </c>
      <c r="AE34" s="3337"/>
      <c r="AF34" s="1040"/>
      <c r="AG34" s="1584">
        <v>0.6</v>
      </c>
      <c r="AH34" s="119"/>
      <c r="AI34" s="1101"/>
      <c r="AJ34" s="119">
        <f t="shared" si="1"/>
        <v>0.1</v>
      </c>
      <c r="AK34" s="1102"/>
      <c r="AL34" s="1699">
        <f>ROUND(IF(AG34=0,1,AJ34/ABS(AG34)),3)</f>
        <v>0.16700000000000001</v>
      </c>
    </row>
    <row r="35" spans="1:39" s="1109" customFormat="1" ht="15.75">
      <c r="A35" s="107"/>
      <c r="B35" s="908" t="s">
        <v>1159</v>
      </c>
      <c r="C35" s="107"/>
      <c r="D35" s="107"/>
      <c r="E35" s="1584" t="s">
        <v>15</v>
      </c>
      <c r="F35" s="911"/>
      <c r="G35" s="1584"/>
      <c r="H35" s="911"/>
      <c r="I35" s="1584"/>
      <c r="J35" s="911"/>
      <c r="K35" s="1584"/>
      <c r="L35" s="118"/>
      <c r="M35" s="1584"/>
      <c r="N35" s="118"/>
      <c r="O35" s="1584"/>
      <c r="P35" s="118"/>
      <c r="Q35" s="1584"/>
      <c r="R35" s="118"/>
      <c r="S35" s="1584"/>
      <c r="T35" s="118"/>
      <c r="U35" s="1584"/>
      <c r="V35" s="118"/>
      <c r="W35" s="1584"/>
      <c r="X35" s="118"/>
      <c r="Y35" s="1584"/>
      <c r="Z35" s="118"/>
      <c r="AA35" s="1584"/>
      <c r="AB35" s="118"/>
      <c r="AC35" s="692"/>
      <c r="AD35" s="118"/>
      <c r="AE35" s="1104"/>
      <c r="AF35" s="67"/>
      <c r="AG35" s="118"/>
      <c r="AH35" s="119"/>
      <c r="AI35" s="1101"/>
      <c r="AJ35" s="698" t="s">
        <v>15</v>
      </c>
      <c r="AK35" s="1102"/>
      <c r="AL35" s="1775" t="s">
        <v>15</v>
      </c>
    </row>
    <row r="36" spans="1:39" s="1109" customFormat="1" ht="15.75">
      <c r="A36" s="107"/>
      <c r="B36" s="908" t="s">
        <v>1084</v>
      </c>
      <c r="C36" s="107"/>
      <c r="D36" s="107"/>
      <c r="E36" s="1584">
        <v>0</v>
      </c>
      <c r="F36" s="911"/>
      <c r="G36" s="1584">
        <v>0</v>
      </c>
      <c r="H36" s="911"/>
      <c r="I36" s="1584">
        <v>0</v>
      </c>
      <c r="J36" s="911"/>
      <c r="K36" s="1584">
        <v>0</v>
      </c>
      <c r="L36" s="911"/>
      <c r="M36" s="1584">
        <v>0</v>
      </c>
      <c r="N36" s="911"/>
      <c r="O36" s="1584">
        <v>0</v>
      </c>
      <c r="P36" s="911"/>
      <c r="Q36" s="1584">
        <v>0</v>
      </c>
      <c r="R36" s="911"/>
      <c r="S36" s="1584">
        <v>0</v>
      </c>
      <c r="T36" s="1584"/>
      <c r="U36" s="1584">
        <v>0</v>
      </c>
      <c r="V36" s="911"/>
      <c r="W36" s="1584">
        <f t="shared" si="0"/>
        <v>0</v>
      </c>
      <c r="X36" s="911"/>
      <c r="Y36" s="1584"/>
      <c r="Z36" s="911"/>
      <c r="AA36" s="1584"/>
      <c r="AB36" s="911"/>
      <c r="AC36" s="1451"/>
      <c r="AD36" s="1584">
        <v>0</v>
      </c>
      <c r="AE36" s="3337"/>
      <c r="AF36" s="1040"/>
      <c r="AG36" s="1584">
        <v>0</v>
      </c>
      <c r="AH36" s="119"/>
      <c r="AI36" s="1101"/>
      <c r="AJ36" s="119">
        <f t="shared" si="1"/>
        <v>0</v>
      </c>
      <c r="AK36" s="1102"/>
      <c r="AL36" s="1777">
        <f t="shared" ref="AL36:AL42" si="3">ROUND(IF(AG36=0,0,AJ36/ABS(AG36)),3)</f>
        <v>0</v>
      </c>
    </row>
    <row r="37" spans="1:39" s="1109" customFormat="1" ht="15.75">
      <c r="A37" s="107"/>
      <c r="B37" s="908" t="s">
        <v>1086</v>
      </c>
      <c r="C37" s="107"/>
      <c r="D37" s="107"/>
      <c r="E37" s="1584">
        <v>0</v>
      </c>
      <c r="F37" s="911"/>
      <c r="G37" s="1584">
        <v>0</v>
      </c>
      <c r="H37" s="911"/>
      <c r="I37" s="1584">
        <v>0</v>
      </c>
      <c r="J37" s="911"/>
      <c r="K37" s="1584">
        <v>0</v>
      </c>
      <c r="L37" s="911"/>
      <c r="M37" s="1584">
        <v>0</v>
      </c>
      <c r="N37" s="911"/>
      <c r="O37" s="1584">
        <v>0</v>
      </c>
      <c r="P37" s="911"/>
      <c r="Q37" s="1584">
        <v>0</v>
      </c>
      <c r="R37" s="911"/>
      <c r="S37" s="1584">
        <v>0</v>
      </c>
      <c r="T37" s="1584"/>
      <c r="U37" s="1584">
        <v>0</v>
      </c>
      <c r="V37" s="911"/>
      <c r="W37" s="1584">
        <f t="shared" si="0"/>
        <v>0</v>
      </c>
      <c r="X37" s="911"/>
      <c r="Y37" s="1584"/>
      <c r="Z37" s="911"/>
      <c r="AA37" s="1584"/>
      <c r="AB37" s="911"/>
      <c r="AC37" s="1451"/>
      <c r="AD37" s="1584">
        <v>0</v>
      </c>
      <c r="AE37" s="3337"/>
      <c r="AF37" s="1040"/>
      <c r="AG37" s="1584">
        <v>0</v>
      </c>
      <c r="AH37" s="119"/>
      <c r="AI37" s="1101"/>
      <c r="AJ37" s="119">
        <f t="shared" si="1"/>
        <v>0</v>
      </c>
      <c r="AK37" s="1102"/>
      <c r="AL37" s="1777">
        <f t="shared" si="3"/>
        <v>0</v>
      </c>
    </row>
    <row r="38" spans="1:39" s="1109" customFormat="1" ht="15.75">
      <c r="A38" s="107"/>
      <c r="B38" s="908" t="s">
        <v>1087</v>
      </c>
      <c r="C38" s="107"/>
      <c r="D38" s="107"/>
      <c r="E38" s="1584">
        <v>0</v>
      </c>
      <c r="F38" s="911"/>
      <c r="G38" s="1584">
        <v>0</v>
      </c>
      <c r="H38" s="911"/>
      <c r="I38" s="1584">
        <v>0</v>
      </c>
      <c r="J38" s="911"/>
      <c r="K38" s="1584">
        <v>0</v>
      </c>
      <c r="L38" s="911"/>
      <c r="M38" s="1584">
        <v>0</v>
      </c>
      <c r="N38" s="911"/>
      <c r="O38" s="1584">
        <v>0</v>
      </c>
      <c r="P38" s="911"/>
      <c r="Q38" s="1584">
        <v>0</v>
      </c>
      <c r="R38" s="911"/>
      <c r="S38" s="1584">
        <v>0</v>
      </c>
      <c r="T38" s="1584"/>
      <c r="U38" s="1584">
        <v>0</v>
      </c>
      <c r="V38" s="911"/>
      <c r="W38" s="1584">
        <f t="shared" si="0"/>
        <v>0</v>
      </c>
      <c r="X38" s="911"/>
      <c r="Y38" s="1584"/>
      <c r="Z38" s="911"/>
      <c r="AA38" s="1584"/>
      <c r="AB38" s="911"/>
      <c r="AC38" s="1451"/>
      <c r="AD38" s="1584">
        <v>0</v>
      </c>
      <c r="AE38" s="3337"/>
      <c r="AF38" s="1040"/>
      <c r="AG38" s="1584">
        <v>0</v>
      </c>
      <c r="AH38" s="119"/>
      <c r="AI38" s="1101"/>
      <c r="AJ38" s="119">
        <f t="shared" si="1"/>
        <v>0</v>
      </c>
      <c r="AK38" s="1102"/>
      <c r="AL38" s="1777">
        <f t="shared" si="3"/>
        <v>0</v>
      </c>
    </row>
    <row r="39" spans="1:39" s="1109" customFormat="1" ht="15.75">
      <c r="A39" s="107"/>
      <c r="B39" s="908" t="s">
        <v>1090</v>
      </c>
      <c r="C39" s="107"/>
      <c r="D39" s="107"/>
      <c r="E39" s="1584">
        <v>0</v>
      </c>
      <c r="F39" s="911"/>
      <c r="G39" s="1584">
        <v>0</v>
      </c>
      <c r="H39" s="911"/>
      <c r="I39" s="1584">
        <v>0</v>
      </c>
      <c r="J39" s="911"/>
      <c r="K39" s="1584">
        <v>0</v>
      </c>
      <c r="L39" s="911"/>
      <c r="M39" s="1584">
        <v>0</v>
      </c>
      <c r="N39" s="911"/>
      <c r="O39" s="1584">
        <v>0</v>
      </c>
      <c r="P39" s="911"/>
      <c r="Q39" s="1584">
        <v>0</v>
      </c>
      <c r="R39" s="911"/>
      <c r="S39" s="1584">
        <v>0</v>
      </c>
      <c r="T39" s="1584"/>
      <c r="U39" s="1584">
        <v>0</v>
      </c>
      <c r="V39" s="911"/>
      <c r="W39" s="1584">
        <f t="shared" si="0"/>
        <v>0</v>
      </c>
      <c r="X39" s="911"/>
      <c r="Y39" s="1584"/>
      <c r="Z39" s="911"/>
      <c r="AA39" s="1584"/>
      <c r="AB39" s="911"/>
      <c r="AC39" s="1451"/>
      <c r="AD39" s="1584">
        <v>0</v>
      </c>
      <c r="AE39" s="3337"/>
      <c r="AF39" s="1040"/>
      <c r="AG39" s="1584">
        <v>0</v>
      </c>
      <c r="AH39" s="119"/>
      <c r="AI39" s="1101"/>
      <c r="AJ39" s="119">
        <f t="shared" si="1"/>
        <v>0</v>
      </c>
      <c r="AK39" s="1102"/>
      <c r="AL39" s="1777">
        <f t="shared" si="3"/>
        <v>0</v>
      </c>
    </row>
    <row r="40" spans="1:39" s="1109" customFormat="1" ht="15.75">
      <c r="A40" s="107"/>
      <c r="B40" s="908" t="s">
        <v>1092</v>
      </c>
      <c r="C40" s="107"/>
      <c r="D40" s="107"/>
      <c r="E40" s="1584">
        <v>0</v>
      </c>
      <c r="F40" s="911"/>
      <c r="G40" s="1584">
        <v>0</v>
      </c>
      <c r="H40" s="911"/>
      <c r="I40" s="1584">
        <v>0</v>
      </c>
      <c r="J40" s="911"/>
      <c r="K40" s="1584">
        <v>0</v>
      </c>
      <c r="L40" s="911"/>
      <c r="M40" s="1584">
        <v>0</v>
      </c>
      <c r="N40" s="911"/>
      <c r="O40" s="1584">
        <v>0</v>
      </c>
      <c r="P40" s="911"/>
      <c r="Q40" s="1584">
        <v>0</v>
      </c>
      <c r="R40" s="911"/>
      <c r="S40" s="1584">
        <v>0</v>
      </c>
      <c r="T40" s="1584"/>
      <c r="U40" s="1584">
        <v>0</v>
      </c>
      <c r="V40" s="911"/>
      <c r="W40" s="1584">
        <f t="shared" si="0"/>
        <v>0</v>
      </c>
      <c r="X40" s="911"/>
      <c r="Y40" s="1584"/>
      <c r="Z40" s="911"/>
      <c r="AA40" s="1584"/>
      <c r="AB40" s="911"/>
      <c r="AC40" s="1451"/>
      <c r="AD40" s="1584">
        <v>0</v>
      </c>
      <c r="AE40" s="3337"/>
      <c r="AF40" s="1040"/>
      <c r="AG40" s="1584">
        <v>0</v>
      </c>
      <c r="AH40" s="119"/>
      <c r="AI40" s="1101"/>
      <c r="AJ40" s="119">
        <f t="shared" si="1"/>
        <v>0</v>
      </c>
      <c r="AK40" s="1102"/>
      <c r="AL40" s="1777">
        <f t="shared" si="3"/>
        <v>0</v>
      </c>
    </row>
    <row r="41" spans="1:39" s="1109" customFormat="1" ht="15.75">
      <c r="A41" s="107"/>
      <c r="B41" s="908" t="s">
        <v>1064</v>
      </c>
      <c r="C41" s="107"/>
      <c r="D41" s="107"/>
      <c r="E41" s="1584">
        <v>0</v>
      </c>
      <c r="F41" s="911"/>
      <c r="G41" s="1584">
        <v>0</v>
      </c>
      <c r="H41" s="911"/>
      <c r="I41" s="1584">
        <v>0</v>
      </c>
      <c r="J41" s="911"/>
      <c r="K41" s="1584">
        <v>0</v>
      </c>
      <c r="L41" s="1580"/>
      <c r="M41" s="1584">
        <v>0</v>
      </c>
      <c r="N41" s="1580"/>
      <c r="O41" s="1584">
        <v>0</v>
      </c>
      <c r="P41" s="1580"/>
      <c r="Q41" s="1584">
        <v>0</v>
      </c>
      <c r="R41" s="1580"/>
      <c r="S41" s="1584">
        <v>0</v>
      </c>
      <c r="T41" s="1580"/>
      <c r="U41" s="1584">
        <v>0</v>
      </c>
      <c r="V41" s="1580"/>
      <c r="W41" s="1584">
        <f t="shared" si="0"/>
        <v>0</v>
      </c>
      <c r="X41" s="1580"/>
      <c r="Y41" s="1584"/>
      <c r="Z41" s="1580"/>
      <c r="AA41" s="1584"/>
      <c r="AB41" s="118"/>
      <c r="AC41" s="692"/>
      <c r="AD41" s="1839">
        <v>0</v>
      </c>
      <c r="AE41" s="3322"/>
      <c r="AF41" s="2030"/>
      <c r="AG41" s="1856">
        <v>0.3</v>
      </c>
      <c r="AH41" s="119"/>
      <c r="AI41" s="1101"/>
      <c r="AJ41" s="119">
        <f t="shared" si="1"/>
        <v>-0.3</v>
      </c>
      <c r="AK41" s="1102"/>
      <c r="AL41" s="1774">
        <f t="shared" si="3"/>
        <v>-1</v>
      </c>
    </row>
    <row r="42" spans="1:39" s="332" customFormat="1" ht="15.75" collapsed="1">
      <c r="A42" s="29"/>
      <c r="B42" s="312" t="s">
        <v>1099</v>
      </c>
      <c r="C42" s="29"/>
      <c r="D42" s="105"/>
      <c r="E42" s="1583">
        <f>ROUND(SUM(E19:E41),1)</f>
        <v>0.1</v>
      </c>
      <c r="F42" s="112"/>
      <c r="G42" s="1583">
        <f>ROUND(SUM(G19:G41),1)</f>
        <v>0</v>
      </c>
      <c r="H42" s="1114"/>
      <c r="I42" s="1583">
        <f>ROUND(SUM(I19:I41),1)</f>
        <v>0.1</v>
      </c>
      <c r="J42" s="112"/>
      <c r="K42" s="1583">
        <f>ROUND(SUM(K19:K41),1)</f>
        <v>0.1</v>
      </c>
      <c r="L42" s="938"/>
      <c r="M42" s="691">
        <f>ROUND(SUM(M19:M41),1)</f>
        <v>0</v>
      </c>
      <c r="N42" s="938"/>
      <c r="O42" s="691">
        <f>ROUND(SUM(O19:O41),1)</f>
        <v>0.1</v>
      </c>
      <c r="P42" s="938"/>
      <c r="Q42" s="691">
        <f>ROUND(SUM(Q19:Q41),1)</f>
        <v>0.1</v>
      </c>
      <c r="R42" s="938"/>
      <c r="S42" s="691">
        <f>ROUND(SUM(S19:S41),1)</f>
        <v>0.1</v>
      </c>
      <c r="T42" s="938"/>
      <c r="U42" s="1583">
        <f>ROUND(SUM(U19:U41),1)</f>
        <v>0</v>
      </c>
      <c r="V42" s="938"/>
      <c r="W42" s="691">
        <f>ROUND(SUM(W19:W41),1)</f>
        <v>0.1</v>
      </c>
      <c r="X42" s="938"/>
      <c r="Y42" s="691">
        <f>ROUND(SUM(Y19:Y41),1)</f>
        <v>0</v>
      </c>
      <c r="Z42" s="938"/>
      <c r="AA42" s="1583">
        <f>ROUND(SUM(AA19:AA41),1)</f>
        <v>0</v>
      </c>
      <c r="AB42" s="112"/>
      <c r="AC42" s="693"/>
      <c r="AD42" s="1583">
        <f>ROUND(SUM(AD19:AD41),1)</f>
        <v>0.7</v>
      </c>
      <c r="AE42" s="1105"/>
      <c r="AF42" s="115"/>
      <c r="AG42" s="1583">
        <f>ROUND(SUM(AG19:AG41),1)</f>
        <v>0.9</v>
      </c>
      <c r="AH42" s="1124"/>
      <c r="AI42" s="1101"/>
      <c r="AJ42" s="691">
        <f>ROUND(SUM(AJ19:AJ41),1)</f>
        <v>-0.2</v>
      </c>
      <c r="AK42" s="1083"/>
      <c r="AL42" s="13">
        <f t="shared" si="3"/>
        <v>-0.222</v>
      </c>
    </row>
    <row r="43" spans="1:39" s="359" customFormat="1" ht="15.75">
      <c r="A43" s="66"/>
      <c r="B43" s="1068"/>
      <c r="C43" s="66"/>
      <c r="D43" s="118"/>
      <c r="E43" s="1584"/>
      <c r="F43" s="911"/>
      <c r="G43" s="1141"/>
      <c r="H43" s="911"/>
      <c r="I43" s="1584"/>
      <c r="J43" s="911"/>
      <c r="K43" s="1141"/>
      <c r="L43" s="66"/>
      <c r="M43" s="278"/>
      <c r="N43" s="66"/>
      <c r="O43" s="277"/>
      <c r="P43" s="66"/>
      <c r="Q43" s="278"/>
      <c r="R43" s="66"/>
      <c r="S43" s="277"/>
      <c r="T43" s="66"/>
      <c r="U43" s="277"/>
      <c r="V43" s="66"/>
      <c r="W43" s="278"/>
      <c r="X43" s="66"/>
      <c r="Y43" s="278"/>
      <c r="Z43" s="66"/>
      <c r="AA43" s="1099"/>
      <c r="AB43" s="118"/>
      <c r="AC43" s="692"/>
      <c r="AD43" s="1099"/>
      <c r="AE43" s="1100"/>
      <c r="AF43" s="692"/>
      <c r="AG43" s="1099"/>
      <c r="AH43" s="119"/>
      <c r="AI43" s="1101"/>
      <c r="AJ43" s="363"/>
      <c r="AK43" s="58"/>
      <c r="AL43" s="334"/>
      <c r="AM43" s="58"/>
    </row>
    <row r="44" spans="1:39" ht="15.75">
      <c r="A44" s="31"/>
      <c r="B44" s="31" t="s">
        <v>150</v>
      </c>
      <c r="C44" s="31"/>
      <c r="D44" s="107"/>
      <c r="E44" s="1584">
        <v>38.299999999999997</v>
      </c>
      <c r="F44" s="911"/>
      <c r="G44" s="1584">
        <v>142.89999999999998</v>
      </c>
      <c r="H44" s="911"/>
      <c r="I44" s="1584">
        <v>132.20000000000005</v>
      </c>
      <c r="J44" s="911"/>
      <c r="K44" s="1584">
        <v>155.69999999999999</v>
      </c>
      <c r="L44" s="911"/>
      <c r="M44" s="1584">
        <v>173.60000000000008</v>
      </c>
      <c r="N44" s="911"/>
      <c r="O44" s="1584">
        <v>177.29999999999995</v>
      </c>
      <c r="P44" s="911"/>
      <c r="Q44" s="1584">
        <v>340.80000000000018</v>
      </c>
      <c r="R44" s="911"/>
      <c r="S44" s="1584">
        <v>184.29999999999973</v>
      </c>
      <c r="T44" s="1584"/>
      <c r="U44" s="1584">
        <v>158.69999999999982</v>
      </c>
      <c r="V44" s="911"/>
      <c r="W44" s="1584">
        <f t="shared" ref="W44" si="4">$AD44-$E44-$G44-$I44-$K44-$M44-$O44-$Q44-$S44-$U44</f>
        <v>344.40000000000009</v>
      </c>
      <c r="X44" s="911"/>
      <c r="Y44" s="1584"/>
      <c r="Z44" s="911"/>
      <c r="AA44" s="1584"/>
      <c r="AB44" s="911"/>
      <c r="AC44" s="1451"/>
      <c r="AD44" s="1584">
        <v>1848.2</v>
      </c>
      <c r="AE44" s="3337"/>
      <c r="AF44" s="1040"/>
      <c r="AG44" s="1584">
        <v>2016.1</v>
      </c>
      <c r="AH44" s="119"/>
      <c r="AI44" s="1123"/>
      <c r="AJ44" s="1131">
        <f>ROUND(AD44-AG44,1)</f>
        <v>-167.9</v>
      </c>
      <c r="AK44" s="336"/>
      <c r="AL44" s="919">
        <f>ROUND(IF(AG44=0,0,AJ44/ABS(AG44)),3)</f>
        <v>-8.3000000000000004E-2</v>
      </c>
    </row>
    <row r="45" spans="1:39" ht="15.75">
      <c r="A45" s="31"/>
      <c r="B45" s="31"/>
      <c r="C45" s="31"/>
      <c r="D45" s="107"/>
      <c r="E45" s="1058"/>
      <c r="F45" s="911"/>
      <c r="G45" s="1058"/>
      <c r="H45" s="911"/>
      <c r="I45" s="1058"/>
      <c r="J45" s="911"/>
      <c r="K45" s="1058"/>
      <c r="L45" s="66"/>
      <c r="M45" s="88"/>
      <c r="N45" s="66"/>
      <c r="O45" s="88"/>
      <c r="P45" s="66"/>
      <c r="Q45" s="88"/>
      <c r="R45" s="66"/>
      <c r="S45" s="88"/>
      <c r="T45" s="66"/>
      <c r="U45" s="88"/>
      <c r="V45" s="66"/>
      <c r="W45" s="88"/>
      <c r="X45" s="66"/>
      <c r="Y45" s="88"/>
      <c r="Z45" s="66"/>
      <c r="AA45" s="126"/>
      <c r="AB45" s="118"/>
      <c r="AC45" s="692"/>
      <c r="AD45" s="126"/>
      <c r="AE45" s="1100"/>
      <c r="AF45" s="692"/>
      <c r="AG45" s="126"/>
      <c r="AH45" s="67"/>
      <c r="AI45" s="1123"/>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38">
        <f>ROUND(SUM(M42+M44),1)</f>
        <v>173.6</v>
      </c>
      <c r="N46" s="62"/>
      <c r="O46" s="938">
        <f>ROUND(SUM(O42+O44),1)</f>
        <v>177.4</v>
      </c>
      <c r="P46" s="62"/>
      <c r="Q46" s="938">
        <f>ROUND(SUM(Q42+Q44),1)</f>
        <v>340.9</v>
      </c>
      <c r="R46" s="62"/>
      <c r="S46" s="938">
        <f>ROUND(SUM(S42+S44),1)</f>
        <v>184.4</v>
      </c>
      <c r="T46" s="62"/>
      <c r="U46" s="938">
        <f>ROUND(SUM(U42+U44),1)</f>
        <v>158.69999999999999</v>
      </c>
      <c r="V46" s="62"/>
      <c r="W46" s="938">
        <f>ROUND(SUM(W42+W44),1)</f>
        <v>344.5</v>
      </c>
      <c r="X46" s="62"/>
      <c r="Y46" s="938">
        <f>ROUND(SUM(Y42+Y44),1)</f>
        <v>0</v>
      </c>
      <c r="Z46" s="62"/>
      <c r="AA46" s="112">
        <f>ROUND(SUM(AA42+AA44),1)</f>
        <v>0</v>
      </c>
      <c r="AB46" s="112"/>
      <c r="AC46" s="693"/>
      <c r="AD46" s="112">
        <f>ROUND(SUM(AD42+AD44),1)</f>
        <v>1848.9</v>
      </c>
      <c r="AE46" s="1105"/>
      <c r="AF46" s="693"/>
      <c r="AG46" s="112">
        <f>ROUND(SUM(AG42+AG44),1)</f>
        <v>2017</v>
      </c>
      <c r="AH46" s="1124"/>
      <c r="AI46" s="1123"/>
      <c r="AJ46" s="1126">
        <f>ROUND(SUM(AJ42+AJ44),1)</f>
        <v>-168.1</v>
      </c>
      <c r="AK46" s="166"/>
      <c r="AL46" s="301">
        <f>ROUND(SUM(AD46-AG46)/ABS(AG46),3)</f>
        <v>-8.3000000000000004E-2</v>
      </c>
      <c r="AM46" s="332"/>
    </row>
    <row r="47" spans="1:39" ht="15.75">
      <c r="A47" s="31"/>
      <c r="B47" s="31"/>
      <c r="C47" s="31"/>
      <c r="D47" s="107"/>
      <c r="E47" s="1058"/>
      <c r="F47" s="911"/>
      <c r="G47" s="1058"/>
      <c r="H47" s="911"/>
      <c r="I47" s="1058"/>
      <c r="J47" s="911"/>
      <c r="K47" s="1058"/>
      <c r="L47" s="66"/>
      <c r="M47" s="88"/>
      <c r="N47" s="66"/>
      <c r="O47" s="88"/>
      <c r="P47" s="66"/>
      <c r="Q47" s="88"/>
      <c r="R47" s="66"/>
      <c r="S47" s="88"/>
      <c r="T47" s="66"/>
      <c r="U47" s="88"/>
      <c r="V47" s="66"/>
      <c r="W47" s="88"/>
      <c r="X47" s="66"/>
      <c r="Y47" s="88"/>
      <c r="Z47" s="66"/>
      <c r="AA47" s="126"/>
      <c r="AB47" s="118"/>
      <c r="AC47" s="692"/>
      <c r="AD47" s="126"/>
      <c r="AE47" s="1100"/>
      <c r="AF47" s="692"/>
      <c r="AG47" s="126"/>
      <c r="AH47" s="67"/>
      <c r="AI47" s="1123"/>
      <c r="AJ47" s="363"/>
      <c r="AK47" s="327"/>
      <c r="AL47" s="334"/>
    </row>
    <row r="48" spans="1:39" ht="15.75">
      <c r="A48" s="31"/>
      <c r="B48" s="29" t="s">
        <v>23</v>
      </c>
      <c r="C48" s="31"/>
      <c r="D48" s="107"/>
      <c r="E48" s="911"/>
      <c r="F48" s="911"/>
      <c r="G48" s="911"/>
      <c r="H48" s="911"/>
      <c r="I48" s="911"/>
      <c r="J48" s="911"/>
      <c r="K48" s="911"/>
      <c r="L48" s="66"/>
      <c r="M48" s="66"/>
      <c r="N48" s="66"/>
      <c r="O48" s="66"/>
      <c r="P48" s="66"/>
      <c r="Q48" s="66"/>
      <c r="R48" s="66"/>
      <c r="S48" s="66"/>
      <c r="T48" s="66"/>
      <c r="U48" s="66"/>
      <c r="V48" s="66"/>
      <c r="W48" s="66"/>
      <c r="X48" s="66"/>
      <c r="Y48" s="66"/>
      <c r="Z48" s="66"/>
      <c r="AA48" s="118"/>
      <c r="AB48" s="118"/>
      <c r="AC48" s="692"/>
      <c r="AD48" s="118"/>
      <c r="AE48" s="1100"/>
      <c r="AF48" s="692"/>
      <c r="AG48" s="118"/>
      <c r="AH48" s="118"/>
      <c r="AI48" s="1123"/>
      <c r="AJ48" s="363"/>
      <c r="AK48" s="327"/>
      <c r="AL48" s="334"/>
    </row>
    <row r="49" spans="1:41" ht="15.75">
      <c r="A49" s="31"/>
      <c r="B49" s="31" t="s">
        <v>152</v>
      </c>
      <c r="C49" s="31"/>
      <c r="D49" s="107"/>
      <c r="E49" s="1584"/>
      <c r="F49" s="911"/>
      <c r="G49" s="911"/>
      <c r="H49" s="911"/>
      <c r="I49" s="911"/>
      <c r="J49" s="911"/>
      <c r="K49" s="911"/>
      <c r="L49" s="66"/>
      <c r="M49" s="66"/>
      <c r="N49" s="66"/>
      <c r="O49" s="66"/>
      <c r="P49" s="66"/>
      <c r="Q49" s="278"/>
      <c r="R49" s="66"/>
      <c r="S49" s="66"/>
      <c r="T49" s="66"/>
      <c r="U49" s="66"/>
      <c r="V49" s="66"/>
      <c r="W49" s="66"/>
      <c r="X49" s="66"/>
      <c r="Y49" s="66"/>
      <c r="Z49" s="66"/>
      <c r="AA49" s="118"/>
      <c r="AB49" s="118"/>
      <c r="AC49" s="692"/>
      <c r="AD49" s="118"/>
      <c r="AE49" s="1100"/>
      <c r="AF49" s="692"/>
      <c r="AG49" s="118"/>
      <c r="AH49" s="118"/>
      <c r="AI49" s="1123"/>
      <c r="AJ49" s="363"/>
      <c r="AK49" s="336"/>
      <c r="AL49" s="334"/>
    </row>
    <row r="50" spans="1:41" s="1109" customFormat="1" ht="15.75">
      <c r="A50" s="107"/>
      <c r="B50" s="107" t="s">
        <v>25</v>
      </c>
      <c r="C50" s="107"/>
      <c r="D50" s="107"/>
      <c r="E50" s="1584">
        <v>0</v>
      </c>
      <c r="F50" s="911"/>
      <c r="G50" s="1584">
        <v>0</v>
      </c>
      <c r="H50" s="911"/>
      <c r="I50" s="1584">
        <v>0</v>
      </c>
      <c r="J50" s="911"/>
      <c r="K50" s="1584">
        <v>0</v>
      </c>
      <c r="L50" s="911"/>
      <c r="M50" s="1584">
        <v>0</v>
      </c>
      <c r="N50" s="911"/>
      <c r="O50" s="1584">
        <v>0</v>
      </c>
      <c r="P50" s="911"/>
      <c r="Q50" s="1584">
        <v>0</v>
      </c>
      <c r="R50" s="911"/>
      <c r="S50" s="1584">
        <v>0</v>
      </c>
      <c r="T50" s="1584"/>
      <c r="U50" s="1584">
        <v>0</v>
      </c>
      <c r="V50" s="911"/>
      <c r="W50" s="1584">
        <f t="shared" ref="W50:W59" si="5">$AD50-$E50-$G50-$I50-$K50-$M50-$O50-$Q50-$S50-$U50</f>
        <v>0</v>
      </c>
      <c r="X50" s="1584"/>
      <c r="Y50" s="1584"/>
      <c r="Z50" s="911"/>
      <c r="AA50" s="1584"/>
      <c r="AB50" s="911"/>
      <c r="AC50" s="1451"/>
      <c r="AD50" s="1584">
        <v>0</v>
      </c>
      <c r="AE50" s="3337"/>
      <c r="AF50" s="1040"/>
      <c r="AG50" s="1584">
        <v>0</v>
      </c>
      <c r="AH50" s="119"/>
      <c r="AI50" s="1101"/>
      <c r="AJ50" s="1132">
        <f>ROUND(AD50-AG50,1)</f>
        <v>0</v>
      </c>
      <c r="AK50" s="1102"/>
      <c r="AL50" s="1777">
        <f>ROUND(IF(AG50=0,0,AJ50/ABS(AG50)),3)</f>
        <v>0</v>
      </c>
    </row>
    <row r="51" spans="1:41" s="1109" customFormat="1" ht="15.75">
      <c r="A51" s="107"/>
      <c r="B51" s="107" t="s">
        <v>26</v>
      </c>
      <c r="C51" s="107"/>
      <c r="D51" s="107"/>
      <c r="E51" s="1584">
        <v>0</v>
      </c>
      <c r="F51" s="911"/>
      <c r="G51" s="1584">
        <v>0</v>
      </c>
      <c r="H51" s="911"/>
      <c r="I51" s="1584">
        <v>0</v>
      </c>
      <c r="J51" s="911"/>
      <c r="K51" s="1584">
        <v>0</v>
      </c>
      <c r="L51" s="911"/>
      <c r="M51" s="1584">
        <v>0</v>
      </c>
      <c r="N51" s="911"/>
      <c r="O51" s="1584">
        <v>0</v>
      </c>
      <c r="P51" s="911"/>
      <c r="Q51" s="1584">
        <v>0</v>
      </c>
      <c r="R51" s="911"/>
      <c r="S51" s="1584">
        <v>0</v>
      </c>
      <c r="T51" s="1584"/>
      <c r="U51" s="1584">
        <v>0</v>
      </c>
      <c r="V51" s="911"/>
      <c r="W51" s="1584">
        <f t="shared" si="5"/>
        <v>171</v>
      </c>
      <c r="X51" s="1584"/>
      <c r="Y51" s="1584"/>
      <c r="Z51" s="911"/>
      <c r="AA51" s="1584"/>
      <c r="AB51" s="911"/>
      <c r="AC51" s="1451"/>
      <c r="AD51" s="1584">
        <v>171</v>
      </c>
      <c r="AE51" s="3337"/>
      <c r="AF51" s="1040"/>
      <c r="AG51" s="1584">
        <v>175</v>
      </c>
      <c r="AH51" s="119"/>
      <c r="AI51" s="1101"/>
      <c r="AJ51" s="1132">
        <f>ROUND(AD51-AG51,1)</f>
        <v>-4</v>
      </c>
      <c r="AK51" s="1102"/>
      <c r="AL51" s="1779">
        <f>ROUND(IF(AG51=0,0,AJ51/ABS(AG51)),3)</f>
        <v>-2.3E-2</v>
      </c>
    </row>
    <row r="52" spans="1:41" s="1109" customFormat="1" ht="15.75">
      <c r="A52" s="107"/>
      <c r="B52" s="107" t="s">
        <v>27</v>
      </c>
      <c r="C52" s="107"/>
      <c r="D52" s="107"/>
      <c r="E52" s="1584">
        <v>0</v>
      </c>
      <c r="F52" s="911"/>
      <c r="G52" s="1584">
        <v>0</v>
      </c>
      <c r="H52" s="911"/>
      <c r="I52" s="1584">
        <v>0</v>
      </c>
      <c r="J52" s="911"/>
      <c r="K52" s="1584">
        <v>0</v>
      </c>
      <c r="L52" s="911"/>
      <c r="M52" s="1584">
        <v>0</v>
      </c>
      <c r="N52" s="911"/>
      <c r="O52" s="1584">
        <v>0</v>
      </c>
      <c r="P52" s="911"/>
      <c r="Q52" s="1584">
        <v>0</v>
      </c>
      <c r="R52" s="911"/>
      <c r="S52" s="1584">
        <v>0</v>
      </c>
      <c r="T52" s="1584"/>
      <c r="U52" s="1584">
        <v>0</v>
      </c>
      <c r="V52" s="911"/>
      <c r="W52" s="1584">
        <f t="shared" si="5"/>
        <v>0</v>
      </c>
      <c r="X52" s="1584"/>
      <c r="Y52" s="1584"/>
      <c r="Z52" s="911"/>
      <c r="AA52" s="1584"/>
      <c r="AB52" s="911"/>
      <c r="AC52" s="1451"/>
      <c r="AD52" s="1584">
        <v>0</v>
      </c>
      <c r="AE52" s="3337"/>
      <c r="AF52" s="1040"/>
      <c r="AG52" s="1584">
        <v>0</v>
      </c>
      <c r="AH52" s="119"/>
      <c r="AI52" s="1101"/>
      <c r="AJ52" s="1132">
        <f>ROUND(AD52-AG52,1)</f>
        <v>0</v>
      </c>
      <c r="AK52" s="1121"/>
      <c r="AL52" s="1777">
        <f>ROUND(IF(AG52=0,0,AJ52/ABS(AG52)),3)</f>
        <v>0</v>
      </c>
    </row>
    <row r="53" spans="1:41" s="1109" customFormat="1" ht="15.75">
      <c r="A53" s="107"/>
      <c r="B53" s="107" t="s">
        <v>28</v>
      </c>
      <c r="C53" s="107"/>
      <c r="D53" s="107"/>
      <c r="E53" s="1584" t="s">
        <v>15</v>
      </c>
      <c r="F53" s="911"/>
      <c r="G53" s="1584"/>
      <c r="H53" s="911"/>
      <c r="I53" s="1584"/>
      <c r="J53" s="911"/>
      <c r="K53" s="1584"/>
      <c r="L53" s="911"/>
      <c r="M53" s="1584"/>
      <c r="N53" s="911"/>
      <c r="O53" s="1584"/>
      <c r="P53" s="911"/>
      <c r="Q53" s="1584"/>
      <c r="R53" s="911"/>
      <c r="S53" s="1584"/>
      <c r="T53" s="1584"/>
      <c r="U53" s="1584"/>
      <c r="V53" s="911"/>
      <c r="W53" s="1584"/>
      <c r="X53" s="1584"/>
      <c r="Y53" s="1584"/>
      <c r="Z53" s="911"/>
      <c r="AA53" s="1584"/>
      <c r="AB53" s="911"/>
      <c r="AC53" s="1451"/>
      <c r="AD53" s="1584"/>
      <c r="AE53" s="3337"/>
      <c r="AF53" s="1040"/>
      <c r="AG53" s="1584"/>
      <c r="AH53" s="118"/>
      <c r="AI53" s="1123"/>
      <c r="AJ53" s="1133"/>
      <c r="AK53" s="1102"/>
      <c r="AL53" s="1780" t="s">
        <v>15</v>
      </c>
    </row>
    <row r="54" spans="1:41" s="1109" customFormat="1" ht="15.75">
      <c r="A54" s="107"/>
      <c r="B54" s="107" t="s">
        <v>29</v>
      </c>
      <c r="C54" s="105"/>
      <c r="D54" s="107"/>
      <c r="E54" s="1584">
        <v>0</v>
      </c>
      <c r="F54" s="911"/>
      <c r="G54" s="1584">
        <v>0</v>
      </c>
      <c r="H54" s="911"/>
      <c r="I54" s="1584">
        <v>0</v>
      </c>
      <c r="J54" s="911"/>
      <c r="K54" s="1584">
        <v>0</v>
      </c>
      <c r="L54" s="911"/>
      <c r="M54" s="1584">
        <v>0</v>
      </c>
      <c r="N54" s="911"/>
      <c r="O54" s="1584">
        <v>0</v>
      </c>
      <c r="P54" s="911"/>
      <c r="Q54" s="1584">
        <v>0</v>
      </c>
      <c r="R54" s="911"/>
      <c r="S54" s="1584">
        <v>0</v>
      </c>
      <c r="T54" s="1584"/>
      <c r="U54" s="1584">
        <v>0</v>
      </c>
      <c r="V54" s="911"/>
      <c r="W54" s="1584">
        <f t="shared" si="5"/>
        <v>0</v>
      </c>
      <c r="X54" s="1584"/>
      <c r="Y54" s="1584"/>
      <c r="Z54" s="911"/>
      <c r="AA54" s="1584"/>
      <c r="AB54" s="911"/>
      <c r="AC54" s="1451"/>
      <c r="AD54" s="1584">
        <v>0</v>
      </c>
      <c r="AE54" s="3337"/>
      <c r="AF54" s="1040"/>
      <c r="AG54" s="1584">
        <v>0</v>
      </c>
      <c r="AH54" s="118"/>
      <c r="AI54" s="1123"/>
      <c r="AJ54" s="1132">
        <f t="shared" ref="AJ54:AJ59" si="6">ROUND(AD54-AG54,1)</f>
        <v>0</v>
      </c>
      <c r="AK54" s="1121"/>
      <c r="AL54" s="1777">
        <f>ROUND(IF(AG54=0,0,AJ54/ABS(AG54)),3)</f>
        <v>0</v>
      </c>
      <c r="AM54" s="1121"/>
    </row>
    <row r="55" spans="1:41" s="1109" customFormat="1" ht="15.75">
      <c r="A55" s="107"/>
      <c r="B55" s="107" t="s">
        <v>30</v>
      </c>
      <c r="C55" s="107"/>
      <c r="D55" s="107"/>
      <c r="E55" s="1584">
        <v>0</v>
      </c>
      <c r="F55" s="911"/>
      <c r="G55" s="1584">
        <v>0</v>
      </c>
      <c r="H55" s="911"/>
      <c r="I55" s="1584">
        <v>0</v>
      </c>
      <c r="J55" s="911"/>
      <c r="K55" s="1584">
        <v>0.4</v>
      </c>
      <c r="L55" s="911"/>
      <c r="M55" s="1584">
        <v>0</v>
      </c>
      <c r="N55" s="911"/>
      <c r="O55" s="1584">
        <v>0.79999999999999993</v>
      </c>
      <c r="P55" s="911"/>
      <c r="Q55" s="1584">
        <v>37.700000000000003</v>
      </c>
      <c r="R55" s="911"/>
      <c r="S55" s="1584">
        <v>0.20000000000000284</v>
      </c>
      <c r="T55" s="1584"/>
      <c r="U55" s="1584">
        <v>0</v>
      </c>
      <c r="V55" s="911"/>
      <c r="W55" s="1584">
        <f t="shared" si="5"/>
        <v>0</v>
      </c>
      <c r="X55" s="1584"/>
      <c r="Y55" s="1584"/>
      <c r="Z55" s="911"/>
      <c r="AA55" s="1584"/>
      <c r="AB55" s="911"/>
      <c r="AC55" s="1451"/>
      <c r="AD55" s="1584">
        <v>39.1</v>
      </c>
      <c r="AE55" s="3337"/>
      <c r="AF55" s="1040"/>
      <c r="AG55" s="1584">
        <v>44.9</v>
      </c>
      <c r="AH55" s="119"/>
      <c r="AI55" s="1101"/>
      <c r="AJ55" s="1132">
        <f t="shared" si="6"/>
        <v>-5.8</v>
      </c>
      <c r="AK55" s="1102"/>
      <c r="AL55" s="2255">
        <f>ROUND(IF(AG55=0,0,AJ55/ABS(AG55)),3)</f>
        <v>-0.129</v>
      </c>
    </row>
    <row r="56" spans="1:41" s="1109" customFormat="1" ht="15.75">
      <c r="A56" s="107"/>
      <c r="B56" s="107" t="s">
        <v>31</v>
      </c>
      <c r="C56" s="107"/>
      <c r="D56" s="107"/>
      <c r="E56" s="1584">
        <v>0</v>
      </c>
      <c r="F56" s="911"/>
      <c r="G56" s="1584">
        <v>0</v>
      </c>
      <c r="H56" s="911"/>
      <c r="I56" s="1584">
        <v>10.1</v>
      </c>
      <c r="J56" s="911"/>
      <c r="K56" s="1584">
        <v>9.9999999999999645E-2</v>
      </c>
      <c r="L56" s="911"/>
      <c r="M56" s="1584">
        <v>0</v>
      </c>
      <c r="N56" s="911"/>
      <c r="O56" s="1584">
        <v>10</v>
      </c>
      <c r="P56" s="911"/>
      <c r="Q56" s="1584">
        <v>0</v>
      </c>
      <c r="R56" s="911"/>
      <c r="S56" s="1584">
        <v>8.3999999999999986</v>
      </c>
      <c r="T56" s="1584"/>
      <c r="U56" s="1584">
        <v>0</v>
      </c>
      <c r="V56" s="911"/>
      <c r="W56" s="1584">
        <f t="shared" si="5"/>
        <v>0</v>
      </c>
      <c r="X56" s="1584"/>
      <c r="Y56" s="1584"/>
      <c r="Z56" s="911"/>
      <c r="AA56" s="1584"/>
      <c r="AB56" s="911"/>
      <c r="AC56" s="1451"/>
      <c r="AD56" s="1584">
        <v>28.6</v>
      </c>
      <c r="AE56" s="3337"/>
      <c r="AF56" s="1040"/>
      <c r="AG56" s="1584">
        <v>25.9</v>
      </c>
      <c r="AH56" s="119"/>
      <c r="AI56" s="1101"/>
      <c r="AJ56" s="1132">
        <f t="shared" si="6"/>
        <v>2.7</v>
      </c>
      <c r="AK56" s="1121"/>
      <c r="AL56" s="1699">
        <f>ROUND(IF(AG56=0,1,AJ56/ABS(AG56)),3)</f>
        <v>0.104</v>
      </c>
    </row>
    <row r="57" spans="1:41" s="1109" customFormat="1" ht="15.75">
      <c r="A57" s="107"/>
      <c r="B57" s="107" t="s">
        <v>32</v>
      </c>
      <c r="C57" s="107"/>
      <c r="D57" s="107"/>
      <c r="E57" s="1584">
        <v>0</v>
      </c>
      <c r="F57" s="911"/>
      <c r="G57" s="1584">
        <v>0</v>
      </c>
      <c r="H57" s="911"/>
      <c r="I57" s="1584">
        <v>0</v>
      </c>
      <c r="J57" s="911"/>
      <c r="K57" s="1584">
        <v>0</v>
      </c>
      <c r="L57" s="911"/>
      <c r="M57" s="1584">
        <v>0</v>
      </c>
      <c r="N57" s="911"/>
      <c r="O57" s="1584">
        <v>0</v>
      </c>
      <c r="P57" s="911"/>
      <c r="Q57" s="1584">
        <v>0</v>
      </c>
      <c r="R57" s="911"/>
      <c r="S57" s="1584">
        <v>0</v>
      </c>
      <c r="T57" s="1584"/>
      <c r="U57" s="1584">
        <v>0</v>
      </c>
      <c r="V57" s="911"/>
      <c r="W57" s="1584">
        <f t="shared" si="5"/>
        <v>0</v>
      </c>
      <c r="X57" s="1584"/>
      <c r="Y57" s="1584"/>
      <c r="Z57" s="911"/>
      <c r="AA57" s="1584"/>
      <c r="AB57" s="911"/>
      <c r="AC57" s="1451"/>
      <c r="AD57" s="1584">
        <v>0</v>
      </c>
      <c r="AE57" s="3337"/>
      <c r="AF57" s="1040"/>
      <c r="AG57" s="1584">
        <v>0</v>
      </c>
      <c r="AH57" s="118"/>
      <c r="AI57" s="1123"/>
      <c r="AJ57" s="1132">
        <f t="shared" si="6"/>
        <v>0</v>
      </c>
      <c r="AK57" s="1102"/>
      <c r="AL57" s="1777">
        <f>ROUND(IF(AG57=0,0,AJ57/ABS(AG57)),3)</f>
        <v>0</v>
      </c>
    </row>
    <row r="58" spans="1:41" s="1109" customFormat="1" ht="15.75">
      <c r="A58" s="107"/>
      <c r="B58" s="107" t="s">
        <v>33</v>
      </c>
      <c r="C58" s="105"/>
      <c r="D58" s="107"/>
      <c r="E58" s="1584">
        <v>0</v>
      </c>
      <c r="F58" s="911"/>
      <c r="G58" s="1584">
        <v>0</v>
      </c>
      <c r="H58" s="911"/>
      <c r="I58" s="1584">
        <v>0</v>
      </c>
      <c r="J58" s="911"/>
      <c r="K58" s="1584">
        <v>0</v>
      </c>
      <c r="L58" s="911"/>
      <c r="M58" s="1584">
        <v>0</v>
      </c>
      <c r="N58" s="911"/>
      <c r="O58" s="1584">
        <v>0</v>
      </c>
      <c r="P58" s="911"/>
      <c r="Q58" s="1584">
        <v>0</v>
      </c>
      <c r="R58" s="911"/>
      <c r="S58" s="1584">
        <v>0</v>
      </c>
      <c r="T58" s="1584"/>
      <c r="U58" s="1584">
        <v>0</v>
      </c>
      <c r="V58" s="911"/>
      <c r="W58" s="1584">
        <f t="shared" si="5"/>
        <v>0</v>
      </c>
      <c r="X58" s="1584"/>
      <c r="Y58" s="1584"/>
      <c r="Z58" s="911"/>
      <c r="AA58" s="1584"/>
      <c r="AB58" s="911"/>
      <c r="AC58" s="1451"/>
      <c r="AD58" s="1584">
        <v>0</v>
      </c>
      <c r="AE58" s="3337"/>
      <c r="AF58" s="1040"/>
      <c r="AG58" s="1584">
        <v>0</v>
      </c>
      <c r="AH58" s="118"/>
      <c r="AI58" s="1123"/>
      <c r="AJ58" s="1132">
        <f t="shared" si="6"/>
        <v>0</v>
      </c>
      <c r="AK58" s="1121"/>
      <c r="AL58" s="1777">
        <f>ROUND(IF(AG58=0,0,AJ58/ABS(AG58)),3)</f>
        <v>0</v>
      </c>
      <c r="AM58" s="1121"/>
    </row>
    <row r="59" spans="1:41" s="1109" customFormat="1" ht="15.75">
      <c r="A59" s="107"/>
      <c r="B59" s="107" t="s">
        <v>34</v>
      </c>
      <c r="C59" s="107"/>
      <c r="D59" s="107"/>
      <c r="E59" s="1584">
        <v>40</v>
      </c>
      <c r="F59" s="911"/>
      <c r="G59" s="1584">
        <v>37.600000000000009</v>
      </c>
      <c r="H59" s="911"/>
      <c r="I59" s="1584">
        <v>47.599999999999994</v>
      </c>
      <c r="J59" s="911"/>
      <c r="K59" s="1584">
        <v>37.799999999999997</v>
      </c>
      <c r="L59" s="911"/>
      <c r="M59" s="1584">
        <v>39.300000000000011</v>
      </c>
      <c r="N59" s="911"/>
      <c r="O59" s="1584">
        <v>32.399999999999963</v>
      </c>
      <c r="P59" s="911"/>
      <c r="Q59" s="1584">
        <v>50.5</v>
      </c>
      <c r="R59" s="911"/>
      <c r="S59" s="1584">
        <v>32.000000000000014</v>
      </c>
      <c r="T59" s="1584"/>
      <c r="U59" s="1584">
        <v>58.699999999999974</v>
      </c>
      <c r="V59" s="911"/>
      <c r="W59" s="1584">
        <f t="shared" si="5"/>
        <v>39.900000000000034</v>
      </c>
      <c r="X59" s="1584"/>
      <c r="Y59" s="1584"/>
      <c r="Z59" s="911"/>
      <c r="AA59" s="1584"/>
      <c r="AB59" s="911"/>
      <c r="AC59" s="1451"/>
      <c r="AD59" s="1584">
        <v>415.8</v>
      </c>
      <c r="AE59" s="3337"/>
      <c r="AF59" s="1040"/>
      <c r="AG59" s="1584">
        <v>368.8</v>
      </c>
      <c r="AH59" s="67"/>
      <c r="AI59" s="1123"/>
      <c r="AJ59" s="1132">
        <f t="shared" si="6"/>
        <v>47</v>
      </c>
      <c r="AK59" s="1121"/>
      <c r="AL59" s="1781">
        <f>ROUND((AD59-AG59)/ABS(AG59),3)</f>
        <v>0.127</v>
      </c>
    </row>
    <row r="60" spans="1:41" ht="15.75">
      <c r="A60" s="31"/>
      <c r="B60" s="29" t="s">
        <v>198</v>
      </c>
      <c r="C60" s="31"/>
      <c r="D60" s="107"/>
      <c r="E60" s="1115">
        <f>ROUND(SUM(E50:E59),1)</f>
        <v>40</v>
      </c>
      <c r="F60" s="112"/>
      <c r="G60" s="1115">
        <f>ROUND(SUM(G50:G59),1)</f>
        <v>37.6</v>
      </c>
      <c r="H60" s="112"/>
      <c r="I60" s="1115">
        <f>ROUND(SUM(I50:I59),1)</f>
        <v>57.7</v>
      </c>
      <c r="J60" s="112"/>
      <c r="K60" s="1115">
        <f>ROUND(SUM(K50:K59),1)</f>
        <v>38.299999999999997</v>
      </c>
      <c r="L60" s="62"/>
      <c r="M60" s="296">
        <f>ROUND(SUM(M50:M59),1)</f>
        <v>39.299999999999997</v>
      </c>
      <c r="N60" s="62"/>
      <c r="O60" s="296">
        <f>ROUND(SUM(O50:O59),1)</f>
        <v>43.2</v>
      </c>
      <c r="P60" s="62"/>
      <c r="Q60" s="296">
        <f>ROUND(SUM(Q50:Q59),1)</f>
        <v>88.2</v>
      </c>
      <c r="R60" s="62"/>
      <c r="S60" s="296">
        <f>ROUND(SUM(S50:S59),1)</f>
        <v>40.6</v>
      </c>
      <c r="T60" s="62"/>
      <c r="U60" s="296">
        <f>ROUND(SUM(U50:U59),1)</f>
        <v>58.7</v>
      </c>
      <c r="V60" s="62"/>
      <c r="W60" s="296">
        <f>ROUND(SUM(W50:W59),1)</f>
        <v>210.9</v>
      </c>
      <c r="X60" s="62"/>
      <c r="Y60" s="296">
        <f>ROUND(SUM(Y50:Y59),1)</f>
        <v>0</v>
      </c>
      <c r="Z60" s="62"/>
      <c r="AA60" s="1115">
        <f>ROUND(SUM(AA50:AA59),1)</f>
        <v>0</v>
      </c>
      <c r="AB60" s="112"/>
      <c r="AC60" s="693"/>
      <c r="AD60" s="1115">
        <f>ROUND(SUM(AD50:AD59),1)</f>
        <v>654.5</v>
      </c>
      <c r="AE60" s="1105"/>
      <c r="AF60" s="693"/>
      <c r="AG60" s="1115">
        <f>ROUND(SUM(AG50:AG59),1)</f>
        <v>614.6</v>
      </c>
      <c r="AH60" s="115"/>
      <c r="AI60" s="1123"/>
      <c r="AJ60" s="1115">
        <f>ROUND(SUM(AJ50:AJ59),1)</f>
        <v>39.9</v>
      </c>
      <c r="AK60" s="343"/>
      <c r="AL60" s="344">
        <f>ROUND(SUM(AD60-AG60)/ABS(AG60),3)</f>
        <v>6.5000000000000002E-2</v>
      </c>
      <c r="AM60" s="343"/>
      <c r="AN60" s="332"/>
      <c r="AO60" s="332"/>
    </row>
    <row r="61" spans="1:41" ht="15.75">
      <c r="A61" s="31"/>
      <c r="B61" s="31" t="s">
        <v>199</v>
      </c>
      <c r="C61" s="31"/>
      <c r="D61" s="107"/>
      <c r="E61" s="911"/>
      <c r="F61" s="911"/>
      <c r="G61" s="911"/>
      <c r="H61" s="911"/>
      <c r="I61" s="911"/>
      <c r="J61" s="911"/>
      <c r="K61" s="911"/>
      <c r="L61" s="66"/>
      <c r="M61" s="66"/>
      <c r="N61" s="66"/>
      <c r="O61" s="66"/>
      <c r="P61" s="66"/>
      <c r="Q61" s="66"/>
      <c r="R61" s="66"/>
      <c r="S61" s="66"/>
      <c r="T61" s="66"/>
      <c r="U61" s="66"/>
      <c r="V61" s="66"/>
      <c r="W61" s="66"/>
      <c r="X61" s="66"/>
      <c r="Y61" s="66"/>
      <c r="Z61" s="66"/>
      <c r="AA61" s="118"/>
      <c r="AB61" s="118"/>
      <c r="AC61" s="692"/>
      <c r="AD61" s="118"/>
      <c r="AE61" s="1100"/>
      <c r="AF61" s="692"/>
      <c r="AG61" s="118"/>
      <c r="AH61" s="118"/>
      <c r="AI61" s="1123"/>
      <c r="AJ61" s="363"/>
      <c r="AK61" s="327"/>
      <c r="AL61" s="334"/>
    </row>
    <row r="62" spans="1:41" s="1109" customFormat="1" ht="15.75">
      <c r="A62" s="107"/>
      <c r="B62" s="107" t="s">
        <v>200</v>
      </c>
      <c r="C62" s="107"/>
      <c r="D62" s="107"/>
      <c r="E62" s="1584">
        <v>0</v>
      </c>
      <c r="F62" s="911"/>
      <c r="G62" s="1584">
        <v>0</v>
      </c>
      <c r="H62" s="911"/>
      <c r="I62" s="1584">
        <v>0</v>
      </c>
      <c r="J62" s="911"/>
      <c r="K62" s="1584">
        <v>0</v>
      </c>
      <c r="L62" s="911"/>
      <c r="M62" s="1584">
        <v>0</v>
      </c>
      <c r="N62" s="911"/>
      <c r="O62" s="1584">
        <v>0</v>
      </c>
      <c r="P62" s="911"/>
      <c r="Q62" s="1584">
        <v>0</v>
      </c>
      <c r="R62" s="911"/>
      <c r="S62" s="1584">
        <v>0</v>
      </c>
      <c r="T62" s="1584"/>
      <c r="U62" s="1584">
        <v>0</v>
      </c>
      <c r="V62" s="911"/>
      <c r="W62" s="1584">
        <f t="shared" ref="W62:W65" si="7">$AD62-$E62-$G62-$I62-$K62-$M62-$O62-$Q62-$S62-$U62</f>
        <v>0</v>
      </c>
      <c r="X62" s="911"/>
      <c r="Y62" s="1584"/>
      <c r="Z62" s="911"/>
      <c r="AA62" s="1584"/>
      <c r="AB62" s="911"/>
      <c r="AC62" s="1451"/>
      <c r="AD62" s="1584">
        <v>0</v>
      </c>
      <c r="AE62" s="3337"/>
      <c r="AF62" s="1040"/>
      <c r="AG62" s="1584">
        <v>0</v>
      </c>
      <c r="AH62" s="127"/>
      <c r="AI62" s="1127"/>
      <c r="AJ62" s="1132">
        <f>ROUND(AD62-AG62,1)</f>
        <v>0</v>
      </c>
      <c r="AK62" s="1121"/>
      <c r="AL62" s="1777">
        <f>ROUND(IF(AG62=0,0,AJ62/ABS(AG62)),3)</f>
        <v>0</v>
      </c>
      <c r="AM62" s="1122"/>
    </row>
    <row r="63" spans="1:41" s="1109" customFormat="1" ht="15.75">
      <c r="A63" s="107"/>
      <c r="B63" s="107" t="s">
        <v>201</v>
      </c>
      <c r="C63" s="107"/>
      <c r="D63" s="107"/>
      <c r="E63" s="1584">
        <v>0</v>
      </c>
      <c r="F63" s="911"/>
      <c r="G63" s="1584">
        <v>0</v>
      </c>
      <c r="H63" s="911"/>
      <c r="I63" s="1584">
        <v>0</v>
      </c>
      <c r="J63" s="911"/>
      <c r="K63" s="1584">
        <v>0</v>
      </c>
      <c r="L63" s="911"/>
      <c r="M63" s="1584">
        <v>0</v>
      </c>
      <c r="N63" s="911"/>
      <c r="O63" s="1584">
        <v>0</v>
      </c>
      <c r="P63" s="911"/>
      <c r="Q63" s="1584">
        <v>0</v>
      </c>
      <c r="R63" s="911"/>
      <c r="S63" s="1584">
        <v>0</v>
      </c>
      <c r="T63" s="1584"/>
      <c r="U63" s="1584">
        <v>0</v>
      </c>
      <c r="V63" s="911"/>
      <c r="W63" s="1584">
        <f t="shared" si="7"/>
        <v>0</v>
      </c>
      <c r="X63" s="911"/>
      <c r="Y63" s="1584"/>
      <c r="Z63" s="911"/>
      <c r="AA63" s="1584"/>
      <c r="AB63" s="911"/>
      <c r="AC63" s="1451"/>
      <c r="AD63" s="1584">
        <v>0</v>
      </c>
      <c r="AE63" s="3337"/>
      <c r="AF63" s="1040"/>
      <c r="AG63" s="1584">
        <v>0</v>
      </c>
      <c r="AH63" s="127"/>
      <c r="AI63" s="1127"/>
      <c r="AJ63" s="1132">
        <f>ROUND(AD63-AG63,1)</f>
        <v>0</v>
      </c>
      <c r="AK63" s="1121"/>
      <c r="AL63" s="1777">
        <f>ROUND(IF(AG63=0,0,AJ63/ABS(AG63)),3)</f>
        <v>0</v>
      </c>
    </row>
    <row r="64" spans="1:41" s="1109" customFormat="1" ht="15.75">
      <c r="A64" s="107"/>
      <c r="B64" s="107" t="s">
        <v>202</v>
      </c>
      <c r="C64" s="107"/>
      <c r="D64" s="107"/>
      <c r="E64" s="1584">
        <v>0</v>
      </c>
      <c r="F64" s="911"/>
      <c r="G64" s="1584">
        <v>0</v>
      </c>
      <c r="H64" s="911"/>
      <c r="I64" s="1584">
        <v>0</v>
      </c>
      <c r="J64" s="911"/>
      <c r="K64" s="1584">
        <v>0</v>
      </c>
      <c r="L64" s="911"/>
      <c r="M64" s="1584">
        <v>0</v>
      </c>
      <c r="N64" s="911"/>
      <c r="O64" s="1584">
        <v>0</v>
      </c>
      <c r="P64" s="911"/>
      <c r="Q64" s="1584">
        <v>0</v>
      </c>
      <c r="R64" s="911"/>
      <c r="S64" s="1584">
        <v>0</v>
      </c>
      <c r="T64" s="1584"/>
      <c r="U64" s="1584">
        <v>0</v>
      </c>
      <c r="V64" s="911"/>
      <c r="W64" s="1584">
        <f t="shared" si="7"/>
        <v>0</v>
      </c>
      <c r="X64" s="911"/>
      <c r="Y64" s="1584"/>
      <c r="Z64" s="911"/>
      <c r="AA64" s="1584"/>
      <c r="AB64" s="911"/>
      <c r="AC64" s="1451"/>
      <c r="AD64" s="1584">
        <v>0</v>
      </c>
      <c r="AE64" s="3337"/>
      <c r="AF64" s="1040"/>
      <c r="AG64" s="1584">
        <v>0</v>
      </c>
      <c r="AH64" s="127"/>
      <c r="AI64" s="1127"/>
      <c r="AJ64" s="1132">
        <f>ROUND(AD64-AG64,1)</f>
        <v>0</v>
      </c>
      <c r="AK64" s="1121"/>
      <c r="AL64" s="1777">
        <f>ROUND(IF(AG64=0,0,AJ64/ABS(AG64)),3)</f>
        <v>0</v>
      </c>
    </row>
    <row r="65" spans="1:39" s="1109" customFormat="1" ht="15.75">
      <c r="A65" s="107"/>
      <c r="B65" s="1776" t="s">
        <v>214</v>
      </c>
      <c r="C65" s="107"/>
      <c r="D65" s="107"/>
      <c r="E65" s="1584">
        <v>65.400000000000006</v>
      </c>
      <c r="F65" s="911"/>
      <c r="G65" s="1584">
        <v>83.4</v>
      </c>
      <c r="H65" s="911"/>
      <c r="I65" s="1584">
        <v>100.6</v>
      </c>
      <c r="J65" s="911"/>
      <c r="K65" s="1584">
        <v>104.39999999999998</v>
      </c>
      <c r="L65" s="911"/>
      <c r="M65" s="1584">
        <v>118.4</v>
      </c>
      <c r="N65" s="911"/>
      <c r="O65" s="1584">
        <v>116.90000000000006</v>
      </c>
      <c r="P65" s="911"/>
      <c r="Q65" s="1584">
        <v>120.19999999999993</v>
      </c>
      <c r="R65" s="911"/>
      <c r="S65" s="1584">
        <v>122.20000000000007</v>
      </c>
      <c r="T65" s="1584"/>
      <c r="U65" s="1584">
        <v>96.200000000000017</v>
      </c>
      <c r="V65" s="911"/>
      <c r="W65" s="1584">
        <f t="shared" si="7"/>
        <v>51.099999999999909</v>
      </c>
      <c r="X65" s="911"/>
      <c r="Y65" s="1584"/>
      <c r="Z65" s="911"/>
      <c r="AA65" s="1584"/>
      <c r="AB65" s="911"/>
      <c r="AC65" s="1451"/>
      <c r="AD65" s="3338">
        <v>978.8</v>
      </c>
      <c r="AE65" s="3337"/>
      <c r="AF65" s="1040"/>
      <c r="AG65" s="3338">
        <v>1090.7</v>
      </c>
      <c r="AH65" s="70"/>
      <c r="AI65" s="1101"/>
      <c r="AJ65" s="1134">
        <f>ROUND(AD65-AG65,1)</f>
        <v>-111.9</v>
      </c>
      <c r="AK65" s="1121"/>
      <c r="AL65" s="1778">
        <f>ROUND(IF(AG65=0,0,AJ65/ABS(AG65)),3)</f>
        <v>-0.10299999999999999</v>
      </c>
    </row>
    <row r="66" spans="1:39" ht="15.75">
      <c r="A66" s="31"/>
      <c r="B66" s="31"/>
      <c r="C66" s="31"/>
      <c r="D66" s="107"/>
      <c r="E66" s="1058"/>
      <c r="F66" s="911"/>
      <c r="G66" s="1058"/>
      <c r="H66" s="911"/>
      <c r="I66" s="1058"/>
      <c r="J66" s="911"/>
      <c r="K66" s="1058"/>
      <c r="L66" s="66"/>
      <c r="M66" s="88"/>
      <c r="N66" s="66"/>
      <c r="O66" s="88"/>
      <c r="P66" s="66"/>
      <c r="Q66" s="88"/>
      <c r="R66" s="66"/>
      <c r="S66" s="88"/>
      <c r="T66" s="66"/>
      <c r="U66" s="88"/>
      <c r="V66" s="66"/>
      <c r="W66" s="88"/>
      <c r="X66" s="66"/>
      <c r="Y66" s="88"/>
      <c r="Z66" s="66"/>
      <c r="AA66" s="126"/>
      <c r="AB66" s="118"/>
      <c r="AC66" s="692"/>
      <c r="AD66" s="363"/>
      <c r="AE66" s="1100"/>
      <c r="AF66" s="692"/>
      <c r="AG66" s="363"/>
      <c r="AH66" s="363"/>
      <c r="AI66" s="1128"/>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208.4</v>
      </c>
      <c r="R67" s="62"/>
      <c r="S67" s="62">
        <f>ROUND(SUM(S60:S65),1)</f>
        <v>162.80000000000001</v>
      </c>
      <c r="T67" s="62"/>
      <c r="U67" s="938">
        <f>ROUND(SUM(U60:U65),1)</f>
        <v>154.9</v>
      </c>
      <c r="V67" s="62"/>
      <c r="W67" s="62">
        <f>ROUND(SUM(W60:W65),1)</f>
        <v>262</v>
      </c>
      <c r="X67" s="62"/>
      <c r="Y67" s="62">
        <f>ROUND(SUM(Y60:Y65),1)</f>
        <v>0</v>
      </c>
      <c r="Z67" s="62"/>
      <c r="AA67" s="112">
        <f>ROUND(SUM(AA60:AA65),1)</f>
        <v>0</v>
      </c>
      <c r="AB67" s="112"/>
      <c r="AC67" s="693"/>
      <c r="AD67" s="112">
        <f>SUM(AD60:AD65)</f>
        <v>1633.3</v>
      </c>
      <c r="AE67" s="1105"/>
      <c r="AF67" s="693"/>
      <c r="AG67" s="112">
        <f>SUM(AG60:AG65)</f>
        <v>1705.3000000000002</v>
      </c>
      <c r="AH67" s="115"/>
      <c r="AI67" s="1123"/>
      <c r="AJ67" s="113">
        <f>ROUND(AD67-AG67,1)</f>
        <v>-72</v>
      </c>
      <c r="AK67" s="343"/>
      <c r="AL67" s="301">
        <f>ROUND(SUM(AD67-AG67)/ABS(AG67),3)</f>
        <v>-4.2000000000000003E-2</v>
      </c>
    </row>
    <row r="68" spans="1:39" ht="15.75">
      <c r="A68" s="31"/>
      <c r="B68" s="31"/>
      <c r="C68" s="31"/>
      <c r="D68" s="107"/>
      <c r="E68" s="1058"/>
      <c r="F68" s="911"/>
      <c r="G68" s="1058"/>
      <c r="H68" s="911"/>
      <c r="I68" s="1058"/>
      <c r="J68" s="911"/>
      <c r="K68" s="1058"/>
      <c r="L68" s="66"/>
      <c r="M68" s="88"/>
      <c r="N68" s="66"/>
      <c r="O68" s="88"/>
      <c r="P68" s="66"/>
      <c r="Q68" s="88"/>
      <c r="R68" s="66"/>
      <c r="S68" s="88"/>
      <c r="T68" s="66"/>
      <c r="U68" s="88"/>
      <c r="V68" s="66"/>
      <c r="W68" s="88"/>
      <c r="X68" s="66"/>
      <c r="Y68" s="88"/>
      <c r="Z68" s="66"/>
      <c r="AA68" s="126"/>
      <c r="AB68" s="118"/>
      <c r="AC68" s="692"/>
      <c r="AD68" s="1058" t="s">
        <v>15</v>
      </c>
      <c r="AE68" s="1100"/>
      <c r="AF68" s="692"/>
      <c r="AG68" s="126"/>
      <c r="AH68" s="67"/>
      <c r="AI68" s="1123"/>
      <c r="AJ68" s="363"/>
      <c r="AK68" s="327"/>
      <c r="AL68" s="334"/>
    </row>
    <row r="69" spans="1:39" ht="15.75">
      <c r="A69" s="31"/>
      <c r="B69" s="29" t="s">
        <v>204</v>
      </c>
      <c r="C69" s="31"/>
      <c r="D69" s="107"/>
      <c r="E69" s="911"/>
      <c r="F69" s="911"/>
      <c r="G69" s="911"/>
      <c r="H69" s="911"/>
      <c r="I69" s="911"/>
      <c r="J69" s="911"/>
      <c r="K69" s="911"/>
      <c r="L69" s="66"/>
      <c r="M69" s="66"/>
      <c r="N69" s="66"/>
      <c r="O69" s="66"/>
      <c r="P69" s="66"/>
      <c r="Q69" s="66"/>
      <c r="R69" s="66"/>
      <c r="S69" s="66"/>
      <c r="T69" s="66"/>
      <c r="U69" s="66"/>
      <c r="V69" s="66"/>
      <c r="W69" s="66"/>
      <c r="X69" s="66"/>
      <c r="Y69" s="66"/>
      <c r="Z69" s="66"/>
      <c r="AA69" s="118"/>
      <c r="AB69" s="118"/>
      <c r="AC69" s="692"/>
      <c r="AD69" s="363" t="s">
        <v>15</v>
      </c>
      <c r="AE69" s="1100"/>
      <c r="AF69" s="67"/>
      <c r="AG69" s="363"/>
      <c r="AH69" s="363"/>
      <c r="AI69" s="1128"/>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132.5</v>
      </c>
      <c r="R70" s="62"/>
      <c r="S70" s="62">
        <f>ROUND(S46-S67,1)</f>
        <v>21.6</v>
      </c>
      <c r="T70" s="62"/>
      <c r="U70" s="938">
        <f>ROUND(U46-U67,1)</f>
        <v>3.8</v>
      </c>
      <c r="V70" s="62"/>
      <c r="W70" s="62">
        <f>ROUND(W46-W67,1)</f>
        <v>82.5</v>
      </c>
      <c r="X70" s="62"/>
      <c r="Y70" s="62">
        <f>ROUND(Y46-Y67,1)</f>
        <v>0</v>
      </c>
      <c r="Z70" s="62"/>
      <c r="AA70" s="112">
        <f>ROUND(AA46-AA67,1)</f>
        <v>0</v>
      </c>
      <c r="AB70" s="112"/>
      <c r="AC70" s="693"/>
      <c r="AD70" s="112">
        <f>ROUND(SUM(AD46-AD67),1)</f>
        <v>215.6</v>
      </c>
      <c r="AE70" s="1105"/>
      <c r="AF70" s="693"/>
      <c r="AG70" s="112">
        <f>ROUND(SUM(AG46-AG67),1)</f>
        <v>311.7</v>
      </c>
      <c r="AH70" s="115"/>
      <c r="AI70" s="1123"/>
      <c r="AJ70" s="113">
        <f>ROUND(AD70-AG70,1)</f>
        <v>-96.1</v>
      </c>
      <c r="AK70" s="343"/>
      <c r="AL70" s="1503">
        <f>ROUND(SUM(AD70-AG70)/ABS(AG70),3)</f>
        <v>-0.308</v>
      </c>
    </row>
    <row r="71" spans="1:39" ht="15.75">
      <c r="A71" s="31"/>
      <c r="B71" s="31"/>
      <c r="C71" s="31"/>
      <c r="D71" s="107"/>
      <c r="E71" s="1058"/>
      <c r="F71" s="911"/>
      <c r="G71" s="1058"/>
      <c r="H71" s="911"/>
      <c r="I71" s="1058"/>
      <c r="J71" s="911"/>
      <c r="K71" s="1058"/>
      <c r="L71" s="66"/>
      <c r="M71" s="88"/>
      <c r="N71" s="66"/>
      <c r="O71" s="88"/>
      <c r="P71" s="66"/>
      <c r="Q71" s="88"/>
      <c r="R71" s="66"/>
      <c r="S71" s="88"/>
      <c r="T71" s="66"/>
      <c r="U71" s="88"/>
      <c r="V71" s="66"/>
      <c r="W71" s="88"/>
      <c r="X71" s="66"/>
      <c r="Y71" s="88"/>
      <c r="Z71" s="66"/>
      <c r="AA71" s="126"/>
      <c r="AB71" s="118"/>
      <c r="AC71" s="692"/>
      <c r="AD71" s="126"/>
      <c r="AE71" s="1100"/>
      <c r="AF71" s="692"/>
      <c r="AG71" s="126"/>
      <c r="AH71" s="67"/>
      <c r="AI71" s="1123"/>
      <c r="AJ71" s="363"/>
      <c r="AK71" s="327"/>
      <c r="AL71" s="334"/>
    </row>
    <row r="72" spans="1:39" ht="15.75">
      <c r="A72" s="31"/>
      <c r="B72" s="29" t="s">
        <v>206</v>
      </c>
      <c r="C72" s="31"/>
      <c r="D72" s="107"/>
      <c r="E72" s="911"/>
      <c r="F72" s="911"/>
      <c r="G72" s="911"/>
      <c r="H72" s="911"/>
      <c r="I72" s="911"/>
      <c r="J72" s="911"/>
      <c r="K72" s="911"/>
      <c r="L72" s="66"/>
      <c r="M72" s="66"/>
      <c r="N72" s="66"/>
      <c r="O72" s="66"/>
      <c r="P72" s="66"/>
      <c r="Q72" s="66"/>
      <c r="R72" s="66"/>
      <c r="S72" s="66"/>
      <c r="T72" s="66"/>
      <c r="U72" s="66"/>
      <c r="V72" s="66"/>
      <c r="W72" s="66" t="s">
        <v>15</v>
      </c>
      <c r="X72" s="66"/>
      <c r="Y72" s="66"/>
      <c r="Z72" s="66"/>
      <c r="AA72" s="118"/>
      <c r="AB72" s="118"/>
      <c r="AC72" s="692"/>
      <c r="AD72" s="127"/>
      <c r="AE72" s="1100"/>
      <c r="AF72" s="692"/>
      <c r="AG72" s="127"/>
      <c r="AH72" s="127"/>
      <c r="AI72" s="1127"/>
      <c r="AJ72" s="363"/>
      <c r="AK72" s="327"/>
      <c r="AL72" s="334"/>
    </row>
    <row r="73" spans="1:39" s="1109" customFormat="1" ht="15.75">
      <c r="A73" s="107"/>
      <c r="B73" s="1776" t="s">
        <v>215</v>
      </c>
      <c r="C73" s="107"/>
      <c r="D73" s="107"/>
      <c r="E73" s="1584">
        <v>0</v>
      </c>
      <c r="F73" s="911"/>
      <c r="G73" s="1584">
        <v>0</v>
      </c>
      <c r="H73" s="911"/>
      <c r="I73" s="1584">
        <v>0</v>
      </c>
      <c r="J73" s="911"/>
      <c r="K73" s="1584">
        <v>0</v>
      </c>
      <c r="L73" s="911"/>
      <c r="M73" s="1584">
        <v>0</v>
      </c>
      <c r="N73" s="911"/>
      <c r="O73" s="1584">
        <v>0</v>
      </c>
      <c r="P73" s="911"/>
      <c r="Q73" s="1584">
        <v>0</v>
      </c>
      <c r="R73" s="911"/>
      <c r="S73" s="1584">
        <v>0</v>
      </c>
      <c r="T73" s="1584"/>
      <c r="U73" s="1584">
        <v>0</v>
      </c>
      <c r="V73" s="911"/>
      <c r="W73" s="1584">
        <f t="shared" ref="W73:W74" si="8">$AD73-$E73-$G73-$I73-$K73-$M73-$O73-$Q73-$S73-$U73</f>
        <v>0</v>
      </c>
      <c r="X73" s="911"/>
      <c r="Y73" s="1584"/>
      <c r="Z73" s="911"/>
      <c r="AA73" s="1584"/>
      <c r="AB73" s="911"/>
      <c r="AC73" s="1451"/>
      <c r="AD73" s="1584">
        <v>0</v>
      </c>
      <c r="AE73" s="3337"/>
      <c r="AF73" s="1040"/>
      <c r="AG73" s="1584">
        <v>0</v>
      </c>
      <c r="AH73" s="119"/>
      <c r="AI73" s="1101"/>
      <c r="AJ73" s="1986">
        <f>-ROUND(AD73-AG73,1)</f>
        <v>0</v>
      </c>
      <c r="AK73" s="1121"/>
      <c r="AL73" s="1777">
        <f>ROUND(IF(AG73=0,0,AJ73/ABS(AG73)),3)</f>
        <v>0</v>
      </c>
      <c r="AM73" s="1121"/>
    </row>
    <row r="74" spans="1:39" s="1109" customFormat="1" ht="15.75">
      <c r="A74" s="107"/>
      <c r="B74" s="1776" t="s">
        <v>216</v>
      </c>
      <c r="C74" s="107"/>
      <c r="D74" s="107"/>
      <c r="E74" s="1584">
        <v>0</v>
      </c>
      <c r="F74" s="911"/>
      <c r="G74" s="1584">
        <v>0</v>
      </c>
      <c r="H74" s="911"/>
      <c r="I74" s="1584">
        <v>0</v>
      </c>
      <c r="J74" s="911"/>
      <c r="K74" s="1584">
        <v>0</v>
      </c>
      <c r="L74" s="911"/>
      <c r="M74" s="1584">
        <v>0</v>
      </c>
      <c r="N74" s="911"/>
      <c r="O74" s="1584">
        <v>0</v>
      </c>
      <c r="P74" s="911"/>
      <c r="Q74" s="1584">
        <v>-175.9</v>
      </c>
      <c r="R74" s="911"/>
      <c r="S74" s="1584">
        <v>0</v>
      </c>
      <c r="T74" s="1584"/>
      <c r="U74" s="1584">
        <v>-9.9999999999994316E-2</v>
      </c>
      <c r="V74" s="911"/>
      <c r="W74" s="1584">
        <f t="shared" si="8"/>
        <v>-9.9999999999994316E-2</v>
      </c>
      <c r="X74" s="911"/>
      <c r="Y74" s="1584"/>
      <c r="Z74" s="911"/>
      <c r="AA74" s="1584"/>
      <c r="AB74" s="911"/>
      <c r="AC74" s="1451"/>
      <c r="AD74" s="3338">
        <v>-176.1</v>
      </c>
      <c r="AE74" s="3337"/>
      <c r="AF74" s="1040"/>
      <c r="AG74" s="3338">
        <v>-184.4</v>
      </c>
      <c r="AH74" s="67"/>
      <c r="AI74" s="1123"/>
      <c r="AJ74" s="1134">
        <f>-ROUND(AD74-AG74,1)</f>
        <v>-8.3000000000000007</v>
      </c>
      <c r="AK74" s="1121"/>
      <c r="AL74" s="1779">
        <f>ROUND(IF(AG74=0,0,AJ74/ABS(AG74)),3)</f>
        <v>-4.4999999999999998E-2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0"/>
      <c r="AF75" s="692"/>
      <c r="AG75" s="363"/>
      <c r="AH75" s="363"/>
      <c r="AI75" s="1128"/>
      <c r="AJ75" s="1135"/>
      <c r="AK75" s="364"/>
      <c r="AL75" s="1504"/>
      <c r="AM75" s="327"/>
    </row>
    <row r="76" spans="1:39" ht="15.75">
      <c r="A76" s="31"/>
      <c r="B76" s="29" t="s">
        <v>209</v>
      </c>
      <c r="C76" s="31"/>
      <c r="D76" s="107"/>
      <c r="E76" s="1130">
        <f>ROUND(SUM(E73:E75),1)</f>
        <v>0</v>
      </c>
      <c r="F76" s="118"/>
      <c r="G76" s="1130">
        <f>ROUND(SUM(G73:G75),1)</f>
        <v>0</v>
      </c>
      <c r="H76" s="118"/>
      <c r="I76" s="1130">
        <f>ROUND(SUM(I73:I75),1)</f>
        <v>0</v>
      </c>
      <c r="J76" s="118"/>
      <c r="K76" s="1130">
        <f>ROUND(SUM(K73:K75),1)</f>
        <v>0</v>
      </c>
      <c r="L76" s="66"/>
      <c r="M76" s="295">
        <f>ROUND(SUM(M73:M75),1)</f>
        <v>0</v>
      </c>
      <c r="N76" s="66"/>
      <c r="O76" s="295">
        <f>ROUND(SUM(O73:O75),1)</f>
        <v>0</v>
      </c>
      <c r="P76" s="66"/>
      <c r="Q76" s="295">
        <f>ROUND(SUM(Q73:Q75),1)</f>
        <v>-175.9</v>
      </c>
      <c r="R76" s="69"/>
      <c r="S76" s="295">
        <f>ROUND(SUM(S73:S75),1)</f>
        <v>0</v>
      </c>
      <c r="T76" s="66"/>
      <c r="U76" s="295">
        <f>ROUND(SUM(U73:U75),1)</f>
        <v>-0.1</v>
      </c>
      <c r="V76" s="66"/>
      <c r="W76" s="295">
        <f>ROUND(SUM(W73:W75),1)</f>
        <v>-0.1</v>
      </c>
      <c r="X76" s="66"/>
      <c r="Y76" s="295">
        <f>ROUND(SUM(Y73:Y75),1)</f>
        <v>0</v>
      </c>
      <c r="Z76" s="77"/>
      <c r="AA76" s="1130">
        <f>ROUND(SUM(AA73:AA75),1)</f>
        <v>0</v>
      </c>
      <c r="AB76" s="118"/>
      <c r="AC76" s="692"/>
      <c r="AD76" s="1130">
        <f>ROUND(SUM(AD73:AD75),1)</f>
        <v>-176.1</v>
      </c>
      <c r="AE76" s="1100"/>
      <c r="AF76" s="692"/>
      <c r="AG76" s="1130">
        <f>ROUND(SUM(AG73:AG75),1)</f>
        <v>-184.4</v>
      </c>
      <c r="AH76" s="67"/>
      <c r="AI76" s="1123"/>
      <c r="AJ76" s="1130">
        <f>ROUND(SUM(AJ73:AJ75),1)</f>
        <v>-8.3000000000000007</v>
      </c>
      <c r="AK76" s="364"/>
      <c r="AL76" s="1467">
        <f>ROUND(IF(AG76=0,0,AJ76/ABS(AG76)),3)</f>
        <v>-4.4999999999999998E-2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0"/>
      <c r="AF77" s="692"/>
      <c r="AG77" s="126"/>
      <c r="AH77" s="67"/>
      <c r="AI77" s="1123"/>
      <c r="AJ77" s="126"/>
      <c r="AK77" s="327"/>
      <c r="AL77" s="1505"/>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0"/>
      <c r="AF78" s="692"/>
      <c r="AG78" s="118"/>
      <c r="AH78" s="118"/>
      <c r="AI78" s="1123"/>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0"/>
      <c r="AF79" s="692"/>
      <c r="AG79" s="118"/>
      <c r="AH79" s="118"/>
      <c r="AI79" s="1123"/>
      <c r="AJ79" s="363"/>
      <c r="AK79" s="327"/>
      <c r="AL79" s="334"/>
    </row>
    <row r="80" spans="1:39" ht="15.75">
      <c r="A80" s="31"/>
      <c r="B80" s="29" t="s">
        <v>168</v>
      </c>
      <c r="C80" s="31"/>
      <c r="D80" s="107"/>
      <c r="E80" s="1126">
        <f>ROUND(E70+E76,1)</f>
        <v>-67</v>
      </c>
      <c r="F80" s="67"/>
      <c r="G80" s="1126">
        <f>ROUND(G70+G76,1)</f>
        <v>21.9</v>
      </c>
      <c r="H80" s="67"/>
      <c r="I80" s="1126">
        <f>ROUND(I70+I76,1)</f>
        <v>-26</v>
      </c>
      <c r="J80" s="67"/>
      <c r="K80" s="1126">
        <f>ROUND(K70+K76,1)</f>
        <v>13.1</v>
      </c>
      <c r="L80" s="56"/>
      <c r="M80" s="1126">
        <f>ROUND(M70+M76,1)</f>
        <v>15.9</v>
      </c>
      <c r="N80" s="56"/>
      <c r="O80" s="1126">
        <f>ROUND(O70+O76,1)</f>
        <v>17.3</v>
      </c>
      <c r="P80" s="56"/>
      <c r="Q80" s="1126">
        <f>ROUND(Q70+Q76,1)</f>
        <v>-43.4</v>
      </c>
      <c r="R80" s="56"/>
      <c r="S80" s="1126">
        <f>ROUND(S70+S76,1)</f>
        <v>21.6</v>
      </c>
      <c r="T80" s="56"/>
      <c r="U80" s="1126">
        <f>ROUND(U70+U76,1)</f>
        <v>3.7</v>
      </c>
      <c r="V80" s="56"/>
      <c r="W80" s="1126">
        <f>ROUND(W70+W76,1)</f>
        <v>82.4</v>
      </c>
      <c r="X80" s="56"/>
      <c r="Y80" s="1126">
        <f>ROUND(Y70+Y76,1)</f>
        <v>0</v>
      </c>
      <c r="Z80" s="56"/>
      <c r="AA80" s="1126">
        <f>ROUND(AA70+AA76,1)</f>
        <v>0</v>
      </c>
      <c r="AB80" s="67"/>
      <c r="AC80" s="1089"/>
      <c r="AD80" s="1126">
        <f>ROUND(AD70+AD76,1)</f>
        <v>39.5</v>
      </c>
      <c r="AE80" s="3339"/>
      <c r="AF80" s="3342"/>
      <c r="AG80" s="1126">
        <f>ROUND(AG70+AG76,1)</f>
        <v>127.3</v>
      </c>
      <c r="AH80" s="1900"/>
      <c r="AI80" s="1901"/>
      <c r="AJ80" s="1126">
        <f>ROUND(AD80-AG80,1)</f>
        <v>-87.8</v>
      </c>
      <c r="AK80" s="349"/>
      <c r="AL80" s="1503">
        <f>ROUND(SUM(AD80-AG80)/ABS(AG80),3)</f>
        <v>-0.69</v>
      </c>
      <c r="AM80" s="923"/>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89"/>
      <c r="AD81" s="139"/>
      <c r="AE81" s="3340"/>
      <c r="AF81" s="3343"/>
      <c r="AG81" s="139"/>
      <c r="AH81" s="1416"/>
      <c r="AI81" s="1417"/>
      <c r="AJ81" s="139"/>
      <c r="AK81" s="343"/>
      <c r="AL81" s="1530"/>
      <c r="AM81" s="923"/>
    </row>
    <row r="82" spans="1:39" ht="16.5" thickBot="1">
      <c r="A82" s="31"/>
      <c r="B82" s="29" t="s">
        <v>1209</v>
      </c>
      <c r="C82" s="31"/>
      <c r="D82" s="107"/>
      <c r="E82" s="1902">
        <f>ROUND(SUM(E14+E80),1)</f>
        <v>-571.70000000000005</v>
      </c>
      <c r="F82" s="118"/>
      <c r="G82" s="1902">
        <f>ROUND(SUM(G14+G80),1)</f>
        <v>-549.79999999999995</v>
      </c>
      <c r="H82" s="118"/>
      <c r="I82" s="1902">
        <f>ROUND(SUM(I14+I80),1)</f>
        <v>-575.79999999999995</v>
      </c>
      <c r="J82" s="118"/>
      <c r="K82" s="1902">
        <f>ROUND(SUM(K14+K80),1)</f>
        <v>-562.70000000000005</v>
      </c>
      <c r="L82" s="66"/>
      <c r="M82" s="1902">
        <f>ROUND(SUM(M14+M80),1)</f>
        <v>-546.79999999999995</v>
      </c>
      <c r="N82" s="66"/>
      <c r="O82" s="1902">
        <f>ROUND(SUM(O14+O80),1)</f>
        <v>-529.5</v>
      </c>
      <c r="P82" s="66"/>
      <c r="Q82" s="1902">
        <f>ROUND(SUM(Q14+Q80),1)</f>
        <v>-572.9</v>
      </c>
      <c r="R82" s="66"/>
      <c r="S82" s="1902">
        <f>ROUND(SUM(S14+S80),1)</f>
        <v>-551.29999999999995</v>
      </c>
      <c r="T82" s="66"/>
      <c r="U82" s="1902">
        <f>ROUND(SUM(U14+U80),1)</f>
        <v>-547.6</v>
      </c>
      <c r="V82" s="66"/>
      <c r="W82" s="1902">
        <f>ROUND(SUM(W14+W80),1)</f>
        <v>-465.2</v>
      </c>
      <c r="X82" s="66"/>
      <c r="Y82" s="1902">
        <f>ROUND(SUM(Y14+Y80),1)</f>
        <v>0</v>
      </c>
      <c r="Z82" s="66"/>
      <c r="AA82" s="1902">
        <f>ROUND(SUM(AA14+AA80),1)</f>
        <v>0</v>
      </c>
      <c r="AB82" s="118"/>
      <c r="AC82" s="1089"/>
      <c r="AD82" s="1902">
        <f>ROUND(SUM(AD14+AD80),1)</f>
        <v>-465.2</v>
      </c>
      <c r="AE82" s="3340"/>
      <c r="AF82" s="3343"/>
      <c r="AG82" s="1902">
        <f>ROUND(SUM(AG14+AG80),1)</f>
        <v>-455.5</v>
      </c>
      <c r="AH82" s="1416"/>
      <c r="AI82" s="1417"/>
      <c r="AJ82" s="1902">
        <f>ROUND(SUM(AJ14+AJ80),1)</f>
        <v>-9.6999999999999993</v>
      </c>
      <c r="AK82" s="343"/>
      <c r="AL82" s="2168">
        <f>ROUND(SUM(AD82-AG82)/ABS(AG82),3)</f>
        <v>-2.1000000000000001E-2</v>
      </c>
      <c r="AM82" s="923"/>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6"/>
      <c r="AJ83" s="1121"/>
      <c r="AK83" s="327"/>
      <c r="AL83" s="1604"/>
    </row>
    <row r="84" spans="1:39">
      <c r="A84" s="31"/>
      <c r="B84" s="1519"/>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1"/>
      <c r="AK84" s="327"/>
      <c r="AL84" s="334"/>
    </row>
    <row r="85" spans="1:39">
      <c r="B85" s="31"/>
      <c r="Y85" s="357" t="s">
        <v>15</v>
      </c>
      <c r="AI85" s="1121"/>
      <c r="AJ85" s="1109" t="s">
        <v>15</v>
      </c>
      <c r="AK85" s="327"/>
      <c r="AL85" s="365"/>
    </row>
    <row r="90" spans="1:39">
      <c r="AD90" s="3341"/>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zoomScaleNormal="70" workbookViewId="0"/>
  </sheetViews>
  <sheetFormatPr defaultColWidth="8.88671875" defaultRowHeight="16.5" customHeight="1"/>
  <cols>
    <col min="1" max="1" width="45.109375" style="102" customWidth="1"/>
    <col min="2" max="2" width="1.88671875" style="102" customWidth="1"/>
    <col min="3" max="3" width="9.88671875" style="102" customWidth="1"/>
    <col min="4" max="4" width="1.88671875" style="102" customWidth="1"/>
    <col min="5" max="5" width="10" style="102" customWidth="1"/>
    <col min="6" max="6" width="1.88671875" style="102" customWidth="1"/>
    <col min="7" max="7" width="9.88671875" style="102" customWidth="1"/>
    <col min="8" max="8" width="1.88671875" style="102" customWidth="1"/>
    <col min="9" max="9" width="9.88671875" style="102" customWidth="1"/>
    <col min="10" max="10" width="1.5546875" style="102" customWidth="1"/>
    <col min="11" max="11" width="10.109375" style="102" customWidth="1"/>
    <col min="12" max="12" width="1.5546875" style="102" customWidth="1"/>
    <col min="13" max="13" width="13.109375" style="102" customWidth="1"/>
    <col min="14" max="14" width="1.88671875" style="102" customWidth="1"/>
    <col min="15" max="15" width="11.88671875" style="102" customWidth="1"/>
    <col min="16" max="16" width="1.88671875" style="102" customWidth="1"/>
    <col min="17" max="17" width="11.88671875" style="102" customWidth="1"/>
    <col min="18" max="18" width="1.88671875" style="102" customWidth="1"/>
    <col min="19" max="19" width="12.44140625" style="102" customWidth="1"/>
    <col min="20" max="20" width="1.88671875" style="102" customWidth="1"/>
    <col min="21" max="21" width="10.5546875" style="102" customWidth="1"/>
    <col min="22" max="22" width="1.88671875" style="102" customWidth="1"/>
    <col min="23" max="23" width="10.88671875" style="102" customWidth="1"/>
    <col min="24" max="24" width="1.88671875" style="102" customWidth="1"/>
    <col min="25" max="25" width="10.109375" style="102" customWidth="1"/>
    <col min="26" max="27" width="1.88671875" style="102" customWidth="1"/>
    <col min="28" max="28" width="11.5546875" style="1763" customWidth="1"/>
    <col min="29" max="30" width="1.88671875" style="1763" customWidth="1"/>
    <col min="31" max="31" width="12.44140625" style="1763" customWidth="1"/>
    <col min="32" max="32" width="1.88671875" style="2269" customWidth="1"/>
    <col min="33" max="33" width="2.44140625" style="3356" customWidth="1"/>
    <col min="34" max="34" width="10.109375" style="1711" bestFit="1" customWidth="1"/>
    <col min="35" max="35" width="1.88671875" style="1152" customWidth="1"/>
    <col min="36" max="36" width="14.109375" style="1151" bestFit="1" customWidth="1"/>
    <col min="37" max="16384" width="8.88671875" style="102"/>
  </cols>
  <sheetData>
    <row r="1" spans="1:254" ht="16.5" customHeight="1">
      <c r="A1" s="657" t="s">
        <v>979</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52"/>
      <c r="AC2" s="3252"/>
      <c r="AD2" s="3252"/>
      <c r="AE2" s="3252"/>
    </row>
    <row r="3" spans="1:254" ht="20.25" customHeight="1">
      <c r="A3" s="3719"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56"/>
      <c r="AC3" s="1756"/>
      <c r="AD3" s="1756"/>
      <c r="AE3" s="1756"/>
      <c r="AF3" s="107"/>
      <c r="AJ3" s="1191" t="s">
        <v>1096</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19"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56"/>
      <c r="AC4" s="1756"/>
      <c r="AD4" s="1756"/>
      <c r="AE4" s="1756"/>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20"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57"/>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20"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56"/>
      <c r="AC6" s="1756"/>
      <c r="AD6" s="1756"/>
      <c r="AE6" s="1756"/>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19" t="s">
        <v>1416</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56"/>
      <c r="AC7" s="1756"/>
      <c r="AD7" s="1756"/>
      <c r="AE7" s="1756"/>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52"/>
      <c r="AC8" s="3252"/>
      <c r="AD8" s="3252"/>
      <c r="AE8" s="3252"/>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52"/>
      <c r="AC9" s="3252"/>
      <c r="AD9" s="3252"/>
      <c r="AE9" s="3252"/>
      <c r="AF9" s="1107"/>
      <c r="AG9" s="3358"/>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52"/>
      <c r="AC10" s="3252"/>
      <c r="AD10" s="3252"/>
      <c r="AE10" s="3252"/>
      <c r="AF10" s="1763"/>
      <c r="AG10" s="3359"/>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52"/>
      <c r="AD11" s="3252"/>
      <c r="AE11" s="3252"/>
      <c r="AF11" s="3360"/>
      <c r="AG11" s="3361"/>
      <c r="AH11" s="3358"/>
      <c r="AI11" s="1153"/>
      <c r="AJ11" s="1153"/>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79"/>
      <c r="Z12" s="779"/>
      <c r="AA12" s="230"/>
      <c r="AB12" s="3918" t="s">
        <v>1566</v>
      </c>
      <c r="AC12" s="3919"/>
      <c r="AD12" s="3919"/>
      <c r="AE12" s="3919"/>
      <c r="AF12" s="3919"/>
      <c r="AG12" s="3919"/>
      <c r="AH12" s="3919"/>
      <c r="AI12" s="3919"/>
      <c r="AJ12" s="3919"/>
    </row>
    <row r="13" spans="1:254" ht="16.5" customHeight="1">
      <c r="A13" s="221"/>
      <c r="B13" s="221"/>
      <c r="C13" s="924" t="str">
        <f>'Cashflow Governmental'!C13</f>
        <v>2019</v>
      </c>
      <c r="D13" s="230"/>
      <c r="E13" s="230"/>
      <c r="F13" s="230"/>
      <c r="G13" s="230"/>
      <c r="H13" s="230"/>
      <c r="I13" s="230"/>
      <c r="J13" s="230"/>
      <c r="K13" s="230"/>
      <c r="L13" s="230"/>
      <c r="M13" s="230"/>
      <c r="N13" s="230"/>
      <c r="O13" s="230"/>
      <c r="P13" s="230"/>
      <c r="Q13" s="230"/>
      <c r="R13" s="230"/>
      <c r="S13" s="230"/>
      <c r="T13" s="230"/>
      <c r="U13" s="924" t="str">
        <f>'Cashflow Governmental'!U13</f>
        <v>2020</v>
      </c>
      <c r="V13" s="230"/>
      <c r="W13" s="230"/>
      <c r="X13" s="230"/>
      <c r="Y13" s="230"/>
      <c r="Z13" s="230"/>
      <c r="AA13" s="230"/>
      <c r="AB13" s="3253"/>
      <c r="AC13" s="3344"/>
      <c r="AD13" s="3344"/>
      <c r="AE13" s="3344"/>
      <c r="AF13" s="3362"/>
      <c r="AG13" s="3363"/>
      <c r="AH13" s="3364" t="s">
        <v>8</v>
      </c>
      <c r="AI13" s="1155"/>
      <c r="AJ13" s="1156" t="s">
        <v>9</v>
      </c>
    </row>
    <row r="14" spans="1:254" ht="16.5" customHeight="1">
      <c r="A14" s="221"/>
      <c r="B14" s="221"/>
      <c r="C14" s="780" t="s">
        <v>125</v>
      </c>
      <c r="D14" s="230"/>
      <c r="E14" s="780" t="s">
        <v>126</v>
      </c>
      <c r="F14" s="230"/>
      <c r="G14" s="780" t="s">
        <v>127</v>
      </c>
      <c r="H14" s="230"/>
      <c r="I14" s="780" t="s">
        <v>128</v>
      </c>
      <c r="J14" s="230"/>
      <c r="K14" s="780" t="s">
        <v>129</v>
      </c>
      <c r="L14" s="230"/>
      <c r="M14" s="780" t="s">
        <v>144</v>
      </c>
      <c r="N14" s="230"/>
      <c r="O14" s="780" t="s">
        <v>145</v>
      </c>
      <c r="P14" s="230"/>
      <c r="Q14" s="780" t="s">
        <v>132</v>
      </c>
      <c r="R14" s="230"/>
      <c r="S14" s="780" t="s">
        <v>133</v>
      </c>
      <c r="T14" s="230"/>
      <c r="U14" s="780" t="s">
        <v>134</v>
      </c>
      <c r="V14" s="230"/>
      <c r="W14" s="780" t="s">
        <v>135</v>
      </c>
      <c r="X14" s="230"/>
      <c r="Y14" s="780" t="s">
        <v>186</v>
      </c>
      <c r="Z14" s="230"/>
      <c r="AA14" s="230"/>
      <c r="AB14" s="3345">
        <f>'Cashflow Governmental'!AB14</f>
        <v>2020</v>
      </c>
      <c r="AC14" s="1755" t="s">
        <v>15</v>
      </c>
      <c r="AD14" s="1755"/>
      <c r="AE14" s="3345">
        <f>'Cashflow Governmental'!AE14</f>
        <v>2019</v>
      </c>
      <c r="AF14" s="3365"/>
      <c r="AG14" s="3366"/>
      <c r="AH14" s="3367" t="s">
        <v>12</v>
      </c>
      <c r="AI14" s="1158"/>
      <c r="AJ14" s="1157"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46"/>
      <c r="AC15" s="1756"/>
      <c r="AD15" s="1756"/>
      <c r="AE15" s="3346"/>
      <c r="AF15" s="3365"/>
      <c r="AG15" s="3366"/>
    </row>
    <row r="16" spans="1:254" ht="16.5" customHeight="1">
      <c r="A16" s="227" t="s">
        <v>137</v>
      </c>
      <c r="B16" s="221"/>
      <c r="C16" s="2198">
        <v>26.6</v>
      </c>
      <c r="D16" s="228"/>
      <c r="E16" s="228">
        <f>C55</f>
        <v>26.6</v>
      </c>
      <c r="F16" s="366"/>
      <c r="G16" s="228">
        <f>E55</f>
        <v>26.9</v>
      </c>
      <c r="H16" s="366"/>
      <c r="I16" s="228">
        <f>G55</f>
        <v>27.3</v>
      </c>
      <c r="J16" s="366"/>
      <c r="K16" s="228">
        <f>I55</f>
        <v>27.8</v>
      </c>
      <c r="L16" s="366"/>
      <c r="M16" s="228">
        <f>K55</f>
        <v>27.1</v>
      </c>
      <c r="N16" s="366"/>
      <c r="O16" s="228">
        <f>M55</f>
        <v>39.299999999999997</v>
      </c>
      <c r="P16" s="366"/>
      <c r="Q16" s="228">
        <f>O55</f>
        <v>33.4</v>
      </c>
      <c r="R16" s="366"/>
      <c r="S16" s="228">
        <f>Q55</f>
        <v>31.1</v>
      </c>
      <c r="T16" s="366"/>
      <c r="U16" s="228">
        <f>S55</f>
        <v>28.9</v>
      </c>
      <c r="V16" s="366"/>
      <c r="W16" s="228"/>
      <c r="X16" s="366"/>
      <c r="Y16" s="228"/>
      <c r="Z16" s="228"/>
      <c r="AA16" s="229"/>
      <c r="AB16" s="3347">
        <f>C16</f>
        <v>26.6</v>
      </c>
      <c r="AC16" s="3347"/>
      <c r="AD16" s="3368"/>
      <c r="AE16" s="2198">
        <v>24.6</v>
      </c>
      <c r="AF16" s="1737"/>
      <c r="AG16" s="1721"/>
      <c r="AH16" s="1710">
        <f>ROUND(SUM(AB16-AE16),1)</f>
        <v>2</v>
      </c>
      <c r="AJ16" s="1160">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56" t="s">
        <v>15</v>
      </c>
      <c r="AC17" s="1756"/>
      <c r="AD17" s="3369"/>
      <c r="AE17" s="1756" t="s">
        <v>15</v>
      </c>
      <c r="AF17" s="1749"/>
      <c r="AG17" s="1721"/>
      <c r="AH17" s="3370"/>
      <c r="AJ17" s="1152"/>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56"/>
      <c r="AC18" s="1756"/>
      <c r="AD18" s="3369"/>
      <c r="AE18" s="1756"/>
      <c r="AF18" s="1722"/>
      <c r="AG18" s="1721"/>
      <c r="AH18" s="3370"/>
      <c r="AJ18" s="1152"/>
    </row>
    <row r="19" spans="1:38" ht="18.75" customHeight="1">
      <c r="A19" s="221" t="s">
        <v>179</v>
      </c>
      <c r="B19" s="221"/>
      <c r="C19" s="233">
        <v>4.8</v>
      </c>
      <c r="D19" s="233"/>
      <c r="E19" s="233">
        <v>6.1000000000000005</v>
      </c>
      <c r="F19" s="242"/>
      <c r="G19" s="233">
        <v>5.0999999999999988</v>
      </c>
      <c r="H19" s="242"/>
      <c r="I19" s="233">
        <v>5.4999999999999991</v>
      </c>
      <c r="J19" s="242"/>
      <c r="K19" s="233">
        <v>6.7</v>
      </c>
      <c r="L19" s="242"/>
      <c r="M19" s="233">
        <v>17.200000000000003</v>
      </c>
      <c r="N19" s="242"/>
      <c r="O19" s="1752">
        <v>9.899999999999995</v>
      </c>
      <c r="P19" s="242"/>
      <c r="Q19" s="1752">
        <v>5.6999999999999993</v>
      </c>
      <c r="R19" s="242"/>
      <c r="S19" s="1752">
        <v>4.5999999999999943</v>
      </c>
      <c r="T19" s="242"/>
      <c r="U19" s="1752">
        <f>$AB19-$C19-$E19-$G19-$I19-$K19-$M19-$O19-$Q19-$S19</f>
        <v>6</v>
      </c>
      <c r="V19" s="242"/>
      <c r="W19" s="1752"/>
      <c r="X19" s="242"/>
      <c r="Y19" s="1752"/>
      <c r="Z19" s="233"/>
      <c r="AA19" s="234"/>
      <c r="AB19" s="2165">
        <v>71.599999999999994</v>
      </c>
      <c r="AC19" s="1607"/>
      <c r="AD19" s="1758"/>
      <c r="AE19" s="2165">
        <v>52.1</v>
      </c>
      <c r="AF19" s="1626"/>
      <c r="AG19" s="1721"/>
      <c r="AH19" s="3371">
        <f>ROUND(AB19-AE19,1)</f>
        <v>19.5</v>
      </c>
      <c r="AI19" s="1162"/>
      <c r="AJ19" s="1682">
        <f>ROUND(IF(AE19=0,0,AH19/ABS(AE19)),3)</f>
        <v>0.374</v>
      </c>
    </row>
    <row r="20" spans="1:38" ht="17.25" customHeight="1">
      <c r="A20" s="227" t="s">
        <v>218</v>
      </c>
      <c r="B20" s="221"/>
      <c r="C20" s="233">
        <v>1.1000000000000001</v>
      </c>
      <c r="D20" s="233"/>
      <c r="E20" s="233">
        <v>1</v>
      </c>
      <c r="F20" s="242"/>
      <c r="G20" s="233">
        <v>0.89999999999999991</v>
      </c>
      <c r="H20" s="242"/>
      <c r="I20" s="233">
        <v>1</v>
      </c>
      <c r="J20" s="242"/>
      <c r="K20" s="233">
        <v>0.90000000000000036</v>
      </c>
      <c r="L20" s="242"/>
      <c r="M20" s="233">
        <v>0.89999999999999902</v>
      </c>
      <c r="N20" s="242"/>
      <c r="O20" s="1752">
        <v>1</v>
      </c>
      <c r="P20" s="242"/>
      <c r="Q20" s="1752">
        <v>0.99999999999999956</v>
      </c>
      <c r="R20" s="242"/>
      <c r="S20" s="1752">
        <v>5.9</v>
      </c>
      <c r="T20" s="242"/>
      <c r="U20" s="1752">
        <f t="shared" ref="U20:U21" si="0">$AB20-$C20-$E20-$G20-$I20-$K20-$M20-$O20-$Q20-$S20</f>
        <v>1</v>
      </c>
      <c r="V20" s="242"/>
      <c r="W20" s="1752"/>
      <c r="X20" s="242"/>
      <c r="Y20" s="1752"/>
      <c r="Z20" s="233"/>
      <c r="AA20" s="234"/>
      <c r="AB20" s="2165">
        <v>14.7</v>
      </c>
      <c r="AC20" s="1607"/>
      <c r="AD20" s="1758"/>
      <c r="AE20" s="2165">
        <v>13</v>
      </c>
      <c r="AF20" s="1626"/>
      <c r="AG20" s="1721"/>
      <c r="AH20" s="3371">
        <f>ROUND(AB20-AE20,1)</f>
        <v>1.7</v>
      </c>
      <c r="AI20" s="1162"/>
      <c r="AJ20" s="1591">
        <f>ROUND(IF(AE20=0,0,AH20/ABS(AE20)),3)</f>
        <v>0.13100000000000001</v>
      </c>
    </row>
    <row r="21" spans="1:38"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v>150.2999999999999</v>
      </c>
      <c r="N21" s="242"/>
      <c r="O21" s="1752">
        <v>147</v>
      </c>
      <c r="P21" s="242"/>
      <c r="Q21" s="1752">
        <v>151.19999999999999</v>
      </c>
      <c r="R21" s="242"/>
      <c r="S21" s="1752">
        <v>220.3</v>
      </c>
      <c r="T21" s="242"/>
      <c r="U21" s="1752">
        <f t="shared" si="0"/>
        <v>227.70000000000005</v>
      </c>
      <c r="V21" s="242"/>
      <c r="W21" s="1752"/>
      <c r="X21" s="242"/>
      <c r="Y21" s="1752"/>
      <c r="Z21" s="233"/>
      <c r="AA21" s="234"/>
      <c r="AB21" s="2165">
        <v>1704.7</v>
      </c>
      <c r="AC21" s="1607"/>
      <c r="AD21" s="1758"/>
      <c r="AE21" s="2165">
        <v>1638.5</v>
      </c>
      <c r="AF21" s="1724"/>
      <c r="AG21" s="1727"/>
      <c r="AH21" s="3372">
        <f>ROUND(AB21-AE21,1)</f>
        <v>66.2</v>
      </c>
      <c r="AI21" s="1162"/>
      <c r="AJ21" s="1683">
        <f>ROUND(IF(AE21=0,0,AH21/ABS(AE21)),3)</f>
        <v>0.04</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54"/>
      <c r="X22" s="242"/>
      <c r="Y22" s="370"/>
      <c r="Z22" s="233"/>
      <c r="AA22" s="234"/>
      <c r="AB22" s="3348"/>
      <c r="AC22" s="1607"/>
      <c r="AD22" s="1758"/>
      <c r="AE22" s="3348"/>
      <c r="AF22" s="1623"/>
      <c r="AG22" s="1727"/>
      <c r="AH22" s="1738"/>
      <c r="AJ22" s="1152"/>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157.9</v>
      </c>
      <c r="P23" s="243"/>
      <c r="Q23" s="243">
        <f>ROUND(SUM(Q19:Q22),1)</f>
        <v>157.9</v>
      </c>
      <c r="R23" s="243"/>
      <c r="S23" s="243">
        <f>ROUND(SUM(S19:S22),1)</f>
        <v>230.8</v>
      </c>
      <c r="T23" s="243"/>
      <c r="U23" s="243">
        <f>ROUND(SUM(U19:U22),1)</f>
        <v>234.7</v>
      </c>
      <c r="V23" s="243"/>
      <c r="W23" s="3349">
        <f>ROUND(SUM(W19:W22),1)</f>
        <v>0</v>
      </c>
      <c r="X23" s="243"/>
      <c r="Y23" s="243">
        <f>ROUND(SUM(Y19:Y22),1)</f>
        <v>0</v>
      </c>
      <c r="Z23" s="235"/>
      <c r="AA23" s="236"/>
      <c r="AB23" s="3349">
        <f>ROUND(SUM(AB19:AB22),1)</f>
        <v>1791</v>
      </c>
      <c r="AC23" s="3350"/>
      <c r="AD23" s="3373"/>
      <c r="AE23" s="3349">
        <f>ROUND(SUM(AE19:AE22),1)</f>
        <v>1703.6</v>
      </c>
      <c r="AF23" s="1724"/>
      <c r="AG23" s="1727"/>
      <c r="AH23" s="3374">
        <f>ROUND(SUM(AH19:AH21),1)</f>
        <v>87.4</v>
      </c>
      <c r="AI23" s="1164"/>
      <c r="AJ23" s="1165">
        <f>ROUND(IF(AH23=0,0,AH23/ABS(AE23)),3)</f>
        <v>5.0999999999999997E-2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48"/>
      <c r="AC24" s="1607"/>
      <c r="AD24" s="1758"/>
      <c r="AE24" s="3348"/>
      <c r="AF24" s="2257"/>
      <c r="AG24" s="1727"/>
      <c r="AH24" s="1738"/>
      <c r="AJ24" s="1152"/>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07"/>
      <c r="AC25" s="1607"/>
      <c r="AD25" s="1758"/>
      <c r="AE25" s="1607"/>
      <c r="AF25" s="2258"/>
      <c r="AG25" s="1727"/>
      <c r="AH25" s="1738"/>
      <c r="AJ25" s="1152"/>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07"/>
      <c r="AC26" s="1607"/>
      <c r="AD26" s="1758"/>
      <c r="AE26" s="1607"/>
      <c r="AF26" s="1722"/>
      <c r="AG26" s="1721"/>
      <c r="AH26" s="1738"/>
      <c r="AJ26" s="1166"/>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53"/>
      <c r="Y27" s="1753"/>
      <c r="Z27" s="1607"/>
      <c r="AA27" s="1758"/>
      <c r="AB27" s="1607"/>
      <c r="AC27" s="1607"/>
      <c r="AD27" s="1758"/>
      <c r="AE27" s="1607"/>
      <c r="AF27" s="1626"/>
      <c r="AG27" s="1721"/>
      <c r="AH27" s="1738"/>
      <c r="AI27" s="1167"/>
      <c r="AJ27" s="1166"/>
    </row>
    <row r="28" spans="1:38" ht="16.5" customHeight="1">
      <c r="A28" s="221" t="s">
        <v>153</v>
      </c>
      <c r="B28" s="221"/>
      <c r="C28" s="233"/>
      <c r="D28" s="233"/>
      <c r="E28" s="242"/>
      <c r="F28" s="242"/>
      <c r="G28" s="242"/>
      <c r="H28" s="242"/>
      <c r="I28" s="242"/>
      <c r="J28" s="242"/>
      <c r="K28" s="242"/>
      <c r="L28" s="242"/>
      <c r="M28" s="242"/>
      <c r="N28" s="242"/>
      <c r="O28" s="242"/>
      <c r="P28" s="242"/>
      <c r="Q28" s="242"/>
      <c r="R28" s="242"/>
      <c r="S28" s="1752"/>
      <c r="T28" s="242"/>
      <c r="U28" s="242"/>
      <c r="V28" s="242"/>
      <c r="W28" s="242"/>
      <c r="X28" s="1753"/>
      <c r="Y28" s="1753"/>
      <c r="Z28" s="1607"/>
      <c r="AA28" s="1758"/>
      <c r="AB28" s="1607"/>
      <c r="AC28" s="1607"/>
      <c r="AD28" s="1758"/>
      <c r="AE28" s="1607"/>
      <c r="AF28" s="2260"/>
      <c r="AG28" s="1727"/>
      <c r="AH28" s="1738"/>
      <c r="AJ28" s="1166"/>
    </row>
    <row r="29" spans="1:38"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v>0.39999999999999991</v>
      </c>
      <c r="N29" s="242"/>
      <c r="O29" s="1752">
        <v>8.1999999999999993</v>
      </c>
      <c r="P29" s="242"/>
      <c r="Q29" s="1752">
        <v>2.5</v>
      </c>
      <c r="R29" s="242"/>
      <c r="S29" s="1752">
        <v>1.3000000000000007</v>
      </c>
      <c r="T29" s="242"/>
      <c r="U29" s="1752">
        <f t="shared" ref="U29:U32" si="1">$AB29-$C29-$E29-$G29-$I29-$K29-$M29-$O29-$Q29-$S29</f>
        <v>1</v>
      </c>
      <c r="V29" s="242"/>
      <c r="W29" s="1752"/>
      <c r="X29" s="1753"/>
      <c r="Y29" s="1752"/>
      <c r="Z29" s="1607"/>
      <c r="AA29" s="1758"/>
      <c r="AB29" s="2165">
        <v>15.3</v>
      </c>
      <c r="AC29" s="1607"/>
      <c r="AD29" s="1758"/>
      <c r="AE29" s="2165">
        <v>5.4</v>
      </c>
      <c r="AF29" s="1722"/>
      <c r="AG29" s="1732"/>
      <c r="AH29" s="1738">
        <f>ROUND(SUM(AB29-AE29),1)</f>
        <v>9.9</v>
      </c>
      <c r="AJ29" s="1168">
        <f>ROUND(IF(AH29=0,0,AH29/ABS(AE29)),3)</f>
        <v>1.833</v>
      </c>
    </row>
    <row r="30" spans="1:38" ht="16.5" customHeight="1">
      <c r="A30" s="221" t="s">
        <v>180</v>
      </c>
      <c r="B30" s="221"/>
      <c r="C30" s="233">
        <v>3.6</v>
      </c>
      <c r="D30" s="233"/>
      <c r="E30" s="233">
        <v>5.0999999999999996</v>
      </c>
      <c r="F30" s="242"/>
      <c r="G30" s="233">
        <v>4.5</v>
      </c>
      <c r="H30" s="242"/>
      <c r="I30" s="233">
        <v>4.3999999999999986</v>
      </c>
      <c r="J30" s="242"/>
      <c r="K30" s="233">
        <v>7.1999999999999957</v>
      </c>
      <c r="L30" s="242"/>
      <c r="M30" s="233">
        <v>4.3000000000000043</v>
      </c>
      <c r="N30" s="242"/>
      <c r="O30" s="1752">
        <v>7.7999999999999972</v>
      </c>
      <c r="P30" s="242"/>
      <c r="Q30" s="1752">
        <v>4.8000000000000043</v>
      </c>
      <c r="R30" s="242"/>
      <c r="S30" s="1752">
        <v>4.5999999999999943</v>
      </c>
      <c r="T30" s="242"/>
      <c r="U30" s="1752">
        <f t="shared" si="1"/>
        <v>3.7000000000000028</v>
      </c>
      <c r="V30" s="242"/>
      <c r="W30" s="1752"/>
      <c r="X30" s="1753"/>
      <c r="Y30" s="1752"/>
      <c r="Z30" s="1607"/>
      <c r="AA30" s="1758"/>
      <c r="AB30" s="2165">
        <v>50</v>
      </c>
      <c r="AC30" s="1607"/>
      <c r="AD30" s="1758"/>
      <c r="AE30" s="2165">
        <v>45.7</v>
      </c>
      <c r="AF30" s="1626"/>
      <c r="AG30" s="1732"/>
      <c r="AH30" s="1738">
        <f>ROUND(SUM(AB30-AE30),1)</f>
        <v>4.3</v>
      </c>
      <c r="AJ30" s="1168">
        <f>ROUND(IF(AH30=0,0,AH30/ABS(AE30)),3)</f>
        <v>9.4E-2</v>
      </c>
    </row>
    <row r="31" spans="1:38" ht="16.5" customHeight="1">
      <c r="A31" s="221" t="s">
        <v>156</v>
      </c>
      <c r="B31" s="221"/>
      <c r="C31" s="233">
        <v>0.1</v>
      </c>
      <c r="D31" s="233"/>
      <c r="E31" s="233">
        <v>0</v>
      </c>
      <c r="F31" s="242"/>
      <c r="G31" s="233">
        <v>0.1</v>
      </c>
      <c r="H31" s="242"/>
      <c r="I31" s="233">
        <v>9.9999999999999978E-2</v>
      </c>
      <c r="J31" s="242"/>
      <c r="K31" s="233">
        <v>0</v>
      </c>
      <c r="L31" s="242"/>
      <c r="M31" s="233">
        <v>0.10000000000000006</v>
      </c>
      <c r="N31" s="242"/>
      <c r="O31" s="1752">
        <v>0</v>
      </c>
      <c r="P31" s="242"/>
      <c r="Q31" s="1752">
        <v>0.7</v>
      </c>
      <c r="R31" s="242"/>
      <c r="S31" s="1752">
        <v>0.19999999999999984</v>
      </c>
      <c r="T31" s="242"/>
      <c r="U31" s="1752">
        <f t="shared" si="1"/>
        <v>9.9999999999999756E-2</v>
      </c>
      <c r="V31" s="242"/>
      <c r="W31" s="1752"/>
      <c r="X31" s="1753"/>
      <c r="Y31" s="1752"/>
      <c r="Z31" s="1607"/>
      <c r="AA31" s="1758"/>
      <c r="AB31" s="2165">
        <v>1.4</v>
      </c>
      <c r="AC31" s="1607"/>
      <c r="AD31" s="1758"/>
      <c r="AE31" s="2165">
        <v>0.8</v>
      </c>
      <c r="AF31" s="1724"/>
      <c r="AG31" s="1731"/>
      <c r="AH31" s="1738">
        <f>ROUND(SUM(AB31-AE31),1)</f>
        <v>0.6</v>
      </c>
      <c r="AJ31" s="1168">
        <f>ROUND(IF(AH31=0,0,AH31/ABS(AE31)),3)</f>
        <v>0.75</v>
      </c>
    </row>
    <row r="32" spans="1:38" ht="16.5" customHeight="1">
      <c r="A32" s="244" t="s">
        <v>221</v>
      </c>
      <c r="B32" s="221"/>
      <c r="C32" s="233">
        <v>189.4</v>
      </c>
      <c r="D32" s="233"/>
      <c r="E32" s="233">
        <v>140.29999999999998</v>
      </c>
      <c r="F32" s="242"/>
      <c r="G32" s="233">
        <v>135.6</v>
      </c>
      <c r="H32" s="242"/>
      <c r="I32" s="233">
        <v>187.20000000000007</v>
      </c>
      <c r="J32" s="242"/>
      <c r="K32" s="233">
        <v>161.29999999999993</v>
      </c>
      <c r="L32" s="242"/>
      <c r="M32" s="233">
        <v>151.40000000000012</v>
      </c>
      <c r="N32" s="242"/>
      <c r="O32" s="1752">
        <v>147.79999999999993</v>
      </c>
      <c r="P32" s="242"/>
      <c r="Q32" s="1752">
        <v>152.19999999999996</v>
      </c>
      <c r="R32" s="242"/>
      <c r="S32" s="1752">
        <v>226.89999999999995</v>
      </c>
      <c r="T32" s="242"/>
      <c r="U32" s="1752">
        <f t="shared" si="1"/>
        <v>228.40000000000012</v>
      </c>
      <c r="V32" s="242"/>
      <c r="W32" s="1752"/>
      <c r="X32" s="242"/>
      <c r="Y32" s="1752"/>
      <c r="Z32" s="233"/>
      <c r="AA32" s="234"/>
      <c r="AB32" s="2165">
        <v>1720.5</v>
      </c>
      <c r="AC32" s="1607"/>
      <c r="AD32" s="1758"/>
      <c r="AE32" s="2165">
        <v>1651.7</v>
      </c>
      <c r="AF32" s="1724"/>
      <c r="AG32" s="1732"/>
      <c r="AH32" s="1750">
        <f>ROUND(SUM(AB32-AE32),1)</f>
        <v>68.8</v>
      </c>
      <c r="AJ32" s="1169">
        <f>ROUND(IF(AH32=0,0,AH32/ABS(AE32)),3)</f>
        <v>4.2000000000000003E-2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54"/>
      <c r="X33" s="242"/>
      <c r="Y33" s="370"/>
      <c r="Z33" s="233"/>
      <c r="AA33" s="234"/>
      <c r="AB33" s="3348"/>
      <c r="AC33" s="1607"/>
      <c r="AD33" s="1758"/>
      <c r="AE33" s="3348"/>
      <c r="AF33" s="2263"/>
      <c r="AG33" s="1731"/>
      <c r="AH33" s="1738"/>
      <c r="AI33" s="1170"/>
      <c r="AJ33" s="1166"/>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5">
        <f>ROUND(SUM(K29:K33),1)</f>
        <v>168.9</v>
      </c>
      <c r="L34" s="371"/>
      <c r="M34" s="915">
        <f>ROUND(SUM(M29:M33),1)</f>
        <v>156.19999999999999</v>
      </c>
      <c r="N34" s="243"/>
      <c r="O34" s="243">
        <f>ROUND(SUM(O29:O33),1)</f>
        <v>163.80000000000001</v>
      </c>
      <c r="P34" s="243"/>
      <c r="Q34" s="243">
        <f>ROUND(SUM(Q29:Q33),1)</f>
        <v>160.19999999999999</v>
      </c>
      <c r="R34" s="243"/>
      <c r="S34" s="243">
        <f>ROUND(SUM(S29:S33),1)</f>
        <v>233</v>
      </c>
      <c r="T34" s="243"/>
      <c r="U34" s="243">
        <f>ROUND(SUM(U29:U33),1)</f>
        <v>233.2</v>
      </c>
      <c r="V34" s="243"/>
      <c r="W34" s="3349">
        <f>ROUND(SUM(W29:W33),1)</f>
        <v>0</v>
      </c>
      <c r="X34" s="243"/>
      <c r="Y34" s="243">
        <f>ROUND(SUM(Y29:Y33),1)</f>
        <v>0</v>
      </c>
      <c r="Z34" s="235"/>
      <c r="AA34" s="236"/>
      <c r="AB34" s="3349">
        <f>ROUND(SUM(AB29:AB33),1)</f>
        <v>1787.2</v>
      </c>
      <c r="AC34" s="3350"/>
      <c r="AD34" s="3373"/>
      <c r="AE34" s="3349">
        <f>ROUND(SUM(AE29:AE33),1)</f>
        <v>1703.6</v>
      </c>
      <c r="AF34" s="1722"/>
      <c r="AG34" s="1721"/>
      <c r="AH34" s="3374">
        <f>ROUND(SUM(AH29:AH32),1)</f>
        <v>83.6</v>
      </c>
      <c r="AI34" s="1164"/>
      <c r="AJ34" s="1165">
        <f>ROUND(IF(AH34=0,0,AH34/ABS(AE34)),3)</f>
        <v>4.9000000000000002E-2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48"/>
      <c r="AC35" s="3351"/>
      <c r="AD35" s="1758"/>
      <c r="AE35" s="3348"/>
      <c r="AF35" s="1626"/>
      <c r="AG35" s="1721"/>
      <c r="AH35" s="1738"/>
      <c r="AJ35" s="1152"/>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07"/>
      <c r="AC36" s="3351"/>
      <c r="AD36" s="1758"/>
      <c r="AE36" s="1607"/>
      <c r="AF36" s="2264"/>
      <c r="AG36" s="1759"/>
      <c r="AH36" s="1738"/>
      <c r="AI36" s="1167"/>
      <c r="AJ36" s="1166"/>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07"/>
      <c r="AC37" s="3351"/>
      <c r="AD37" s="1758"/>
      <c r="AE37" s="1607"/>
      <c r="AF37" s="2260"/>
      <c r="AG37" s="2265"/>
      <c r="AH37" s="1738"/>
      <c r="AI37" s="1167"/>
      <c r="AJ37" s="1166"/>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07"/>
      <c r="AC38" s="3351"/>
      <c r="AD38" s="1758"/>
      <c r="AE38" s="1607"/>
      <c r="AF38" s="2266"/>
      <c r="AG38" s="2267"/>
      <c r="AH38" s="1738"/>
      <c r="AI38" s="1167"/>
      <c r="AJ38" s="1166"/>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-5.9</v>
      </c>
      <c r="P39" s="243"/>
      <c r="Q39" s="243">
        <f>ROUND(Q23-Q34,1)</f>
        <v>-2.2999999999999998</v>
      </c>
      <c r="R39" s="243"/>
      <c r="S39" s="243">
        <f>ROUND(S23-S34,1)</f>
        <v>-2.2000000000000002</v>
      </c>
      <c r="T39" s="243"/>
      <c r="U39" s="243">
        <f>ROUND(U23-U34,1)</f>
        <v>1.5</v>
      </c>
      <c r="V39" s="243"/>
      <c r="W39" s="243">
        <f>ROUND(W23-W34,1)</f>
        <v>0</v>
      </c>
      <c r="X39" s="243"/>
      <c r="Y39" s="243">
        <f>ROUND(Y23-Y34,1)</f>
        <v>0</v>
      </c>
      <c r="Z39" s="235"/>
      <c r="AA39" s="236"/>
      <c r="AB39" s="3349">
        <f>ROUND(AB23-AB34,1)</f>
        <v>3.8</v>
      </c>
      <c r="AC39" s="3350"/>
      <c r="AD39" s="3373"/>
      <c r="AE39" s="3349">
        <f>ROUND(AE23-AE34,1)</f>
        <v>0</v>
      </c>
      <c r="AF39" s="2268"/>
      <c r="AG39" s="1759"/>
      <c r="AH39" s="3374">
        <f>ROUND(SUM(AH23-AH34),1)</f>
        <v>3.8</v>
      </c>
      <c r="AI39" s="1164"/>
      <c r="AJ39" s="2176">
        <f>ROUND(IF(AE39=0,1,AH39/ABS(AE39)),3)</f>
        <v>1</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48"/>
      <c r="AC40" s="3351"/>
      <c r="AD40" s="1758"/>
      <c r="AE40" s="3348"/>
      <c r="AF40" s="117"/>
      <c r="AG40" s="1759"/>
      <c r="AH40" s="1738"/>
      <c r="AJ40" s="1152"/>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07"/>
      <c r="AC41" s="1607"/>
      <c r="AD41" s="1758"/>
      <c r="AE41" s="1607"/>
      <c r="AF41" s="140"/>
      <c r="AG41" s="1759"/>
      <c r="AH41" s="1738"/>
      <c r="AJ41" s="1152"/>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07"/>
      <c r="AC42" s="1607"/>
      <c r="AD42" s="1758"/>
      <c r="AE42" s="1607"/>
      <c r="AG42" s="1727"/>
      <c r="AH42" s="1738"/>
      <c r="AJ42" s="1166"/>
    </row>
    <row r="43" spans="1:37" s="1763" customFormat="1" ht="16.5" customHeight="1">
      <c r="A43" s="1755" t="s">
        <v>46</v>
      </c>
      <c r="B43" s="1756"/>
      <c r="C43" s="233"/>
      <c r="D43" s="233"/>
      <c r="E43" s="242"/>
      <c r="F43" s="242"/>
      <c r="G43" s="242"/>
      <c r="H43" s="242"/>
      <c r="I43" s="242"/>
      <c r="J43" s="1753"/>
      <c r="K43" s="1757"/>
      <c r="L43" s="1753"/>
      <c r="M43" s="1757"/>
      <c r="N43" s="1753"/>
      <c r="O43" s="1753"/>
      <c r="P43" s="1753"/>
      <c r="Q43" s="1753"/>
      <c r="R43" s="1753"/>
      <c r="S43" s="1753"/>
      <c r="T43" s="1753"/>
      <c r="U43" s="1753"/>
      <c r="V43" s="1753"/>
      <c r="W43" s="1753"/>
      <c r="X43" s="1753"/>
      <c r="Y43" s="1753"/>
      <c r="Z43" s="1607"/>
      <c r="AA43" s="1758"/>
      <c r="AB43" s="1607"/>
      <c r="AC43" s="1607"/>
      <c r="AD43" s="1758"/>
      <c r="AE43" s="1607"/>
      <c r="AF43" s="140"/>
      <c r="AG43" s="1759"/>
      <c r="AH43" s="1760"/>
      <c r="AI43" s="1761"/>
      <c r="AJ43" s="1762"/>
    </row>
    <row r="44" spans="1:37" ht="16.5" customHeight="1">
      <c r="A44" s="221" t="s">
        <v>182</v>
      </c>
      <c r="B44" s="221"/>
      <c r="C44" s="233">
        <v>0</v>
      </c>
      <c r="D44" s="233"/>
      <c r="E44" s="233">
        <v>0</v>
      </c>
      <c r="F44" s="242"/>
      <c r="G44" s="233">
        <v>0</v>
      </c>
      <c r="H44" s="1897"/>
      <c r="I44" s="233">
        <v>0</v>
      </c>
      <c r="J44" s="242"/>
      <c r="K44" s="233">
        <v>0</v>
      </c>
      <c r="L44" s="242"/>
      <c r="M44" s="233">
        <v>0</v>
      </c>
      <c r="N44" s="242"/>
      <c r="O44" s="1752">
        <v>0</v>
      </c>
      <c r="P44" s="242"/>
      <c r="Q44" s="1752">
        <v>0</v>
      </c>
      <c r="R44" s="242"/>
      <c r="S44" s="1752">
        <v>0</v>
      </c>
      <c r="T44" s="242"/>
      <c r="U44" s="1752">
        <f t="shared" ref="U44:U45" si="2">$AB44-$C44-$E44-$G44-$I44-$K44-$M44-$O44-$Q44-$S44</f>
        <v>0</v>
      </c>
      <c r="V44" s="242"/>
      <c r="W44" s="1752"/>
      <c r="X44" s="242"/>
      <c r="Y44" s="1752"/>
      <c r="Z44" s="233"/>
      <c r="AA44" s="234"/>
      <c r="AB44" s="2165">
        <v>0</v>
      </c>
      <c r="AC44" s="1607"/>
      <c r="AD44" s="1758"/>
      <c r="AE44" s="2165">
        <v>0</v>
      </c>
      <c r="AF44" s="140"/>
      <c r="AG44" s="1759"/>
      <c r="AH44" s="1738">
        <f>ROUND(SUM(AB44-AE44),1)</f>
        <v>0</v>
      </c>
      <c r="AJ44" s="1447">
        <f>ROUND(IF(AH44=0,0,AH44/ABS(AE44)),3)</f>
        <v>0</v>
      </c>
    </row>
    <row r="45" spans="1:37" ht="16.5" customHeight="1">
      <c r="A45" s="221" t="s">
        <v>183</v>
      </c>
      <c r="B45" s="221"/>
      <c r="C45" s="233">
        <v>0</v>
      </c>
      <c r="D45" s="233"/>
      <c r="E45" s="233">
        <v>0</v>
      </c>
      <c r="F45" s="242"/>
      <c r="G45" s="233">
        <v>0</v>
      </c>
      <c r="H45" s="1897"/>
      <c r="I45" s="233">
        <v>0</v>
      </c>
      <c r="J45" s="242"/>
      <c r="K45" s="233">
        <v>0</v>
      </c>
      <c r="L45" s="242"/>
      <c r="M45" s="233">
        <v>0</v>
      </c>
      <c r="N45" s="242"/>
      <c r="O45" s="1752">
        <v>0</v>
      </c>
      <c r="P45" s="242"/>
      <c r="Q45" s="1752">
        <v>0</v>
      </c>
      <c r="R45" s="242"/>
      <c r="S45" s="1752">
        <v>0</v>
      </c>
      <c r="T45" s="242"/>
      <c r="U45" s="1752">
        <f t="shared" si="2"/>
        <v>0</v>
      </c>
      <c r="V45" s="242"/>
      <c r="W45" s="1752"/>
      <c r="X45" s="242"/>
      <c r="Y45" s="1752"/>
      <c r="Z45" s="233"/>
      <c r="AA45" s="234"/>
      <c r="AB45" s="2165">
        <v>0</v>
      </c>
      <c r="AC45" s="1607"/>
      <c r="AD45" s="1758"/>
      <c r="AE45" s="2165">
        <v>0</v>
      </c>
      <c r="AF45" s="140"/>
      <c r="AG45" s="1759"/>
      <c r="AH45" s="3375">
        <f>-ROUND(SUM(AB45-AE45),1)</f>
        <v>0</v>
      </c>
      <c r="AJ45" s="1562">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48"/>
      <c r="AC46" s="1607"/>
      <c r="AD46" s="1758"/>
      <c r="AE46" s="3348"/>
      <c r="AF46" s="140"/>
      <c r="AG46" s="1759"/>
      <c r="AH46" s="3370"/>
      <c r="AJ46" s="1506"/>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52">
        <f>ROUND(SUM(AB44+AB45),1)</f>
        <v>0</v>
      </c>
      <c r="AC47" s="3350"/>
      <c r="AD47" s="3373"/>
      <c r="AE47" s="3352">
        <f>ROUND(SUM(AE44+AE45),1)</f>
        <v>0</v>
      </c>
      <c r="AF47" s="107"/>
      <c r="AG47" s="1727"/>
      <c r="AH47" s="3374">
        <f>ROUND(SUM(AH44:AH45),1)</f>
        <v>0</v>
      </c>
      <c r="AI47" s="1172"/>
      <c r="AJ47" s="1165">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48"/>
      <c r="AC48" s="1607"/>
      <c r="AD48" s="1758"/>
      <c r="AE48" s="3348"/>
      <c r="AG48" s="1727"/>
      <c r="AH48" s="3370"/>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07"/>
      <c r="AC49" s="1607"/>
      <c r="AD49" s="1758"/>
      <c r="AE49" s="1607"/>
      <c r="AG49" s="1727"/>
      <c r="AH49" s="3370"/>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07"/>
      <c r="AC50" s="1607"/>
      <c r="AD50" s="1758"/>
      <c r="AE50" s="1607"/>
      <c r="AG50" s="1727"/>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07"/>
      <c r="AC51" s="1607"/>
      <c r="AD51" s="1758"/>
      <c r="AE51" s="1607"/>
      <c r="AG51" s="1727"/>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07"/>
      <c r="AC52" s="1607"/>
      <c r="AD52" s="1758"/>
      <c r="AE52" s="1607"/>
      <c r="AG52" s="1727"/>
    </row>
    <row r="53" spans="1:39" ht="16.5" customHeight="1">
      <c r="A53" s="230" t="s">
        <v>168</v>
      </c>
      <c r="B53" s="221"/>
      <c r="C53" s="243">
        <f>ROUND(C39+C47,1)</f>
        <v>0</v>
      </c>
      <c r="D53" s="235"/>
      <c r="E53" s="243">
        <f>ROUND(E39+E47,1)</f>
        <v>0.3</v>
      </c>
      <c r="F53" s="243"/>
      <c r="G53" s="243">
        <f>ROUND(G39+G47,1)</f>
        <v>0.4</v>
      </c>
      <c r="H53" s="243"/>
      <c r="I53" s="243">
        <f>ROUND(I39+I47,1)</f>
        <v>0.5</v>
      </c>
      <c r="J53" s="243"/>
      <c r="K53" s="915">
        <f>ROUND(K39+K47,1)</f>
        <v>-0.7</v>
      </c>
      <c r="L53" s="243"/>
      <c r="M53" s="243">
        <f>ROUND(M39+M47,1)</f>
        <v>12.2</v>
      </c>
      <c r="N53" s="243"/>
      <c r="O53" s="243">
        <f>ROUND(O39+O47,1)</f>
        <v>-5.9</v>
      </c>
      <c r="P53" s="243"/>
      <c r="Q53" s="243">
        <f>ROUND(Q39+Q47,1)</f>
        <v>-2.2999999999999998</v>
      </c>
      <c r="R53" s="243"/>
      <c r="S53" s="243">
        <f>ROUND(S39+S47,1)</f>
        <v>-2.2000000000000002</v>
      </c>
      <c r="T53" s="243"/>
      <c r="U53" s="243">
        <f>ROUND(U39+U47,1)</f>
        <v>1.5</v>
      </c>
      <c r="V53" s="243"/>
      <c r="W53" s="243">
        <f>ROUND(W39+W47,1)</f>
        <v>0</v>
      </c>
      <c r="X53" s="243"/>
      <c r="Y53" s="243">
        <f>ROUND(Y39+Y47,1)</f>
        <v>0</v>
      </c>
      <c r="Z53" s="235"/>
      <c r="AA53" s="236"/>
      <c r="AB53" s="3349">
        <f>ROUND(AB39+AB47,1)</f>
        <v>3.8</v>
      </c>
      <c r="AC53" s="3350"/>
      <c r="AD53" s="3373"/>
      <c r="AE53" s="3349">
        <f>ROUND(AE39+AE47,1)</f>
        <v>0</v>
      </c>
      <c r="AG53" s="1727"/>
      <c r="AH53" s="3374">
        <f>ROUND(SUM(AH39+AH47),1)</f>
        <v>3.8</v>
      </c>
      <c r="AI53" s="1143"/>
      <c r="AJ53" s="2176">
        <f>ROUND(IF(AE53=0,1,AH53/ABS(AE53)),3)</f>
        <v>1</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53"/>
      <c r="AC54" s="1755"/>
      <c r="AD54" s="3376"/>
      <c r="AE54" s="3353"/>
      <c r="AG54" s="1727"/>
      <c r="AJ54" s="1152"/>
      <c r="AK54" s="367"/>
      <c r="AL54" s="367"/>
      <c r="AM54" s="367"/>
    </row>
    <row r="55" spans="1:39" ht="16.5" customHeight="1" thickBot="1">
      <c r="A55" s="230" t="s">
        <v>142</v>
      </c>
      <c r="B55" s="221"/>
      <c r="C55" s="228">
        <f>ROUND(C16+C53,1)</f>
        <v>26.6</v>
      </c>
      <c r="D55" s="228"/>
      <c r="E55" s="228">
        <f>ROUND(E16+E53,1)</f>
        <v>26.9</v>
      </c>
      <c r="F55" s="366"/>
      <c r="G55" s="228">
        <f>ROUND(G16+G53,1)</f>
        <v>27.3</v>
      </c>
      <c r="H55" s="366"/>
      <c r="I55" s="917">
        <f>ROUND(I16+I53,1)</f>
        <v>27.8</v>
      </c>
      <c r="J55" s="379"/>
      <c r="K55" s="228">
        <f>ROUND(K16+K53,1)</f>
        <v>27.1</v>
      </c>
      <c r="L55" s="379"/>
      <c r="M55" s="228">
        <f>ROUND(M16+M53,1)</f>
        <v>39.299999999999997</v>
      </c>
      <c r="N55" s="366"/>
      <c r="O55" s="228">
        <f>ROUND(O16+O53,1)</f>
        <v>33.4</v>
      </c>
      <c r="P55" s="366"/>
      <c r="Q55" s="228">
        <f>ROUND(Q16+Q53,1)</f>
        <v>31.1</v>
      </c>
      <c r="R55" s="366"/>
      <c r="S55" s="228">
        <f>ROUND(S16+S53,1)</f>
        <v>28.9</v>
      </c>
      <c r="T55" s="366"/>
      <c r="U55" s="228">
        <f>ROUND(U16+U53,1)</f>
        <v>30.4</v>
      </c>
      <c r="V55" s="366"/>
      <c r="W55" s="228">
        <f>ROUND(W16+W53,1)</f>
        <v>0</v>
      </c>
      <c r="X55" s="366"/>
      <c r="Y55" s="228">
        <f>ROUND(Y16+Y53,1)</f>
        <v>0</v>
      </c>
      <c r="Z55" s="228"/>
      <c r="AA55" s="229"/>
      <c r="AB55" s="3347">
        <f>ROUND(AB16+AB53,1)</f>
        <v>30.4</v>
      </c>
      <c r="AC55" s="3347"/>
      <c r="AD55" s="3368"/>
      <c r="AE55" s="3347">
        <f>ROUND(AE16+AE53,1)</f>
        <v>24.6</v>
      </c>
      <c r="AG55" s="1727"/>
      <c r="AH55" s="3377">
        <f>ROUND(SUM(AB55-AE55),1)</f>
        <v>5.8</v>
      </c>
      <c r="AI55" s="1171"/>
      <c r="AJ55" s="1173">
        <f>ROUND(IF(AH55=0,0,AH55/ABS(AE55)),3)</f>
        <v>0.23599999999999999</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54"/>
      <c r="AC56" s="3355"/>
      <c r="AD56" s="3355"/>
      <c r="AE56" s="3354"/>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88671875" defaultRowHeight="16.5" customHeight="1"/>
  <cols>
    <col min="1" max="1" width="48.44140625" style="208" customWidth="1"/>
    <col min="2" max="2" width="11" style="208" customWidth="1"/>
    <col min="3" max="3" width="1.88671875" style="208" customWidth="1"/>
    <col min="4" max="4" width="11" style="208" customWidth="1"/>
    <col min="5" max="5" width="1.88671875" style="208" customWidth="1"/>
    <col min="6" max="6" width="11.109375" style="208" customWidth="1"/>
    <col min="7" max="7" width="1.88671875" style="208" customWidth="1"/>
    <col min="8" max="8" width="11" style="208" customWidth="1"/>
    <col min="9" max="9" width="1.88671875" style="208" customWidth="1"/>
    <col min="10" max="10" width="10.44140625" style="208" customWidth="1"/>
    <col min="11" max="11" width="1.88671875" style="208" customWidth="1"/>
    <col min="12" max="12" width="13.109375" style="208" customWidth="1"/>
    <col min="13" max="13" width="1.88671875" style="208" customWidth="1"/>
    <col min="14" max="14" width="11.109375" style="208" customWidth="1"/>
    <col min="15" max="15" width="1.88671875" style="208" customWidth="1"/>
    <col min="16" max="16" width="12.109375" style="208" customWidth="1"/>
    <col min="17" max="17" width="1.88671875" style="208" customWidth="1"/>
    <col min="18" max="18" width="12" style="208" customWidth="1"/>
    <col min="19" max="19" width="1.88671875" style="208" customWidth="1"/>
    <col min="20" max="20" width="11.109375" style="208" customWidth="1"/>
    <col min="21" max="21" width="1.88671875" style="208" customWidth="1"/>
    <col min="22" max="22" width="11.88671875" style="208" customWidth="1"/>
    <col min="23" max="23" width="1.88671875" style="208" customWidth="1"/>
    <col min="24" max="24" width="11.109375" style="1107" customWidth="1"/>
    <col min="25" max="26" width="1.88671875" style="1107" customWidth="1"/>
    <col min="27" max="27" width="11.5546875" style="1107" customWidth="1"/>
    <col min="28" max="29" width="1.88671875" style="1107" customWidth="1"/>
    <col min="30" max="30" width="11.5546875" style="1107" customWidth="1"/>
    <col min="31" max="31" width="1.88671875" style="2269" customWidth="1"/>
    <col min="32" max="32" width="2.44140625" style="3356" customWidth="1"/>
    <col min="33" max="33" width="10.109375" style="1711" bestFit="1" customWidth="1"/>
    <col min="34" max="34" width="1.88671875" style="1152" customWidth="1"/>
    <col min="35" max="35" width="11.109375" style="1151" customWidth="1"/>
    <col min="36" max="16384" width="8.88671875" style="208"/>
  </cols>
  <sheetData>
    <row r="1" spans="1:251" ht="16.5" customHeight="1">
      <c r="A1" s="657" t="s">
        <v>979</v>
      </c>
    </row>
    <row r="2" spans="1:251" ht="16.5" customHeight="1">
      <c r="A2" s="839"/>
    </row>
    <row r="3" spans="1:251" ht="20.25" customHeight="1">
      <c r="A3" s="3721" t="s">
        <v>0</v>
      </c>
      <c r="B3" s="321"/>
      <c r="C3" s="381"/>
      <c r="D3" s="381"/>
      <c r="E3" s="381"/>
      <c r="F3" s="381"/>
      <c r="G3" s="381"/>
      <c r="H3" s="381"/>
      <c r="I3" s="381"/>
      <c r="J3" s="381"/>
      <c r="K3" s="381"/>
      <c r="L3" s="381"/>
      <c r="M3" s="381"/>
      <c r="N3" s="381"/>
      <c r="O3" s="381"/>
      <c r="P3" s="381"/>
      <c r="Q3" s="381"/>
      <c r="R3" s="381"/>
      <c r="S3" s="381"/>
      <c r="T3" s="381"/>
      <c r="U3" s="381"/>
      <c r="V3" s="381"/>
      <c r="W3" s="381"/>
      <c r="X3" s="3378"/>
      <c r="Y3" s="3378"/>
      <c r="Z3" s="3378"/>
      <c r="AA3" s="3378"/>
      <c r="AB3" s="3378"/>
      <c r="AC3" s="3378"/>
      <c r="AD3" s="3378"/>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21" t="s">
        <v>222</v>
      </c>
      <c r="B4" s="321"/>
      <c r="C4" s="381"/>
      <c r="D4" s="381"/>
      <c r="E4" s="381"/>
      <c r="F4" s="381"/>
      <c r="G4" s="381"/>
      <c r="H4" s="321" t="s">
        <v>15</v>
      </c>
      <c r="I4" s="381"/>
      <c r="J4" s="381"/>
      <c r="K4" s="381"/>
      <c r="L4" s="381"/>
      <c r="M4" s="381"/>
      <c r="N4" s="381"/>
      <c r="O4" s="381"/>
      <c r="P4" s="381"/>
      <c r="Q4" s="381"/>
      <c r="R4" s="381"/>
      <c r="S4" s="381"/>
      <c r="T4" s="381"/>
      <c r="U4" s="381"/>
      <c r="V4" s="381"/>
      <c r="W4" s="381"/>
      <c r="X4" s="3378" t="s">
        <v>15</v>
      </c>
      <c r="Y4" s="3378"/>
      <c r="Z4" s="3378"/>
      <c r="AA4" s="3378"/>
      <c r="AB4" s="3378"/>
      <c r="AC4" s="3378"/>
      <c r="AD4" s="3378"/>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21" t="s">
        <v>223</v>
      </c>
      <c r="B5" s="321"/>
      <c r="C5" s="381"/>
      <c r="D5" s="381"/>
      <c r="E5" s="381"/>
      <c r="F5" s="381"/>
      <c r="G5" s="381"/>
      <c r="H5" s="381"/>
      <c r="I5" s="381"/>
      <c r="J5" s="381"/>
      <c r="K5" s="381"/>
      <c r="L5" s="381"/>
      <c r="M5" s="381"/>
      <c r="N5" s="381"/>
      <c r="O5" s="381"/>
      <c r="P5" s="381"/>
      <c r="Q5" s="381"/>
      <c r="R5" s="381"/>
      <c r="S5" s="381"/>
      <c r="T5" s="381"/>
      <c r="U5" s="381"/>
      <c r="V5" s="381"/>
      <c r="W5" s="381"/>
      <c r="X5" s="3378"/>
      <c r="Y5" s="3378"/>
      <c r="Z5" s="3378"/>
      <c r="AB5" s="3379"/>
      <c r="AC5" s="3379"/>
      <c r="AD5" s="3379"/>
      <c r="AE5" s="3357"/>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22" t="str">
        <f>'Cashflow Governmental'!A6</f>
        <v xml:space="preserve">FISCAL YEAR 2019-2020   </v>
      </c>
      <c r="B6" s="321"/>
      <c r="C6" s="381"/>
      <c r="D6" s="381"/>
      <c r="E6" s="381"/>
      <c r="F6" s="381"/>
      <c r="G6" s="381"/>
      <c r="H6" s="381"/>
      <c r="I6" s="381"/>
      <c r="J6" s="381"/>
      <c r="K6" s="381"/>
      <c r="L6" s="381"/>
      <c r="M6" s="381"/>
      <c r="N6" s="381"/>
      <c r="O6" s="381"/>
      <c r="P6" s="381"/>
      <c r="Q6" s="381"/>
      <c r="R6" s="381"/>
      <c r="S6" s="381"/>
      <c r="T6" s="381"/>
      <c r="U6" s="381"/>
      <c r="V6" s="381"/>
      <c r="W6" s="381"/>
      <c r="X6" s="3378"/>
      <c r="Y6" s="3378"/>
      <c r="Z6" s="3378"/>
      <c r="AA6" s="3378"/>
      <c r="AB6" s="3378"/>
      <c r="AC6" s="3378"/>
      <c r="AD6" s="3378"/>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21" t="s">
        <v>1416</v>
      </c>
      <c r="B7" s="321"/>
      <c r="C7" s="381"/>
      <c r="D7" s="381"/>
      <c r="E7" s="381"/>
      <c r="F7" s="381"/>
      <c r="G7" s="381"/>
      <c r="H7" s="381"/>
      <c r="I7" s="381"/>
      <c r="J7" s="381"/>
      <c r="K7" s="381"/>
      <c r="L7" s="381"/>
      <c r="M7" s="381"/>
      <c r="N7" s="381"/>
      <c r="O7" s="381"/>
      <c r="P7" s="381"/>
      <c r="Q7" s="381"/>
      <c r="R7" s="381"/>
      <c r="S7" s="381"/>
      <c r="T7" s="381"/>
      <c r="U7" s="381"/>
      <c r="V7" s="381"/>
      <c r="W7" s="381"/>
      <c r="X7" s="3378"/>
      <c r="Y7" s="3378"/>
      <c r="Z7" s="3378"/>
      <c r="AA7" s="3378"/>
      <c r="AB7" s="3378"/>
      <c r="AC7" s="3378"/>
      <c r="AD7" s="3378"/>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73"/>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80"/>
      <c r="Y9" s="3380"/>
      <c r="Z9" s="3380"/>
      <c r="AA9" s="3380"/>
      <c r="AB9" s="3380"/>
      <c r="AC9" s="3380"/>
      <c r="AD9" s="3380"/>
      <c r="AE9" s="1107"/>
      <c r="AF9" s="3358"/>
      <c r="AG9" s="3358"/>
      <c r="AH9" s="1153"/>
      <c r="AI9" s="1153"/>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81"/>
      <c r="Y10" s="3381"/>
      <c r="Z10" s="3382"/>
      <c r="AA10" s="3920" t="s">
        <v>1566</v>
      </c>
      <c r="AB10" s="3921"/>
      <c r="AC10" s="3921"/>
      <c r="AD10" s="3921"/>
      <c r="AE10" s="3921"/>
      <c r="AF10" s="3921"/>
      <c r="AG10" s="3921"/>
      <c r="AH10" s="3921"/>
      <c r="AI10" s="3921"/>
    </row>
    <row r="11" spans="1:251" ht="16.5" customHeight="1">
      <c r="A11" s="245"/>
      <c r="B11" s="784" t="str">
        <f>'Cashflow Governmental'!C13</f>
        <v>2019</v>
      </c>
      <c r="C11" s="249"/>
      <c r="D11" s="249"/>
      <c r="E11" s="249"/>
      <c r="F11" s="249"/>
      <c r="G11" s="249"/>
      <c r="H11" s="249"/>
      <c r="I11" s="249"/>
      <c r="J11" s="249"/>
      <c r="K11" s="249"/>
      <c r="L11" s="249"/>
      <c r="M11" s="249"/>
      <c r="N11" s="249"/>
      <c r="O11" s="249"/>
      <c r="P11" s="249"/>
      <c r="Q11" s="249"/>
      <c r="R11" s="249"/>
      <c r="S11" s="249"/>
      <c r="T11" s="784" t="str">
        <f>'Cashflow Governmental'!U13</f>
        <v>2020</v>
      </c>
      <c r="U11" s="249"/>
      <c r="V11" s="249"/>
      <c r="W11" s="249"/>
      <c r="X11" s="1702"/>
      <c r="Y11" s="1702"/>
      <c r="Z11" s="3382"/>
      <c r="AA11" s="3382"/>
      <c r="AB11" s="3382"/>
      <c r="AC11" s="3382"/>
      <c r="AD11" s="3382"/>
      <c r="AE11" s="3360"/>
      <c r="AF11" s="3361"/>
      <c r="AG11" s="3364" t="s">
        <v>8</v>
      </c>
      <c r="AH11" s="1155"/>
      <c r="AI11" s="1156" t="s">
        <v>9</v>
      </c>
    </row>
    <row r="12" spans="1:251" ht="16.5" customHeight="1">
      <c r="A12" s="245"/>
      <c r="B12" s="786" t="s">
        <v>125</v>
      </c>
      <c r="C12" s="249"/>
      <c r="D12" s="786" t="s">
        <v>126</v>
      </c>
      <c r="E12" s="249"/>
      <c r="F12" s="786" t="s">
        <v>127</v>
      </c>
      <c r="G12" s="249"/>
      <c r="H12" s="786" t="s">
        <v>128</v>
      </c>
      <c r="I12" s="249"/>
      <c r="J12" s="786" t="s">
        <v>129</v>
      </c>
      <c r="K12" s="249"/>
      <c r="L12" s="784" t="s">
        <v>144</v>
      </c>
      <c r="M12" s="249"/>
      <c r="N12" s="784" t="s">
        <v>145</v>
      </c>
      <c r="O12" s="249"/>
      <c r="P12" s="786" t="s">
        <v>132</v>
      </c>
      <c r="Q12" s="249"/>
      <c r="R12" s="786" t="s">
        <v>133</v>
      </c>
      <c r="S12" s="249"/>
      <c r="T12" s="786" t="s">
        <v>134</v>
      </c>
      <c r="U12" s="249"/>
      <c r="V12" s="786" t="s">
        <v>135</v>
      </c>
      <c r="W12" s="249"/>
      <c r="X12" s="3383" t="s">
        <v>186</v>
      </c>
      <c r="Y12" s="1702"/>
      <c r="Z12" s="1702"/>
      <c r="AA12" s="3384">
        <f>'Cashflow Governmental'!AB14</f>
        <v>2020</v>
      </c>
      <c r="AB12" s="1702" t="s">
        <v>15</v>
      </c>
      <c r="AC12" s="1702"/>
      <c r="AD12" s="3384">
        <f>'Cashflow Governmental'!AE14</f>
        <v>2019</v>
      </c>
      <c r="AE12" s="3399"/>
      <c r="AF12" s="3400"/>
      <c r="AG12" s="3367" t="s">
        <v>12</v>
      </c>
      <c r="AH12" s="1158"/>
      <c r="AI12" s="1157"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85"/>
      <c r="Y13" s="3386"/>
      <c r="Z13" s="3386"/>
      <c r="AA13" s="3385"/>
      <c r="AB13" s="3386"/>
      <c r="AC13" s="3386"/>
      <c r="AD13" s="3385"/>
      <c r="AE13" s="3362"/>
      <c r="AF13" s="1709"/>
    </row>
    <row r="14" spans="1:251" ht="16.5" customHeight="1">
      <c r="A14" s="322" t="s">
        <v>137</v>
      </c>
      <c r="B14" s="2198">
        <v>-302.7</v>
      </c>
      <c r="C14" s="384"/>
      <c r="D14" s="384">
        <f>B50</f>
        <v>-293.39999999999998</v>
      </c>
      <c r="E14" s="384"/>
      <c r="F14" s="384">
        <f>D50</f>
        <v>-318.60000000000002</v>
      </c>
      <c r="G14" s="384"/>
      <c r="H14" s="384">
        <f>F50</f>
        <v>-293.7</v>
      </c>
      <c r="I14" s="384" t="s">
        <v>15</v>
      </c>
      <c r="J14" s="384">
        <f>H50</f>
        <v>-284.39999999999998</v>
      </c>
      <c r="K14" s="384"/>
      <c r="L14" s="384">
        <f>J50</f>
        <v>-296.5</v>
      </c>
      <c r="M14" s="384"/>
      <c r="N14" s="384">
        <f>L50</f>
        <v>-278.3</v>
      </c>
      <c r="O14" s="384"/>
      <c r="P14" s="384">
        <f>N50</f>
        <v>-288.7</v>
      </c>
      <c r="Q14" s="384"/>
      <c r="R14" s="384">
        <f>P50</f>
        <v>-290.7</v>
      </c>
      <c r="S14" s="384"/>
      <c r="T14" s="384">
        <f>R50</f>
        <v>-291.3</v>
      </c>
      <c r="U14" s="384"/>
      <c r="V14" s="384" t="s">
        <v>15</v>
      </c>
      <c r="W14" s="384"/>
      <c r="X14" s="1704" t="s">
        <v>15</v>
      </c>
      <c r="Y14" s="1704"/>
      <c r="Z14" s="3387"/>
      <c r="AA14" s="1704">
        <f>B14</f>
        <v>-302.7</v>
      </c>
      <c r="AB14" s="3388"/>
      <c r="AC14" s="2266"/>
      <c r="AD14" s="2198">
        <v>-269.2</v>
      </c>
      <c r="AE14" s="3365"/>
      <c r="AF14" s="3401"/>
      <c r="AG14" s="1710">
        <f>ROUND(SUM(AA14-AD14),1)</f>
        <v>-33.5</v>
      </c>
      <c r="AI14" s="1404">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65"/>
      <c r="Y15" s="3365"/>
      <c r="Z15" s="3389"/>
      <c r="AA15" s="3365"/>
      <c r="AB15" s="3390"/>
      <c r="AC15" s="3391"/>
      <c r="AD15" s="3365"/>
      <c r="AE15" s="3365"/>
      <c r="AF15" s="3401"/>
      <c r="AG15" s="3370"/>
      <c r="AI15" s="1152"/>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65"/>
      <c r="Y16" s="3365"/>
      <c r="Z16" s="3389"/>
      <c r="AA16" s="3365"/>
      <c r="AB16" s="3390"/>
      <c r="AC16" s="3391"/>
      <c r="AD16" s="3365"/>
      <c r="AE16" s="1737"/>
      <c r="AF16" s="1721"/>
      <c r="AG16" s="1738"/>
      <c r="AI16" s="1166"/>
    </row>
    <row r="17" spans="1:36" s="1107" customFormat="1" ht="16.5" customHeight="1">
      <c r="A17" s="193" t="s">
        <v>179</v>
      </c>
      <c r="B17" s="237">
        <v>33.200000000000003</v>
      </c>
      <c r="C17" s="237"/>
      <c r="D17" s="237">
        <v>32.5</v>
      </c>
      <c r="E17" s="237"/>
      <c r="F17" s="237">
        <v>42.3</v>
      </c>
      <c r="G17" s="237"/>
      <c r="H17" s="237">
        <v>56.59999999999998</v>
      </c>
      <c r="I17" s="1626"/>
      <c r="J17" s="237">
        <v>37.900000000000034</v>
      </c>
      <c r="K17" s="1626"/>
      <c r="L17" s="237">
        <v>61.699999999999974</v>
      </c>
      <c r="M17" s="1626"/>
      <c r="N17" s="1623">
        <v>43.400000000000048</v>
      </c>
      <c r="O17" s="1626"/>
      <c r="P17" s="1623">
        <v>57</v>
      </c>
      <c r="Q17" s="1626"/>
      <c r="R17" s="1623">
        <v>41.899999999999963</v>
      </c>
      <c r="S17" s="1626"/>
      <c r="T17" s="1623">
        <f>$AA17-$B17-$D17-$F17-$H17-$J17-$L17-$N17-$P17-$R17</f>
        <v>62.300000000000026</v>
      </c>
      <c r="U17" s="1626"/>
      <c r="V17" s="1623"/>
      <c r="W17" s="1626"/>
      <c r="X17" s="1623"/>
      <c r="Y17" s="1626"/>
      <c r="Z17" s="1748"/>
      <c r="AA17" s="3392">
        <v>468.8</v>
      </c>
      <c r="AB17" s="3393"/>
      <c r="AC17" s="1722"/>
      <c r="AD17" s="3392">
        <v>401</v>
      </c>
      <c r="AE17" s="1749"/>
      <c r="AF17" s="1721"/>
      <c r="AG17" s="1750">
        <f>ROUND(SUM(AA17-AD17),1)</f>
        <v>67.8</v>
      </c>
      <c r="AH17" s="1711"/>
      <c r="AI17" s="1751">
        <f>ROUND(IF(AG17=0,0,AG17/ABS(AD17)),3)</f>
        <v>0.16900000000000001</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59"/>
      <c r="Y18" s="1626"/>
      <c r="Z18" s="1748"/>
      <c r="AA18" s="1040"/>
      <c r="AB18" s="3393"/>
      <c r="AC18" s="1722"/>
      <c r="AD18" s="1040"/>
      <c r="AE18" s="1722"/>
      <c r="AF18" s="1721"/>
      <c r="AG18" s="1738"/>
      <c r="AI18" s="1152"/>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61.7</v>
      </c>
      <c r="M19" s="389"/>
      <c r="N19" s="389">
        <f>ROUND(SUM(N17),1)</f>
        <v>43.4</v>
      </c>
      <c r="O19" s="389"/>
      <c r="P19" s="389">
        <f>ROUND(SUM(P17),1)</f>
        <v>57</v>
      </c>
      <c r="Q19" s="389"/>
      <c r="R19" s="389">
        <f>ROUND(SUM(R17),1)</f>
        <v>41.9</v>
      </c>
      <c r="S19" s="389"/>
      <c r="T19" s="389">
        <f>ROUND(SUM(T17),1)</f>
        <v>62.3</v>
      </c>
      <c r="U19" s="389"/>
      <c r="V19" s="389">
        <f>ROUND(SUM(V17),1)</f>
        <v>0</v>
      </c>
      <c r="W19" s="389"/>
      <c r="X19" s="2261">
        <f>ROUND(SUM(X17),1)</f>
        <v>0</v>
      </c>
      <c r="Y19" s="2261"/>
      <c r="Z19" s="2262"/>
      <c r="AA19" s="2261">
        <f>ROUND(SUM(AA17),1)</f>
        <v>468.8</v>
      </c>
      <c r="AB19" s="3394"/>
      <c r="AC19" s="3395"/>
      <c r="AD19" s="2261">
        <f>ROUND(SUM(AD17),1)</f>
        <v>401</v>
      </c>
      <c r="AE19" s="1626"/>
      <c r="AF19" s="1721"/>
      <c r="AG19" s="3374">
        <f>ROUND(SUM(AG17),1)</f>
        <v>67.8</v>
      </c>
      <c r="AH19" s="1164"/>
      <c r="AI19" s="1165">
        <f>ROUND(IF(AG19=0,0,AG19/ABS(AD19)),3)</f>
        <v>0.16900000000000001</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59"/>
      <c r="Y20" s="1626"/>
      <c r="Z20" s="1748"/>
      <c r="AA20" s="2259"/>
      <c r="AB20" s="3393"/>
      <c r="AC20" s="1722"/>
      <c r="AD20" s="2259"/>
      <c r="AE20" s="1626"/>
      <c r="AF20" s="1721"/>
      <c r="AG20" s="1738"/>
      <c r="AI20" s="1152"/>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26"/>
      <c r="Y21" s="1626"/>
      <c r="Z21" s="1748"/>
      <c r="AA21" s="1626"/>
      <c r="AB21" s="3393"/>
      <c r="AC21" s="1722"/>
      <c r="AD21" s="1626"/>
      <c r="AE21" s="1724"/>
      <c r="AF21" s="1727"/>
      <c r="AG21" s="1738"/>
      <c r="AI21" s="1152"/>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26"/>
      <c r="Y22" s="1626"/>
      <c r="Z22" s="1748"/>
      <c r="AA22" s="1626"/>
      <c r="AB22" s="3393"/>
      <c r="AC22" s="1722"/>
      <c r="AD22" s="1626"/>
      <c r="AE22" s="1623"/>
      <c r="AF22" s="1727"/>
      <c r="AG22" s="1738"/>
      <c r="AI22" s="1166"/>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26"/>
      <c r="Y23" s="1626"/>
      <c r="Z23" s="1748"/>
      <c r="AA23" s="1626"/>
      <c r="AB23" s="3393"/>
      <c r="AC23" s="1722"/>
      <c r="AD23" s="1626"/>
      <c r="AE23" s="1724"/>
      <c r="AF23" s="1727"/>
      <c r="AG23" s="1738"/>
      <c r="AH23" s="1167"/>
      <c r="AI23" s="1166"/>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26"/>
      <c r="Y24" s="1626"/>
      <c r="Z24" s="1748"/>
      <c r="AA24" s="1724"/>
      <c r="AB24" s="3393"/>
      <c r="AC24" s="1722"/>
      <c r="AD24" s="1724"/>
      <c r="AE24" s="2257"/>
      <c r="AF24" s="1727"/>
      <c r="AG24" s="1738"/>
      <c r="AI24" s="1166"/>
    </row>
    <row r="25" spans="1:36" ht="16.5" customHeight="1">
      <c r="A25" s="149" t="s">
        <v>220</v>
      </c>
      <c r="B25" s="237">
        <v>9.6999999999999993</v>
      </c>
      <c r="C25" s="237"/>
      <c r="D25" s="237">
        <v>14</v>
      </c>
      <c r="E25" s="237"/>
      <c r="F25" s="237">
        <v>9.5999999999999979</v>
      </c>
      <c r="G25" s="237"/>
      <c r="H25" s="237">
        <v>9.6999999999999993</v>
      </c>
      <c r="I25" s="1626"/>
      <c r="J25" s="237">
        <v>9.9000000000000057</v>
      </c>
      <c r="K25" s="1626"/>
      <c r="L25" s="237">
        <v>9.5999999999999943</v>
      </c>
      <c r="M25" s="1626"/>
      <c r="N25" s="1623">
        <v>14</v>
      </c>
      <c r="O25" s="1626"/>
      <c r="P25" s="1623">
        <v>9.5999999999999943</v>
      </c>
      <c r="Q25" s="1626"/>
      <c r="R25" s="1623">
        <v>9.5</v>
      </c>
      <c r="S25" s="1626"/>
      <c r="T25" s="1623">
        <f>$AA25-$B25-$D25-$F25-$H25-$J25-$L25-$N25-$P25-$R25</f>
        <v>10.700000000000003</v>
      </c>
      <c r="U25" s="1626"/>
      <c r="V25" s="1623"/>
      <c r="W25" s="1626"/>
      <c r="X25" s="1623"/>
      <c r="Y25" s="1626"/>
      <c r="Z25" s="1748"/>
      <c r="AA25" s="1623">
        <v>106.3</v>
      </c>
      <c r="AB25" s="3393"/>
      <c r="AC25" s="1722"/>
      <c r="AD25" s="1623">
        <v>87.3</v>
      </c>
      <c r="AE25" s="2258"/>
      <c r="AF25" s="1727"/>
      <c r="AG25" s="1738">
        <f>ROUND(SUM(AA25-AD25),1)</f>
        <v>19</v>
      </c>
      <c r="AI25" s="1168">
        <f>ROUND(IF(AG25=0,0,AG25/ABS(AD25)),3)</f>
        <v>0.218</v>
      </c>
    </row>
    <row r="26" spans="1:36" ht="16.5" customHeight="1">
      <c r="A26" s="149" t="s">
        <v>180</v>
      </c>
      <c r="B26" s="237">
        <v>24.4</v>
      </c>
      <c r="C26" s="237"/>
      <c r="D26" s="237">
        <v>56.300000000000004</v>
      </c>
      <c r="E26" s="237"/>
      <c r="F26" s="237">
        <v>5.8999999999999915</v>
      </c>
      <c r="G26" s="237"/>
      <c r="H26" s="237">
        <v>34.70000000000001</v>
      </c>
      <c r="I26" s="1626"/>
      <c r="J26" s="237">
        <v>36.4</v>
      </c>
      <c r="K26" s="1626"/>
      <c r="L26" s="237">
        <v>34.1</v>
      </c>
      <c r="M26" s="1626"/>
      <c r="N26" s="1623">
        <v>41.799999999999976</v>
      </c>
      <c r="O26" s="1626"/>
      <c r="P26" s="1623">
        <v>48.10000000000003</v>
      </c>
      <c r="Q26" s="1626"/>
      <c r="R26" s="1623">
        <v>29.699999999999982</v>
      </c>
      <c r="S26" s="1626"/>
      <c r="T26" s="1623">
        <f t="shared" ref="T26:T27" si="0">$AA26-$B26-$D26-$F26-$H26-$J26-$L26-$N26-$P26-$R26</f>
        <v>28.100000000000023</v>
      </c>
      <c r="U26" s="1626"/>
      <c r="V26" s="1623"/>
      <c r="W26" s="1626"/>
      <c r="X26" s="1623"/>
      <c r="Y26" s="1626"/>
      <c r="Z26" s="1748"/>
      <c r="AA26" s="1623">
        <v>339.5</v>
      </c>
      <c r="AB26" s="3393"/>
      <c r="AC26" s="1722"/>
      <c r="AD26" s="1623">
        <v>364.9</v>
      </c>
      <c r="AE26" s="1722"/>
      <c r="AF26" s="1721"/>
      <c r="AG26" s="1738">
        <f>ROUND(SUM(AA26-AD26),1)</f>
        <v>-25.4</v>
      </c>
      <c r="AI26" s="1168">
        <f>ROUND(IF(AG26=0,0,AG26/ABS(AD26)),3)</f>
        <v>-7.0000000000000007E-2</v>
      </c>
      <c r="AJ26" s="3735"/>
    </row>
    <row r="27" spans="1:36" ht="16.5" customHeight="1">
      <c r="A27" s="149" t="s">
        <v>156</v>
      </c>
      <c r="B27" s="237">
        <v>4.0999999999999996</v>
      </c>
      <c r="C27" s="237"/>
      <c r="D27" s="237">
        <v>4.9000000000000004</v>
      </c>
      <c r="E27" s="237"/>
      <c r="F27" s="237">
        <v>6.6</v>
      </c>
      <c r="G27" s="237"/>
      <c r="H27" s="237">
        <v>5.2000000000000028</v>
      </c>
      <c r="I27" s="1626"/>
      <c r="J27" s="237">
        <v>4.5999999999999961</v>
      </c>
      <c r="K27" s="1626"/>
      <c r="L27" s="237">
        <v>4.6000000000000014</v>
      </c>
      <c r="M27" s="1626"/>
      <c r="N27" s="1623">
        <v>1.5999999999999996</v>
      </c>
      <c r="O27" s="1626"/>
      <c r="P27" s="1623">
        <v>4.6999999999999957</v>
      </c>
      <c r="Q27" s="1626"/>
      <c r="R27" s="1623">
        <v>4.5</v>
      </c>
      <c r="S27" s="1626"/>
      <c r="T27" s="1623">
        <f t="shared" si="0"/>
        <v>7.3000000000000043</v>
      </c>
      <c r="U27" s="1626"/>
      <c r="V27" s="1623"/>
      <c r="W27" s="1626"/>
      <c r="X27" s="1623"/>
      <c r="Y27" s="1626"/>
      <c r="Z27" s="1748"/>
      <c r="AA27" s="1623">
        <v>48.1</v>
      </c>
      <c r="AB27" s="3393"/>
      <c r="AC27" s="1722"/>
      <c r="AD27" s="1623">
        <v>67.5</v>
      </c>
      <c r="AE27" s="1626"/>
      <c r="AF27" s="1721"/>
      <c r="AG27" s="1750">
        <f>ROUND(SUM(AA27-AD27),1)</f>
        <v>-19.399999999999999</v>
      </c>
      <c r="AI27" s="3738">
        <f>ROUND(IF(AD27=0,1,AG27/ABS(AD27)),3)</f>
        <v>-0.28699999999999998</v>
      </c>
      <c r="AJ27" s="3735"/>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59"/>
      <c r="Y28" s="1626"/>
      <c r="Z28" s="1748"/>
      <c r="AA28" s="2259"/>
      <c r="AB28" s="3393"/>
      <c r="AC28" s="1722"/>
      <c r="AD28" s="2259"/>
      <c r="AE28" s="2260"/>
      <c r="AF28" s="1727"/>
      <c r="AG28" s="1738"/>
      <c r="AH28" s="1170"/>
      <c r="AI28" s="1166"/>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48.3</v>
      </c>
      <c r="M29" s="389"/>
      <c r="N29" s="389">
        <f>ROUND(SUM(N25:N28),1)</f>
        <v>57.4</v>
      </c>
      <c r="O29" s="389"/>
      <c r="P29" s="389">
        <f>ROUND(SUM(P25:P28),1)</f>
        <v>62.4</v>
      </c>
      <c r="Q29" s="389"/>
      <c r="R29" s="389">
        <f>ROUND(SUM(R25:R28),1)</f>
        <v>43.7</v>
      </c>
      <c r="S29" s="389"/>
      <c r="T29" s="389">
        <f>ROUND(SUM(T25:T28),1)</f>
        <v>46.1</v>
      </c>
      <c r="U29" s="389"/>
      <c r="V29" s="389">
        <f>ROUND(SUM(V25:V28),1)</f>
        <v>0</v>
      </c>
      <c r="W29" s="389">
        <f>SUM(W25:W28)</f>
        <v>0</v>
      </c>
      <c r="X29" s="2261">
        <f>ROUND(SUM(X25:X27),1)</f>
        <v>0</v>
      </c>
      <c r="Y29" s="2261"/>
      <c r="Z29" s="2262"/>
      <c r="AA29" s="2261">
        <f>ROUND(SUM(AA24:AA27),1)</f>
        <v>493.9</v>
      </c>
      <c r="AB29" s="3394"/>
      <c r="AC29" s="3395"/>
      <c r="AD29" s="2261">
        <f>ROUND(SUM(AD24:AD27),1)</f>
        <v>519.70000000000005</v>
      </c>
      <c r="AE29" s="1722"/>
      <c r="AF29" s="1732"/>
      <c r="AG29" s="3374">
        <f>ROUND(SUM(AG25:AG27),1)</f>
        <v>-25.8</v>
      </c>
      <c r="AH29" s="1164"/>
      <c r="AI29" s="1165">
        <f>ROUND(IF(AG29=0,0,AG29/ABS(AD29)),3)</f>
        <v>-0.05</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59"/>
      <c r="Y30" s="1626"/>
      <c r="Z30" s="1748"/>
      <c r="AA30" s="2259"/>
      <c r="AB30" s="3393"/>
      <c r="AC30" s="1722"/>
      <c r="AD30" s="2259"/>
      <c r="AE30" s="1626"/>
      <c r="AF30" s="1732"/>
      <c r="AG30" s="1738"/>
      <c r="AI30" s="1152"/>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26"/>
      <c r="Y31" s="1626"/>
      <c r="Z31" s="1748"/>
      <c r="AA31" s="1626"/>
      <c r="AB31" s="3393"/>
      <c r="AC31" s="1722"/>
      <c r="AD31" s="1626"/>
      <c r="AE31" s="1724"/>
      <c r="AF31" s="1731"/>
      <c r="AG31" s="1738"/>
      <c r="AH31" s="1167"/>
      <c r="AI31" s="1166"/>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26"/>
      <c r="Y32" s="1626"/>
      <c r="Z32" s="1748"/>
      <c r="AA32" s="1626"/>
      <c r="AB32" s="3393"/>
      <c r="AC32" s="1722"/>
      <c r="AD32" s="1626"/>
      <c r="AE32" s="1724"/>
      <c r="AF32" s="1732"/>
      <c r="AG32" s="1738"/>
      <c r="AH32" s="1167"/>
      <c r="AI32" s="1166"/>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26"/>
      <c r="Y33" s="1626"/>
      <c r="Z33" s="1748"/>
      <c r="AA33" s="1626"/>
      <c r="AB33" s="3393"/>
      <c r="AC33" s="1722"/>
      <c r="AD33" s="1626"/>
      <c r="AE33" s="2263"/>
      <c r="AF33" s="1731"/>
      <c r="AG33" s="1738"/>
      <c r="AH33" s="1167"/>
      <c r="AI33" s="1166"/>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13.4</v>
      </c>
      <c r="M34" s="389"/>
      <c r="N34" s="389">
        <f>ROUND(N19-N29,1)</f>
        <v>-14</v>
      </c>
      <c r="O34" s="389"/>
      <c r="P34" s="389">
        <f>ROUND(P19-P29,1)</f>
        <v>-5.4</v>
      </c>
      <c r="Q34" s="389"/>
      <c r="R34" s="389">
        <f>ROUND(R19-R29,1)</f>
        <v>-1.8</v>
      </c>
      <c r="S34" s="389"/>
      <c r="T34" s="389">
        <f>ROUND(T19-T29,1)</f>
        <v>16.2</v>
      </c>
      <c r="U34" s="389"/>
      <c r="V34" s="389">
        <f>ROUND(V19-V29,1)</f>
        <v>0</v>
      </c>
      <c r="W34" s="389"/>
      <c r="X34" s="2261">
        <f>ROUND(X19-X29,1)</f>
        <v>0</v>
      </c>
      <c r="Y34" s="2261"/>
      <c r="Z34" s="2262"/>
      <c r="AA34" s="2261">
        <f>ROUND(AA19-AA29,1)</f>
        <v>-25.1</v>
      </c>
      <c r="AB34" s="3394"/>
      <c r="AC34" s="3395"/>
      <c r="AD34" s="2261">
        <f>ROUND(AD19-AD29,1)</f>
        <v>-118.7</v>
      </c>
      <c r="AE34" s="1722"/>
      <c r="AF34" s="1721"/>
      <c r="AG34" s="3374">
        <f>ROUND(SUM(AG19-AG29),1)</f>
        <v>93.6</v>
      </c>
      <c r="AH34" s="1164"/>
      <c r="AI34" s="2176">
        <f>ROUND(IF(AG34=0,0,AG34/ABS(AD34)),3)</f>
        <v>0.78900000000000003</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59"/>
      <c r="Y35" s="1626"/>
      <c r="Z35" s="1748"/>
      <c r="AA35" s="2259"/>
      <c r="AB35" s="3393"/>
      <c r="AC35" s="1722"/>
      <c r="AD35" s="2259"/>
      <c r="AE35" s="1626"/>
      <c r="AF35" s="1721"/>
      <c r="AG35" s="1738"/>
      <c r="AI35" s="1152"/>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26"/>
      <c r="Y36" s="1626"/>
      <c r="Z36" s="1748"/>
      <c r="AA36" s="1626"/>
      <c r="AB36" s="3393"/>
      <c r="AC36" s="1722"/>
      <c r="AD36" s="1626"/>
      <c r="AE36" s="2264"/>
      <c r="AF36" s="1759"/>
      <c r="AG36" s="1738"/>
      <c r="AI36" s="1152"/>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26"/>
      <c r="Y37" s="1626"/>
      <c r="Z37" s="1748"/>
      <c r="AA37" s="1626"/>
      <c r="AB37" s="3393"/>
      <c r="AC37" s="1722"/>
      <c r="AD37" s="1626"/>
      <c r="AE37" s="2260"/>
      <c r="AF37" s="2265"/>
      <c r="AG37" s="1738"/>
      <c r="AI37" s="1166"/>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26"/>
      <c r="Y38" s="1626"/>
      <c r="Z38" s="1748"/>
      <c r="AA38" s="1626"/>
      <c r="AB38" s="3393"/>
      <c r="AC38" s="1722"/>
      <c r="AD38" s="1626"/>
      <c r="AE38" s="2266"/>
      <c r="AF38" s="2267"/>
      <c r="AG38" s="1760"/>
      <c r="AH38" s="1171"/>
      <c r="AI38" s="1166"/>
    </row>
    <row r="39" spans="1:35" ht="16.5" customHeight="1">
      <c r="A39" s="149" t="s">
        <v>182</v>
      </c>
      <c r="B39" s="237">
        <v>14.3</v>
      </c>
      <c r="C39" s="237"/>
      <c r="D39" s="237">
        <v>17.5</v>
      </c>
      <c r="E39" s="237"/>
      <c r="F39" s="237">
        <v>4.6999999999999993</v>
      </c>
      <c r="G39" s="237"/>
      <c r="H39" s="237">
        <v>2.2999999999999972</v>
      </c>
      <c r="I39" s="1626"/>
      <c r="J39" s="237">
        <v>1.3000000000000043</v>
      </c>
      <c r="K39" s="1626"/>
      <c r="L39" s="237">
        <v>5.2999999999999972</v>
      </c>
      <c r="M39" s="1626"/>
      <c r="N39" s="1623">
        <v>3.600000000000005</v>
      </c>
      <c r="O39" s="1626"/>
      <c r="P39" s="1623">
        <v>3.5999999999999943</v>
      </c>
      <c r="Q39" s="1626"/>
      <c r="R39" s="1623">
        <v>4.4000000000000057</v>
      </c>
      <c r="S39" s="1626"/>
      <c r="T39" s="1623">
        <f t="shared" ref="T39:T40" si="1">$AA39-$B39-$D39-$F39-$H39-$J39-$L39-$N39-$P39-$R39</f>
        <v>10.700000000000003</v>
      </c>
      <c r="U39" s="1626"/>
      <c r="V39" s="1623"/>
      <c r="W39" s="1626"/>
      <c r="X39" s="1623"/>
      <c r="Y39" s="1626"/>
      <c r="Z39" s="1748"/>
      <c r="AA39" s="1623">
        <v>67.7</v>
      </c>
      <c r="AB39" s="3393"/>
      <c r="AC39" s="1722"/>
      <c r="AD39" s="1623">
        <v>52.9</v>
      </c>
      <c r="AE39" s="2268"/>
      <c r="AF39" s="1759"/>
      <c r="AG39" s="1738">
        <f>ROUND(SUM(AA39-AD39),1)</f>
        <v>14.8</v>
      </c>
      <c r="AH39" s="1167"/>
      <c r="AI39" s="1168">
        <f>ROUND(IF(AG39=0,0,AG39/ABS(AD39)),3)</f>
        <v>0.28000000000000003</v>
      </c>
    </row>
    <row r="40" spans="1:35" s="1107" customFormat="1" ht="16.5" customHeight="1">
      <c r="A40" s="193" t="s">
        <v>183</v>
      </c>
      <c r="B40" s="237">
        <v>0</v>
      </c>
      <c r="C40" s="1626"/>
      <c r="D40" s="237">
        <v>0</v>
      </c>
      <c r="E40" s="1626"/>
      <c r="F40" s="237">
        <v>0</v>
      </c>
      <c r="G40" s="1626"/>
      <c r="H40" s="237">
        <v>0</v>
      </c>
      <c r="I40" s="1626"/>
      <c r="J40" s="237">
        <v>-0.4</v>
      </c>
      <c r="K40" s="1626"/>
      <c r="L40" s="237">
        <v>-0.5</v>
      </c>
      <c r="M40" s="1626"/>
      <c r="N40" s="1623">
        <v>0</v>
      </c>
      <c r="O40" s="1626"/>
      <c r="P40" s="1623">
        <v>-0.20000000000000007</v>
      </c>
      <c r="Q40" s="1626"/>
      <c r="R40" s="1623">
        <v>-3.1999999999999997</v>
      </c>
      <c r="S40" s="1626"/>
      <c r="T40" s="1623">
        <f t="shared" si="1"/>
        <v>0</v>
      </c>
      <c r="U40" s="1626"/>
      <c r="V40" s="1623"/>
      <c r="W40" s="1626"/>
      <c r="X40" s="1623"/>
      <c r="Y40" s="1626"/>
      <c r="Z40" s="1748"/>
      <c r="AA40" s="1623">
        <v>-4.3</v>
      </c>
      <c r="AB40" s="3393"/>
      <c r="AC40" s="1722"/>
      <c r="AD40" s="1623">
        <v>-11.1</v>
      </c>
      <c r="AE40" s="117"/>
      <c r="AF40" s="1759"/>
      <c r="AG40" s="3173">
        <f>-ROUND(SUM(AA40-AD40),1)</f>
        <v>-6.8</v>
      </c>
      <c r="AH40" s="1730"/>
      <c r="AI40" s="3174">
        <f>ROUND(IF(AG40=0,0,AG40/ABS(AD40)),3)</f>
        <v>-0.61299999999999999</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59"/>
      <c r="Y41" s="1626"/>
      <c r="Z41" s="1748"/>
      <c r="AA41" s="3396"/>
      <c r="AB41" s="3393"/>
      <c r="AC41" s="1722"/>
      <c r="AD41" s="3396"/>
      <c r="AE41" s="140"/>
      <c r="AF41" s="1759"/>
      <c r="AG41" s="3370"/>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4.8</v>
      </c>
      <c r="M42" s="389"/>
      <c r="N42" s="389">
        <f>ROUND(SUM(N39:N41),1)</f>
        <v>3.6</v>
      </c>
      <c r="O42" s="389"/>
      <c r="P42" s="389">
        <f>ROUND(SUM(P39:P41),1)</f>
        <v>3.4</v>
      </c>
      <c r="Q42" s="389"/>
      <c r="R42" s="389">
        <f>ROUND(SUM(R39:R41),1)</f>
        <v>1.2</v>
      </c>
      <c r="S42" s="389"/>
      <c r="T42" s="389">
        <f>ROUND(SUM(T39:T41),1)</f>
        <v>10.7</v>
      </c>
      <c r="U42" s="389"/>
      <c r="V42" s="389">
        <f>ROUND(SUM(V39:V41),1)</f>
        <v>0</v>
      </c>
      <c r="W42" s="389"/>
      <c r="X42" s="2261">
        <f>ROUND(SUM(X39:X41),1)</f>
        <v>0</v>
      </c>
      <c r="Y42" s="2261"/>
      <c r="Z42" s="2262"/>
      <c r="AA42" s="2261">
        <f>ROUND(SUM(AA39:AA41),1)</f>
        <v>63.4</v>
      </c>
      <c r="AB42" s="3394"/>
      <c r="AC42" s="3395"/>
      <c r="AD42" s="2261">
        <f>ROUND(SUM(AD39:AD41),1)</f>
        <v>41.8</v>
      </c>
      <c r="AF42" s="1727"/>
      <c r="AG42" s="3374">
        <f>AA42-AD42</f>
        <v>21.6</v>
      </c>
      <c r="AH42" s="1172"/>
      <c r="AI42" s="1165">
        <f>ROUND(IF(AG42=0,0,AG42/ABS(AD42)),3)</f>
        <v>0.51700000000000002</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59"/>
      <c r="Y43" s="1626"/>
      <c r="Z43" s="1748"/>
      <c r="AA43" s="2259"/>
      <c r="AB43" s="3393"/>
      <c r="AC43" s="1722"/>
      <c r="AD43" s="2259"/>
      <c r="AE43" s="140"/>
      <c r="AF43" s="1759"/>
      <c r="AG43" s="3370"/>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26"/>
      <c r="Y44" s="1626"/>
      <c r="Z44" s="1748"/>
      <c r="AA44" s="1626"/>
      <c r="AB44" s="3393"/>
      <c r="AC44" s="1722"/>
      <c r="AD44" s="1626"/>
      <c r="AE44" s="140"/>
      <c r="AF44" s="1759"/>
      <c r="AG44" s="3370"/>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26"/>
      <c r="Y45" s="1626"/>
      <c r="Z45" s="1748"/>
      <c r="AA45" s="1626"/>
      <c r="AB45" s="3393"/>
      <c r="AC45" s="1722"/>
      <c r="AD45" s="1626"/>
      <c r="AE45" s="140"/>
      <c r="AF45" s="1759"/>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26"/>
      <c r="Y46" s="1626"/>
      <c r="Z46" s="1748"/>
      <c r="AA46" s="1626"/>
      <c r="AB46" s="3393"/>
      <c r="AC46" s="1722"/>
      <c r="AD46" s="1626"/>
      <c r="AE46" s="140"/>
      <c r="AF46" s="1759"/>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26"/>
      <c r="Y47" s="1626"/>
      <c r="Z47" s="1748"/>
      <c r="AA47" s="1626"/>
      <c r="AB47" s="3393"/>
      <c r="AC47" s="1722"/>
      <c r="AD47" s="1626"/>
      <c r="AE47" s="107"/>
      <c r="AF47" s="1727"/>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18.2</v>
      </c>
      <c r="M48" s="389"/>
      <c r="N48" s="389">
        <f>ROUND(SUM(N34,N42),1)</f>
        <v>-10.4</v>
      </c>
      <c r="O48" s="389"/>
      <c r="P48" s="389">
        <f>ROUND(SUM(P34,P42),1)</f>
        <v>-2</v>
      </c>
      <c r="Q48" s="389"/>
      <c r="R48" s="389">
        <f>ROUND(SUM(R34,R42),1)</f>
        <v>-0.6</v>
      </c>
      <c r="S48" s="389"/>
      <c r="T48" s="389">
        <f>ROUND(SUM(T34,T42),1)</f>
        <v>26.9</v>
      </c>
      <c r="U48" s="389"/>
      <c r="V48" s="389">
        <f>ROUND(SUM(V34,V42),1)</f>
        <v>0</v>
      </c>
      <c r="W48" s="389"/>
      <c r="X48" s="2261">
        <f>ROUND(SUM(X34,X42),1)</f>
        <v>0</v>
      </c>
      <c r="Y48" s="2261"/>
      <c r="Z48" s="2262"/>
      <c r="AA48" s="2264">
        <f>ROUND(AA34+AA42,1)</f>
        <v>38.299999999999997</v>
      </c>
      <c r="AB48" s="3394"/>
      <c r="AC48" s="3395"/>
      <c r="AD48" s="2264">
        <f>ROUND(AD34+AD42,1)</f>
        <v>-76.900000000000006</v>
      </c>
      <c r="AE48" s="2269"/>
      <c r="AF48" s="1727"/>
      <c r="AG48" s="3374">
        <f>ROUND(SUM(AG34+AG42),1)</f>
        <v>115.2</v>
      </c>
      <c r="AH48" s="1143"/>
      <c r="AI48" s="2176">
        <f>ROUND(IF(AG48=0,0,AG48/ABS(AD48)),3)</f>
        <v>1.498</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397"/>
      <c r="Y49" s="3365"/>
      <c r="Z49" s="3389"/>
      <c r="AA49" s="3397"/>
      <c r="AB49" s="3390"/>
      <c r="AC49" s="3391"/>
      <c r="AD49" s="3397"/>
      <c r="AF49" s="1727"/>
      <c r="AI49" s="1152"/>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-278.3</v>
      </c>
      <c r="M50" s="384"/>
      <c r="N50" s="384">
        <f>ROUND(SUM(N14,N48),1)</f>
        <v>-288.7</v>
      </c>
      <c r="O50" s="384"/>
      <c r="P50" s="384">
        <f>ROUND(SUM(P14,P48),1)</f>
        <v>-290.7</v>
      </c>
      <c r="Q50" s="384"/>
      <c r="R50" s="393">
        <f>ROUND(SUM(R14,R48),1)</f>
        <v>-291.3</v>
      </c>
      <c r="S50" s="384"/>
      <c r="T50" s="384">
        <f>ROUND(SUM(T14,T48),1)</f>
        <v>-264.39999999999998</v>
      </c>
      <c r="U50" s="384"/>
      <c r="V50" s="384">
        <f>ROUND(SUM(V14,V48),1)</f>
        <v>0</v>
      </c>
      <c r="W50" s="384"/>
      <c r="X50" s="1704">
        <f>ROUND(SUM(X14,X48),1)</f>
        <v>0</v>
      </c>
      <c r="Y50" s="1704"/>
      <c r="Z50" s="3387"/>
      <c r="AA50" s="1704">
        <f>ROUND(SUM(AA14,AA48),1)</f>
        <v>-264.39999999999998</v>
      </c>
      <c r="AB50" s="3388"/>
      <c r="AC50" s="2266"/>
      <c r="AD50" s="1704">
        <f>ROUND(SUM(AD14,AD48),1)</f>
        <v>-346.1</v>
      </c>
      <c r="AF50" s="1727"/>
      <c r="AG50" s="3377">
        <f>ROUND(SUM(AA50-AD50),1)</f>
        <v>81.7</v>
      </c>
      <c r="AH50" s="1171"/>
      <c r="AI50" s="1173">
        <f>ROUND(IF(AG50=0,0,AG50/ABS(AD50)),3)</f>
        <v>0.23599999999999999</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398"/>
      <c r="Y51" s="3365"/>
      <c r="Z51" s="3365"/>
      <c r="AA51" s="3398"/>
      <c r="AB51" s="3365"/>
      <c r="AC51" s="3365"/>
      <c r="AD51" s="3398"/>
    </row>
    <row r="53" spans="1:35" ht="16.5" customHeight="1">
      <c r="A53" s="395"/>
    </row>
    <row r="54" spans="1:35" ht="16.5" customHeight="1">
      <c r="A54"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70" workbookViewId="0"/>
  </sheetViews>
  <sheetFormatPr defaultColWidth="8.88671875" defaultRowHeight="18"/>
  <cols>
    <col min="1" max="1" width="45.5546875" style="396" customWidth="1"/>
    <col min="2" max="2" width="11.109375" style="396" customWidth="1"/>
    <col min="3" max="3" width="1.88671875" style="396" customWidth="1"/>
    <col min="4" max="4" width="8.88671875" style="396" customWidth="1"/>
    <col min="5" max="5" width="1.88671875" style="396" customWidth="1"/>
    <col min="6" max="6" width="8.88671875" style="396" customWidth="1"/>
    <col min="7" max="7" width="1.88671875" style="396" customWidth="1"/>
    <col min="8" max="8" width="9.44140625"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2"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11" style="396" customWidth="1"/>
    <col min="25" max="26" width="1.88671875" style="396" customWidth="1"/>
    <col min="27" max="27" width="10.109375" style="2269" customWidth="1"/>
    <col min="28" max="29" width="1.88671875" style="2269" customWidth="1"/>
    <col min="30" max="30" width="10.109375" style="3420" customWidth="1"/>
    <col min="31" max="31" width="1.88671875" style="1151" customWidth="1"/>
    <col min="32" max="32" width="2.44140625" style="1151" customWidth="1"/>
    <col min="33" max="33" width="10.109375" style="1152" bestFit="1" customWidth="1"/>
    <col min="34" max="34" width="1.88671875" style="1152" customWidth="1"/>
    <col min="35" max="35" width="11.109375" style="1151" customWidth="1"/>
    <col min="36" max="16384" width="8.88671875" style="396"/>
  </cols>
  <sheetData>
    <row r="1" spans="1:35">
      <c r="A1" s="657" t="s">
        <v>979</v>
      </c>
    </row>
    <row r="2" spans="1:35">
      <c r="A2" s="839"/>
    </row>
    <row r="3" spans="1:35" ht="20.25" customHeight="1">
      <c r="A3" s="3723"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2"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79" t="s">
        <v>124</v>
      </c>
      <c r="B5" s="31"/>
      <c r="C5" s="31"/>
      <c r="D5" s="31"/>
      <c r="E5" s="31"/>
      <c r="F5" s="31"/>
      <c r="G5" s="31"/>
      <c r="H5" s="31"/>
      <c r="I5" s="31"/>
      <c r="J5" s="31"/>
      <c r="K5" s="29"/>
      <c r="L5" s="29"/>
      <c r="M5" s="31"/>
      <c r="N5" s="31"/>
      <c r="O5" s="31"/>
      <c r="P5" s="31"/>
      <c r="Q5" s="31"/>
      <c r="R5" s="31"/>
      <c r="S5" s="31"/>
      <c r="T5" s="31"/>
      <c r="U5" s="31"/>
      <c r="V5" s="31"/>
      <c r="W5" s="31"/>
      <c r="X5" s="31"/>
      <c r="Y5" s="31"/>
      <c r="Z5" s="31"/>
      <c r="AB5" s="3402"/>
      <c r="AC5" s="3402"/>
      <c r="AE5" s="1175"/>
    </row>
    <row r="6" spans="1:35" ht="20.25" customHeight="1">
      <c r="A6" s="1579"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23" t="s">
        <v>1416</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1"/>
      <c r="AF8" s="1151"/>
      <c r="AG8" s="1152"/>
      <c r="AH8" s="1152"/>
      <c r="AI8" s="1151"/>
    </row>
    <row r="9" spans="1:35" s="398" customFormat="1" ht="19.350000000000001" customHeight="1">
      <c r="A9" s="704"/>
      <c r="B9" s="704"/>
      <c r="C9" s="704"/>
      <c r="D9" s="704"/>
      <c r="E9" s="704"/>
      <c r="F9" s="704"/>
      <c r="G9" s="704"/>
      <c r="H9" s="29"/>
      <c r="I9" s="29"/>
      <c r="J9" s="29"/>
      <c r="K9" s="704"/>
      <c r="L9" s="704"/>
      <c r="M9" s="704"/>
      <c r="N9" s="704"/>
      <c r="O9" s="704"/>
      <c r="P9" s="704"/>
      <c r="Q9" s="704"/>
      <c r="R9" s="704"/>
      <c r="S9" s="704"/>
      <c r="T9" s="704"/>
      <c r="U9" s="704"/>
      <c r="V9" s="704"/>
      <c r="W9" s="704"/>
      <c r="X9" s="704"/>
      <c r="Y9" s="704"/>
      <c r="Z9" s="149"/>
      <c r="AA9" s="193"/>
      <c r="AB9" s="193"/>
      <c r="AC9" s="3922"/>
      <c r="AD9" s="3923"/>
      <c r="AE9" s="3923"/>
      <c r="AF9" s="3923"/>
      <c r="AG9" s="3923"/>
      <c r="AH9" s="3923"/>
      <c r="AI9" s="3923"/>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2"/>
      <c r="W10" s="846"/>
      <c r="X10" s="847"/>
      <c r="Y10" s="848"/>
      <c r="Z10" s="3924" t="s">
        <v>1566</v>
      </c>
      <c r="AA10" s="3924"/>
      <c r="AB10" s="3924"/>
      <c r="AC10" s="3924"/>
      <c r="AD10" s="3924"/>
      <c r="AE10" s="3924"/>
      <c r="AF10" s="3924"/>
      <c r="AG10" s="3924"/>
      <c r="AH10" s="3924"/>
      <c r="AI10" s="3924"/>
    </row>
    <row r="11" spans="1:35" s="398" customFormat="1" ht="19.350000000000001" customHeight="1">
      <c r="A11" s="149"/>
      <c r="B11" s="784" t="str">
        <f>'Cashflow Governmental'!C13</f>
        <v>2019</v>
      </c>
      <c r="C11" s="249"/>
      <c r="D11" s="249"/>
      <c r="E11" s="249"/>
      <c r="F11" s="249"/>
      <c r="G11" s="249"/>
      <c r="H11" s="249"/>
      <c r="I11" s="249"/>
      <c r="J11" s="249"/>
      <c r="K11" s="249"/>
      <c r="L11" s="249"/>
      <c r="M11" s="249"/>
      <c r="N11" s="249"/>
      <c r="O11" s="249"/>
      <c r="P11" s="249"/>
      <c r="Q11" s="249"/>
      <c r="R11" s="249"/>
      <c r="S11" s="249"/>
      <c r="T11" s="784" t="str">
        <f>'Cashflow Governmental'!U13</f>
        <v>2020</v>
      </c>
      <c r="U11" s="249"/>
      <c r="V11" s="786"/>
      <c r="W11" s="249"/>
      <c r="X11" s="249"/>
      <c r="Y11" s="249"/>
      <c r="Z11" s="785"/>
      <c r="AA11" s="3382"/>
      <c r="AB11" s="3382"/>
      <c r="AC11" s="3382"/>
      <c r="AD11" s="3360"/>
      <c r="AE11" s="1176"/>
      <c r="AF11" s="1143"/>
      <c r="AG11" s="1155" t="s">
        <v>8</v>
      </c>
      <c r="AH11" s="1155"/>
      <c r="AI11" s="1156" t="s">
        <v>9</v>
      </c>
    </row>
    <row r="12" spans="1:35" s="398" customFormat="1" ht="19.350000000000001" customHeight="1">
      <c r="A12" s="149"/>
      <c r="B12" s="849" t="s">
        <v>125</v>
      </c>
      <c r="C12" s="249"/>
      <c r="D12" s="849" t="s">
        <v>126</v>
      </c>
      <c r="E12" s="249"/>
      <c r="F12" s="849" t="s">
        <v>127</v>
      </c>
      <c r="G12" s="249"/>
      <c r="H12" s="849" t="s">
        <v>128</v>
      </c>
      <c r="I12" s="249"/>
      <c r="J12" s="850" t="s">
        <v>227</v>
      </c>
      <c r="K12" s="249"/>
      <c r="L12" s="850" t="s">
        <v>144</v>
      </c>
      <c r="M12" s="249"/>
      <c r="N12" s="850" t="s">
        <v>145</v>
      </c>
      <c r="O12" s="249"/>
      <c r="P12" s="849" t="s">
        <v>132</v>
      </c>
      <c r="Q12" s="249"/>
      <c r="R12" s="849" t="s">
        <v>133</v>
      </c>
      <c r="S12" s="249"/>
      <c r="T12" s="850" t="s">
        <v>134</v>
      </c>
      <c r="U12" s="249"/>
      <c r="V12" s="849" t="s">
        <v>135</v>
      </c>
      <c r="W12" s="249"/>
      <c r="X12" s="850" t="s">
        <v>186</v>
      </c>
      <c r="Y12" s="249"/>
      <c r="Z12" s="249"/>
      <c r="AA12" s="3384">
        <f>'Cashflow Governmental'!AB14</f>
        <v>2020</v>
      </c>
      <c r="AB12" s="3384"/>
      <c r="AC12" s="3399"/>
      <c r="AD12" s="3621">
        <f>'Cashflow Governmental'!AE14</f>
        <v>2019</v>
      </c>
      <c r="AE12" s="1172"/>
      <c r="AF12" s="1172"/>
      <c r="AG12" s="1157" t="s">
        <v>12</v>
      </c>
      <c r="AH12" s="1158"/>
      <c r="AI12" s="1157" t="s">
        <v>13</v>
      </c>
    </row>
    <row r="13" spans="1:35" s="1713" customFormat="1" ht="19.350000000000001" customHeight="1">
      <c r="A13" s="1702" t="s">
        <v>137</v>
      </c>
      <c r="B13" s="1733">
        <v>-3</v>
      </c>
      <c r="C13" s="1704"/>
      <c r="D13" s="1733">
        <f>B38</f>
        <v>-7.4</v>
      </c>
      <c r="E13" s="1704"/>
      <c r="F13" s="1733">
        <f>D38</f>
        <v>-11.8</v>
      </c>
      <c r="G13" s="1734"/>
      <c r="H13" s="1733">
        <f>F38</f>
        <v>-16.5</v>
      </c>
      <c r="I13" s="1734"/>
      <c r="J13" s="1733">
        <f>H38</f>
        <v>-22.6</v>
      </c>
      <c r="K13" s="1734"/>
      <c r="L13" s="1733">
        <f>J38</f>
        <v>-2</v>
      </c>
      <c r="M13" s="1734"/>
      <c r="N13" s="1733">
        <f>L38</f>
        <v>-7</v>
      </c>
      <c r="O13" s="1734"/>
      <c r="P13" s="1733">
        <f>N38</f>
        <v>-3.2</v>
      </c>
      <c r="Q13" s="1734"/>
      <c r="R13" s="1733">
        <f>P38</f>
        <v>-8</v>
      </c>
      <c r="S13" s="1734"/>
      <c r="T13" s="1733">
        <f>R38</f>
        <v>0.1</v>
      </c>
      <c r="U13" s="1734"/>
      <c r="V13" s="1733"/>
      <c r="W13" s="1734"/>
      <c r="X13" s="1733"/>
      <c r="Y13" s="1706"/>
      <c r="Z13" s="1707"/>
      <c r="AA13" s="1733">
        <f>B13</f>
        <v>-3</v>
      </c>
      <c r="AB13" s="1706"/>
      <c r="AC13" s="3403"/>
      <c r="AD13" s="1733">
        <v>-2</v>
      </c>
      <c r="AE13" s="1708"/>
      <c r="AF13" s="1709"/>
      <c r="AG13" s="1710">
        <f>ROUND(SUM(AA13-AD13),1)</f>
        <v>-1</v>
      </c>
      <c r="AH13" s="1711"/>
      <c r="AI13" s="2180">
        <f>-ROUND(IF(AG13=0,0,AG13/(AD13)),3)</f>
        <v>-0.5</v>
      </c>
    </row>
    <row r="14" spans="1:35" s="398" customFormat="1" ht="19.350000000000001" customHeight="1">
      <c r="A14" s="149"/>
      <c r="B14" s="386"/>
      <c r="C14" s="386"/>
      <c r="D14" s="386"/>
      <c r="E14" s="386"/>
      <c r="F14" s="853"/>
      <c r="G14" s="853"/>
      <c r="H14" s="854"/>
      <c r="I14" s="854"/>
      <c r="J14" s="854"/>
      <c r="K14" s="853"/>
      <c r="L14" s="854"/>
      <c r="M14" s="854"/>
      <c r="N14" s="854"/>
      <c r="O14" s="854"/>
      <c r="P14" s="854"/>
      <c r="Q14" s="854"/>
      <c r="R14" s="854"/>
      <c r="S14" s="854"/>
      <c r="T14" s="854"/>
      <c r="U14" s="854"/>
      <c r="V14" s="854"/>
      <c r="W14" s="854"/>
      <c r="X14" s="854"/>
      <c r="Y14" s="855"/>
      <c r="Z14" s="856"/>
      <c r="AA14" s="3365"/>
      <c r="AB14" s="3404"/>
      <c r="AC14" s="3405"/>
      <c r="AD14" s="3365"/>
      <c r="AE14" s="1177"/>
      <c r="AF14" s="1174"/>
      <c r="AG14" s="1161"/>
      <c r="AH14" s="1152"/>
      <c r="AI14" s="1151"/>
    </row>
    <row r="15" spans="1:35" s="398" customFormat="1" ht="19.350000000000001" customHeight="1">
      <c r="A15" s="249" t="s">
        <v>14</v>
      </c>
      <c r="B15" s="386"/>
      <c r="C15" s="386"/>
      <c r="D15" s="386"/>
      <c r="E15" s="386"/>
      <c r="F15" s="853"/>
      <c r="G15" s="853"/>
      <c r="H15" s="854"/>
      <c r="I15" s="854"/>
      <c r="J15" s="854"/>
      <c r="K15" s="853"/>
      <c r="L15" s="854"/>
      <c r="M15" s="854"/>
      <c r="N15" s="854"/>
      <c r="O15" s="854"/>
      <c r="P15" s="854"/>
      <c r="Q15" s="854"/>
      <c r="R15" s="854"/>
      <c r="S15" s="854"/>
      <c r="T15" s="854"/>
      <c r="U15" s="854"/>
      <c r="V15" s="854"/>
      <c r="W15" s="854"/>
      <c r="X15" s="854"/>
      <c r="Y15" s="855"/>
      <c r="Z15" s="856"/>
      <c r="AA15" s="3365"/>
      <c r="AB15" s="3404"/>
      <c r="AC15" s="3405"/>
      <c r="AD15" s="3365"/>
      <c r="AE15" s="1177"/>
      <c r="AF15" s="1174"/>
      <c r="AG15" s="1161"/>
      <c r="AH15" s="1152"/>
      <c r="AI15" s="1151"/>
    </row>
    <row r="16" spans="1:35" s="398" customFormat="1" ht="19.350000000000001" customHeight="1">
      <c r="A16" s="858" t="s">
        <v>179</v>
      </c>
      <c r="B16" s="2219">
        <v>5.3</v>
      </c>
      <c r="C16" s="237"/>
      <c r="D16" s="2219">
        <v>7.8</v>
      </c>
      <c r="E16" s="237"/>
      <c r="F16" s="2219">
        <v>5.0999999999999988</v>
      </c>
      <c r="G16" s="237"/>
      <c r="H16" s="2219">
        <v>5.1000000000000005</v>
      </c>
      <c r="I16" s="1716"/>
      <c r="J16" s="2219">
        <v>30</v>
      </c>
      <c r="K16" s="1626"/>
      <c r="L16" s="2219">
        <v>5.2000000000000028</v>
      </c>
      <c r="M16" s="1717"/>
      <c r="N16" s="1715">
        <v>12.700000000000003</v>
      </c>
      <c r="O16" s="1717"/>
      <c r="P16" s="1715">
        <v>5.2999999999999972</v>
      </c>
      <c r="Q16" s="1717"/>
      <c r="R16" s="1715">
        <v>36.300000000000011</v>
      </c>
      <c r="S16" s="1717"/>
      <c r="T16" s="1715">
        <f>$AA16-$B16-$D16-$F16-$H16-$J16-$L16-$N16-$P16-$R16</f>
        <v>5.2999999999999972</v>
      </c>
      <c r="U16" s="1717"/>
      <c r="V16" s="1715"/>
      <c r="W16" s="1717"/>
      <c r="X16" s="1715"/>
      <c r="Y16" s="1718"/>
      <c r="Z16" s="1719"/>
      <c r="AA16" s="1715">
        <v>118.1</v>
      </c>
      <c r="AB16" s="1718"/>
      <c r="AC16" s="1717"/>
      <c r="AD16" s="1715">
        <v>104.5</v>
      </c>
      <c r="AE16" s="1178"/>
      <c r="AF16" s="1144"/>
      <c r="AG16" s="1163">
        <f>ROUND(SUM(AA16-AD16),1)</f>
        <v>13.6</v>
      </c>
      <c r="AH16" s="1152"/>
      <c r="AI16" s="1168">
        <f>ROUND(IF(AG16=0,0,AG16/ABS(AD16)),3)</f>
        <v>0.13</v>
      </c>
    </row>
    <row r="17" spans="1:35" s="398" customFormat="1" ht="24" customHeight="1">
      <c r="A17" s="249" t="s">
        <v>151</v>
      </c>
      <c r="B17" s="2207">
        <f>ROUND(SUM(B16),1)</f>
        <v>5.3</v>
      </c>
      <c r="C17" s="389"/>
      <c r="D17" s="863">
        <f>ROUND(SUM(D16),1)</f>
        <v>7.8</v>
      </c>
      <c r="E17" s="389"/>
      <c r="F17" s="863">
        <f>ROUND(SUM(F16),1)</f>
        <v>5.0999999999999996</v>
      </c>
      <c r="G17" s="389"/>
      <c r="H17" s="863">
        <f>ROUND(SUM(H16),1)</f>
        <v>5.0999999999999996</v>
      </c>
      <c r="I17" s="864"/>
      <c r="J17" s="863">
        <f>ROUND(SUM(J16),1)</f>
        <v>30</v>
      </c>
      <c r="K17" s="389"/>
      <c r="L17" s="863">
        <f>ROUND(SUM(L16),1)</f>
        <v>5.2</v>
      </c>
      <c r="M17" s="865"/>
      <c r="N17" s="863">
        <f>ROUND(SUM(N16),1)</f>
        <v>12.7</v>
      </c>
      <c r="O17" s="865"/>
      <c r="P17" s="863">
        <f>ROUND(SUM(P16),1)</f>
        <v>5.3</v>
      </c>
      <c r="Q17" s="865"/>
      <c r="R17" s="2207">
        <f>ROUND(SUM(R16),1)</f>
        <v>36.299999999999997</v>
      </c>
      <c r="S17" s="865"/>
      <c r="T17" s="863">
        <f>ROUND(SUM(T16),1)</f>
        <v>5.3</v>
      </c>
      <c r="U17" s="865"/>
      <c r="V17" s="863">
        <f>ROUND(SUM(V16),1)</f>
        <v>0</v>
      </c>
      <c r="W17" s="865"/>
      <c r="X17" s="863">
        <f>ROUND(SUM(X16),1)</f>
        <v>0</v>
      </c>
      <c r="Y17" s="866"/>
      <c r="Z17" s="867"/>
      <c r="AA17" s="1749">
        <f>ROUND(SUM(AA16),1)</f>
        <v>118.1</v>
      </c>
      <c r="AB17" s="3406"/>
      <c r="AC17" s="3407"/>
      <c r="AD17" s="1749">
        <f>ROUND(SUM(AD16),1)</f>
        <v>104.5</v>
      </c>
      <c r="AE17" s="1179"/>
      <c r="AF17" s="1144"/>
      <c r="AG17" s="1186">
        <f>ROUND(SUM(AG16),1)</f>
        <v>13.6</v>
      </c>
      <c r="AH17" s="1187"/>
      <c r="AI17" s="1188">
        <f>ROUND(IF(AG17=0,0,AG17/ABS(AD17)),3)</f>
        <v>0.13</v>
      </c>
    </row>
    <row r="18" spans="1:35" s="398" customFormat="1" ht="19.350000000000001" customHeight="1">
      <c r="A18" s="149"/>
      <c r="B18" s="388"/>
      <c r="C18" s="237"/>
      <c r="D18" s="388" t="s">
        <v>15</v>
      </c>
      <c r="E18" s="237"/>
      <c r="F18" s="388"/>
      <c r="G18" s="237"/>
      <c r="H18" s="868"/>
      <c r="I18" s="860"/>
      <c r="J18" s="868"/>
      <c r="K18" s="237"/>
      <c r="L18" s="868"/>
      <c r="M18" s="860"/>
      <c r="N18" s="868"/>
      <c r="O18" s="860"/>
      <c r="P18" s="868"/>
      <c r="Q18" s="860"/>
      <c r="R18" s="868"/>
      <c r="S18" s="860"/>
      <c r="T18" s="868"/>
      <c r="U18" s="860"/>
      <c r="V18" s="868"/>
      <c r="W18" s="860"/>
      <c r="X18" s="868"/>
      <c r="Y18" s="861"/>
      <c r="Z18" s="862"/>
      <c r="AA18" s="2259"/>
      <c r="AB18" s="1718"/>
      <c r="AC18" s="1716"/>
      <c r="AD18" s="2259"/>
      <c r="AE18" s="1163"/>
      <c r="AF18" s="1144"/>
      <c r="AG18" s="1163"/>
      <c r="AH18" s="1152"/>
      <c r="AI18" s="1151"/>
    </row>
    <row r="19" spans="1:35" s="398" customFormat="1" ht="19.350000000000001" customHeight="1">
      <c r="A19" s="149"/>
      <c r="B19" s="237"/>
      <c r="C19" s="237"/>
      <c r="D19" s="237" t="s">
        <v>15</v>
      </c>
      <c r="E19" s="237"/>
      <c r="F19" s="237"/>
      <c r="G19" s="237"/>
      <c r="H19" s="860"/>
      <c r="I19" s="860"/>
      <c r="J19" s="860"/>
      <c r="K19" s="237"/>
      <c r="L19" s="860"/>
      <c r="M19" s="860"/>
      <c r="N19" s="860"/>
      <c r="O19" s="860"/>
      <c r="P19" s="860"/>
      <c r="Q19" s="860"/>
      <c r="R19" s="860"/>
      <c r="S19" s="860"/>
      <c r="T19" s="860"/>
      <c r="U19" s="860"/>
      <c r="V19" s="860"/>
      <c r="W19" s="860"/>
      <c r="X19" s="860"/>
      <c r="Y19" s="861"/>
      <c r="Z19" s="862"/>
      <c r="AA19" s="1626"/>
      <c r="AB19" s="1718"/>
      <c r="AC19" s="1717"/>
      <c r="AD19" s="1626"/>
      <c r="AE19" s="1180"/>
      <c r="AF19" s="1144"/>
      <c r="AG19" s="1163"/>
      <c r="AH19" s="1152"/>
      <c r="AI19" s="1151"/>
    </row>
    <row r="20" spans="1:35" s="398" customFormat="1" ht="19.350000000000001" customHeight="1">
      <c r="A20" s="249" t="s">
        <v>23</v>
      </c>
      <c r="B20" s="237"/>
      <c r="C20" s="237"/>
      <c r="D20" s="237" t="s">
        <v>15</v>
      </c>
      <c r="E20" s="237"/>
      <c r="F20" s="237"/>
      <c r="G20" s="237"/>
      <c r="H20" s="860"/>
      <c r="I20" s="860"/>
      <c r="J20" s="860"/>
      <c r="K20" s="237"/>
      <c r="L20" s="860"/>
      <c r="M20" s="860"/>
      <c r="N20" s="860"/>
      <c r="O20" s="860"/>
      <c r="P20" s="860"/>
      <c r="Q20" s="860"/>
      <c r="R20" s="860"/>
      <c r="S20" s="860"/>
      <c r="T20" s="860"/>
      <c r="U20" s="860"/>
      <c r="V20" s="860"/>
      <c r="W20" s="860"/>
      <c r="X20" s="860"/>
      <c r="Y20" s="861"/>
      <c r="Z20" s="862"/>
      <c r="AA20" s="1626"/>
      <c r="AB20" s="1718"/>
      <c r="AC20" s="1717"/>
      <c r="AD20" s="1626"/>
      <c r="AE20" s="1180"/>
      <c r="AF20" s="1144"/>
      <c r="AG20" s="1163"/>
      <c r="AH20" s="1152"/>
      <c r="AI20" s="1151"/>
    </row>
    <row r="21" spans="1:35" s="398" customFormat="1" ht="19.350000000000001" customHeight="1">
      <c r="A21" s="149" t="s">
        <v>153</v>
      </c>
      <c r="B21" s="238"/>
      <c r="C21" s="237"/>
      <c r="D21" s="237"/>
      <c r="E21" s="237"/>
      <c r="F21" s="237"/>
      <c r="G21" s="237"/>
      <c r="H21" s="860"/>
      <c r="I21" s="860"/>
      <c r="J21" s="860"/>
      <c r="K21" s="237"/>
      <c r="L21" s="860"/>
      <c r="M21" s="860"/>
      <c r="N21" s="860"/>
      <c r="O21" s="860"/>
      <c r="P21" s="860"/>
      <c r="Q21" s="860"/>
      <c r="R21" s="860"/>
      <c r="S21" s="860"/>
      <c r="T21" s="860"/>
      <c r="U21" s="860"/>
      <c r="V21" s="860"/>
      <c r="W21" s="860"/>
      <c r="X21" s="860"/>
      <c r="Y21" s="861"/>
      <c r="Z21" s="862"/>
      <c r="AA21" s="1724"/>
      <c r="AB21" s="3408"/>
      <c r="AC21" s="3409"/>
      <c r="AD21" s="1724"/>
      <c r="AE21" s="1181"/>
      <c r="AF21" s="1145"/>
      <c r="AG21" s="1163"/>
      <c r="AH21" s="1152"/>
      <c r="AI21" s="1151"/>
    </row>
    <row r="22" spans="1:35" s="1713" customFormat="1" ht="19.350000000000001" customHeight="1">
      <c r="A22" s="193" t="s">
        <v>220</v>
      </c>
      <c r="B22" s="869">
        <v>5.3</v>
      </c>
      <c r="C22" s="237"/>
      <c r="D22" s="869">
        <v>7.7</v>
      </c>
      <c r="E22" s="237"/>
      <c r="F22" s="869">
        <v>5.3999999999999977</v>
      </c>
      <c r="G22" s="237"/>
      <c r="H22" s="869">
        <v>5.0000000000000009</v>
      </c>
      <c r="I22" s="1717"/>
      <c r="J22" s="869">
        <v>5.1000000000000005</v>
      </c>
      <c r="K22" s="1626"/>
      <c r="L22" s="869">
        <v>5.299999999999998</v>
      </c>
      <c r="M22" s="1717"/>
      <c r="N22" s="1737">
        <v>7.7000000000000055</v>
      </c>
      <c r="O22" s="1717"/>
      <c r="P22" s="1737">
        <v>5.2999999999999945</v>
      </c>
      <c r="Q22" s="1717"/>
      <c r="R22" s="1737">
        <v>5.3000000000000034</v>
      </c>
      <c r="S22" s="1717"/>
      <c r="T22" s="1737">
        <f>$AA22-$B22-$D22-$F22-$H22-$J22-$L22-$N22-$P22-$R22</f>
        <v>5.0999999999999952</v>
      </c>
      <c r="U22" s="1717"/>
      <c r="V22" s="1737"/>
      <c r="W22" s="1717"/>
      <c r="X22" s="1737"/>
      <c r="Y22" s="1718"/>
      <c r="Z22" s="1719"/>
      <c r="AA22" s="1737">
        <v>57.199999999999996</v>
      </c>
      <c r="AB22" s="1718"/>
      <c r="AC22" s="1717"/>
      <c r="AD22" s="1737">
        <v>56.8</v>
      </c>
      <c r="AE22" s="1726"/>
      <c r="AF22" s="1727"/>
      <c r="AG22" s="1738">
        <f>ROUND(SUM(AA22-AD22),1)</f>
        <v>0.4</v>
      </c>
      <c r="AH22" s="1711"/>
      <c r="AI22" s="1723">
        <f>ROUND(IF(AG22=0,0,AG22/ABS(AD22)),3)</f>
        <v>7.0000000000000001E-3</v>
      </c>
    </row>
    <row r="23" spans="1:35" s="398" customFormat="1" ht="19.350000000000001" customHeight="1">
      <c r="A23" s="858" t="s">
        <v>171</v>
      </c>
      <c r="B23" s="869">
        <v>1.1000000000000001</v>
      </c>
      <c r="C23" s="237"/>
      <c r="D23" s="869">
        <v>1.1000000000000001</v>
      </c>
      <c r="E23" s="237"/>
      <c r="F23" s="869">
        <v>1.0999999999999996</v>
      </c>
      <c r="G23" s="237"/>
      <c r="H23" s="869">
        <v>1.2999999999999998</v>
      </c>
      <c r="I23" s="1717"/>
      <c r="J23" s="869">
        <v>1.1000000000000001</v>
      </c>
      <c r="K23" s="1626"/>
      <c r="L23" s="869">
        <v>1.6</v>
      </c>
      <c r="M23" s="1717"/>
      <c r="N23" s="1737">
        <v>1.0000000000000018</v>
      </c>
      <c r="O23" s="1717"/>
      <c r="P23" s="1737">
        <v>1.4999999999999978</v>
      </c>
      <c r="Q23" s="1717"/>
      <c r="R23" s="1737">
        <v>19.499999999999996</v>
      </c>
      <c r="S23" s="1717"/>
      <c r="T23" s="1737">
        <f>$AA23-$B23-$D23-$F23-$H23-$J23-$L23-$N23-$P23-$R23</f>
        <v>1.3999999999999986</v>
      </c>
      <c r="U23" s="1717"/>
      <c r="V23" s="1737"/>
      <c r="W23" s="1717"/>
      <c r="X23" s="1737"/>
      <c r="Y23" s="1718"/>
      <c r="Z23" s="1719"/>
      <c r="AA23" s="1737">
        <v>30.7</v>
      </c>
      <c r="AB23" s="1718"/>
      <c r="AC23" s="1717"/>
      <c r="AD23" s="1737">
        <v>13.5</v>
      </c>
      <c r="AE23" s="1181"/>
      <c r="AF23" s="1145"/>
      <c r="AG23" s="1163">
        <f>ROUND(SUM(AA23-AD23),1)</f>
        <v>17.2</v>
      </c>
      <c r="AH23" s="1167"/>
      <c r="AI23" s="1168">
        <f>ROUND(IF(AG23=0,0,AG23/ABS(AD23)),3)</f>
        <v>1.274</v>
      </c>
    </row>
    <row r="24" spans="1:35" s="1713" customFormat="1" ht="19.350000000000001" customHeight="1">
      <c r="A24" s="193" t="s">
        <v>156</v>
      </c>
      <c r="B24" s="869">
        <v>3.3</v>
      </c>
      <c r="C24" s="237"/>
      <c r="D24" s="2219">
        <v>3.4000000000000004</v>
      </c>
      <c r="E24" s="237"/>
      <c r="F24" s="2219">
        <v>3.3</v>
      </c>
      <c r="G24" s="237"/>
      <c r="H24" s="2219">
        <v>4.9000000000000012</v>
      </c>
      <c r="I24" s="1717"/>
      <c r="J24" s="2219">
        <v>3.2</v>
      </c>
      <c r="K24" s="1626"/>
      <c r="L24" s="869">
        <v>3.2999999999999972</v>
      </c>
      <c r="M24" s="1717"/>
      <c r="N24" s="1737">
        <v>0.19999999999999929</v>
      </c>
      <c r="O24" s="1717"/>
      <c r="P24" s="1737">
        <v>3.2999999999999963</v>
      </c>
      <c r="Q24" s="1717"/>
      <c r="R24" s="1715">
        <v>3.4000000000000066</v>
      </c>
      <c r="S24" s="1717"/>
      <c r="T24" s="1737">
        <f t="shared" ref="T24" si="0">$AA24-$B24-$D24-$F24-$H24-$J24-$L24-$N24-$P24-$R24</f>
        <v>4.999999999999992</v>
      </c>
      <c r="U24" s="1717"/>
      <c r="V24" s="1715"/>
      <c r="W24" s="1717"/>
      <c r="X24" s="1737"/>
      <c r="Y24" s="1718"/>
      <c r="Z24" s="1719"/>
      <c r="AA24" s="3410">
        <v>33.299999999999997</v>
      </c>
      <c r="AB24" s="1718"/>
      <c r="AC24" s="1717"/>
      <c r="AD24" s="3410">
        <v>40.799999999999997</v>
      </c>
      <c r="AE24" s="1725"/>
      <c r="AF24" s="1727"/>
      <c r="AG24" s="1738">
        <f>ROUND(SUM(AA24-AD24),1)</f>
        <v>-7.5</v>
      </c>
      <c r="AH24" s="1711"/>
      <c r="AI24" s="1168">
        <f>ROUND(IF(AD24=0,1,AG24/ABS(AD24)),3)</f>
        <v>-0.184</v>
      </c>
    </row>
    <row r="25" spans="1:35" s="398" customFormat="1" ht="22.5" customHeight="1">
      <c r="A25" s="249" t="s">
        <v>157</v>
      </c>
      <c r="B25" s="2167">
        <f>ROUND(SUM(B22)+SUM(B23)+SUM(B24),1)</f>
        <v>9.6999999999999993</v>
      </c>
      <c r="C25" s="389"/>
      <c r="D25" s="870">
        <f>ROUND(SUM(D22)+SUM(D23)+SUM(D24),1)</f>
        <v>12.2</v>
      </c>
      <c r="E25" s="389"/>
      <c r="F25" s="2167">
        <f>ROUND(SUM(F22)+SUM(F23)+SUM(F24),1)</f>
        <v>9.8000000000000007</v>
      </c>
      <c r="G25" s="870"/>
      <c r="H25" s="870">
        <f>ROUND(SUM(H22)+SUM(H23)+SUM(H24),1)</f>
        <v>11.2</v>
      </c>
      <c r="I25" s="865"/>
      <c r="J25" s="2174">
        <f>ROUND(SUM(J22)+SUM(J23)+SUM(J24),1)</f>
        <v>9.4</v>
      </c>
      <c r="K25" s="389"/>
      <c r="L25" s="2174">
        <f>ROUND(SUM(L22)+SUM(L23)+SUM(L24),1)</f>
        <v>10.199999999999999</v>
      </c>
      <c r="M25" s="865"/>
      <c r="N25" s="2174">
        <f>ROUND(SUM(N22)+SUM(N23)+SUM(N24),1)</f>
        <v>8.9</v>
      </c>
      <c r="O25" s="865"/>
      <c r="P25" s="2174">
        <f>ROUND(SUM(P22)+SUM(P23)+SUM(P24),1)</f>
        <v>10.1</v>
      </c>
      <c r="Q25" s="865"/>
      <c r="R25" s="2167">
        <f>ROUND(SUM(R22)+SUM(R23)+SUM(R24),1)</f>
        <v>28.2</v>
      </c>
      <c r="S25" s="865"/>
      <c r="T25" s="2167">
        <f>ROUND(SUM(T22)+SUM(T23)+SUM(T24),1)</f>
        <v>11.5</v>
      </c>
      <c r="U25" s="865"/>
      <c r="V25" s="2174">
        <f>ROUND(SUM(V22)+SUM(V23)+SUM(V24),1)</f>
        <v>0</v>
      </c>
      <c r="W25" s="865"/>
      <c r="X25" s="2174">
        <f>ROUND(SUM(X22)+SUM(X23)+SUM(X24),1)</f>
        <v>0</v>
      </c>
      <c r="Y25" s="866"/>
      <c r="Z25" s="867"/>
      <c r="AA25" s="2258">
        <f>ROUND(SUM(AA22:AA24),1)</f>
        <v>121.2</v>
      </c>
      <c r="AB25" s="3406"/>
      <c r="AC25" s="3407"/>
      <c r="AD25" s="2258">
        <f>ROUND(SUM(AD22:AD24),1)</f>
        <v>111.1</v>
      </c>
      <c r="AE25" s="1182"/>
      <c r="AF25" s="1145"/>
      <c r="AG25" s="1186">
        <f>ROUND(SUM(AG22:AG24),1)</f>
        <v>10.1</v>
      </c>
      <c r="AH25" s="1164"/>
      <c r="AI25" s="1188">
        <f>ROUND(IF(AG25=0,0,AG25/ABS(AD25)),3)</f>
        <v>9.0999999999999998E-2</v>
      </c>
    </row>
    <row r="26" spans="1:35" s="398" customFormat="1" ht="19.350000000000001" customHeight="1">
      <c r="A26" s="149"/>
      <c r="B26" s="388"/>
      <c r="C26" s="237"/>
      <c r="D26" s="388" t="s">
        <v>15</v>
      </c>
      <c r="E26" s="237"/>
      <c r="F26" s="388"/>
      <c r="G26" s="237"/>
      <c r="H26" s="868"/>
      <c r="I26" s="860"/>
      <c r="J26" s="868"/>
      <c r="K26" s="237"/>
      <c r="L26" s="868"/>
      <c r="M26" s="860"/>
      <c r="N26" s="868"/>
      <c r="O26" s="860"/>
      <c r="P26" s="868"/>
      <c r="Q26" s="860"/>
      <c r="R26" s="868"/>
      <c r="S26" s="860"/>
      <c r="T26" s="868"/>
      <c r="U26" s="860"/>
      <c r="V26" s="868"/>
      <c r="W26" s="860"/>
      <c r="X26" s="868"/>
      <c r="Y26" s="861"/>
      <c r="Z26" s="862"/>
      <c r="AA26" s="2259"/>
      <c r="AB26" s="1718"/>
      <c r="AC26" s="1716"/>
      <c r="AD26" s="2259"/>
      <c r="AE26" s="1163"/>
      <c r="AF26" s="1144"/>
      <c r="AG26" s="1163"/>
      <c r="AH26" s="1152"/>
      <c r="AI26" s="1151"/>
    </row>
    <row r="27" spans="1:35" s="398" customFormat="1" ht="19.350000000000001" customHeight="1">
      <c r="A27" s="249" t="s">
        <v>158</v>
      </c>
      <c r="B27" s="237"/>
      <c r="C27" s="237"/>
      <c r="D27" s="241" t="s">
        <v>15</v>
      </c>
      <c r="E27" s="237"/>
      <c r="F27" s="237"/>
      <c r="G27" s="237"/>
      <c r="H27" s="860"/>
      <c r="I27" s="860"/>
      <c r="J27" s="860"/>
      <c r="K27" s="237"/>
      <c r="L27" s="860"/>
      <c r="M27" s="860"/>
      <c r="N27" s="860"/>
      <c r="O27" s="860"/>
      <c r="P27" s="860"/>
      <c r="Q27" s="860"/>
      <c r="R27" s="860"/>
      <c r="S27" s="860"/>
      <c r="T27" s="860"/>
      <c r="U27" s="860"/>
      <c r="V27" s="860"/>
      <c r="W27" s="860"/>
      <c r="X27" s="860"/>
      <c r="Y27" s="861"/>
      <c r="Z27" s="862"/>
      <c r="AA27" s="1626"/>
      <c r="AB27" s="1718"/>
      <c r="AC27" s="1717"/>
      <c r="AD27" s="1626"/>
      <c r="AE27" s="1180"/>
      <c r="AF27" s="1144"/>
      <c r="AG27" s="1163"/>
      <c r="AH27" s="1152"/>
      <c r="AI27" s="1151"/>
    </row>
    <row r="28" spans="1:35" s="398" customFormat="1" ht="18.75" customHeight="1">
      <c r="A28" s="249" t="s">
        <v>45</v>
      </c>
      <c r="B28" s="871">
        <f>ROUND(B17-B25,1)</f>
        <v>-4.4000000000000004</v>
      </c>
      <c r="C28" s="389"/>
      <c r="D28" s="871">
        <f>ROUND(D17-D25,1)</f>
        <v>-4.4000000000000004</v>
      </c>
      <c r="E28" s="389"/>
      <c r="F28" s="871">
        <f>ROUND(F17-F25,1)</f>
        <v>-4.7</v>
      </c>
      <c r="G28" s="389"/>
      <c r="H28" s="871">
        <f>ROUND(H17-H25,1)</f>
        <v>-6.1</v>
      </c>
      <c r="I28" s="390"/>
      <c r="J28" s="871">
        <f>ROUND(J17-J25,1)</f>
        <v>20.6</v>
      </c>
      <c r="K28" s="389"/>
      <c r="L28" s="871">
        <f>ROUND(L17-L25,1)</f>
        <v>-5</v>
      </c>
      <c r="M28" s="865"/>
      <c r="N28" s="871">
        <f>ROUND(N17-N25,1)</f>
        <v>3.8</v>
      </c>
      <c r="O28" s="865"/>
      <c r="P28" s="871">
        <f>ROUND(P17-P25,1)</f>
        <v>-4.8</v>
      </c>
      <c r="Q28" s="865"/>
      <c r="R28" s="871">
        <f>ROUND(R17-R25,1)</f>
        <v>8.1</v>
      </c>
      <c r="S28" s="865"/>
      <c r="T28" s="871">
        <f>ROUND(T17-T25,1)</f>
        <v>-6.2</v>
      </c>
      <c r="U28" s="865"/>
      <c r="V28" s="871">
        <f>ROUND(V17-V25,1)</f>
        <v>0</v>
      </c>
      <c r="W28" s="865"/>
      <c r="X28" s="871">
        <f>ROUND(X17-X25,1)</f>
        <v>0</v>
      </c>
      <c r="Y28" s="866"/>
      <c r="Z28" s="867"/>
      <c r="AA28" s="3411">
        <f>ROUND(AA17-AA25,1)</f>
        <v>-3.1</v>
      </c>
      <c r="AB28" s="3406"/>
      <c r="AC28" s="3412"/>
      <c r="AD28" s="3411">
        <f>ROUND(AD17-AD25,1)</f>
        <v>-6.6</v>
      </c>
      <c r="AE28" s="1183"/>
      <c r="AF28" s="1145"/>
      <c r="AG28" s="1448">
        <f>ROUND(SUM(AA28-AD28),1)</f>
        <v>3.5</v>
      </c>
      <c r="AH28" s="1152"/>
      <c r="AI28" s="1633">
        <f>ROUND(IF(AG28=0,0,AG28/ABS(AD28)),3)</f>
        <v>0.53</v>
      </c>
    </row>
    <row r="29" spans="1:35" s="398" customFormat="1" ht="19.350000000000001" customHeight="1">
      <c r="A29" s="149"/>
      <c r="B29" s="241"/>
      <c r="C29" s="237"/>
      <c r="D29" s="241" t="s">
        <v>15</v>
      </c>
      <c r="E29" s="237"/>
      <c r="F29" s="241"/>
      <c r="G29" s="237"/>
      <c r="H29" s="859"/>
      <c r="I29" s="860"/>
      <c r="J29" s="859"/>
      <c r="K29" s="237"/>
      <c r="L29" s="859"/>
      <c r="M29" s="860"/>
      <c r="N29" s="868"/>
      <c r="O29" s="860"/>
      <c r="P29" s="859"/>
      <c r="Q29" s="860"/>
      <c r="R29" s="868"/>
      <c r="S29" s="860"/>
      <c r="T29" s="859"/>
      <c r="U29" s="860"/>
      <c r="V29" s="859"/>
      <c r="W29" s="860"/>
      <c r="X29" s="868"/>
      <c r="Y29" s="861"/>
      <c r="Z29" s="862"/>
      <c r="AA29" s="1722"/>
      <c r="AB29" s="1718"/>
      <c r="AC29" s="1716"/>
      <c r="AD29" s="1722"/>
      <c r="AE29" s="1163"/>
      <c r="AF29" s="1146"/>
      <c r="AG29" s="1163"/>
      <c r="AH29" s="1152"/>
      <c r="AI29" s="1151"/>
    </row>
    <row r="30" spans="1:35" s="398" customFormat="1" ht="19.350000000000001" customHeight="1">
      <c r="A30" s="249" t="s">
        <v>46</v>
      </c>
      <c r="B30" s="237"/>
      <c r="C30" s="237"/>
      <c r="D30" s="237"/>
      <c r="E30" s="237"/>
      <c r="F30" s="237"/>
      <c r="G30" s="237"/>
      <c r="H30" s="860"/>
      <c r="I30" s="860"/>
      <c r="J30" s="860"/>
      <c r="K30" s="237"/>
      <c r="L30" s="860"/>
      <c r="M30" s="860"/>
      <c r="N30" s="860"/>
      <c r="O30" s="860"/>
      <c r="P30" s="860"/>
      <c r="Q30" s="860"/>
      <c r="R30" s="860"/>
      <c r="S30" s="860"/>
      <c r="T30" s="860"/>
      <c r="U30" s="860"/>
      <c r="V30" s="860"/>
      <c r="W30" s="860"/>
      <c r="X30" s="860"/>
      <c r="Y30" s="861"/>
      <c r="Z30" s="862"/>
      <c r="AA30" s="1626"/>
      <c r="AB30" s="1718"/>
      <c r="AC30" s="1717"/>
      <c r="AD30" s="1626"/>
      <c r="AE30" s="1180"/>
      <c r="AF30" s="1146"/>
      <c r="AG30" s="1163"/>
      <c r="AH30" s="1152"/>
      <c r="AI30" s="1151"/>
    </row>
    <row r="31" spans="1:35" s="398" customFormat="1" ht="19.350000000000001" customHeight="1">
      <c r="A31" s="149" t="s">
        <v>182</v>
      </c>
      <c r="B31" s="869">
        <v>0</v>
      </c>
      <c r="C31" s="237"/>
      <c r="D31" s="869">
        <v>0</v>
      </c>
      <c r="E31" s="237"/>
      <c r="F31" s="869">
        <v>0</v>
      </c>
      <c r="G31" s="237"/>
      <c r="H31" s="869">
        <v>0</v>
      </c>
      <c r="I31" s="1717"/>
      <c r="J31" s="869">
        <v>0</v>
      </c>
      <c r="K31" s="1626"/>
      <c r="L31" s="869">
        <v>0</v>
      </c>
      <c r="M31" s="1717"/>
      <c r="N31" s="1737">
        <v>0</v>
      </c>
      <c r="O31" s="1717"/>
      <c r="P31" s="1737">
        <v>0</v>
      </c>
      <c r="Q31" s="1717"/>
      <c r="R31" s="1737">
        <v>0</v>
      </c>
      <c r="S31" s="1717"/>
      <c r="T31" s="1737">
        <f t="shared" ref="T31:T32" si="1">$AA31-$B31-$D31-$F31-$H31-$J31-$L31-$N31-$P31-$R31</f>
        <v>0</v>
      </c>
      <c r="U31" s="1717"/>
      <c r="V31" s="1737"/>
      <c r="W31" s="1717"/>
      <c r="X31" s="1737"/>
      <c r="Y31" s="1718"/>
      <c r="Z31" s="1719"/>
      <c r="AA31" s="1737">
        <v>0</v>
      </c>
      <c r="AB31" s="1718"/>
      <c r="AC31" s="1717"/>
      <c r="AD31" s="1737">
        <v>0</v>
      </c>
      <c r="AE31" s="1181"/>
      <c r="AF31" s="1147"/>
      <c r="AG31" s="241">
        <f>ROUND(SUM(AA31-AD31),1)</f>
        <v>0</v>
      </c>
      <c r="AH31" s="1167"/>
      <c r="AI31" s="1168">
        <f>ROUND(IF(AG31=0,0,AG31/ABS(AD31)),3)</f>
        <v>0</v>
      </c>
    </row>
    <row r="32" spans="1:35" s="398" customFormat="1" ht="19.350000000000001" customHeight="1">
      <c r="A32" s="149" t="s">
        <v>183</v>
      </c>
      <c r="B32" s="2219">
        <v>0</v>
      </c>
      <c r="C32" s="237"/>
      <c r="D32" s="869">
        <v>0</v>
      </c>
      <c r="E32" s="237"/>
      <c r="F32" s="869">
        <v>0</v>
      </c>
      <c r="G32" s="237"/>
      <c r="H32" s="869">
        <v>0</v>
      </c>
      <c r="I32" s="1717"/>
      <c r="J32" s="869">
        <v>0</v>
      </c>
      <c r="K32" s="1626"/>
      <c r="L32" s="869">
        <v>0</v>
      </c>
      <c r="M32" s="1717"/>
      <c r="N32" s="1737">
        <v>0</v>
      </c>
      <c r="O32" s="1717"/>
      <c r="P32" s="1737">
        <v>0</v>
      </c>
      <c r="Q32" s="1717"/>
      <c r="R32" s="1737">
        <v>0</v>
      </c>
      <c r="S32" s="1717"/>
      <c r="T32" s="1737">
        <f t="shared" si="1"/>
        <v>0</v>
      </c>
      <c r="U32" s="1717"/>
      <c r="V32" s="1737"/>
      <c r="W32" s="1717"/>
      <c r="X32" s="1737"/>
      <c r="Y32" s="1718"/>
      <c r="Z32" s="1719"/>
      <c r="AA32" s="3410">
        <v>0</v>
      </c>
      <c r="AB32" s="1718"/>
      <c r="AC32" s="1717"/>
      <c r="AD32" s="3410">
        <v>0</v>
      </c>
      <c r="AE32" s="1181"/>
      <c r="AF32" s="1146"/>
      <c r="AG32" s="241">
        <f>ROUND(SUM(AA32-AD32),1)</f>
        <v>0</v>
      </c>
      <c r="AH32" s="1167"/>
      <c r="AI32" s="1168">
        <f>ROUND(IF(AG32=0,0,AG32/ABS(AD32)),3)</f>
        <v>0</v>
      </c>
    </row>
    <row r="33" spans="1:35" s="398" customFormat="1" ht="22.5" customHeight="1">
      <c r="A33" s="249" t="s">
        <v>209</v>
      </c>
      <c r="B33" s="873">
        <f>ROUND(SUM(B31:B32),1)</f>
        <v>0</v>
      </c>
      <c r="C33" s="389"/>
      <c r="D33" s="873">
        <f>ROUND(SUM(D31:D32),1)</f>
        <v>0</v>
      </c>
      <c r="E33" s="391"/>
      <c r="F33" s="873">
        <f>ROUND(SUM(F31:F32),1)</f>
        <v>0</v>
      </c>
      <c r="G33" s="391"/>
      <c r="H33" s="873">
        <f>ROUND(SUM(H31:H32),1)</f>
        <v>0</v>
      </c>
      <c r="I33" s="874"/>
      <c r="J33" s="873">
        <f>ROUND(SUM(J31:J32),1)</f>
        <v>0</v>
      </c>
      <c r="K33" s="391"/>
      <c r="L33" s="873">
        <f>ROUND(SUM(L31:L32),1)</f>
        <v>0</v>
      </c>
      <c r="M33" s="874"/>
      <c r="N33" s="873">
        <f>ROUND(SUM(N31:N32),1)</f>
        <v>0</v>
      </c>
      <c r="O33" s="874"/>
      <c r="P33" s="873">
        <f>ROUND(SUM(P31:P32),1)</f>
        <v>0</v>
      </c>
      <c r="Q33" s="874"/>
      <c r="R33" s="873">
        <f>ROUND(SUM(R31:R32),1)</f>
        <v>0</v>
      </c>
      <c r="S33" s="874"/>
      <c r="T33" s="873">
        <f>ROUND(SUM(T31:T32),1)</f>
        <v>0</v>
      </c>
      <c r="U33" s="874"/>
      <c r="V33" s="873">
        <f>ROUND(SUM(V31:V32),1)</f>
        <v>0</v>
      </c>
      <c r="W33" s="874"/>
      <c r="X33" s="873">
        <f>ROUND(SUM(X31:X32),1)</f>
        <v>0</v>
      </c>
      <c r="Y33" s="866"/>
      <c r="Z33" s="867"/>
      <c r="AA33" s="3413">
        <f>ROUND(SUM(AA31:AA32),1)</f>
        <v>0</v>
      </c>
      <c r="AB33" s="3414"/>
      <c r="AC33" s="3415"/>
      <c r="AD33" s="3413">
        <f>ROUND(SUM(AD31:AD32),1)</f>
        <v>0</v>
      </c>
      <c r="AE33" s="1184"/>
      <c r="AF33" s="1147"/>
      <c r="AG33" s="1186">
        <f>ROUND(SUM(AG31-AG32),1)</f>
        <v>0</v>
      </c>
      <c r="AH33" s="1172"/>
      <c r="AI33" s="1188">
        <f>ROUND(IF(AG33=0,0,AG33/ABS(AD33)),3)</f>
        <v>0</v>
      </c>
    </row>
    <row r="34" spans="1:35" s="398" customFormat="1" ht="19.350000000000001" customHeight="1">
      <c r="A34" s="149"/>
      <c r="B34" s="388"/>
      <c r="C34" s="237"/>
      <c r="D34" s="388" t="s">
        <v>15</v>
      </c>
      <c r="E34" s="237"/>
      <c r="F34" s="388"/>
      <c r="G34" s="237"/>
      <c r="H34" s="868"/>
      <c r="I34" s="860"/>
      <c r="J34" s="868"/>
      <c r="K34" s="237"/>
      <c r="L34" s="868"/>
      <c r="M34" s="860"/>
      <c r="N34" s="868"/>
      <c r="O34" s="860"/>
      <c r="P34" s="868"/>
      <c r="Q34" s="860"/>
      <c r="R34" s="868"/>
      <c r="S34" s="860"/>
      <c r="T34" s="868"/>
      <c r="U34" s="860"/>
      <c r="V34" s="868"/>
      <c r="W34" s="860"/>
      <c r="X34" s="868"/>
      <c r="Y34" s="861"/>
      <c r="Z34" s="862"/>
      <c r="AA34" s="2259"/>
      <c r="AB34" s="1718"/>
      <c r="AC34" s="1716"/>
      <c r="AD34" s="2259"/>
      <c r="AE34" s="1163"/>
      <c r="AF34" s="1144"/>
      <c r="AG34" s="1163"/>
      <c r="AH34" s="1152"/>
      <c r="AI34" s="1151"/>
    </row>
    <row r="35" spans="1:35" s="398" customFormat="1" ht="19.350000000000001" customHeight="1">
      <c r="A35" s="249" t="s">
        <v>166</v>
      </c>
      <c r="B35" s="237"/>
      <c r="C35" s="237"/>
      <c r="D35" s="237" t="s">
        <v>15</v>
      </c>
      <c r="E35" s="237"/>
      <c r="F35" s="237"/>
      <c r="G35" s="237"/>
      <c r="H35" s="860"/>
      <c r="I35" s="860"/>
      <c r="J35" s="860"/>
      <c r="K35" s="237"/>
      <c r="L35" s="860"/>
      <c r="M35" s="860"/>
      <c r="N35" s="860"/>
      <c r="O35" s="860"/>
      <c r="P35" s="860"/>
      <c r="Q35" s="860"/>
      <c r="R35" s="860"/>
      <c r="S35" s="860"/>
      <c r="T35" s="860"/>
      <c r="U35" s="860"/>
      <c r="V35" s="860"/>
      <c r="W35" s="860"/>
      <c r="X35" s="860"/>
      <c r="Y35" s="861"/>
      <c r="Z35" s="862"/>
      <c r="AA35" s="1626"/>
      <c r="AB35" s="1718"/>
      <c r="AC35" s="1717"/>
      <c r="AD35" s="1626"/>
      <c r="AE35" s="1180"/>
      <c r="AF35" s="1144"/>
      <c r="AG35" s="1163"/>
      <c r="AH35" s="1152"/>
      <c r="AI35" s="1151"/>
    </row>
    <row r="36" spans="1:35" s="398" customFormat="1" ht="19.350000000000001" customHeight="1">
      <c r="A36" s="249" t="s">
        <v>228</v>
      </c>
      <c r="B36" s="237"/>
      <c r="C36" s="237"/>
      <c r="D36" s="237"/>
      <c r="E36" s="237"/>
      <c r="F36" s="237"/>
      <c r="G36" s="237"/>
      <c r="H36" s="860"/>
      <c r="I36" s="860"/>
      <c r="J36" s="860"/>
      <c r="K36" s="237"/>
      <c r="L36" s="860"/>
      <c r="M36" s="860"/>
      <c r="N36" s="860"/>
      <c r="O36" s="860"/>
      <c r="P36" s="860"/>
      <c r="Q36" s="860"/>
      <c r="R36" s="860"/>
      <c r="S36" s="860"/>
      <c r="T36" s="881"/>
      <c r="U36" s="860"/>
      <c r="V36" s="881"/>
      <c r="W36" s="860"/>
      <c r="X36" s="860"/>
      <c r="Y36" s="861"/>
      <c r="Z36" s="862"/>
      <c r="AA36" s="1626"/>
      <c r="AB36" s="1718"/>
      <c r="AC36" s="1717"/>
      <c r="AD36" s="2264"/>
      <c r="AE36" s="1185"/>
      <c r="AF36" s="1148"/>
      <c r="AG36" s="1163"/>
      <c r="AH36" s="1152"/>
      <c r="AI36" s="1151"/>
    </row>
    <row r="37" spans="1:35" s="400" customFormat="1" ht="19.350000000000001" customHeight="1">
      <c r="A37" s="249" t="s">
        <v>950</v>
      </c>
      <c r="B37" s="870">
        <f>ROUND(+B28+B33,1)</f>
        <v>-4.4000000000000004</v>
      </c>
      <c r="C37" s="389"/>
      <c r="D37" s="870">
        <f>ROUND(+D28+D33,1)</f>
        <v>-4.4000000000000004</v>
      </c>
      <c r="E37" s="391"/>
      <c r="F37" s="870">
        <f>ROUND(+F28+F33,1)</f>
        <v>-4.7</v>
      </c>
      <c r="G37" s="391"/>
      <c r="H37" s="870">
        <f>ROUND(+H28+H33,1)</f>
        <v>-6.1</v>
      </c>
      <c r="I37" s="874"/>
      <c r="J37" s="870">
        <f>ROUND(+J28+J33,1)</f>
        <v>20.6</v>
      </c>
      <c r="K37" s="391"/>
      <c r="L37" s="870">
        <f>ROUND(+L28+L33,1)</f>
        <v>-5</v>
      </c>
      <c r="M37" s="875"/>
      <c r="N37" s="870">
        <f>ROUND(+N28+N33,1)</f>
        <v>3.8</v>
      </c>
      <c r="O37" s="875"/>
      <c r="P37" s="870">
        <f>ROUND(+P28+P33,1)</f>
        <v>-4.8</v>
      </c>
      <c r="Q37" s="875"/>
      <c r="R37" s="870">
        <f>ROUND(+R28+R33,1)</f>
        <v>8.1</v>
      </c>
      <c r="S37" s="874"/>
      <c r="T37" s="870">
        <f>ROUND(+T28+T33,1)</f>
        <v>-6.2</v>
      </c>
      <c r="U37" s="874"/>
      <c r="V37" s="870">
        <f>ROUND(+V28+V33,1)</f>
        <v>0</v>
      </c>
      <c r="W37" s="874"/>
      <c r="X37" s="870">
        <f>ROUND(+X28+X33,1)</f>
        <v>0</v>
      </c>
      <c r="Y37" s="866"/>
      <c r="Z37" s="867"/>
      <c r="AA37" s="2260">
        <f>ROUND(AA28+AA33,1)</f>
        <v>-3.1</v>
      </c>
      <c r="AB37" s="3395"/>
      <c r="AC37" s="3416"/>
      <c r="AD37" s="2260">
        <f>ROUND(AD28+AD33,1)</f>
        <v>-6.6</v>
      </c>
      <c r="AE37" s="1183"/>
      <c r="AF37" s="1149"/>
      <c r="AG37" s="1448">
        <f>ROUND(SUM(AA37-AD37),1)</f>
        <v>3.5</v>
      </c>
      <c r="AH37" s="1152"/>
      <c r="AI37" s="1632">
        <f>ROUND(IF(AG37=0,0,AG37/ABS(AD37)),3)</f>
        <v>0.53</v>
      </c>
    </row>
    <row r="38" spans="1:35" s="398" customFormat="1" ht="22.5" customHeight="1" thickBot="1">
      <c r="A38" s="249" t="s">
        <v>142</v>
      </c>
      <c r="B38" s="876">
        <f>ROUND(B13+B37,1)</f>
        <v>-7.4</v>
      </c>
      <c r="C38" s="384"/>
      <c r="D38" s="876">
        <f>ROUND(D13+D37,1)</f>
        <v>-11.8</v>
      </c>
      <c r="E38" s="384"/>
      <c r="F38" s="876">
        <f>ROUND(F13+F37,1)</f>
        <v>-16.5</v>
      </c>
      <c r="G38" s="384"/>
      <c r="H38" s="876">
        <f>ROUND(H13+H37,1)</f>
        <v>-22.6</v>
      </c>
      <c r="I38" s="877"/>
      <c r="J38" s="876">
        <f>ROUND(J13+J37,1)</f>
        <v>-2</v>
      </c>
      <c r="K38" s="384"/>
      <c r="L38" s="876">
        <f>ROUND(L13+L37,1)</f>
        <v>-7</v>
      </c>
      <c r="M38" s="385"/>
      <c r="N38" s="876">
        <f>ROUND(N13+N37,1)</f>
        <v>-3.2</v>
      </c>
      <c r="O38" s="385"/>
      <c r="P38" s="876">
        <f>ROUND(P13+P37,1)</f>
        <v>-8</v>
      </c>
      <c r="Q38" s="385"/>
      <c r="R38" s="876">
        <f>ROUND(R13+R37,1)</f>
        <v>0.1</v>
      </c>
      <c r="S38" s="877"/>
      <c r="T38" s="876">
        <f>ROUND(T13+T37,1)</f>
        <v>-6.1</v>
      </c>
      <c r="U38" s="877"/>
      <c r="V38" s="876">
        <f>ROUND(V13+V37,1)</f>
        <v>0</v>
      </c>
      <c r="W38" s="877"/>
      <c r="X38" s="876">
        <f>ROUND(X13+X37,1)</f>
        <v>0</v>
      </c>
      <c r="Y38" s="851"/>
      <c r="Z38" s="852"/>
      <c r="AA38" s="3417">
        <f>ROUND(SUM(AA13,AA37),1)</f>
        <v>-6.1</v>
      </c>
      <c r="AB38" s="2266"/>
      <c r="AC38" s="3418"/>
      <c r="AD38" s="3622">
        <f>ROUND(SUM(AD13,AD37),1)</f>
        <v>-8.6</v>
      </c>
      <c r="AE38" s="1159"/>
      <c r="AF38" s="1150"/>
      <c r="AG38" s="1189">
        <f>ROUND(SUM(AA38-AD38),1)</f>
        <v>2.5</v>
      </c>
      <c r="AH38" s="1171"/>
      <c r="AI38" s="1516">
        <f>ROUND(IF(AG38=0,0,AG38/ABS(AD38)),3)</f>
        <v>0.29099999999999998</v>
      </c>
    </row>
    <row r="39" spans="1:35" s="398" customFormat="1" ht="19.350000000000001" customHeight="1" thickTop="1">
      <c r="A39" s="149" t="s">
        <v>15</v>
      </c>
      <c r="B39" s="878"/>
      <c r="C39" s="879"/>
      <c r="D39" s="878"/>
      <c r="E39" s="879"/>
      <c r="F39" s="878"/>
      <c r="G39" s="879"/>
      <c r="H39" s="878"/>
      <c r="I39" s="879"/>
      <c r="J39" s="878"/>
      <c r="K39" s="879"/>
      <c r="L39" s="878"/>
      <c r="M39" s="879"/>
      <c r="N39" s="878"/>
      <c r="O39" s="879"/>
      <c r="P39" s="878"/>
      <c r="Q39" s="879"/>
      <c r="R39" s="878"/>
      <c r="S39" s="879"/>
      <c r="T39" s="878"/>
      <c r="U39" s="879"/>
      <c r="V39" s="878"/>
      <c r="W39" s="879"/>
      <c r="X39" s="878"/>
      <c r="Y39" s="879"/>
      <c r="Z39" s="879"/>
      <c r="AA39" s="3419"/>
      <c r="AB39" s="2268"/>
      <c r="AC39" s="2268"/>
      <c r="AD39" s="2268"/>
      <c r="AE39" s="1170"/>
      <c r="AF39" s="1170"/>
      <c r="AG39" s="1161"/>
      <c r="AH39" s="1152"/>
      <c r="AI39" s="1151"/>
    </row>
    <row r="40" spans="1:35" s="398" customFormat="1" ht="19.350000000000001" customHeight="1">
      <c r="B40" s="682"/>
      <c r="C40" s="830"/>
      <c r="D40" s="682"/>
      <c r="E40" s="682"/>
      <c r="F40" s="682"/>
      <c r="G40" s="682"/>
      <c r="H40" s="682"/>
      <c r="I40" s="682"/>
      <c r="J40" s="682"/>
      <c r="K40" s="682"/>
      <c r="L40" s="682"/>
      <c r="M40" s="682"/>
      <c r="N40" s="682"/>
      <c r="O40" s="682"/>
      <c r="P40" s="682"/>
      <c r="Q40" s="682"/>
      <c r="R40" s="682"/>
      <c r="S40" s="682"/>
      <c r="T40" s="682"/>
      <c r="U40" s="682"/>
      <c r="V40" s="682"/>
      <c r="W40" s="682"/>
      <c r="X40" s="682"/>
      <c r="Y40" s="682"/>
      <c r="Z40" s="880"/>
      <c r="AA40" s="2268"/>
      <c r="AB40" s="2268"/>
      <c r="AC40" s="2268"/>
      <c r="AD40" s="2268"/>
      <c r="AE40" s="1170"/>
      <c r="AF40" s="1170"/>
      <c r="AG40" s="1161"/>
      <c r="AH40" s="1152"/>
      <c r="AI40" s="1151"/>
    </row>
    <row r="41" spans="1:35" ht="15.75" customHeight="1">
      <c r="A41" s="401"/>
      <c r="B41" s="830"/>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140"/>
      <c r="AB41" s="140"/>
      <c r="AC41" s="140"/>
      <c r="AD41" s="3421"/>
      <c r="AE41" s="1154"/>
      <c r="AF41" s="1154"/>
      <c r="AG41" s="1161"/>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4"/>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140"/>
      <c r="AB43" s="140"/>
      <c r="AC43" s="140"/>
      <c r="AD43" s="3421"/>
      <c r="AE43" s="1154"/>
      <c r="AF43" s="1154"/>
      <c r="AG43" s="1161"/>
    </row>
    <row r="44" spans="1:35">
      <c r="A44" s="704"/>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140"/>
      <c r="AB44" s="140"/>
      <c r="AC44" s="140"/>
      <c r="AD44" s="3421"/>
      <c r="AE44" s="1154"/>
      <c r="AF44" s="1154"/>
      <c r="AG44" s="1161"/>
    </row>
    <row r="45" spans="1:35">
      <c r="A45" s="704"/>
      <c r="B45" s="830"/>
      <c r="C45" s="830"/>
      <c r="D45" s="830"/>
      <c r="E45" s="830"/>
      <c r="F45" s="830"/>
      <c r="G45" s="830"/>
      <c r="H45" s="830"/>
      <c r="I45" s="830"/>
      <c r="J45" s="830"/>
      <c r="K45" s="830"/>
      <c r="L45" s="830"/>
      <c r="M45" s="830"/>
      <c r="N45" s="830"/>
      <c r="O45" s="830"/>
      <c r="P45" s="830"/>
      <c r="Q45" s="830"/>
      <c r="R45" s="830"/>
      <c r="S45" s="830"/>
      <c r="T45" s="830"/>
      <c r="U45" s="830"/>
      <c r="V45" s="830"/>
      <c r="W45" s="830"/>
      <c r="X45" s="830"/>
      <c r="Y45" s="830"/>
      <c r="Z45" s="830"/>
      <c r="AA45" s="140"/>
      <c r="AB45" s="140"/>
      <c r="AC45" s="140"/>
      <c r="AD45" s="3421"/>
      <c r="AE45" s="1154"/>
      <c r="AF45" s="1154"/>
    </row>
    <row r="46" spans="1:35">
      <c r="A46" s="704"/>
      <c r="B46" s="830"/>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140"/>
      <c r="AB46" s="140"/>
      <c r="AC46" s="140"/>
      <c r="AD46" s="3421"/>
      <c r="AE46" s="1154"/>
      <c r="AF46" s="1154"/>
    </row>
    <row r="47" spans="1:35">
      <c r="A47" s="704"/>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107"/>
      <c r="AB47" s="107"/>
      <c r="AC47" s="107"/>
      <c r="AD47" s="193"/>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zoomScaleNormal="70" workbookViewId="0"/>
  </sheetViews>
  <sheetFormatPr defaultColWidth="8.88671875" defaultRowHeight="12.75"/>
  <cols>
    <col min="1" max="1" width="46.88671875" style="396" customWidth="1"/>
    <col min="2" max="2" width="10" style="396" customWidth="1"/>
    <col min="3" max="3" width="1.88671875" style="396" customWidth="1"/>
    <col min="4" max="4" width="10.88671875" style="396" customWidth="1"/>
    <col min="5" max="5" width="1.88671875" style="396" customWidth="1"/>
    <col min="6" max="6" width="10" style="396" customWidth="1"/>
    <col min="7" max="7" width="1.88671875" style="396" customWidth="1"/>
    <col min="8" max="8" width="10"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5.44140625"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8.88671875" style="2269" customWidth="1"/>
    <col min="25" max="26" width="1.88671875" style="2269" customWidth="1"/>
    <col min="27" max="27" width="10.109375" style="2269" customWidth="1"/>
    <col min="28" max="29" width="1.88671875" style="2269" customWidth="1"/>
    <col min="30" max="30" width="10.109375" style="2269" customWidth="1"/>
    <col min="31" max="31" width="1.88671875" style="2269" customWidth="1"/>
    <col min="32" max="32" width="2.44140625" style="2269" customWidth="1"/>
    <col min="33" max="33" width="10.109375" style="3461" bestFit="1" customWidth="1"/>
    <col min="34" max="34" width="1.88671875" style="403" customWidth="1"/>
    <col min="35" max="35" width="11.109375" style="396" customWidth="1"/>
    <col min="36" max="16384" width="8.88671875" style="396"/>
  </cols>
  <sheetData>
    <row r="1" spans="1:35" ht="15">
      <c r="A1" s="657" t="s">
        <v>979</v>
      </c>
    </row>
    <row r="2" spans="1:35" ht="15">
      <c r="A2" s="839"/>
    </row>
    <row r="3" spans="1:35" ht="20.25" customHeight="1">
      <c r="A3" s="3723"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62"/>
      <c r="AI3" s="845" t="s">
        <v>230</v>
      </c>
    </row>
    <row r="4" spans="1:35" ht="20.25" customHeight="1">
      <c r="A4" s="1579"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62"/>
    </row>
    <row r="5" spans="1:35" ht="20.25" customHeight="1">
      <c r="A5" s="1579" t="s">
        <v>124</v>
      </c>
      <c r="B5" s="31"/>
      <c r="C5" s="31"/>
      <c r="D5" s="31"/>
      <c r="E5" s="31"/>
      <c r="F5" s="31"/>
      <c r="G5" s="31"/>
      <c r="H5" s="31"/>
      <c r="I5" s="31"/>
      <c r="J5" s="31"/>
      <c r="K5" s="29"/>
      <c r="L5" s="29"/>
      <c r="M5" s="31"/>
      <c r="N5" s="31"/>
      <c r="O5" s="31"/>
      <c r="P5" s="31"/>
      <c r="Q5" s="31"/>
      <c r="R5" s="31"/>
      <c r="S5" s="31"/>
      <c r="T5" s="31"/>
      <c r="U5" s="31"/>
      <c r="V5" s="31"/>
      <c r="W5" s="31"/>
      <c r="X5" s="107"/>
      <c r="Y5" s="107"/>
      <c r="Z5" s="107"/>
      <c r="AB5" s="3402"/>
      <c r="AC5" s="3402"/>
      <c r="AE5" s="3357"/>
      <c r="AG5" s="3462"/>
    </row>
    <row r="6" spans="1:35" ht="20.25" customHeight="1">
      <c r="A6" s="1579"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62"/>
    </row>
    <row r="7" spans="1:35" ht="20.25" customHeight="1">
      <c r="A7" s="3723" t="s">
        <v>1416</v>
      </c>
      <c r="B7" s="31"/>
      <c r="C7" s="31"/>
      <c r="D7" s="31"/>
      <c r="E7" s="31"/>
      <c r="F7" s="31"/>
      <c r="G7" s="31"/>
      <c r="H7" s="31"/>
      <c r="I7" s="31"/>
      <c r="J7" s="31"/>
      <c r="K7" s="29"/>
      <c r="L7" s="31"/>
      <c r="M7" s="31"/>
      <c r="N7" s="31"/>
      <c r="O7" s="31"/>
      <c r="P7" s="31"/>
      <c r="Q7" s="31"/>
      <c r="R7" s="31"/>
      <c r="S7" s="31"/>
      <c r="T7" s="31"/>
      <c r="U7" s="31"/>
      <c r="V7" s="31"/>
      <c r="W7" s="31"/>
      <c r="X7" s="107"/>
      <c r="Y7" s="107"/>
      <c r="Z7" s="107"/>
      <c r="AA7" s="3356"/>
      <c r="AB7" s="3356"/>
      <c r="AC7" s="3356"/>
      <c r="AD7" s="3356"/>
      <c r="AE7" s="3356"/>
      <c r="AF7" s="3356"/>
      <c r="AG7" s="1711"/>
      <c r="AH7" s="1152"/>
      <c r="AI7" s="1151"/>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56"/>
      <c r="AB8" s="3356"/>
      <c r="AC8" s="3356"/>
      <c r="AD8" s="3356"/>
      <c r="AE8" s="3356"/>
      <c r="AF8" s="3356"/>
      <c r="AG8" s="1711"/>
      <c r="AH8" s="1152"/>
      <c r="AI8" s="1151"/>
    </row>
    <row r="9" spans="1:35" s="398" customFormat="1" ht="19.350000000000001"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56"/>
      <c r="AB9" s="3356"/>
      <c r="AC9" s="3925"/>
      <c r="AD9" s="3926"/>
      <c r="AE9" s="3926"/>
      <c r="AF9" s="3926"/>
      <c r="AG9" s="3926"/>
      <c r="AH9" s="3926"/>
      <c r="AI9" s="3926"/>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2"/>
      <c r="W10" s="846"/>
      <c r="X10" s="3422"/>
      <c r="Y10" s="3420"/>
      <c r="Z10" s="1713"/>
      <c r="AA10" s="3924" t="s">
        <v>1566</v>
      </c>
      <c r="AB10" s="3927"/>
      <c r="AC10" s="3927"/>
      <c r="AD10" s="3927"/>
      <c r="AE10" s="3927"/>
      <c r="AF10" s="3927"/>
      <c r="AG10" s="3927"/>
      <c r="AH10" s="3927"/>
      <c r="AI10" s="3927"/>
    </row>
    <row r="11" spans="1:35" s="398" customFormat="1" ht="19.350000000000001" customHeight="1">
      <c r="A11" s="149"/>
      <c r="B11" s="784" t="str">
        <f>'Cashflow Governmental'!C13</f>
        <v>2019</v>
      </c>
      <c r="C11" s="249"/>
      <c r="D11" s="249"/>
      <c r="E11" s="249"/>
      <c r="F11" s="249"/>
      <c r="G11" s="249"/>
      <c r="H11" s="249"/>
      <c r="I11" s="249"/>
      <c r="J11" s="249"/>
      <c r="K11" s="249"/>
      <c r="L11" s="249"/>
      <c r="M11" s="249"/>
      <c r="N11" s="249"/>
      <c r="O11" s="249"/>
      <c r="P11" s="249"/>
      <c r="Q11" s="249"/>
      <c r="R11" s="249"/>
      <c r="S11" s="249"/>
      <c r="T11" s="784" t="str">
        <f>'Cashflow Governmental'!U13</f>
        <v>2020</v>
      </c>
      <c r="U11" s="249"/>
      <c r="V11" s="786"/>
      <c r="W11" s="249"/>
      <c r="X11" s="1702"/>
      <c r="Y11" s="1702"/>
      <c r="Z11" s="3382"/>
      <c r="AA11" s="3361"/>
      <c r="AB11" s="3361"/>
      <c r="AC11" s="3361"/>
      <c r="AD11" s="3463"/>
      <c r="AE11" s="3463"/>
      <c r="AF11" s="3361"/>
      <c r="AG11" s="3364" t="s">
        <v>8</v>
      </c>
      <c r="AH11" s="1155"/>
      <c r="AI11" s="1156" t="s">
        <v>9</v>
      </c>
    </row>
    <row r="12" spans="1:35" s="398" customFormat="1" ht="19.350000000000001" customHeight="1">
      <c r="A12" s="149"/>
      <c r="B12" s="786" t="s">
        <v>125</v>
      </c>
      <c r="C12" s="249"/>
      <c r="D12" s="849" t="s">
        <v>126</v>
      </c>
      <c r="E12" s="249"/>
      <c r="F12" s="849" t="s">
        <v>127</v>
      </c>
      <c r="G12" s="249"/>
      <c r="H12" s="849" t="s">
        <v>128</v>
      </c>
      <c r="I12" s="249"/>
      <c r="J12" s="850" t="s">
        <v>227</v>
      </c>
      <c r="K12" s="249"/>
      <c r="L12" s="850" t="s">
        <v>144</v>
      </c>
      <c r="M12" s="249"/>
      <c r="N12" s="850" t="s">
        <v>145</v>
      </c>
      <c r="O12" s="249"/>
      <c r="P12" s="849" t="s">
        <v>132</v>
      </c>
      <c r="Q12" s="249"/>
      <c r="R12" s="849" t="s">
        <v>133</v>
      </c>
      <c r="S12" s="249"/>
      <c r="T12" s="850" t="s">
        <v>134</v>
      </c>
      <c r="U12" s="249"/>
      <c r="V12" s="849" t="s">
        <v>135</v>
      </c>
      <c r="W12" s="249"/>
      <c r="X12" s="3423" t="s">
        <v>186</v>
      </c>
      <c r="Y12" s="1702"/>
      <c r="Z12" s="1702"/>
      <c r="AA12" s="3424">
        <f>'Cashflow Governmental'!AB14</f>
        <v>2020</v>
      </c>
      <c r="AB12" s="3424"/>
      <c r="AC12" s="3400"/>
      <c r="AD12" s="3620">
        <f>'Cashflow Governmental'!AE14</f>
        <v>2019</v>
      </c>
      <c r="AE12" s="3400"/>
      <c r="AF12" s="3400"/>
      <c r="AG12" s="3367" t="s">
        <v>12</v>
      </c>
      <c r="AH12" s="1158"/>
      <c r="AI12" s="1157" t="s">
        <v>13</v>
      </c>
    </row>
    <row r="13" spans="1:35" s="1713" customFormat="1" ht="19.350000000000001" customHeight="1">
      <c r="A13" s="1702" t="s">
        <v>137</v>
      </c>
      <c r="B13" s="1703">
        <v>13.2</v>
      </c>
      <c r="C13" s="1704"/>
      <c r="D13" s="1703">
        <f>B38</f>
        <v>13.4</v>
      </c>
      <c r="E13" s="1704"/>
      <c r="F13" s="1703">
        <f>D38</f>
        <v>13.5</v>
      </c>
      <c r="G13" s="1704" t="s">
        <v>15</v>
      </c>
      <c r="H13" s="1703">
        <f>F38</f>
        <v>13.6</v>
      </c>
      <c r="I13" s="1705" t="s">
        <v>15</v>
      </c>
      <c r="J13" s="1703">
        <f>H38</f>
        <v>13.7</v>
      </c>
      <c r="K13" s="1704"/>
      <c r="L13" s="1703">
        <f>J38</f>
        <v>13.8</v>
      </c>
      <c r="M13" s="1705"/>
      <c r="N13" s="1703">
        <f>L38</f>
        <v>13.8</v>
      </c>
      <c r="O13" s="1705"/>
      <c r="P13" s="1703">
        <f>N38</f>
        <v>13.9</v>
      </c>
      <c r="Q13" s="1705"/>
      <c r="R13" s="1703">
        <f>P38</f>
        <v>14</v>
      </c>
      <c r="S13" s="1705"/>
      <c r="T13" s="1703">
        <f>R38</f>
        <v>14.1</v>
      </c>
      <c r="U13" s="1705"/>
      <c r="V13" s="1703" t="s">
        <v>15</v>
      </c>
      <c r="W13" s="1705"/>
      <c r="X13" s="1703" t="s">
        <v>15</v>
      </c>
      <c r="Y13" s="1706"/>
      <c r="Z13" s="1707"/>
      <c r="AA13" s="3425">
        <f>+B13</f>
        <v>13.2</v>
      </c>
      <c r="AB13" s="3426"/>
      <c r="AC13" s="3427"/>
      <c r="AD13" s="1703">
        <v>11.9</v>
      </c>
      <c r="AE13" s="1708"/>
      <c r="AF13" s="1709"/>
      <c r="AG13" s="1710">
        <f>ROUND(SUM(AA13-AD13),1)</f>
        <v>1.3</v>
      </c>
      <c r="AH13" s="1711"/>
      <c r="AI13" s="1712">
        <f>ROUND(IF(AG13=0,0,AG13/(AD13)),3)</f>
        <v>0.109</v>
      </c>
    </row>
    <row r="14" spans="1:35" s="398" customFormat="1" ht="19.350000000000001" customHeight="1">
      <c r="A14" s="149"/>
      <c r="B14" s="386"/>
      <c r="C14" s="386"/>
      <c r="D14" s="386"/>
      <c r="E14" s="386"/>
      <c r="F14" s="386"/>
      <c r="G14" s="386"/>
      <c r="H14" s="857"/>
      <c r="I14" s="857"/>
      <c r="J14" s="857"/>
      <c r="K14" s="386"/>
      <c r="L14" s="857"/>
      <c r="M14" s="857"/>
      <c r="N14" s="857"/>
      <c r="O14" s="857"/>
      <c r="P14" s="857"/>
      <c r="Q14" s="857"/>
      <c r="R14" s="857"/>
      <c r="S14" s="857"/>
      <c r="T14" s="857"/>
      <c r="U14" s="857"/>
      <c r="V14" s="857"/>
      <c r="W14" s="857"/>
      <c r="X14" s="3405"/>
      <c r="Y14" s="3404"/>
      <c r="Z14" s="3428"/>
      <c r="AA14" s="3429"/>
      <c r="AB14" s="3430"/>
      <c r="AC14" s="3431"/>
      <c r="AD14" s="3429"/>
      <c r="AE14" s="3429"/>
      <c r="AF14" s="3401"/>
      <c r="AG14" s="3370"/>
      <c r="AH14" s="1152"/>
      <c r="AI14" s="1151"/>
    </row>
    <row r="15" spans="1:35" s="398" customFormat="1" ht="19.350000000000001" customHeight="1">
      <c r="A15" s="249" t="s">
        <v>14</v>
      </c>
      <c r="B15" s="386"/>
      <c r="C15" s="386"/>
      <c r="D15" s="386"/>
      <c r="E15" s="386"/>
      <c r="F15" s="386"/>
      <c r="G15" s="386"/>
      <c r="H15" s="857"/>
      <c r="I15" s="857"/>
      <c r="J15" s="857"/>
      <c r="K15" s="386"/>
      <c r="L15" s="857"/>
      <c r="M15" s="857"/>
      <c r="N15" s="857"/>
      <c r="O15" s="857"/>
      <c r="P15" s="857"/>
      <c r="Q15" s="857"/>
      <c r="R15" s="857"/>
      <c r="S15" s="857"/>
      <c r="T15" s="857"/>
      <c r="U15" s="857"/>
      <c r="V15" s="857"/>
      <c r="W15" s="857"/>
      <c r="X15" s="3405"/>
      <c r="Y15" s="3404"/>
      <c r="Z15" s="3428"/>
      <c r="AA15" s="3429"/>
      <c r="AB15" s="3430"/>
      <c r="AC15" s="3431"/>
      <c r="AD15" s="3429"/>
      <c r="AE15" s="3429"/>
      <c r="AF15" s="3401"/>
      <c r="AG15" s="3370"/>
      <c r="AH15" s="1152"/>
      <c r="AI15" s="1151"/>
    </row>
    <row r="16" spans="1:35" s="1713" customFormat="1" ht="19.350000000000001" customHeight="1">
      <c r="A16" s="1714" t="s">
        <v>179</v>
      </c>
      <c r="B16" s="1898">
        <v>0.2</v>
      </c>
      <c r="C16" s="237"/>
      <c r="D16" s="1898">
        <v>9.9999999999999978E-2</v>
      </c>
      <c r="E16" s="237"/>
      <c r="F16" s="1898">
        <v>0.10000000000000003</v>
      </c>
      <c r="G16" s="237"/>
      <c r="H16" s="1898">
        <v>0.19999999999999996</v>
      </c>
      <c r="I16" s="1716"/>
      <c r="J16" s="1898">
        <v>9.9999999999999978E-2</v>
      </c>
      <c r="K16" s="1626"/>
      <c r="L16" s="1898">
        <v>0.10000000000000014</v>
      </c>
      <c r="M16" s="1717"/>
      <c r="N16" s="1715">
        <v>9.9999999999999867E-2</v>
      </c>
      <c r="O16" s="1717"/>
      <c r="P16" s="1715">
        <v>0.10000000000000014</v>
      </c>
      <c r="Q16" s="1717"/>
      <c r="R16" s="1715">
        <v>0.19999999999999996</v>
      </c>
      <c r="S16" s="1717"/>
      <c r="T16" s="1715">
        <f>$AA16-$B16-$D16-$F16-$H16-$J16-$L16-$N16-$P16-$R16</f>
        <v>0</v>
      </c>
      <c r="U16" s="1717"/>
      <c r="V16" s="1715"/>
      <c r="W16" s="1717"/>
      <c r="X16" s="1715"/>
      <c r="Y16" s="1718"/>
      <c r="Z16" s="1719"/>
      <c r="AA16" s="1715">
        <v>1.2</v>
      </c>
      <c r="AB16" s="3432"/>
      <c r="AC16" s="3433"/>
      <c r="AD16" s="1715">
        <v>1.2</v>
      </c>
      <c r="AE16" s="1720"/>
      <c r="AF16" s="1721"/>
      <c r="AG16" s="1722">
        <f>ROUND(SUM(AA16-AD16),1)</f>
        <v>0</v>
      </c>
      <c r="AH16" s="1711"/>
      <c r="AI16" s="1983">
        <f>ROUND(IF(AD16=0,-1,AG16/ABS(AD16)),3)</f>
        <v>0</v>
      </c>
    </row>
    <row r="17" spans="1:35" s="398" customFormat="1" ht="24" customHeight="1">
      <c r="A17" s="249" t="s">
        <v>151</v>
      </c>
      <c r="B17" s="870">
        <f>ROUND(SUM(B16),1)</f>
        <v>0.2</v>
      </c>
      <c r="C17" s="389"/>
      <c r="D17" s="870">
        <f>ROUND(SUM(D16),1)</f>
        <v>0.1</v>
      </c>
      <c r="E17" s="389"/>
      <c r="F17" s="870">
        <f>ROUND(SUM(F16),1)</f>
        <v>0.1</v>
      </c>
      <c r="G17" s="389"/>
      <c r="H17" s="870">
        <f>ROUND(SUM(H16),1)</f>
        <v>0.2</v>
      </c>
      <c r="I17" s="864"/>
      <c r="J17" s="3169">
        <f>ROUND(SUM(J16),1)</f>
        <v>0.1</v>
      </c>
      <c r="K17" s="389"/>
      <c r="L17" s="870">
        <f>ROUND(SUM(L16),1)</f>
        <v>0.1</v>
      </c>
      <c r="M17" s="865"/>
      <c r="N17" s="870">
        <f>ROUND(SUM(N16),1)</f>
        <v>0.1</v>
      </c>
      <c r="O17" s="865"/>
      <c r="P17" s="870">
        <f>ROUND(SUM(P16),1)</f>
        <v>0.1</v>
      </c>
      <c r="Q17" s="865"/>
      <c r="R17" s="2166">
        <f>ROUND(SUM(R16),1)</f>
        <v>0.2</v>
      </c>
      <c r="S17" s="865"/>
      <c r="T17" s="870">
        <f>ROUND(SUM(T16),1)</f>
        <v>0</v>
      </c>
      <c r="U17" s="865"/>
      <c r="V17" s="2174">
        <f>ROUND(SUM(V16),1)</f>
        <v>0</v>
      </c>
      <c r="W17" s="865"/>
      <c r="X17" s="3434">
        <f>ROUND(SUM(X16),1)</f>
        <v>0</v>
      </c>
      <c r="Y17" s="3406"/>
      <c r="Z17" s="3407"/>
      <c r="AA17" s="3435">
        <f>ROUND(SUM(AA16),1)</f>
        <v>1.2</v>
      </c>
      <c r="AB17" s="3436"/>
      <c r="AC17" s="3437"/>
      <c r="AD17" s="1749">
        <f>ROUND(SUM(AD16),1)</f>
        <v>1.2</v>
      </c>
      <c r="AE17" s="3435"/>
      <c r="AF17" s="1721"/>
      <c r="AG17" s="3464">
        <f>ROUND(SUM(AG16),1)</f>
        <v>0</v>
      </c>
      <c r="AH17" s="1187"/>
      <c r="AI17" s="1984">
        <f>ROUND(IF(AD17=0,-1,AG17/ABS(AD17)),3)</f>
        <v>0</v>
      </c>
    </row>
    <row r="18" spans="1:35" s="398" customFormat="1" ht="19.350000000000001" customHeight="1">
      <c r="A18" s="149"/>
      <c r="B18" s="388"/>
      <c r="C18" s="237"/>
      <c r="D18" s="388" t="s">
        <v>15</v>
      </c>
      <c r="E18" s="237"/>
      <c r="F18" s="388"/>
      <c r="G18" s="237"/>
      <c r="H18" s="868"/>
      <c r="I18" s="860"/>
      <c r="J18" s="868"/>
      <c r="K18" s="237"/>
      <c r="L18" s="868"/>
      <c r="M18" s="860"/>
      <c r="N18" s="868"/>
      <c r="O18" s="860"/>
      <c r="P18" s="868"/>
      <c r="Q18" s="860"/>
      <c r="R18" s="868"/>
      <c r="S18" s="860"/>
      <c r="T18" s="868"/>
      <c r="U18" s="860"/>
      <c r="V18" s="868"/>
      <c r="W18" s="860"/>
      <c r="X18" s="3438"/>
      <c r="Y18" s="1718"/>
      <c r="Z18" s="1719"/>
      <c r="AA18" s="3439"/>
      <c r="AB18" s="3432"/>
      <c r="AC18" s="3440"/>
      <c r="AD18" s="3438"/>
      <c r="AE18" s="1738"/>
      <c r="AF18" s="1721"/>
      <c r="AG18" s="1738"/>
      <c r="AH18" s="1152"/>
      <c r="AI18" s="1151"/>
    </row>
    <row r="19" spans="1:35" s="398" customFormat="1" ht="19.350000000000001" customHeight="1">
      <c r="A19" s="149"/>
      <c r="B19" s="237"/>
      <c r="C19" s="237"/>
      <c r="D19" s="237" t="s">
        <v>15</v>
      </c>
      <c r="E19" s="237"/>
      <c r="F19" s="237"/>
      <c r="G19" s="237"/>
      <c r="H19" s="860"/>
      <c r="I19" s="860"/>
      <c r="J19" s="860"/>
      <c r="K19" s="237"/>
      <c r="L19" s="860"/>
      <c r="M19" s="860"/>
      <c r="N19" s="860"/>
      <c r="O19" s="860"/>
      <c r="P19" s="860"/>
      <c r="Q19" s="860"/>
      <c r="R19" s="860"/>
      <c r="S19" s="860"/>
      <c r="T19" s="860"/>
      <c r="U19" s="860"/>
      <c r="V19" s="860"/>
      <c r="W19" s="860"/>
      <c r="X19" s="1717"/>
      <c r="Y19" s="1718"/>
      <c r="Z19" s="1719"/>
      <c r="AA19" s="3441"/>
      <c r="AB19" s="3432"/>
      <c r="AC19" s="3433"/>
      <c r="AD19" s="1717"/>
      <c r="AE19" s="3441"/>
      <c r="AF19" s="1721"/>
      <c r="AG19" s="1738"/>
      <c r="AH19" s="1152"/>
      <c r="AI19" s="1151"/>
    </row>
    <row r="20" spans="1:35" s="398" customFormat="1" ht="19.350000000000001" customHeight="1">
      <c r="A20" s="249" t="s">
        <v>23</v>
      </c>
      <c r="B20" s="237"/>
      <c r="C20" s="237"/>
      <c r="D20" s="237" t="s">
        <v>15</v>
      </c>
      <c r="E20" s="237"/>
      <c r="F20" s="237"/>
      <c r="G20" s="237"/>
      <c r="H20" s="860"/>
      <c r="I20" s="860"/>
      <c r="J20" s="860"/>
      <c r="K20" s="237"/>
      <c r="L20" s="860"/>
      <c r="M20" s="860"/>
      <c r="N20" s="860"/>
      <c r="O20" s="860"/>
      <c r="P20" s="860"/>
      <c r="Q20" s="860"/>
      <c r="R20" s="860"/>
      <c r="S20" s="860"/>
      <c r="T20" s="860"/>
      <c r="U20" s="860"/>
      <c r="V20" s="860"/>
      <c r="W20" s="860"/>
      <c r="X20" s="1717"/>
      <c r="Y20" s="1718"/>
      <c r="Z20" s="1719"/>
      <c r="AA20" s="3441"/>
      <c r="AB20" s="3432"/>
      <c r="AC20" s="3433"/>
      <c r="AD20" s="1717"/>
      <c r="AE20" s="3441"/>
      <c r="AF20" s="1721"/>
      <c r="AG20" s="1738"/>
      <c r="AH20" s="1152"/>
      <c r="AI20" s="1151"/>
    </row>
    <row r="21" spans="1:35" s="398" customFormat="1" ht="19.350000000000001" customHeight="1">
      <c r="A21" s="149" t="s">
        <v>153</v>
      </c>
      <c r="B21" s="238"/>
      <c r="C21" s="237"/>
      <c r="D21" s="237"/>
      <c r="E21" s="237"/>
      <c r="F21" s="237"/>
      <c r="G21" s="237"/>
      <c r="H21" s="860"/>
      <c r="I21" s="860"/>
      <c r="J21" s="860"/>
      <c r="K21" s="237"/>
      <c r="L21" s="860"/>
      <c r="M21" s="860"/>
      <c r="N21" s="860"/>
      <c r="O21" s="860"/>
      <c r="P21" s="860"/>
      <c r="Q21" s="860"/>
      <c r="R21" s="860"/>
      <c r="S21" s="860"/>
      <c r="T21" s="860"/>
      <c r="U21" s="860"/>
      <c r="V21" s="860"/>
      <c r="W21" s="860"/>
      <c r="X21" s="1717"/>
      <c r="Y21" s="1718"/>
      <c r="Z21" s="1719"/>
      <c r="AA21" s="1729"/>
      <c r="AB21" s="3442"/>
      <c r="AC21" s="3443"/>
      <c r="AD21" s="1717"/>
      <c r="AE21" s="1729"/>
      <c r="AF21" s="1727"/>
      <c r="AG21" s="1738"/>
      <c r="AH21" s="1152"/>
      <c r="AI21" s="1151"/>
    </row>
    <row r="22" spans="1:35" s="1713" customFormat="1" ht="19.350000000000001" customHeight="1">
      <c r="A22" s="193" t="s">
        <v>220</v>
      </c>
      <c r="B22" s="869">
        <v>0</v>
      </c>
      <c r="C22" s="237"/>
      <c r="D22" s="869">
        <v>0</v>
      </c>
      <c r="E22" s="237"/>
      <c r="F22" s="869">
        <v>0</v>
      </c>
      <c r="G22" s="237"/>
      <c r="H22" s="869">
        <v>0.1</v>
      </c>
      <c r="I22" s="1717"/>
      <c r="J22" s="869">
        <v>0</v>
      </c>
      <c r="K22" s="1626"/>
      <c r="L22" s="869">
        <v>0</v>
      </c>
      <c r="M22" s="1717"/>
      <c r="N22" s="1737">
        <v>0</v>
      </c>
      <c r="O22" s="1717"/>
      <c r="P22" s="1737">
        <v>0</v>
      </c>
      <c r="Q22" s="1717"/>
      <c r="R22" s="1737">
        <v>0.1</v>
      </c>
      <c r="S22" s="1717"/>
      <c r="T22" s="1737">
        <f>$AA22-$B22-$D22-$F22-$H22-$J22-$L22-$N22-$P22-$R22</f>
        <v>0</v>
      </c>
      <c r="U22" s="1717"/>
      <c r="V22" s="1737"/>
      <c r="W22" s="1717"/>
      <c r="X22" s="1737"/>
      <c r="Y22" s="1718"/>
      <c r="Z22" s="1719"/>
      <c r="AA22" s="1724">
        <v>0.2</v>
      </c>
      <c r="AB22" s="3432"/>
      <c r="AC22" s="3433"/>
      <c r="AD22" s="1724">
        <v>0.1</v>
      </c>
      <c r="AE22" s="1726"/>
      <c r="AF22" s="1727"/>
      <c r="AG22" s="1722">
        <f>ROUND(SUM(AA22-AD22),1)</f>
        <v>0.1</v>
      </c>
      <c r="AH22" s="1711"/>
      <c r="AI22" s="1728">
        <f>ROUND(IF(AD22=0,0,AG22/ABS(AD22)),3)</f>
        <v>1</v>
      </c>
    </row>
    <row r="23" spans="1:35" s="1713" customFormat="1" ht="19.350000000000001" customHeight="1">
      <c r="A23" s="1714" t="s">
        <v>171</v>
      </c>
      <c r="B23" s="869">
        <v>0</v>
      </c>
      <c r="C23" s="237"/>
      <c r="D23" s="869">
        <v>0</v>
      </c>
      <c r="E23" s="237"/>
      <c r="F23" s="869">
        <v>0</v>
      </c>
      <c r="G23" s="237"/>
      <c r="H23" s="869">
        <v>0</v>
      </c>
      <c r="I23" s="1717"/>
      <c r="J23" s="869">
        <v>0</v>
      </c>
      <c r="K23" s="1626"/>
      <c r="L23" s="869">
        <v>0</v>
      </c>
      <c r="M23" s="1717"/>
      <c r="N23" s="1737">
        <v>0</v>
      </c>
      <c r="O23" s="1724"/>
      <c r="P23" s="1737">
        <v>0</v>
      </c>
      <c r="Q23" s="1717"/>
      <c r="R23" s="1737">
        <v>0</v>
      </c>
      <c r="S23" s="1717"/>
      <c r="T23" s="1737">
        <f t="shared" ref="T23:T24" si="0">$AA23-$B23-$D23-$F23-$H23-$J23-$L23-$N23-$P23-$R23</f>
        <v>0</v>
      </c>
      <c r="U23" s="1717"/>
      <c r="V23" s="1737"/>
      <c r="W23" s="1717"/>
      <c r="X23" s="1737"/>
      <c r="Y23" s="1718"/>
      <c r="Z23" s="1719"/>
      <c r="AA23" s="1724">
        <v>0</v>
      </c>
      <c r="AB23" s="3432"/>
      <c r="AC23" s="3433"/>
      <c r="AD23" s="1724">
        <v>0</v>
      </c>
      <c r="AE23" s="1729"/>
      <c r="AF23" s="1727"/>
      <c r="AG23" s="1722">
        <f>ROUND(SUM(AA23-AD23),1)</f>
        <v>0</v>
      </c>
      <c r="AH23" s="1730"/>
      <c r="AI23" s="1723">
        <f>ROUND(IF(AG23=0,0,AG23/ABS(AD23)),3)</f>
        <v>0</v>
      </c>
    </row>
    <row r="24" spans="1:35" s="1713" customFormat="1" ht="19.350000000000001" customHeight="1">
      <c r="A24" s="193" t="s">
        <v>156</v>
      </c>
      <c r="B24" s="869">
        <v>0</v>
      </c>
      <c r="C24" s="237"/>
      <c r="D24" s="869">
        <v>0</v>
      </c>
      <c r="E24" s="237"/>
      <c r="F24" s="869">
        <v>0</v>
      </c>
      <c r="G24" s="237"/>
      <c r="H24" s="1898">
        <v>0</v>
      </c>
      <c r="I24" s="1717"/>
      <c r="J24" s="869">
        <v>0</v>
      </c>
      <c r="K24" s="1626"/>
      <c r="L24" s="1898">
        <v>0.1</v>
      </c>
      <c r="M24" s="1717"/>
      <c r="N24" s="1737">
        <v>0</v>
      </c>
      <c r="O24" s="1717"/>
      <c r="P24" s="1715">
        <v>0</v>
      </c>
      <c r="Q24" s="1717"/>
      <c r="R24" s="1737">
        <v>0</v>
      </c>
      <c r="S24" s="1717"/>
      <c r="T24" s="1737">
        <f t="shared" si="0"/>
        <v>0</v>
      </c>
      <c r="U24" s="1717"/>
      <c r="V24" s="1737"/>
      <c r="W24" s="1717"/>
      <c r="X24" s="1737"/>
      <c r="Y24" s="1718"/>
      <c r="Z24" s="1719"/>
      <c r="AA24" s="3444">
        <v>0.1</v>
      </c>
      <c r="AB24" s="3432"/>
      <c r="AC24" s="3433"/>
      <c r="AD24" s="3444">
        <v>0.1</v>
      </c>
      <c r="AE24" s="1725"/>
      <c r="AF24" s="1727"/>
      <c r="AG24" s="1722">
        <f>ROUND(SUM(AA24-AD24),1)</f>
        <v>0</v>
      </c>
      <c r="AH24" s="1711"/>
      <c r="AI24" s="1723">
        <f>ROUND(IF(AG24=0,0,AG24/ABS(AD24)),3)</f>
        <v>0</v>
      </c>
    </row>
    <row r="25" spans="1:35" s="398" customFormat="1" ht="22.5" customHeight="1">
      <c r="A25" s="249" t="s">
        <v>157</v>
      </c>
      <c r="B25" s="2175">
        <f>ROUND(SUM(B22:B24),1)</f>
        <v>0</v>
      </c>
      <c r="C25" s="389"/>
      <c r="D25" s="2192">
        <f>ROUND(SUM(D22:D24),1)</f>
        <v>0</v>
      </c>
      <c r="E25" s="389"/>
      <c r="F25" s="2192">
        <f>ROUND(SUM(F22:F24),1)</f>
        <v>0</v>
      </c>
      <c r="G25" s="389"/>
      <c r="H25" s="882">
        <f>ROUND(SUM(H22:H24),1)</f>
        <v>0.1</v>
      </c>
      <c r="I25" s="865"/>
      <c r="J25" s="2175">
        <f>ROUND(SUM(J22:J24),1)</f>
        <v>0</v>
      </c>
      <c r="K25" s="389"/>
      <c r="L25" s="2175">
        <f>ROUND(SUM(L22:L24),1)</f>
        <v>0.1</v>
      </c>
      <c r="M25" s="865"/>
      <c r="N25" s="2028">
        <f>ROUND(SUM(N22:N24),1)</f>
        <v>0</v>
      </c>
      <c r="O25" s="874"/>
      <c r="P25" s="882">
        <f>ROUND(SUM(P22:P24),1)</f>
        <v>0</v>
      </c>
      <c r="Q25" s="865"/>
      <c r="R25" s="2175">
        <f>ROUND(SUM(R22:R24),1)</f>
        <v>0.1</v>
      </c>
      <c r="S25" s="865"/>
      <c r="T25" s="2192">
        <f>ROUND(SUM(T22:T24),1)</f>
        <v>0</v>
      </c>
      <c r="U25" s="874"/>
      <c r="V25" s="2175">
        <f>ROUND(SUM(V22:V24),1)</f>
        <v>0</v>
      </c>
      <c r="W25" s="874"/>
      <c r="X25" s="3445">
        <f>ROUND(SUM(X22:X24),1)</f>
        <v>0</v>
      </c>
      <c r="Y25" s="3406"/>
      <c r="Z25" s="3407"/>
      <c r="AA25" s="3446">
        <f>ROUND(SUM(AA22:AA24),1)</f>
        <v>0.3</v>
      </c>
      <c r="AB25" s="3436"/>
      <c r="AC25" s="3437"/>
      <c r="AD25" s="2258">
        <f>ROUND(SUM(AD22:AD24),1)</f>
        <v>0.2</v>
      </c>
      <c r="AE25" s="3446"/>
      <c r="AF25" s="1727"/>
      <c r="AG25" s="3464">
        <f>ROUND(SUM(AG22:AG24),1)</f>
        <v>0.1</v>
      </c>
      <c r="AH25" s="1164"/>
      <c r="AI25" s="1188">
        <f>ROUND(IF(AD25=0,0,AG25/ABS(AD25)),3)</f>
        <v>0.5</v>
      </c>
    </row>
    <row r="26" spans="1:35" s="398" customFormat="1" ht="19.350000000000001" customHeight="1">
      <c r="A26" s="149"/>
      <c r="B26" s="388"/>
      <c r="C26" s="237"/>
      <c r="D26" s="388" t="s">
        <v>15</v>
      </c>
      <c r="E26" s="237"/>
      <c r="F26" s="388"/>
      <c r="G26" s="237"/>
      <c r="H26" s="868"/>
      <c r="I26" s="860"/>
      <c r="J26" s="868"/>
      <c r="K26" s="237"/>
      <c r="L26" s="868"/>
      <c r="M26" s="860"/>
      <c r="N26" s="868"/>
      <c r="O26" s="860"/>
      <c r="P26" s="868"/>
      <c r="Q26" s="860"/>
      <c r="R26" s="868"/>
      <c r="S26" s="860"/>
      <c r="T26" s="868"/>
      <c r="U26" s="860"/>
      <c r="V26" s="868"/>
      <c r="W26" s="860"/>
      <c r="X26" s="3438"/>
      <c r="Y26" s="1718"/>
      <c r="Z26" s="1719"/>
      <c r="AA26" s="3439"/>
      <c r="AB26" s="3432"/>
      <c r="AC26" s="3440"/>
      <c r="AD26" s="3438"/>
      <c r="AE26" s="1738"/>
      <c r="AF26" s="1721"/>
      <c r="AG26" s="1738"/>
      <c r="AH26" s="1152"/>
      <c r="AI26" s="1151"/>
    </row>
    <row r="27" spans="1:35" s="398" customFormat="1" ht="19.350000000000001" customHeight="1">
      <c r="A27" s="249" t="s">
        <v>158</v>
      </c>
      <c r="B27" s="237"/>
      <c r="C27" s="237"/>
      <c r="D27" s="241" t="s">
        <v>15</v>
      </c>
      <c r="E27" s="237"/>
      <c r="F27" s="237"/>
      <c r="G27" s="237"/>
      <c r="H27" s="860"/>
      <c r="I27" s="860"/>
      <c r="J27" s="860"/>
      <c r="K27" s="237"/>
      <c r="L27" s="860"/>
      <c r="M27" s="860"/>
      <c r="N27" s="860"/>
      <c r="O27" s="860"/>
      <c r="P27" s="860"/>
      <c r="Q27" s="860"/>
      <c r="R27" s="860"/>
      <c r="S27" s="860"/>
      <c r="T27" s="860"/>
      <c r="U27" s="860"/>
      <c r="V27" s="860"/>
      <c r="W27" s="860"/>
      <c r="X27" s="1717"/>
      <c r="Y27" s="1718"/>
      <c r="Z27" s="1719"/>
      <c r="AA27" s="3441"/>
      <c r="AB27" s="3432"/>
      <c r="AC27" s="3433"/>
      <c r="AD27" s="1717"/>
      <c r="AE27" s="3441"/>
      <c r="AF27" s="1721"/>
      <c r="AG27" s="1738"/>
      <c r="AH27" s="1152"/>
      <c r="AI27" s="1152"/>
    </row>
    <row r="28" spans="1:35" s="398" customFormat="1" ht="18.75" customHeight="1">
      <c r="A28" s="249" t="s">
        <v>45</v>
      </c>
      <c r="B28" s="872">
        <f>ROUND(B17-B25,1)</f>
        <v>0.2</v>
      </c>
      <c r="C28" s="389"/>
      <c r="D28" s="872">
        <f>ROUND(D17-D25,1)</f>
        <v>0.1</v>
      </c>
      <c r="E28" s="883"/>
      <c r="F28" s="872">
        <f>ROUND(F17-F25,1)</f>
        <v>0.1</v>
      </c>
      <c r="G28" s="883"/>
      <c r="H28" s="872">
        <f>ROUND(H17-H25,1)</f>
        <v>0.1</v>
      </c>
      <c r="I28" s="884"/>
      <c r="J28" s="872">
        <f>ROUND(J17-J25,1)</f>
        <v>0.1</v>
      </c>
      <c r="K28" s="883"/>
      <c r="L28" s="872">
        <f>ROUND(L17-L25,1)</f>
        <v>0</v>
      </c>
      <c r="M28" s="885"/>
      <c r="N28" s="872">
        <f>ROUND(N17-N25,1)</f>
        <v>0.1</v>
      </c>
      <c r="O28" s="885"/>
      <c r="P28" s="872">
        <f>ROUND(P17-P25,1)</f>
        <v>0.1</v>
      </c>
      <c r="Q28" s="885"/>
      <c r="R28" s="872">
        <f>ROUND(R17-R25,1)</f>
        <v>0.1</v>
      </c>
      <c r="S28" s="885"/>
      <c r="T28" s="872">
        <f>ROUND(T17-T25,1)</f>
        <v>0</v>
      </c>
      <c r="U28" s="885"/>
      <c r="V28" s="872">
        <f>ROUND(V17-V25,1)</f>
        <v>0</v>
      </c>
      <c r="W28" s="885"/>
      <c r="X28" s="3411">
        <f>ROUND(X17-X25,1)</f>
        <v>0</v>
      </c>
      <c r="Y28" s="3406"/>
      <c r="Z28" s="3407"/>
      <c r="AA28" s="3447">
        <f>ROUND(AA17-AA25,1)</f>
        <v>0.9</v>
      </c>
      <c r="AB28" s="3436"/>
      <c r="AC28" s="3448"/>
      <c r="AD28" s="3411">
        <f>ROUND(AD17-AD25,1)</f>
        <v>1</v>
      </c>
      <c r="AE28" s="3454"/>
      <c r="AF28" s="1727"/>
      <c r="AG28" s="3374">
        <f>ROUND(SUM(AG17-AG25),1)</f>
        <v>-0.1</v>
      </c>
      <c r="AH28" s="1164"/>
      <c r="AI28" s="2179">
        <f>ROUND(IF(AD28=0,-1,AG28/ABS(AD28)),3)</f>
        <v>-0.1</v>
      </c>
    </row>
    <row r="29" spans="1:35" s="398" customFormat="1" ht="19.350000000000001" customHeight="1">
      <c r="A29" s="149"/>
      <c r="B29" s="241"/>
      <c r="C29" s="237"/>
      <c r="D29" s="241" t="s">
        <v>15</v>
      </c>
      <c r="E29" s="237"/>
      <c r="F29" s="241"/>
      <c r="G29" s="237"/>
      <c r="H29" s="859"/>
      <c r="I29" s="860"/>
      <c r="J29" s="859"/>
      <c r="K29" s="237"/>
      <c r="L29" s="859"/>
      <c r="M29" s="860"/>
      <c r="N29" s="868"/>
      <c r="O29" s="860"/>
      <c r="P29" s="859"/>
      <c r="Q29" s="860"/>
      <c r="R29" s="859"/>
      <c r="S29" s="860"/>
      <c r="T29" s="859"/>
      <c r="U29" s="860"/>
      <c r="V29" s="859"/>
      <c r="W29" s="860"/>
      <c r="X29" s="3438"/>
      <c r="Y29" s="1718"/>
      <c r="Z29" s="1719"/>
      <c r="AA29" s="1738"/>
      <c r="AB29" s="3432"/>
      <c r="AC29" s="3440"/>
      <c r="AD29" s="1716"/>
      <c r="AE29" s="1738"/>
      <c r="AF29" s="1732"/>
      <c r="AG29" s="1738"/>
      <c r="AH29" s="1152"/>
      <c r="AI29" s="1151"/>
    </row>
    <row r="30" spans="1:35" s="398" customFormat="1" ht="19.350000000000001" customHeight="1">
      <c r="A30" s="249" t="s">
        <v>46</v>
      </c>
      <c r="B30" s="237"/>
      <c r="C30" s="237"/>
      <c r="D30" s="237"/>
      <c r="E30" s="237"/>
      <c r="F30" s="237"/>
      <c r="G30" s="237"/>
      <c r="H30" s="860"/>
      <c r="I30" s="860"/>
      <c r="J30" s="860"/>
      <c r="K30" s="237"/>
      <c r="L30" s="860"/>
      <c r="M30" s="860"/>
      <c r="N30" s="860"/>
      <c r="O30" s="860"/>
      <c r="P30" s="860"/>
      <c r="Q30" s="860"/>
      <c r="R30" s="860"/>
      <c r="S30" s="860"/>
      <c r="T30" s="860"/>
      <c r="U30" s="860"/>
      <c r="V30" s="860"/>
      <c r="W30" s="860"/>
      <c r="X30" s="1717"/>
      <c r="Y30" s="1718"/>
      <c r="Z30" s="1719"/>
      <c r="AA30" s="3441"/>
      <c r="AB30" s="3432"/>
      <c r="AC30" s="3433"/>
      <c r="AD30" s="1717"/>
      <c r="AE30" s="3441"/>
      <c r="AF30" s="1732"/>
      <c r="AG30" s="1738"/>
      <c r="AH30" s="1152"/>
      <c r="AI30" s="1151"/>
    </row>
    <row r="31" spans="1:35" s="1713" customFormat="1" ht="19.350000000000001" customHeight="1">
      <c r="A31" s="193" t="s">
        <v>182</v>
      </c>
      <c r="B31" s="869">
        <v>0</v>
      </c>
      <c r="C31" s="237"/>
      <c r="D31" s="869">
        <v>0</v>
      </c>
      <c r="E31" s="237"/>
      <c r="F31" s="869">
        <v>0</v>
      </c>
      <c r="G31" s="237"/>
      <c r="H31" s="869">
        <v>0</v>
      </c>
      <c r="I31" s="1717"/>
      <c r="J31" s="869">
        <v>0</v>
      </c>
      <c r="K31" s="1626"/>
      <c r="L31" s="869">
        <v>0</v>
      </c>
      <c r="M31" s="1717"/>
      <c r="N31" s="1737">
        <v>0</v>
      </c>
      <c r="O31" s="1717"/>
      <c r="P31" s="1737">
        <v>0</v>
      </c>
      <c r="Q31" s="1717"/>
      <c r="R31" s="1737">
        <v>0</v>
      </c>
      <c r="S31" s="1717"/>
      <c r="T31" s="1737">
        <f t="shared" ref="T31:T32" si="1">$AA31-$B31-$D31-$F31-$H31-$J31-$L31-$N31-$P31-$R31</f>
        <v>0</v>
      </c>
      <c r="U31" s="1717"/>
      <c r="V31" s="1737"/>
      <c r="W31" s="1717"/>
      <c r="X31" s="1737"/>
      <c r="Y31" s="1718"/>
      <c r="Z31" s="1719"/>
      <c r="AA31" s="1724">
        <v>0</v>
      </c>
      <c r="AB31" s="3432"/>
      <c r="AC31" s="3433"/>
      <c r="AD31" s="1724">
        <v>0</v>
      </c>
      <c r="AE31" s="1729"/>
      <c r="AF31" s="1731"/>
      <c r="AG31" s="1722">
        <f>ROUND(SUM(AA31-AD31),1)</f>
        <v>0</v>
      </c>
      <c r="AH31" s="1730"/>
      <c r="AI31" s="1723">
        <f>ROUND(IF(AG31=0,0,AG31/ABS(AD31)),3)</f>
        <v>0</v>
      </c>
    </row>
    <row r="32" spans="1:35" s="1713" customFormat="1" ht="19.350000000000001" customHeight="1">
      <c r="A32" s="193" t="s">
        <v>183</v>
      </c>
      <c r="B32" s="869">
        <v>0</v>
      </c>
      <c r="C32" s="237"/>
      <c r="D32" s="869">
        <v>0</v>
      </c>
      <c r="E32" s="237"/>
      <c r="F32" s="869">
        <v>0</v>
      </c>
      <c r="G32" s="237"/>
      <c r="H32" s="869">
        <v>0</v>
      </c>
      <c r="I32" s="1717"/>
      <c r="J32" s="869">
        <v>0</v>
      </c>
      <c r="K32" s="1626"/>
      <c r="L32" s="869">
        <v>0</v>
      </c>
      <c r="M32" s="1716"/>
      <c r="N32" s="1737">
        <v>0</v>
      </c>
      <c r="O32" s="1715"/>
      <c r="P32" s="1737">
        <v>0</v>
      </c>
      <c r="Q32" s="1716"/>
      <c r="R32" s="1737">
        <v>0</v>
      </c>
      <c r="S32" s="1716"/>
      <c r="T32" s="1737">
        <f t="shared" si="1"/>
        <v>0</v>
      </c>
      <c r="U32" s="1716"/>
      <c r="V32" s="1737"/>
      <c r="W32" s="1716"/>
      <c r="X32" s="1737"/>
      <c r="Y32" s="1718"/>
      <c r="Z32" s="1719"/>
      <c r="AA32" s="1724">
        <v>0</v>
      </c>
      <c r="AB32" s="3449"/>
      <c r="AC32" s="3450"/>
      <c r="AD32" s="1724">
        <v>0</v>
      </c>
      <c r="AE32" s="1729"/>
      <c r="AF32" s="1732"/>
      <c r="AG32" s="1722">
        <f>ROUND(SUM(AA32-AD32),1)</f>
        <v>0</v>
      </c>
      <c r="AH32" s="1730"/>
      <c r="AI32" s="1723">
        <f>ROUND(IF(AG32=0,0,AG32/ABS(AD32)),3)</f>
        <v>0</v>
      </c>
    </row>
    <row r="33" spans="1:35" s="398" customFormat="1" ht="22.5" customHeight="1">
      <c r="A33" s="249" t="s">
        <v>209</v>
      </c>
      <c r="B33" s="886">
        <f>ROUND(SUM(B31:B32),1)</f>
        <v>0</v>
      </c>
      <c r="C33" s="389"/>
      <c r="D33" s="886">
        <f>ROUND(SUM(D31:D32),1)</f>
        <v>0</v>
      </c>
      <c r="E33" s="389"/>
      <c r="F33" s="886">
        <f>ROUND(SUM(F31:F32),1)</f>
        <v>0</v>
      </c>
      <c r="G33" s="389"/>
      <c r="H33" s="886">
        <f>ROUND(SUM(H31:H32),1)</f>
        <v>0</v>
      </c>
      <c r="I33" s="865"/>
      <c r="J33" s="886">
        <f>ROUND(SUM(J31:J32),1)</f>
        <v>0</v>
      </c>
      <c r="K33" s="389"/>
      <c r="L33" s="886">
        <f>ROUND(SUM(L31:L32),1)</f>
        <v>0</v>
      </c>
      <c r="M33" s="865"/>
      <c r="N33" s="886">
        <f>ROUND(SUM(N31:N32),1)</f>
        <v>0</v>
      </c>
      <c r="O33" s="865"/>
      <c r="P33" s="886">
        <f>ROUND(SUM(P31:P32),1)</f>
        <v>0</v>
      </c>
      <c r="Q33" s="887"/>
      <c r="R33" s="886">
        <f>ROUND(SUM(R31:R32),1)</f>
        <v>0</v>
      </c>
      <c r="S33" s="865"/>
      <c r="T33" s="886">
        <f>ROUND(SUM(T31:T32),1)</f>
        <v>0</v>
      </c>
      <c r="U33" s="865"/>
      <c r="V33" s="886">
        <f>ROUND(SUM(V31:V32),1)</f>
        <v>0</v>
      </c>
      <c r="W33" s="865"/>
      <c r="X33" s="3413">
        <f>ROUND(SUM(X31:X32),1)</f>
        <v>0</v>
      </c>
      <c r="Y33" s="3406"/>
      <c r="Z33" s="3407"/>
      <c r="AA33" s="3451">
        <f>ROUND(SUM(AA31:AA32),1)</f>
        <v>0</v>
      </c>
      <c r="AB33" s="3452"/>
      <c r="AC33" s="3453"/>
      <c r="AD33" s="3413">
        <f>ROUND(SUM(AD31:AD32),1)</f>
        <v>0</v>
      </c>
      <c r="AE33" s="3465"/>
      <c r="AF33" s="1731"/>
      <c r="AG33" s="3464">
        <f>ROUND(SUM(AG31-AG32),1)</f>
        <v>0</v>
      </c>
      <c r="AH33" s="1172"/>
      <c r="AI33" s="1188">
        <f>ROUND(IF(AG33=0,0,AG33/ABS(AD33)),3)</f>
        <v>0</v>
      </c>
    </row>
    <row r="34" spans="1:35" s="398" customFormat="1" ht="19.350000000000001" customHeight="1">
      <c r="A34" s="149"/>
      <c r="B34" s="388"/>
      <c r="C34" s="237"/>
      <c r="D34" s="388" t="s">
        <v>15</v>
      </c>
      <c r="E34" s="237"/>
      <c r="F34" s="388"/>
      <c r="G34" s="237"/>
      <c r="H34" s="868"/>
      <c r="I34" s="860"/>
      <c r="J34" s="868"/>
      <c r="K34" s="237"/>
      <c r="L34" s="868"/>
      <c r="M34" s="860"/>
      <c r="N34" s="868"/>
      <c r="O34" s="860"/>
      <c r="P34" s="868"/>
      <c r="Q34" s="860"/>
      <c r="R34" s="868"/>
      <c r="S34" s="860"/>
      <c r="T34" s="868"/>
      <c r="U34" s="860"/>
      <c r="V34" s="868"/>
      <c r="W34" s="860"/>
      <c r="X34" s="3438"/>
      <c r="Y34" s="1718"/>
      <c r="Z34" s="1719"/>
      <c r="AA34" s="3439"/>
      <c r="AB34" s="3432"/>
      <c r="AC34" s="3440"/>
      <c r="AD34" s="3438"/>
      <c r="AE34" s="1738"/>
      <c r="AF34" s="1721"/>
      <c r="AG34" s="1738"/>
      <c r="AH34" s="1152"/>
      <c r="AI34" s="1151"/>
    </row>
    <row r="35" spans="1:35" s="398" customFormat="1" ht="19.350000000000001" customHeight="1">
      <c r="A35" s="249" t="s">
        <v>166</v>
      </c>
      <c r="B35" s="237"/>
      <c r="C35" s="237"/>
      <c r="D35" s="237" t="s">
        <v>15</v>
      </c>
      <c r="E35" s="237"/>
      <c r="F35" s="237"/>
      <c r="G35" s="237"/>
      <c r="H35" s="860"/>
      <c r="I35" s="860"/>
      <c r="J35" s="860"/>
      <c r="K35" s="237"/>
      <c r="L35" s="860"/>
      <c r="M35" s="860"/>
      <c r="N35" s="860"/>
      <c r="O35" s="860"/>
      <c r="P35" s="860"/>
      <c r="Q35" s="860"/>
      <c r="R35" s="860"/>
      <c r="S35" s="860"/>
      <c r="T35" s="860"/>
      <c r="U35" s="860"/>
      <c r="V35" s="860"/>
      <c r="W35" s="860"/>
      <c r="X35" s="1717"/>
      <c r="Y35" s="1718"/>
      <c r="Z35" s="1719"/>
      <c r="AA35" s="3441"/>
      <c r="AB35" s="3432"/>
      <c r="AC35" s="3433"/>
      <c r="AD35" s="1717"/>
      <c r="AE35" s="3441"/>
      <c r="AF35" s="1721"/>
      <c r="AG35" s="1738"/>
      <c r="AH35" s="1152"/>
      <c r="AI35" s="1151"/>
    </row>
    <row r="36" spans="1:35" s="398" customFormat="1" ht="19.350000000000001" customHeight="1">
      <c r="A36" s="249" t="s">
        <v>228</v>
      </c>
      <c r="B36" s="237"/>
      <c r="C36" s="237"/>
      <c r="D36" s="237"/>
      <c r="E36" s="237"/>
      <c r="F36" s="237"/>
      <c r="G36" s="237"/>
      <c r="H36" s="860"/>
      <c r="I36" s="860"/>
      <c r="J36" s="860"/>
      <c r="K36" s="237"/>
      <c r="L36" s="860"/>
      <c r="M36" s="860"/>
      <c r="N36" s="860"/>
      <c r="O36" s="860"/>
      <c r="P36" s="860"/>
      <c r="Q36" s="860"/>
      <c r="R36" s="860"/>
      <c r="S36" s="860"/>
      <c r="T36" s="860"/>
      <c r="U36" s="860"/>
      <c r="V36" s="859"/>
      <c r="W36" s="860"/>
      <c r="X36" s="1717"/>
      <c r="Y36" s="1718"/>
      <c r="Z36" s="1719"/>
      <c r="AA36" s="3441"/>
      <c r="AB36" s="3432"/>
      <c r="AC36" s="3433"/>
      <c r="AD36" s="1717"/>
      <c r="AE36" s="3466"/>
      <c r="AF36" s="1759"/>
      <c r="AG36" s="1738"/>
      <c r="AH36" s="1152"/>
      <c r="AI36" s="1152"/>
    </row>
    <row r="37" spans="1:35" s="400" customFormat="1" ht="19.350000000000001" customHeight="1">
      <c r="A37" s="249" t="s">
        <v>168</v>
      </c>
      <c r="B37" s="870">
        <f>ROUND(B28+B33,1)</f>
        <v>0.2</v>
      </c>
      <c r="C37" s="389"/>
      <c r="D37" s="870">
        <f>ROUND(D28+D33,1)</f>
        <v>0.1</v>
      </c>
      <c r="E37" s="391"/>
      <c r="F37" s="870">
        <f>ROUND(F28+F33,1)</f>
        <v>0.1</v>
      </c>
      <c r="G37" s="391"/>
      <c r="H37" s="870">
        <f>ROUND(H28+H33,1)</f>
        <v>0.1</v>
      </c>
      <c r="I37" s="874"/>
      <c r="J37" s="870">
        <f>ROUND(J28+J33,1)</f>
        <v>0.1</v>
      </c>
      <c r="K37" s="391"/>
      <c r="L37" s="870">
        <f>ROUND(L28+L33,1)</f>
        <v>0</v>
      </c>
      <c r="M37" s="875"/>
      <c r="N37" s="870">
        <f>ROUND(N28+N33,1)</f>
        <v>0.1</v>
      </c>
      <c r="O37" s="875"/>
      <c r="P37" s="870">
        <f>ROUND(P28+P33,1)</f>
        <v>0.1</v>
      </c>
      <c r="Q37" s="875"/>
      <c r="R37" s="870">
        <f>ROUND(R28+R33,1)</f>
        <v>0.1</v>
      </c>
      <c r="S37" s="874"/>
      <c r="T37" s="870">
        <f>ROUND(T28+T33,1)</f>
        <v>0</v>
      </c>
      <c r="U37" s="874"/>
      <c r="V37" s="870">
        <f>ROUND(V28+V33,1)</f>
        <v>0</v>
      </c>
      <c r="W37" s="874"/>
      <c r="X37" s="1749">
        <f>ROUND(X28+X33,1)</f>
        <v>0</v>
      </c>
      <c r="Y37" s="3406"/>
      <c r="Z37" s="3407"/>
      <c r="AA37" s="3454">
        <f>ROUND(AA28+AA33,1)</f>
        <v>0.9</v>
      </c>
      <c r="AB37" s="3455"/>
      <c r="AC37" s="3456"/>
      <c r="AD37" s="1749">
        <f>ROUND(AD28+AD33,1)</f>
        <v>1</v>
      </c>
      <c r="AE37" s="3454"/>
      <c r="AF37" s="2265"/>
      <c r="AG37" s="3455">
        <f>ROUND(SUM(AG28+AG33),1)</f>
        <v>-0.1</v>
      </c>
      <c r="AH37" s="1143"/>
      <c r="AI37" s="2179">
        <f>ROUND(IF(AD37=0,-1,AG37/ABS(AD37)),3)</f>
        <v>-0.1</v>
      </c>
    </row>
    <row r="38" spans="1:35" s="398" customFormat="1" ht="22.5" customHeight="1" thickBot="1">
      <c r="A38" s="249" t="s">
        <v>142</v>
      </c>
      <c r="B38" s="876">
        <f>ROUND(SUM(B13,B37),1)</f>
        <v>13.4</v>
      </c>
      <c r="C38" s="384"/>
      <c r="D38" s="876">
        <f>ROUND(SUM(D13,D37),1)</f>
        <v>13.5</v>
      </c>
      <c r="E38" s="384"/>
      <c r="F38" s="876">
        <f>ROUND(SUM(F13,F37),1)</f>
        <v>13.6</v>
      </c>
      <c r="G38" s="384"/>
      <c r="H38" s="876">
        <f>ROUND(SUM(H13,H37),1)</f>
        <v>13.7</v>
      </c>
      <c r="I38" s="877"/>
      <c r="J38" s="876">
        <f>ROUND(SUM(J13,J37),1)</f>
        <v>13.8</v>
      </c>
      <c r="K38" s="384"/>
      <c r="L38" s="876">
        <f>ROUND(SUM(L13,L37),1)</f>
        <v>13.8</v>
      </c>
      <c r="M38" s="385"/>
      <c r="N38" s="876">
        <f>ROUND(SUM(N13,N37),1)</f>
        <v>13.9</v>
      </c>
      <c r="O38" s="385"/>
      <c r="P38" s="876">
        <f>ROUND(SUM(P13,P37),1)</f>
        <v>14</v>
      </c>
      <c r="Q38" s="385"/>
      <c r="R38" s="876">
        <f>ROUND(SUM(R13,R37),1)</f>
        <v>14.1</v>
      </c>
      <c r="S38" s="877"/>
      <c r="T38" s="876">
        <f>ROUND(SUM(T13,T37),1)</f>
        <v>14.1</v>
      </c>
      <c r="U38" s="877"/>
      <c r="V38" s="876">
        <f>ROUND(SUM(V13,V37),1)</f>
        <v>0</v>
      </c>
      <c r="W38" s="877"/>
      <c r="X38" s="3417">
        <f>ROUND(SUM(X13,X37),1)</f>
        <v>0</v>
      </c>
      <c r="Y38" s="1706"/>
      <c r="Z38" s="1707"/>
      <c r="AA38" s="3457">
        <f>ROUND(SUM(AA13,AA37),1)</f>
        <v>14.1</v>
      </c>
      <c r="AB38" s="1710"/>
      <c r="AC38" s="3458"/>
      <c r="AD38" s="3467">
        <f>ROUND(SUM(AD13,AD37),1)</f>
        <v>12.9</v>
      </c>
      <c r="AE38" s="1710"/>
      <c r="AF38" s="2267"/>
      <c r="AG38" s="3467">
        <f>ROUND(SUM(AA38-AD38),1)</f>
        <v>1.2</v>
      </c>
      <c r="AH38" s="1171"/>
      <c r="AI38" s="1190">
        <f>ROUND(IF(AG38=0,0,AG38/ABS(AD38)),3)</f>
        <v>9.2999999999999999E-2</v>
      </c>
    </row>
    <row r="39" spans="1:35" s="398" customFormat="1" ht="19.350000000000001" customHeight="1" thickTop="1">
      <c r="A39" s="149" t="s">
        <v>15</v>
      </c>
      <c r="B39" s="878"/>
      <c r="C39" s="879"/>
      <c r="D39" s="878"/>
      <c r="E39" s="879"/>
      <c r="F39" s="878"/>
      <c r="G39" s="879"/>
      <c r="H39" s="878"/>
      <c r="I39" s="879"/>
      <c r="J39" s="878"/>
      <c r="K39" s="879"/>
      <c r="L39" s="878"/>
      <c r="M39" s="879"/>
      <c r="N39" s="878"/>
      <c r="O39" s="879"/>
      <c r="P39" s="878"/>
      <c r="Q39" s="879"/>
      <c r="R39" s="878"/>
      <c r="S39" s="879"/>
      <c r="T39" s="878"/>
      <c r="U39" s="879"/>
      <c r="V39" s="878"/>
      <c r="W39" s="879"/>
      <c r="X39" s="3419"/>
      <c r="Y39" s="3421"/>
      <c r="Z39" s="3421"/>
      <c r="AA39" s="3459"/>
      <c r="AB39" s="3460"/>
      <c r="AC39" s="3460"/>
      <c r="AD39" s="3460"/>
      <c r="AE39" s="3460"/>
      <c r="AF39" s="3460"/>
      <c r="AG39" s="3370"/>
      <c r="AH39" s="1152"/>
      <c r="AI39" s="1151"/>
    </row>
    <row r="40" spans="1:35" s="398" customFormat="1" ht="19.350000000000001"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68"/>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69"/>
    </row>
    <row r="42" spans="1:35" ht="15">
      <c r="A42" s="398"/>
    </row>
    <row r="43" spans="1:35" ht="13.5" customHeight="1">
      <c r="A43" s="704"/>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69"/>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69"/>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70" workbookViewId="0"/>
  </sheetViews>
  <sheetFormatPr defaultColWidth="8.88671875" defaultRowHeight="15.75"/>
  <cols>
    <col min="1" max="1" width="56.88671875" style="745" customWidth="1"/>
    <col min="2" max="2" width="2.109375" style="745" customWidth="1"/>
    <col min="3" max="3" width="19" style="744" customWidth="1"/>
    <col min="4" max="4" width="1.88671875" style="745" customWidth="1"/>
    <col min="5" max="5" width="16.44140625" style="745" customWidth="1"/>
    <col min="6" max="6" width="1.5546875" style="745" customWidth="1"/>
    <col min="7" max="7" width="16.5546875" style="745" customWidth="1"/>
    <col min="8" max="8" width="1.5546875" style="745" customWidth="1"/>
    <col min="9" max="9" width="17.88671875" style="745" customWidth="1"/>
    <col min="10" max="10" width="1.5546875" style="745" customWidth="1"/>
    <col min="11" max="11" width="20.109375" style="745" customWidth="1"/>
    <col min="12" max="12" width="6.109375" style="2275" customWidth="1"/>
    <col min="13" max="13" width="2.5546875" style="2275" customWidth="1"/>
    <col min="14" max="14" width="9" style="2275" bestFit="1" customWidth="1"/>
    <col min="15" max="15" width="20.88671875" style="745" customWidth="1"/>
    <col min="16" max="16384" width="8.88671875" style="745"/>
  </cols>
  <sheetData>
    <row r="1" spans="1:14">
      <c r="A1" s="1541" t="s">
        <v>979</v>
      </c>
    </row>
    <row r="2" spans="1:14">
      <c r="A2" s="3138"/>
    </row>
    <row r="3" spans="1:14" ht="18">
      <c r="A3" s="3139" t="s">
        <v>0</v>
      </c>
      <c r="B3" s="788"/>
      <c r="C3" s="788"/>
      <c r="D3" s="788"/>
      <c r="E3" s="788"/>
      <c r="F3" s="788"/>
      <c r="G3" s="788"/>
      <c r="H3" s="788"/>
      <c r="I3" s="788"/>
      <c r="J3" s="788"/>
      <c r="K3" s="3140" t="s">
        <v>232</v>
      </c>
      <c r="L3" s="3141"/>
    </row>
    <row r="4" spans="1:14" ht="18">
      <c r="A4" s="3139" t="s">
        <v>231</v>
      </c>
      <c r="B4" s="788"/>
      <c r="C4" s="788" t="s">
        <v>15</v>
      </c>
      <c r="D4" s="788"/>
      <c r="E4" s="788"/>
      <c r="F4" s="788"/>
      <c r="G4" s="788"/>
      <c r="H4" s="788"/>
      <c r="I4" s="788"/>
      <c r="J4" s="788"/>
      <c r="L4" s="3142"/>
    </row>
    <row r="5" spans="1:14" ht="18">
      <c r="A5" s="3139" t="s">
        <v>1299</v>
      </c>
      <c r="B5" s="788"/>
      <c r="C5" s="788"/>
      <c r="D5" s="788"/>
      <c r="E5" s="788"/>
      <c r="F5" s="788"/>
      <c r="G5" s="788"/>
      <c r="H5" s="788"/>
      <c r="I5" s="788"/>
      <c r="J5" s="788"/>
      <c r="K5" s="3143"/>
      <c r="L5" s="3144"/>
    </row>
    <row r="6" spans="1:14" ht="18">
      <c r="A6" s="3145" t="s">
        <v>233</v>
      </c>
      <c r="B6" s="788"/>
      <c r="C6" s="788"/>
      <c r="D6" s="788"/>
      <c r="E6" s="788"/>
      <c r="F6" s="788"/>
      <c r="G6" s="788"/>
      <c r="H6" s="788"/>
      <c r="I6" s="788"/>
      <c r="J6" s="788"/>
      <c r="K6" s="441"/>
      <c r="L6" s="3146"/>
    </row>
    <row r="7" spans="1:14" ht="18">
      <c r="A7" s="3145" t="s">
        <v>1397</v>
      </c>
      <c r="B7" s="788"/>
      <c r="C7" s="788"/>
      <c r="D7" s="788"/>
      <c r="E7" s="788"/>
      <c r="F7" s="788"/>
      <c r="G7" s="788"/>
      <c r="H7" s="788"/>
      <c r="I7" s="788"/>
      <c r="J7" s="788"/>
      <c r="K7" s="441"/>
      <c r="L7" s="3146"/>
    </row>
    <row r="8" spans="1:14" ht="18">
      <c r="A8" s="3145" t="s">
        <v>1567</v>
      </c>
      <c r="B8" s="788"/>
      <c r="C8" s="788"/>
      <c r="D8" s="788"/>
      <c r="E8" s="788" t="s">
        <v>15</v>
      </c>
      <c r="F8" s="788"/>
      <c r="G8" s="788"/>
      <c r="H8" s="788"/>
      <c r="I8" s="788"/>
      <c r="J8" s="788"/>
      <c r="K8" s="788"/>
      <c r="L8" s="3141"/>
    </row>
    <row r="9" spans="1:14" ht="18">
      <c r="A9" s="3139" t="s">
        <v>1420</v>
      </c>
      <c r="B9" s="3147" t="s">
        <v>234</v>
      </c>
      <c r="C9" s="740"/>
      <c r="D9" s="740"/>
      <c r="E9" s="740"/>
      <c r="F9" s="740"/>
      <c r="G9" s="740"/>
      <c r="H9" s="740"/>
      <c r="I9" s="740"/>
      <c r="J9" s="740"/>
      <c r="K9" s="740"/>
      <c r="L9" s="742"/>
    </row>
    <row r="10" spans="1:14">
      <c r="A10" s="740"/>
      <c r="B10" s="740"/>
      <c r="C10" s="438" t="s">
        <v>235</v>
      </c>
      <c r="D10" s="442"/>
      <c r="E10" s="442"/>
      <c r="F10" s="442"/>
      <c r="G10" s="444"/>
      <c r="H10" s="442"/>
      <c r="I10" s="2270" t="s">
        <v>236</v>
      </c>
      <c r="J10" s="442"/>
      <c r="K10" s="2270" t="s">
        <v>235</v>
      </c>
      <c r="L10" s="2270"/>
    </row>
    <row r="11" spans="1:14">
      <c r="A11" s="740"/>
      <c r="B11" s="740"/>
      <c r="C11" s="3606" t="s">
        <v>1568</v>
      </c>
      <c r="D11" s="442"/>
      <c r="E11" s="2271" t="s">
        <v>237</v>
      </c>
      <c r="F11" s="444"/>
      <c r="G11" s="2272" t="s">
        <v>238</v>
      </c>
      <c r="H11" s="444"/>
      <c r="I11" s="2272" t="s">
        <v>239</v>
      </c>
      <c r="J11" s="444"/>
      <c r="K11" s="3148" t="s">
        <v>1569</v>
      </c>
      <c r="L11" s="2273"/>
    </row>
    <row r="12" spans="1:14">
      <c r="A12" s="740"/>
      <c r="B12" s="740"/>
      <c r="C12" s="2273"/>
      <c r="D12" s="442"/>
      <c r="E12" s="2270"/>
      <c r="F12" s="444"/>
      <c r="G12" s="2270"/>
      <c r="H12" s="444"/>
      <c r="I12" s="2270"/>
      <c r="J12" s="444"/>
      <c r="K12" s="3149"/>
      <c r="L12" s="2273"/>
    </row>
    <row r="13" spans="1:14">
      <c r="A13" s="439" t="s">
        <v>147</v>
      </c>
      <c r="B13" s="740"/>
      <c r="C13" s="742"/>
      <c r="D13" s="740"/>
      <c r="E13" s="1769"/>
      <c r="F13" s="740"/>
      <c r="G13" s="739"/>
      <c r="H13" s="740"/>
      <c r="I13" s="739"/>
      <c r="J13" s="740"/>
      <c r="K13" s="742"/>
      <c r="L13" s="742"/>
    </row>
    <row r="14" spans="1:14">
      <c r="A14" s="740" t="s">
        <v>240</v>
      </c>
      <c r="B14" s="1769"/>
      <c r="C14" s="1735">
        <v>0</v>
      </c>
      <c r="D14" s="1736"/>
      <c r="E14" s="1735">
        <v>0.38900000000000001</v>
      </c>
      <c r="F14" s="1736"/>
      <c r="G14" s="1735">
        <v>2763.92</v>
      </c>
      <c r="H14" s="1736"/>
      <c r="I14" s="1735">
        <v>2763.5309999999999</v>
      </c>
      <c r="J14" s="1769"/>
      <c r="K14" s="804">
        <f>ROUND(SUM(C14)+SUM(E14)-SUM(G14)+SUM(I14),3)</f>
        <v>0</v>
      </c>
      <c r="L14" s="2185"/>
    </row>
    <row r="15" spans="1:14">
      <c r="A15" s="740" t="s">
        <v>241</v>
      </c>
      <c r="B15" s="740"/>
      <c r="C15" s="1739">
        <v>8147.7979999999998</v>
      </c>
      <c r="D15" s="1736"/>
      <c r="E15" s="1739">
        <v>3347.4140000000002</v>
      </c>
      <c r="F15" s="1736"/>
      <c r="G15" s="1739">
        <v>1475.018</v>
      </c>
      <c r="H15" s="1736"/>
      <c r="I15" s="1739">
        <v>766.53599999999994</v>
      </c>
      <c r="J15" s="1769"/>
      <c r="K15" s="655">
        <f>ROUND(SUM(C15)+SUM(E15)-SUM(G15)+SUM(I15),3)</f>
        <v>10786.73</v>
      </c>
      <c r="L15" s="2191"/>
      <c r="M15" s="2188"/>
      <c r="N15" s="2188"/>
    </row>
    <row r="16" spans="1:14">
      <c r="A16" s="741" t="s">
        <v>242</v>
      </c>
      <c r="B16" s="740"/>
      <c r="C16" s="1739">
        <v>0</v>
      </c>
      <c r="D16" s="1736"/>
      <c r="E16" s="1739">
        <v>0</v>
      </c>
      <c r="F16" s="1736"/>
      <c r="G16" s="1739">
        <v>0</v>
      </c>
      <c r="H16" s="1736"/>
      <c r="I16" s="1739">
        <v>0</v>
      </c>
      <c r="J16" s="1769"/>
      <c r="K16" s="655">
        <f t="shared" ref="K16:K23" si="0">ROUND(SUM(C16)+SUM(E16)-SUM(G16)+SUM(I16),3)</f>
        <v>0</v>
      </c>
      <c r="L16" s="2191"/>
      <c r="M16" s="2188"/>
      <c r="N16" s="2188"/>
    </row>
    <row r="17" spans="1:14">
      <c r="A17" s="740" t="s">
        <v>243</v>
      </c>
      <c r="B17" s="740"/>
      <c r="C17" s="1739">
        <v>0</v>
      </c>
      <c r="D17" s="1736"/>
      <c r="E17" s="1739">
        <v>0</v>
      </c>
      <c r="F17" s="1736"/>
      <c r="G17" s="1739">
        <v>0</v>
      </c>
      <c r="H17" s="1736"/>
      <c r="I17" s="1739">
        <v>0</v>
      </c>
      <c r="J17" s="1769"/>
      <c r="K17" s="655">
        <f t="shared" si="0"/>
        <v>0</v>
      </c>
      <c r="L17" s="2191"/>
      <c r="M17" s="2188"/>
      <c r="N17" s="2188"/>
    </row>
    <row r="18" spans="1:14">
      <c r="A18" s="740" t="s">
        <v>244</v>
      </c>
      <c r="B18" s="740"/>
      <c r="C18" s="1739">
        <v>0</v>
      </c>
      <c r="D18" s="1736"/>
      <c r="E18" s="1739">
        <v>0</v>
      </c>
      <c r="F18" s="1736"/>
      <c r="G18" s="1739">
        <v>0</v>
      </c>
      <c r="H18" s="1736"/>
      <c r="I18" s="1739">
        <v>0</v>
      </c>
      <c r="J18" s="1769"/>
      <c r="K18" s="655">
        <f t="shared" si="0"/>
        <v>0</v>
      </c>
      <c r="L18" s="2191"/>
      <c r="M18" s="2188"/>
      <c r="N18" s="2188"/>
    </row>
    <row r="19" spans="1:14">
      <c r="A19" s="740" t="s">
        <v>245</v>
      </c>
      <c r="B19" s="740"/>
      <c r="C19" s="1739">
        <v>31.913</v>
      </c>
      <c r="D19" s="1736"/>
      <c r="E19" s="1739">
        <v>0</v>
      </c>
      <c r="F19" s="1736"/>
      <c r="G19" s="1739">
        <v>0.65500000000000003</v>
      </c>
      <c r="H19" s="1736"/>
      <c r="I19" s="1739">
        <v>0</v>
      </c>
      <c r="J19" s="1769"/>
      <c r="K19" s="655">
        <f t="shared" si="0"/>
        <v>31.257999999999999</v>
      </c>
      <c r="L19" s="743"/>
      <c r="M19" s="2188"/>
      <c r="N19" s="2188"/>
    </row>
    <row r="20" spans="1:14">
      <c r="A20" s="740" t="s">
        <v>246</v>
      </c>
      <c r="B20" s="740"/>
      <c r="C20" s="1739">
        <v>0</v>
      </c>
      <c r="D20" s="1736"/>
      <c r="E20" s="1739">
        <v>0</v>
      </c>
      <c r="F20" s="1736"/>
      <c r="G20" s="1739">
        <v>0</v>
      </c>
      <c r="H20" s="1736"/>
      <c r="I20" s="1739">
        <v>0</v>
      </c>
      <c r="J20" s="1769"/>
      <c r="K20" s="655">
        <f t="shared" si="0"/>
        <v>0</v>
      </c>
      <c r="L20" s="2191"/>
      <c r="M20" s="2188"/>
      <c r="N20" s="2188"/>
    </row>
    <row r="21" spans="1:14">
      <c r="A21" s="741" t="s">
        <v>247</v>
      </c>
      <c r="B21" s="742"/>
      <c r="C21" s="1739">
        <v>0</v>
      </c>
      <c r="D21" s="1736"/>
      <c r="E21" s="1739">
        <v>0</v>
      </c>
      <c r="F21" s="1736"/>
      <c r="G21" s="1739">
        <v>0</v>
      </c>
      <c r="H21" s="1736"/>
      <c r="I21" s="1739">
        <v>0</v>
      </c>
      <c r="J21" s="1769"/>
      <c r="K21" s="655">
        <f t="shared" si="0"/>
        <v>0</v>
      </c>
      <c r="L21" s="2191"/>
      <c r="M21" s="2188"/>
      <c r="N21" s="2188"/>
    </row>
    <row r="22" spans="1:14">
      <c r="A22" s="741" t="s">
        <v>248</v>
      </c>
      <c r="B22" s="740"/>
      <c r="C22" s="1739">
        <v>0</v>
      </c>
      <c r="D22" s="1736"/>
      <c r="E22" s="1739">
        <v>0</v>
      </c>
      <c r="F22" s="1736"/>
      <c r="G22" s="1739">
        <v>0</v>
      </c>
      <c r="H22" s="1736"/>
      <c r="I22" s="1739">
        <v>0</v>
      </c>
      <c r="J22" s="1769"/>
      <c r="K22" s="655">
        <f t="shared" si="0"/>
        <v>0</v>
      </c>
      <c r="L22" s="2191"/>
      <c r="M22" s="2188"/>
      <c r="N22" s="2188"/>
    </row>
    <row r="23" spans="1:14">
      <c r="A23" s="741" t="s">
        <v>249</v>
      </c>
      <c r="B23" s="740"/>
      <c r="C23" s="1739">
        <v>0</v>
      </c>
      <c r="D23" s="1736"/>
      <c r="E23" s="1739">
        <v>0</v>
      </c>
      <c r="F23" s="1736"/>
      <c r="G23" s="1739">
        <v>0</v>
      </c>
      <c r="H23" s="1736"/>
      <c r="I23" s="1739">
        <v>0</v>
      </c>
      <c r="J23" s="1769"/>
      <c r="K23" s="655">
        <f t="shared" si="0"/>
        <v>0</v>
      </c>
      <c r="L23" s="2191"/>
      <c r="M23" s="2188"/>
    </row>
    <row r="24" spans="1:14" ht="22.5" customHeight="1">
      <c r="A24" s="436" t="s">
        <v>250</v>
      </c>
      <c r="B24" s="740"/>
      <c r="C24" s="437">
        <f>ROUND(SUM(C14:C23),3)</f>
        <v>8179.7110000000002</v>
      </c>
      <c r="D24" s="438"/>
      <c r="E24" s="437">
        <f>ROUND(SUM(E14:E23),3)</f>
        <v>3347.8029999999999</v>
      </c>
      <c r="F24" s="438"/>
      <c r="G24" s="437">
        <f>ROUND(SUM(G14:G23),3)</f>
        <v>4239.5929999999998</v>
      </c>
      <c r="H24" s="438"/>
      <c r="I24" s="437">
        <f>ROUND(SUM(I14:I23),3)</f>
        <v>3530.067</v>
      </c>
      <c r="J24" s="438"/>
      <c r="K24" s="437">
        <f>ROUND(SUM(K14:K23),3)</f>
        <v>10817.987999999999</v>
      </c>
      <c r="L24" s="3150"/>
      <c r="M24" s="2188"/>
      <c r="N24" s="2188"/>
    </row>
    <row r="25" spans="1:14" ht="8.25" customHeight="1">
      <c r="A25" s="436"/>
      <c r="B25" s="740"/>
      <c r="C25" s="739"/>
      <c r="D25" s="655"/>
      <c r="E25" s="739"/>
      <c r="F25" s="655"/>
      <c r="G25" s="739"/>
      <c r="H25" s="655"/>
      <c r="I25" s="739"/>
      <c r="J25" s="655"/>
      <c r="K25" s="739"/>
      <c r="L25" s="739"/>
      <c r="M25" s="2188"/>
      <c r="N25" s="2188"/>
    </row>
    <row r="26" spans="1:14" ht="17.25">
      <c r="A26" s="741"/>
      <c r="B26" s="740"/>
      <c r="C26" s="742"/>
      <c r="D26" s="740"/>
      <c r="E26" s="742"/>
      <c r="F26" s="696"/>
      <c r="G26" s="742"/>
      <c r="H26" s="696"/>
      <c r="I26" s="742"/>
      <c r="J26" s="740"/>
      <c r="K26" s="743"/>
      <c r="L26" s="743"/>
      <c r="M26" s="2188"/>
      <c r="N26" s="2188"/>
    </row>
    <row r="27" spans="1:14" ht="17.25">
      <c r="A27" s="439" t="s">
        <v>886</v>
      </c>
      <c r="B27" s="740"/>
      <c r="C27" s="740"/>
      <c r="D27" s="740"/>
      <c r="E27" s="740"/>
      <c r="F27" s="696"/>
      <c r="G27" s="740"/>
      <c r="H27" s="696"/>
      <c r="I27" s="740"/>
      <c r="J27" s="740"/>
      <c r="K27" s="740"/>
      <c r="L27" s="742"/>
      <c r="M27" s="2188"/>
      <c r="N27" s="2188"/>
    </row>
    <row r="28" spans="1:14">
      <c r="A28" s="741" t="s">
        <v>251</v>
      </c>
      <c r="B28" s="740"/>
      <c r="C28" s="1739">
        <v>0.83299999999999996</v>
      </c>
      <c r="D28" s="1736"/>
      <c r="E28" s="1739">
        <v>1E-3</v>
      </c>
      <c r="F28" s="1736"/>
      <c r="G28" s="1739">
        <v>5.0000000000000001E-3</v>
      </c>
      <c r="H28" s="1736"/>
      <c r="I28" s="1739">
        <v>0</v>
      </c>
      <c r="J28" s="1769"/>
      <c r="K28" s="655">
        <f t="shared" ref="K28:K33" si="1">ROUND(SUM(C28)+SUM(E28)-SUM(G28)+SUM(I28),3)</f>
        <v>0.82899999999999996</v>
      </c>
      <c r="L28" s="3231"/>
      <c r="M28" s="2188"/>
    </row>
    <row r="29" spans="1:14">
      <c r="A29" s="741" t="s">
        <v>252</v>
      </c>
      <c r="B29" s="740"/>
      <c r="C29" s="1739">
        <v>68.7</v>
      </c>
      <c r="D29" s="1736"/>
      <c r="E29" s="1739">
        <v>0.63300000000000001</v>
      </c>
      <c r="F29" s="1736"/>
      <c r="G29" s="1739">
        <v>0.75600000000000001</v>
      </c>
      <c r="H29" s="1736"/>
      <c r="I29" s="1739">
        <v>0</v>
      </c>
      <c r="J29" s="1769"/>
      <c r="K29" s="655">
        <f>ROUND(SUM(C29)+SUM(E29)-SUM(G29)+SUM(I29),3)</f>
        <v>68.576999999999998</v>
      </c>
      <c r="L29" s="3231"/>
      <c r="M29" s="2188"/>
      <c r="N29" s="2188"/>
    </row>
    <row r="30" spans="1:14">
      <c r="A30" s="740" t="s">
        <v>253</v>
      </c>
      <c r="B30" s="3147" t="s">
        <v>234</v>
      </c>
      <c r="C30" s="1739">
        <v>94.237000000000009</v>
      </c>
      <c r="D30" s="1736"/>
      <c r="E30" s="1739">
        <v>5.6379999999999999</v>
      </c>
      <c r="F30" s="1736"/>
      <c r="G30" s="1739">
        <v>4.9219999999999997</v>
      </c>
      <c r="H30" s="1736"/>
      <c r="I30" s="1739">
        <v>0</v>
      </c>
      <c r="J30" s="1769"/>
      <c r="K30" s="655">
        <f t="shared" si="1"/>
        <v>94.953000000000003</v>
      </c>
      <c r="L30" s="3231"/>
      <c r="M30" s="2188"/>
      <c r="N30" s="2188"/>
    </row>
    <row r="31" spans="1:14">
      <c r="A31" s="741" t="s">
        <v>254</v>
      </c>
      <c r="B31" s="3147"/>
      <c r="C31" s="1739">
        <v>5.6000000000000001E-2</v>
      </c>
      <c r="D31" s="1736"/>
      <c r="E31" s="1739">
        <v>0.06</v>
      </c>
      <c r="F31" s="1736"/>
      <c r="G31" s="1739">
        <v>3.7999999999999999E-2</v>
      </c>
      <c r="H31" s="1736"/>
      <c r="I31" s="1739">
        <v>0</v>
      </c>
      <c r="J31" s="1769"/>
      <c r="K31" s="655">
        <f t="shared" si="1"/>
        <v>7.8E-2</v>
      </c>
      <c r="L31" s="3231"/>
      <c r="M31" s="2188"/>
      <c r="N31" s="2188"/>
    </row>
    <row r="32" spans="1:14">
      <c r="A32" s="741" t="s">
        <v>255</v>
      </c>
      <c r="B32" s="3147"/>
      <c r="C32" s="1739">
        <v>0.188</v>
      </c>
      <c r="D32" s="1736"/>
      <c r="E32" s="1739">
        <v>5.0000000000000001E-3</v>
      </c>
      <c r="F32" s="1736"/>
      <c r="G32" s="1739">
        <v>5.6000000000000001E-2</v>
      </c>
      <c r="H32" s="1736"/>
      <c r="I32" s="1739">
        <v>0</v>
      </c>
      <c r="J32" s="1769"/>
      <c r="K32" s="655">
        <f>ROUND(SUM(C32)+SUM(E32)-SUM(G32)+SUM(I32),3)</f>
        <v>0.13700000000000001</v>
      </c>
      <c r="L32" s="3231"/>
      <c r="M32" s="2188"/>
      <c r="N32" s="2188"/>
    </row>
    <row r="33" spans="1:14">
      <c r="A33" s="740" t="s">
        <v>256</v>
      </c>
      <c r="B33" s="740"/>
      <c r="C33" s="1739">
        <v>7.9340000000000002</v>
      </c>
      <c r="D33" s="1736"/>
      <c r="E33" s="1739">
        <v>0.157</v>
      </c>
      <c r="F33" s="1736"/>
      <c r="G33" s="1739">
        <v>0.38400000000000001</v>
      </c>
      <c r="H33" s="1736"/>
      <c r="I33" s="1739">
        <v>0</v>
      </c>
      <c r="J33" s="1769"/>
      <c r="K33" s="655">
        <f t="shared" si="1"/>
        <v>7.7069999999999999</v>
      </c>
      <c r="L33" s="3231"/>
      <c r="M33" s="2188"/>
      <c r="N33" s="2188"/>
    </row>
    <row r="34" spans="1:14">
      <c r="A34" s="740" t="s">
        <v>257</v>
      </c>
      <c r="B34" s="740"/>
      <c r="C34" s="3607"/>
      <c r="D34" s="1767"/>
      <c r="E34" s="1768"/>
      <c r="F34" s="1768"/>
      <c r="G34" s="1768"/>
      <c r="H34" s="1768"/>
      <c r="I34" s="1768"/>
      <c r="J34" s="440"/>
      <c r="K34" s="1540"/>
      <c r="L34" s="2187"/>
      <c r="M34" s="2188"/>
      <c r="N34" s="2188"/>
    </row>
    <row r="35" spans="1:14">
      <c r="A35" s="740" t="s">
        <v>258</v>
      </c>
      <c r="B35" s="740"/>
      <c r="C35" s="1739">
        <v>3.8279999999999998</v>
      </c>
      <c r="D35" s="1736"/>
      <c r="E35" s="1739">
        <v>0.69799999999999995</v>
      </c>
      <c r="F35" s="1736"/>
      <c r="G35" s="1739">
        <v>0.55600000000000005</v>
      </c>
      <c r="H35" s="1736"/>
      <c r="I35" s="1739">
        <v>0</v>
      </c>
      <c r="J35" s="1769"/>
      <c r="K35" s="655">
        <f>ROUND(SUM(C35)+SUM(E35)-SUM(G35)+SUM(I35),3)</f>
        <v>3.97</v>
      </c>
      <c r="L35" s="2186"/>
      <c r="M35" s="2188"/>
      <c r="N35" s="2188"/>
    </row>
    <row r="36" spans="1:14">
      <c r="A36" s="740" t="s">
        <v>259</v>
      </c>
      <c r="B36" s="740"/>
      <c r="C36" s="1739">
        <v>0.23499999999999999</v>
      </c>
      <c r="D36" s="1736"/>
      <c r="E36" s="1739">
        <v>2107.4</v>
      </c>
      <c r="F36" s="1736"/>
      <c r="G36" s="1739">
        <v>2107.4170000000004</v>
      </c>
      <c r="H36" s="1736"/>
      <c r="I36" s="1739">
        <v>0</v>
      </c>
      <c r="J36" s="1769"/>
      <c r="K36" s="655">
        <f t="shared" ref="K36:K59" si="2">ROUND(SUM(C36)+SUM(E36)-SUM(G36)+SUM(I36),3)</f>
        <v>0.218</v>
      </c>
      <c r="L36" s="3231"/>
      <c r="M36" s="2188"/>
      <c r="N36" s="2188"/>
    </row>
    <row r="37" spans="1:14">
      <c r="A37" s="740" t="s">
        <v>260</v>
      </c>
      <c r="B37" s="740"/>
      <c r="C37" s="1739">
        <v>1.2450000000000001</v>
      </c>
      <c r="D37" s="1736"/>
      <c r="E37" s="1739">
        <v>2E-3</v>
      </c>
      <c r="F37" s="1736"/>
      <c r="G37" s="1739">
        <v>0</v>
      </c>
      <c r="H37" s="1736"/>
      <c r="I37" s="1739">
        <v>0</v>
      </c>
      <c r="J37" s="1769"/>
      <c r="K37" s="655">
        <f t="shared" si="2"/>
        <v>1.2470000000000001</v>
      </c>
      <c r="L37" s="3231"/>
      <c r="M37" s="2188"/>
      <c r="N37" s="2188"/>
    </row>
    <row r="38" spans="1:14">
      <c r="A38" s="2110" t="s">
        <v>261</v>
      </c>
      <c r="B38" s="3151"/>
      <c r="C38" s="1739">
        <v>0</v>
      </c>
      <c r="D38" s="1736"/>
      <c r="E38" s="1739">
        <v>0</v>
      </c>
      <c r="F38" s="1736"/>
      <c r="G38" s="1739">
        <v>0</v>
      </c>
      <c r="H38" s="1736"/>
      <c r="I38" s="1739">
        <v>0</v>
      </c>
      <c r="J38" s="1769"/>
      <c r="K38" s="655">
        <f t="shared" si="2"/>
        <v>0</v>
      </c>
      <c r="L38" s="3231"/>
      <c r="M38" s="2188"/>
      <c r="N38" s="2188"/>
    </row>
    <row r="39" spans="1:14">
      <c r="A39" s="741" t="s">
        <v>262</v>
      </c>
      <c r="B39" s="740"/>
      <c r="C39" s="1739">
        <v>213.101</v>
      </c>
      <c r="D39" s="1736"/>
      <c r="E39" s="1739">
        <v>544.68100000000004</v>
      </c>
      <c r="F39" s="1736"/>
      <c r="G39" s="1739">
        <v>526.89700000000005</v>
      </c>
      <c r="H39" s="1736"/>
      <c r="I39" s="1739">
        <v>-0.42799999999999999</v>
      </c>
      <c r="J39" s="1769"/>
      <c r="K39" s="655">
        <f t="shared" si="2"/>
        <v>230.45699999999999</v>
      </c>
      <c r="L39" s="2186"/>
      <c r="M39" s="2188"/>
      <c r="N39" s="2188"/>
    </row>
    <row r="40" spans="1:14">
      <c r="A40" s="740" t="s">
        <v>263</v>
      </c>
      <c r="B40" s="740"/>
      <c r="C40" s="1739">
        <v>80.956000000000003</v>
      </c>
      <c r="D40" s="1736"/>
      <c r="E40" s="1770">
        <v>51.158999999999999</v>
      </c>
      <c r="F40" s="1736"/>
      <c r="G40" s="1739">
        <v>61.7</v>
      </c>
      <c r="H40" s="1736"/>
      <c r="I40" s="1739">
        <v>0</v>
      </c>
      <c r="J40" s="1769"/>
      <c r="K40" s="655">
        <f t="shared" si="2"/>
        <v>70.415000000000006</v>
      </c>
      <c r="L40" s="3231"/>
      <c r="M40" s="2188"/>
    </row>
    <row r="41" spans="1:14">
      <c r="A41" s="741" t="s">
        <v>264</v>
      </c>
      <c r="B41" s="740"/>
      <c r="C41" s="1739">
        <v>-369.63200000000001</v>
      </c>
      <c r="D41" s="1736"/>
      <c r="E41" s="1739">
        <v>321.11399999999998</v>
      </c>
      <c r="F41" s="1736"/>
      <c r="G41" s="1739">
        <v>149.93799999999999</v>
      </c>
      <c r="H41" s="1736"/>
      <c r="I41" s="1739">
        <v>0</v>
      </c>
      <c r="J41" s="1769"/>
      <c r="K41" s="655">
        <f t="shared" si="2"/>
        <v>-198.45599999999999</v>
      </c>
      <c r="L41" s="3231"/>
      <c r="M41" s="2188"/>
      <c r="N41" s="2188"/>
    </row>
    <row r="42" spans="1:14">
      <c r="A42" s="741" t="s">
        <v>265</v>
      </c>
      <c r="B42" s="740"/>
      <c r="C42" s="1739">
        <v>45.335000000000001</v>
      </c>
      <c r="D42" s="1736"/>
      <c r="E42" s="1739">
        <v>-24.22</v>
      </c>
      <c r="F42" s="1736"/>
      <c r="G42" s="1739">
        <v>3.6840000000000002</v>
      </c>
      <c r="H42" s="1736"/>
      <c r="I42" s="1739">
        <v>0</v>
      </c>
      <c r="J42" s="1769"/>
      <c r="K42" s="655">
        <f t="shared" si="2"/>
        <v>17.431000000000001</v>
      </c>
      <c r="L42" s="3231"/>
      <c r="M42" s="2188"/>
      <c r="N42" s="2188"/>
    </row>
    <row r="43" spans="1:14">
      <c r="A43" s="740" t="s">
        <v>266</v>
      </c>
      <c r="B43" s="740"/>
      <c r="C43" s="1739">
        <v>-3.9650000000000003</v>
      </c>
      <c r="D43" s="1736"/>
      <c r="E43" s="1739">
        <v>0</v>
      </c>
      <c r="F43" s="1736"/>
      <c r="G43" s="1739">
        <v>0.09</v>
      </c>
      <c r="H43" s="1736"/>
      <c r="I43" s="1739">
        <v>0</v>
      </c>
      <c r="J43" s="1769"/>
      <c r="K43" s="655">
        <f t="shared" si="2"/>
        <v>-4.0549999999999997</v>
      </c>
      <c r="L43" s="3231"/>
      <c r="M43" s="2188"/>
      <c r="N43" s="2188"/>
    </row>
    <row r="44" spans="1:14">
      <c r="A44" s="740" t="s">
        <v>1219</v>
      </c>
      <c r="B44" s="740"/>
      <c r="C44" s="1739">
        <v>3.0640000000000001</v>
      </c>
      <c r="D44" s="1736"/>
      <c r="E44" s="1739">
        <v>7.681</v>
      </c>
      <c r="F44" s="1736"/>
      <c r="G44" s="1739">
        <v>6.7110000000000003</v>
      </c>
      <c r="H44" s="1736"/>
      <c r="I44" s="1739">
        <v>0</v>
      </c>
      <c r="J44" s="1769"/>
      <c r="K44" s="655">
        <f t="shared" si="2"/>
        <v>4.0339999999999998</v>
      </c>
      <c r="L44" s="2186"/>
      <c r="M44" s="2188"/>
      <c r="N44" s="2188"/>
    </row>
    <row r="45" spans="1:14">
      <c r="A45" s="740" t="s">
        <v>267</v>
      </c>
      <c r="B45" s="740"/>
      <c r="C45" s="1739">
        <v>88.653999999999996</v>
      </c>
      <c r="D45" s="1736"/>
      <c r="E45" s="1739">
        <v>1.0429999999999999</v>
      </c>
      <c r="F45" s="1736"/>
      <c r="G45" s="1739">
        <v>3.1440000000000001</v>
      </c>
      <c r="H45" s="1736"/>
      <c r="I45" s="1739">
        <v>0</v>
      </c>
      <c r="J45" s="1769"/>
      <c r="K45" s="655">
        <f t="shared" si="2"/>
        <v>86.552999999999997</v>
      </c>
      <c r="L45" s="3231"/>
      <c r="M45" s="2188"/>
      <c r="N45" s="2188"/>
    </row>
    <row r="46" spans="1:14">
      <c r="A46" s="740" t="s">
        <v>268</v>
      </c>
      <c r="B46" s="740"/>
      <c r="C46" s="1739">
        <v>28.378</v>
      </c>
      <c r="D46" s="1736"/>
      <c r="E46" s="1739">
        <v>3.5129999999999999</v>
      </c>
      <c r="F46" s="1736"/>
      <c r="G46" s="1739">
        <v>2.5569999999999999</v>
      </c>
      <c r="H46" s="1736"/>
      <c r="I46" s="1739">
        <v>-2.4329999999999998</v>
      </c>
      <c r="J46" s="1769"/>
      <c r="K46" s="655">
        <f t="shared" si="2"/>
        <v>26.901</v>
      </c>
      <c r="L46" s="3231"/>
      <c r="M46" s="2188"/>
      <c r="N46" s="2188"/>
    </row>
    <row r="47" spans="1:14">
      <c r="A47" s="740" t="s">
        <v>269</v>
      </c>
      <c r="B47" s="740"/>
      <c r="C47" s="1739">
        <v>8.5169999999999995</v>
      </c>
      <c r="D47" s="1736"/>
      <c r="E47" s="1739">
        <v>3.8319999999999999</v>
      </c>
      <c r="F47" s="1736"/>
      <c r="G47" s="1739">
        <v>4.8680000000000003</v>
      </c>
      <c r="H47" s="1736"/>
      <c r="I47" s="1739">
        <v>0</v>
      </c>
      <c r="J47" s="1769"/>
      <c r="K47" s="655">
        <f t="shared" si="2"/>
        <v>7.4809999999999999</v>
      </c>
      <c r="L47" s="3231"/>
      <c r="M47" s="2188"/>
      <c r="N47" s="2188"/>
    </row>
    <row r="48" spans="1:14">
      <c r="A48" s="740" t="s">
        <v>270</v>
      </c>
      <c r="B48" s="740"/>
      <c r="C48" s="1739">
        <v>5.9669999999999996</v>
      </c>
      <c r="D48" s="1736"/>
      <c r="E48" s="1739">
        <v>5.306</v>
      </c>
      <c r="F48" s="1736"/>
      <c r="G48" s="1739">
        <v>6.2E-2</v>
      </c>
      <c r="H48" s="1736"/>
      <c r="I48" s="1739">
        <v>0</v>
      </c>
      <c r="J48" s="1769"/>
      <c r="K48" s="655">
        <f t="shared" si="2"/>
        <v>11.211</v>
      </c>
      <c r="L48" s="3231"/>
      <c r="M48" s="2188"/>
      <c r="N48" s="2188"/>
    </row>
    <row r="49" spans="1:14">
      <c r="A49" s="741" t="s">
        <v>271</v>
      </c>
      <c r="B49" s="740"/>
      <c r="C49" s="1739">
        <v>0.54900000000000004</v>
      </c>
      <c r="D49" s="1736"/>
      <c r="E49" s="1739">
        <v>2E-3</v>
      </c>
      <c r="F49" s="1736"/>
      <c r="G49" s="1739">
        <v>2E-3</v>
      </c>
      <c r="H49" s="1736"/>
      <c r="I49" s="1739">
        <v>0</v>
      </c>
      <c r="J49" s="1769"/>
      <c r="K49" s="655">
        <f t="shared" si="2"/>
        <v>0.54900000000000004</v>
      </c>
      <c r="L49" s="3231"/>
      <c r="M49" s="2188"/>
      <c r="N49" s="2188"/>
    </row>
    <row r="50" spans="1:14">
      <c r="A50" s="740" t="s">
        <v>272</v>
      </c>
      <c r="B50" s="740"/>
      <c r="C50" s="1739">
        <v>-226.74199999999999</v>
      </c>
      <c r="D50" s="1736"/>
      <c r="E50" s="1739">
        <v>131.76599999999999</v>
      </c>
      <c r="F50" s="1736"/>
      <c r="G50" s="1739">
        <v>1.3109999999999999</v>
      </c>
      <c r="H50" s="1736"/>
      <c r="I50" s="1739">
        <v>5.8000000000000003E-2</v>
      </c>
      <c r="J50" s="1769"/>
      <c r="K50" s="655">
        <f t="shared" si="2"/>
        <v>-96.228999999999999</v>
      </c>
      <c r="L50" s="3231"/>
      <c r="M50" s="2188"/>
      <c r="N50" s="2188"/>
    </row>
    <row r="51" spans="1:14">
      <c r="A51" s="740" t="s">
        <v>273</v>
      </c>
      <c r="B51" s="740"/>
      <c r="C51" s="1739">
        <v>-34.463999999999999</v>
      </c>
      <c r="D51" s="1736"/>
      <c r="E51" s="1739">
        <v>6.048</v>
      </c>
      <c r="F51" s="1736"/>
      <c r="G51" s="1739">
        <v>3.22</v>
      </c>
      <c r="H51" s="1736"/>
      <c r="I51" s="1739">
        <v>0</v>
      </c>
      <c r="J51" s="1769"/>
      <c r="K51" s="655">
        <f t="shared" si="2"/>
        <v>-31.635999999999999</v>
      </c>
      <c r="L51" s="3231"/>
      <c r="M51" s="2188"/>
      <c r="N51" s="2188"/>
    </row>
    <row r="52" spans="1:14">
      <c r="A52" s="740" t="s">
        <v>274</v>
      </c>
      <c r="B52" s="740"/>
      <c r="C52" s="1739">
        <v>7.0999999999999994E-2</v>
      </c>
      <c r="D52" s="1736"/>
      <c r="E52" s="1739">
        <v>0</v>
      </c>
      <c r="F52" s="1736"/>
      <c r="G52" s="1739">
        <v>0</v>
      </c>
      <c r="H52" s="1736"/>
      <c r="I52" s="1739">
        <v>0</v>
      </c>
      <c r="J52" s="1769"/>
      <c r="K52" s="655">
        <f t="shared" si="2"/>
        <v>7.0999999999999994E-2</v>
      </c>
      <c r="L52" s="3231"/>
      <c r="M52" s="2188"/>
      <c r="N52" s="2188"/>
    </row>
    <row r="53" spans="1:14">
      <c r="A53" s="740" t="s">
        <v>1001</v>
      </c>
      <c r="B53" s="740"/>
      <c r="C53" s="1739">
        <v>11.895</v>
      </c>
      <c r="D53" s="1736"/>
      <c r="E53" s="1739">
        <v>0.126</v>
      </c>
      <c r="F53" s="1736"/>
      <c r="G53" s="1739">
        <v>2.3E-2</v>
      </c>
      <c r="H53" s="1736"/>
      <c r="I53" s="1739">
        <v>0</v>
      </c>
      <c r="J53" s="1769"/>
      <c r="K53" s="655">
        <f t="shared" si="2"/>
        <v>11.997999999999999</v>
      </c>
      <c r="L53" s="3231"/>
      <c r="M53" s="2188"/>
      <c r="N53" s="2188"/>
    </row>
    <row r="54" spans="1:14">
      <c r="A54" s="740" t="s">
        <v>275</v>
      </c>
      <c r="B54" s="740"/>
      <c r="C54" s="1739">
        <v>0</v>
      </c>
      <c r="D54" s="1736"/>
      <c r="E54" s="1739">
        <v>0</v>
      </c>
      <c r="F54" s="1736"/>
      <c r="G54" s="1739">
        <v>0</v>
      </c>
      <c r="H54" s="1736"/>
      <c r="I54" s="1739">
        <v>0</v>
      </c>
      <c r="J54" s="1769"/>
      <c r="K54" s="655">
        <f t="shared" si="2"/>
        <v>0</v>
      </c>
      <c r="L54" s="3231"/>
      <c r="M54" s="2188"/>
    </row>
    <row r="55" spans="1:14">
      <c r="A55" s="741" t="s">
        <v>276</v>
      </c>
      <c r="B55" s="740"/>
      <c r="C55" s="1739">
        <v>0.46600000000000003</v>
      </c>
      <c r="D55" s="1736"/>
      <c r="E55" s="1739">
        <v>0</v>
      </c>
      <c r="F55" s="1736"/>
      <c r="G55" s="1739">
        <v>0</v>
      </c>
      <c r="H55" s="1736"/>
      <c r="I55" s="1739">
        <v>0</v>
      </c>
      <c r="J55" s="1769"/>
      <c r="K55" s="655">
        <f t="shared" si="2"/>
        <v>0.46600000000000003</v>
      </c>
      <c r="L55" s="2186"/>
      <c r="M55" s="2188"/>
      <c r="N55" s="2188"/>
    </row>
    <row r="56" spans="1:14">
      <c r="A56" s="741" t="s">
        <v>277</v>
      </c>
      <c r="B56" s="740"/>
      <c r="C56" s="1739">
        <v>0</v>
      </c>
      <c r="D56" s="1736"/>
      <c r="E56" s="1739">
        <v>0</v>
      </c>
      <c r="F56" s="1736"/>
      <c r="G56" s="1739">
        <v>0</v>
      </c>
      <c r="H56" s="1736"/>
      <c r="I56" s="1739">
        <v>0</v>
      </c>
      <c r="J56" s="1769"/>
      <c r="K56" s="655">
        <f t="shared" si="2"/>
        <v>0</v>
      </c>
      <c r="L56" s="3231"/>
      <c r="M56" s="2188"/>
      <c r="N56" s="2188"/>
    </row>
    <row r="57" spans="1:14">
      <c r="A57" s="741" t="s">
        <v>278</v>
      </c>
      <c r="B57" s="740"/>
      <c r="C57" s="1739">
        <v>1E-3</v>
      </c>
      <c r="D57" s="1736"/>
      <c r="E57" s="1739">
        <v>0</v>
      </c>
      <c r="F57" s="1736"/>
      <c r="G57" s="1739">
        <v>0</v>
      </c>
      <c r="H57" s="1736"/>
      <c r="I57" s="1739">
        <v>0</v>
      </c>
      <c r="J57" s="1769"/>
      <c r="K57" s="655">
        <f t="shared" si="2"/>
        <v>1E-3</v>
      </c>
      <c r="L57" s="3231"/>
      <c r="M57" s="2188"/>
      <c r="N57" s="2188"/>
    </row>
    <row r="58" spans="1:14">
      <c r="A58" s="741" t="s">
        <v>1405</v>
      </c>
      <c r="B58" s="740"/>
      <c r="C58" s="1739">
        <v>0.97599999999999998</v>
      </c>
      <c r="D58" s="1736"/>
      <c r="E58" s="1739">
        <v>2E-3</v>
      </c>
      <c r="F58" s="1736"/>
      <c r="G58" s="1739">
        <v>0</v>
      </c>
      <c r="H58" s="1736"/>
      <c r="I58" s="1739">
        <v>0</v>
      </c>
      <c r="J58" s="1769"/>
      <c r="K58" s="655">
        <f t="shared" si="2"/>
        <v>0.97799999999999998</v>
      </c>
      <c r="L58" s="3231"/>
      <c r="M58" s="2188"/>
      <c r="N58" s="2188"/>
    </row>
    <row r="59" spans="1:14">
      <c r="A59" s="741" t="s">
        <v>279</v>
      </c>
      <c r="B59" s="740"/>
      <c r="C59" s="1739">
        <v>1517.0170000000001</v>
      </c>
      <c r="D59" s="1736"/>
      <c r="E59" s="1739">
        <v>284.89499999999998</v>
      </c>
      <c r="F59" s="1736"/>
      <c r="G59" s="1739">
        <v>313.16199999999998</v>
      </c>
      <c r="H59" s="1736"/>
      <c r="I59" s="1739">
        <v>16.995999999999999</v>
      </c>
      <c r="J59" s="1769"/>
      <c r="K59" s="655">
        <f t="shared" si="2"/>
        <v>1505.7460000000001</v>
      </c>
      <c r="L59" s="3231"/>
      <c r="M59" s="3152"/>
      <c r="N59" s="2188"/>
    </row>
    <row r="60" spans="1:14">
      <c r="A60" s="740" t="s">
        <v>280</v>
      </c>
      <c r="B60" s="740"/>
      <c r="C60" s="1739">
        <v>32.313000000000002</v>
      </c>
      <c r="D60" s="1736"/>
      <c r="E60" s="1739">
        <v>2.5999999999999999E-2</v>
      </c>
      <c r="F60" s="1736"/>
      <c r="G60" s="1739">
        <v>9.3030000000000008</v>
      </c>
      <c r="H60" s="1736"/>
      <c r="I60" s="1739">
        <v>0</v>
      </c>
      <c r="J60" s="1769"/>
      <c r="K60" s="655">
        <f>ROUND(SUM(C60)+SUM(E60)-SUM(G60)+SUM(I60),3)</f>
        <v>23.036000000000001</v>
      </c>
      <c r="L60" s="3231"/>
      <c r="M60" s="745"/>
      <c r="N60" s="2188"/>
    </row>
    <row r="61" spans="1:14">
      <c r="A61" s="740"/>
      <c r="B61" s="740"/>
      <c r="C61" s="1739"/>
      <c r="D61" s="1736"/>
      <c r="E61" s="1739"/>
      <c r="F61" s="1736"/>
      <c r="G61" s="1739"/>
      <c r="H61" s="1736"/>
      <c r="I61" s="1739"/>
      <c r="J61" s="1769"/>
      <c r="K61" s="655"/>
      <c r="L61" s="2186"/>
      <c r="M61" s="439"/>
      <c r="N61" s="2188"/>
    </row>
    <row r="62" spans="1:14">
      <c r="A62" s="439" t="s">
        <v>934</v>
      </c>
      <c r="B62" s="740"/>
      <c r="C62" s="1739"/>
      <c r="D62" s="1736"/>
      <c r="E62" s="1739"/>
      <c r="F62" s="1736"/>
      <c r="G62" s="1739"/>
      <c r="H62" s="1736"/>
      <c r="I62" s="1739"/>
      <c r="J62" s="1769"/>
      <c r="K62" s="655"/>
      <c r="L62" s="2186"/>
      <c r="M62" s="439"/>
      <c r="N62" s="2188"/>
    </row>
    <row r="63" spans="1:14">
      <c r="A63" s="740" t="s">
        <v>281</v>
      </c>
      <c r="B63" s="1769"/>
      <c r="C63" s="1739">
        <v>5.1999999999999998E-2</v>
      </c>
      <c r="D63" s="1736"/>
      <c r="E63" s="1739">
        <v>0</v>
      </c>
      <c r="F63" s="1736"/>
      <c r="G63" s="1739">
        <v>0</v>
      </c>
      <c r="H63" s="1736"/>
      <c r="I63" s="1739">
        <v>0</v>
      </c>
      <c r="J63" s="1769"/>
      <c r="K63" s="655">
        <f>ROUND(SUM(C63)+SUM(E63)-SUM(G63)+SUM(I63),3)</f>
        <v>5.1999999999999998E-2</v>
      </c>
      <c r="L63" s="2186"/>
      <c r="M63" s="2188"/>
      <c r="N63" s="2188"/>
    </row>
    <row r="64" spans="1:14">
      <c r="A64" s="740" t="s">
        <v>282</v>
      </c>
      <c r="B64" s="740"/>
      <c r="C64" s="1739">
        <v>1413.0129999999999</v>
      </c>
      <c r="D64" s="1736"/>
      <c r="E64" s="1739">
        <v>554.25400000000002</v>
      </c>
      <c r="F64" s="1736"/>
      <c r="G64" s="1739">
        <v>558.21900000000005</v>
      </c>
      <c r="H64" s="1736"/>
      <c r="I64" s="1739">
        <v>35.58</v>
      </c>
      <c r="J64" s="1769"/>
      <c r="K64" s="655">
        <f>ROUND(SUM(C64)+SUM(E64)-SUM(G64)+SUM(I64),3)</f>
        <v>1444.6279999999999</v>
      </c>
      <c r="L64" s="3231"/>
      <c r="M64" s="2188"/>
      <c r="N64" s="2188"/>
    </row>
    <row r="65" spans="1:14">
      <c r="A65" s="741" t="s">
        <v>283</v>
      </c>
      <c r="B65" s="740"/>
      <c r="C65" s="1739">
        <v>14.667</v>
      </c>
      <c r="D65" s="1736"/>
      <c r="E65" s="1739">
        <v>0.71799999999999997</v>
      </c>
      <c r="F65" s="1736"/>
      <c r="G65" s="1739">
        <v>0.13300000000000001</v>
      </c>
      <c r="H65" s="1736"/>
      <c r="I65" s="1739">
        <v>0</v>
      </c>
      <c r="J65" s="1769"/>
      <c r="K65" s="655">
        <f>ROUND(SUM(C65)+SUM(E65)-SUM(G65)+SUM(I65),3)</f>
        <v>15.252000000000001</v>
      </c>
      <c r="L65" s="3231"/>
      <c r="M65" s="2188"/>
      <c r="N65" s="2188"/>
    </row>
    <row r="66" spans="1:14">
      <c r="A66" s="740" t="s">
        <v>284</v>
      </c>
      <c r="B66" s="740"/>
      <c r="C66" s="1739">
        <v>0.25800000000000001</v>
      </c>
      <c r="D66" s="1736"/>
      <c r="E66" s="1739">
        <v>0</v>
      </c>
      <c r="F66" s="1736"/>
      <c r="G66" s="1739">
        <v>6.9000000000000006E-2</v>
      </c>
      <c r="H66" s="1736"/>
      <c r="I66" s="1739">
        <v>0</v>
      </c>
      <c r="J66" s="1769"/>
      <c r="K66" s="655">
        <f>ROUND(SUM(C66)+SUM(E66)-SUM(G66)+SUM(I66),3)</f>
        <v>0.189</v>
      </c>
      <c r="L66" s="3231"/>
      <c r="M66" s="2188"/>
      <c r="N66" s="2188"/>
    </row>
    <row r="67" spans="1:14">
      <c r="A67" s="740" t="s">
        <v>285</v>
      </c>
      <c r="B67" s="740"/>
      <c r="C67" s="3607"/>
      <c r="D67" s="1767"/>
      <c r="E67" s="1770"/>
      <c r="F67" s="1771"/>
      <c r="G67" s="1770"/>
      <c r="H67" s="1771"/>
      <c r="I67" s="1772"/>
      <c r="J67" s="740"/>
      <c r="K67" s="655" t="s">
        <v>15</v>
      </c>
      <c r="L67" s="3231"/>
      <c r="M67" s="2188"/>
      <c r="N67" s="2188"/>
    </row>
    <row r="68" spans="1:14">
      <c r="A68" s="740" t="s">
        <v>286</v>
      </c>
      <c r="B68" s="740"/>
      <c r="C68" s="1739">
        <v>107.801</v>
      </c>
      <c r="D68" s="1736"/>
      <c r="E68" s="1739">
        <v>17.190000000000001</v>
      </c>
      <c r="F68" s="1736"/>
      <c r="G68" s="1739">
        <v>0.74199999999999999</v>
      </c>
      <c r="H68" s="1736"/>
      <c r="I68" s="1739">
        <v>-37.472999999999999</v>
      </c>
      <c r="J68" s="1769"/>
      <c r="K68" s="655">
        <f t="shared" ref="K68:K73" si="3">ROUND(SUM(C68)+SUM(E68)-SUM(G68)+SUM(I68),3)</f>
        <v>86.775999999999996</v>
      </c>
      <c r="L68" s="3231"/>
      <c r="M68" s="2188"/>
      <c r="N68" s="745"/>
    </row>
    <row r="69" spans="1:14">
      <c r="A69" s="740" t="s">
        <v>287</v>
      </c>
      <c r="B69" s="441"/>
      <c r="C69" s="1739">
        <v>0.41599999999999998</v>
      </c>
      <c r="D69" s="1736"/>
      <c r="E69" s="1739">
        <v>1E-3</v>
      </c>
      <c r="F69" s="1736"/>
      <c r="G69" s="1739">
        <v>1.4E-2</v>
      </c>
      <c r="H69" s="1736"/>
      <c r="I69" s="1739">
        <v>0</v>
      </c>
      <c r="J69" s="1769"/>
      <c r="K69" s="655">
        <f t="shared" si="3"/>
        <v>0.40300000000000002</v>
      </c>
      <c r="L69" s="3231"/>
      <c r="M69" s="2188"/>
      <c r="N69" s="2188"/>
    </row>
    <row r="70" spans="1:14">
      <c r="A70" s="740" t="s">
        <v>288</v>
      </c>
      <c r="B70" s="740"/>
      <c r="C70" s="1739">
        <v>2.4E-2</v>
      </c>
      <c r="D70" s="1736"/>
      <c r="E70" s="1739">
        <v>0</v>
      </c>
      <c r="F70" s="1736"/>
      <c r="G70" s="1739">
        <v>0</v>
      </c>
      <c r="H70" s="1736"/>
      <c r="I70" s="1739">
        <v>0</v>
      </c>
      <c r="J70" s="1769"/>
      <c r="K70" s="655">
        <f t="shared" si="3"/>
        <v>2.4E-2</v>
      </c>
      <c r="L70" s="3231"/>
      <c r="M70" s="2188"/>
      <c r="N70" s="2188"/>
    </row>
    <row r="71" spans="1:14">
      <c r="A71" s="741" t="s">
        <v>289</v>
      </c>
      <c r="B71" s="740"/>
      <c r="C71" s="1739">
        <v>9.2829999999999995</v>
      </c>
      <c r="D71" s="1736"/>
      <c r="E71" s="1739">
        <v>1.2999999999999999E-2</v>
      </c>
      <c r="F71" s="1736"/>
      <c r="G71" s="1739">
        <v>-0.79400000000000004</v>
      </c>
      <c r="H71" s="1736"/>
      <c r="I71" s="1739">
        <v>0</v>
      </c>
      <c r="J71" s="1769"/>
      <c r="K71" s="655">
        <f t="shared" si="3"/>
        <v>10.09</v>
      </c>
      <c r="L71" s="3231"/>
      <c r="M71" s="2188"/>
      <c r="N71" s="2188"/>
    </row>
    <row r="72" spans="1:14">
      <c r="A72" s="740" t="s">
        <v>290</v>
      </c>
      <c r="B72" s="740"/>
      <c r="C72" s="1739">
        <v>-14.771000000000001</v>
      </c>
      <c r="D72" s="1736"/>
      <c r="E72" s="1739">
        <v>0.17699999999999999</v>
      </c>
      <c r="F72" s="1736"/>
      <c r="G72" s="1739">
        <v>0.25800000000000001</v>
      </c>
      <c r="H72" s="1736"/>
      <c r="I72" s="1739">
        <v>0</v>
      </c>
      <c r="J72" s="1769"/>
      <c r="K72" s="655">
        <f t="shared" ref="K72" si="4">ROUND(SUM(C72)+SUM(E72)-SUM(G72)+SUM(I72),3)</f>
        <v>-14.852</v>
      </c>
      <c r="L72" s="3231"/>
      <c r="M72" s="2188"/>
      <c r="N72" s="2188"/>
    </row>
    <row r="73" spans="1:14">
      <c r="A73" s="740" t="s">
        <v>291</v>
      </c>
      <c r="B73" s="740"/>
      <c r="C73" s="1739">
        <v>5.1999999999999998E-2</v>
      </c>
      <c r="D73" s="1736"/>
      <c r="E73" s="1739">
        <v>2E-3</v>
      </c>
      <c r="F73" s="1736"/>
      <c r="G73" s="1739">
        <v>0</v>
      </c>
      <c r="H73" s="1736"/>
      <c r="I73" s="1739">
        <v>0</v>
      </c>
      <c r="J73" s="1769"/>
      <c r="K73" s="655">
        <f t="shared" si="3"/>
        <v>5.3999999999999999E-2</v>
      </c>
      <c r="L73" s="2186"/>
      <c r="M73" s="2188"/>
      <c r="N73" s="2188"/>
    </row>
    <row r="74" spans="1:14">
      <c r="A74" s="740" t="s">
        <v>292</v>
      </c>
      <c r="B74" s="740"/>
      <c r="C74" s="3607"/>
      <c r="D74" s="1767"/>
      <c r="E74" s="1770"/>
      <c r="F74" s="1771"/>
      <c r="G74" s="1770"/>
      <c r="H74" s="1771"/>
      <c r="I74" s="1770"/>
      <c r="J74" s="740"/>
      <c r="K74" s="655"/>
      <c r="L74" s="2189"/>
      <c r="M74" s="2188"/>
      <c r="N74" s="2188"/>
    </row>
    <row r="75" spans="1:14">
      <c r="A75" s="740" t="s">
        <v>293</v>
      </c>
      <c r="B75" s="740"/>
      <c r="C75" s="1739">
        <v>-5.351</v>
      </c>
      <c r="D75" s="1736"/>
      <c r="E75" s="1739">
        <v>0</v>
      </c>
      <c r="F75" s="1736"/>
      <c r="G75" s="1739">
        <v>0</v>
      </c>
      <c r="H75" s="1736"/>
      <c r="I75" s="1739">
        <v>0</v>
      </c>
      <c r="J75" s="1769"/>
      <c r="K75" s="655">
        <f>ROUND(SUM(C75)+SUM(E75)-SUM(G75)+SUM(I75),3)</f>
        <v>-5.351</v>
      </c>
      <c r="L75" s="3231"/>
      <c r="M75" s="2188"/>
      <c r="N75" s="2188"/>
    </row>
    <row r="76" spans="1:14">
      <c r="A76" s="740" t="s">
        <v>294</v>
      </c>
      <c r="B76" s="740"/>
      <c r="C76" s="1739">
        <v>-53.52</v>
      </c>
      <c r="D76" s="1736"/>
      <c r="E76" s="1739">
        <v>0</v>
      </c>
      <c r="F76" s="1736"/>
      <c r="G76" s="1770">
        <v>2.4209999999999998</v>
      </c>
      <c r="H76" s="1736"/>
      <c r="I76" s="1739">
        <v>0</v>
      </c>
      <c r="J76" s="1769"/>
      <c r="K76" s="655">
        <f t="shared" ref="K76:K89" si="5">ROUND(SUM(C76)+SUM(E76)-SUM(G76)+SUM(I76),3)</f>
        <v>-55.941000000000003</v>
      </c>
      <c r="L76" s="3231"/>
      <c r="M76" s="2188"/>
      <c r="N76" s="2188"/>
    </row>
    <row r="77" spans="1:14">
      <c r="A77" s="740" t="s">
        <v>295</v>
      </c>
      <c r="B77" s="740"/>
      <c r="C77" s="1739">
        <v>47.396999999999998</v>
      </c>
      <c r="D77" s="1736"/>
      <c r="E77" s="1739">
        <v>1.895</v>
      </c>
      <c r="F77" s="1736"/>
      <c r="G77" s="1739">
        <v>2.5129999999999999</v>
      </c>
      <c r="H77" s="1736"/>
      <c r="I77" s="1739">
        <v>0</v>
      </c>
      <c r="J77" s="1769"/>
      <c r="K77" s="655">
        <f t="shared" si="5"/>
        <v>46.779000000000003</v>
      </c>
      <c r="L77" s="2186"/>
      <c r="M77" s="2188"/>
      <c r="N77" s="2188"/>
    </row>
    <row r="78" spans="1:14">
      <c r="A78" s="740" t="s">
        <v>966</v>
      </c>
      <c r="B78" s="740"/>
      <c r="C78" s="1739">
        <v>201.852</v>
      </c>
      <c r="D78" s="1736"/>
      <c r="E78" s="1739">
        <v>0.83199999999999996</v>
      </c>
      <c r="F78" s="1736"/>
      <c r="G78" s="1739">
        <v>9.9390000000000001</v>
      </c>
      <c r="H78" s="1736"/>
      <c r="I78" s="1739">
        <v>0</v>
      </c>
      <c r="J78" s="1769"/>
      <c r="K78" s="655">
        <f t="shared" si="5"/>
        <v>192.745</v>
      </c>
      <c r="L78" s="2186"/>
      <c r="M78" s="2188"/>
      <c r="N78" s="2188"/>
    </row>
    <row r="79" spans="1:14">
      <c r="A79" s="740" t="s">
        <v>296</v>
      </c>
      <c r="B79" s="740"/>
      <c r="C79" s="1739">
        <v>0.27700000000000002</v>
      </c>
      <c r="D79" s="1736"/>
      <c r="E79" s="1739">
        <v>6.0000000000000001E-3</v>
      </c>
      <c r="F79" s="1736"/>
      <c r="G79" s="1739">
        <v>0</v>
      </c>
      <c r="H79" s="1736"/>
      <c r="I79" s="1739">
        <v>0</v>
      </c>
      <c r="J79" s="1769"/>
      <c r="K79" s="655">
        <f t="shared" si="5"/>
        <v>0.28299999999999997</v>
      </c>
      <c r="L79" s="2186"/>
      <c r="M79" s="2188"/>
      <c r="N79" s="2188"/>
    </row>
    <row r="80" spans="1:14">
      <c r="A80" s="741" t="s">
        <v>297</v>
      </c>
      <c r="B80" s="740"/>
      <c r="C80" s="1739">
        <v>427.59300000000002</v>
      </c>
      <c r="D80" s="1736"/>
      <c r="E80" s="1739">
        <v>9.8409999999999993</v>
      </c>
      <c r="F80" s="1736"/>
      <c r="G80" s="1739">
        <v>3.3210000000000002</v>
      </c>
      <c r="H80" s="1736"/>
      <c r="I80" s="1739">
        <v>22.123000000000001</v>
      </c>
      <c r="J80" s="1769"/>
      <c r="K80" s="655">
        <f t="shared" si="5"/>
        <v>456.23599999999999</v>
      </c>
      <c r="L80" s="3231"/>
      <c r="M80" s="2188"/>
      <c r="N80" s="2188"/>
    </row>
    <row r="81" spans="1:15">
      <c r="A81" s="740" t="s">
        <v>298</v>
      </c>
      <c r="B81" s="740"/>
      <c r="C81" s="1739">
        <v>30.297999999999998</v>
      </c>
      <c r="D81" s="1736"/>
      <c r="E81" s="1739">
        <v>1.0640000000000001</v>
      </c>
      <c r="F81" s="1736"/>
      <c r="G81" s="1739">
        <v>0.27</v>
      </c>
      <c r="H81" s="1736"/>
      <c r="I81" s="1739">
        <v>0</v>
      </c>
      <c r="J81" s="1769"/>
      <c r="K81" s="655">
        <f t="shared" si="5"/>
        <v>31.091999999999999</v>
      </c>
      <c r="L81" s="2186"/>
      <c r="M81" s="2188"/>
      <c r="N81" s="2188"/>
    </row>
    <row r="82" spans="1:15">
      <c r="A82" s="741" t="s">
        <v>299</v>
      </c>
      <c r="B82" s="740"/>
      <c r="C82" s="1739">
        <v>76.942999999999998</v>
      </c>
      <c r="D82" s="1736"/>
      <c r="E82" s="1739">
        <v>0.13400000000000001</v>
      </c>
      <c r="F82" s="1736"/>
      <c r="G82" s="1739">
        <v>0</v>
      </c>
      <c r="H82" s="1736"/>
      <c r="I82" s="1739">
        <v>12.5</v>
      </c>
      <c r="J82" s="1769"/>
      <c r="K82" s="655">
        <f t="shared" si="5"/>
        <v>89.576999999999998</v>
      </c>
      <c r="L82" s="3231"/>
      <c r="M82" s="2188"/>
      <c r="N82" s="2188"/>
    </row>
    <row r="83" spans="1:15">
      <c r="A83" s="741" t="s">
        <v>1218</v>
      </c>
      <c r="B83" s="740"/>
      <c r="C83" s="1739">
        <v>94.379000000000005</v>
      </c>
      <c r="D83" s="1736"/>
      <c r="E83" s="1739">
        <v>18.68</v>
      </c>
      <c r="F83" s="1736"/>
      <c r="G83" s="1739">
        <v>9.6739999999999995</v>
      </c>
      <c r="H83" s="1736"/>
      <c r="I83" s="1739">
        <v>0</v>
      </c>
      <c r="J83" s="1769"/>
      <c r="K83" s="655">
        <f t="shared" si="5"/>
        <v>103.38500000000001</v>
      </c>
      <c r="L83" s="3231"/>
      <c r="M83" s="2188"/>
      <c r="N83" s="2188"/>
    </row>
    <row r="84" spans="1:15">
      <c r="A84" s="741" t="s">
        <v>1300</v>
      </c>
      <c r="B84" s="740"/>
      <c r="C84" s="1739">
        <v>8.7729999999999997</v>
      </c>
      <c r="D84" s="1736"/>
      <c r="E84" s="1739">
        <v>0.505</v>
      </c>
      <c r="F84" s="1736"/>
      <c r="G84" s="1739">
        <v>1.0860000000000001</v>
      </c>
      <c r="H84" s="1736"/>
      <c r="I84" s="1739">
        <v>0</v>
      </c>
      <c r="J84" s="1769"/>
      <c r="K84" s="655">
        <f t="shared" si="5"/>
        <v>8.1920000000000002</v>
      </c>
      <c r="L84" s="2186"/>
      <c r="M84" s="2188"/>
      <c r="N84" s="2188"/>
    </row>
    <row r="85" spans="1:15">
      <c r="A85" s="741" t="s">
        <v>1278</v>
      </c>
      <c r="B85" s="740"/>
      <c r="C85" s="1739">
        <v>2.8889999999999998</v>
      </c>
      <c r="D85" s="1736"/>
      <c r="E85" s="1739">
        <v>0.09</v>
      </c>
      <c r="F85" s="1736"/>
      <c r="G85" s="1739">
        <v>3.7999999999999999E-2</v>
      </c>
      <c r="H85" s="1736"/>
      <c r="I85" s="1739">
        <v>0</v>
      </c>
      <c r="J85" s="1769"/>
      <c r="K85" s="655">
        <f>ROUND(SUM(C85)+SUM(E85)-SUM(G85)+SUM(I85),3)</f>
        <v>2.9409999999999998</v>
      </c>
      <c r="L85" s="3231"/>
      <c r="M85" s="2188"/>
      <c r="N85" s="2188"/>
    </row>
    <row r="86" spans="1:15">
      <c r="A86" s="741" t="s">
        <v>1346</v>
      </c>
      <c r="B86" s="740"/>
      <c r="C86" s="1739">
        <v>615.83500000000004</v>
      </c>
      <c r="D86" s="1736"/>
      <c r="E86" s="1739">
        <v>400.79899999999998</v>
      </c>
      <c r="F86" s="1736"/>
      <c r="G86" s="1739">
        <v>0</v>
      </c>
      <c r="H86" s="1736"/>
      <c r="I86" s="1739">
        <v>0</v>
      </c>
      <c r="J86" s="1769"/>
      <c r="K86" s="655">
        <f>ROUND(SUM(C86)+SUM(E86)-SUM(G86)+SUM(I86),3)</f>
        <v>1016.634</v>
      </c>
      <c r="L86" s="3231"/>
      <c r="M86" s="2188"/>
      <c r="N86" s="2188"/>
    </row>
    <row r="87" spans="1:15">
      <c r="A87" s="741" t="s">
        <v>1388</v>
      </c>
      <c r="B87" s="740"/>
      <c r="C87" s="1739">
        <v>95.247</v>
      </c>
      <c r="D87" s="1736"/>
      <c r="E87" s="1739">
        <v>0.14000000000000001</v>
      </c>
      <c r="F87" s="1736"/>
      <c r="G87" s="1739">
        <v>0</v>
      </c>
      <c r="H87" s="1736"/>
      <c r="I87" s="1739">
        <v>0</v>
      </c>
      <c r="J87" s="1769"/>
      <c r="K87" s="655">
        <f>ROUND(SUM(C87)+SUM(E87)-SUM(G87)+SUM(I87),3)</f>
        <v>95.387</v>
      </c>
      <c r="L87" s="3231"/>
      <c r="M87" s="2188"/>
      <c r="N87" s="2188"/>
    </row>
    <row r="88" spans="1:15">
      <c r="A88" s="741" t="s">
        <v>1291</v>
      </c>
      <c r="B88" s="740"/>
      <c r="C88" s="1739">
        <v>17.873000000000001</v>
      </c>
      <c r="D88" s="1736"/>
      <c r="E88" s="1739">
        <v>0.80800000000000005</v>
      </c>
      <c r="F88" s="1736"/>
      <c r="G88" s="1739">
        <v>0</v>
      </c>
      <c r="H88" s="1736"/>
      <c r="I88" s="1739">
        <v>0</v>
      </c>
      <c r="J88" s="1769"/>
      <c r="K88" s="655">
        <f>ROUND(SUM(C88)+SUM(E88)-SUM(G88)+SUM(I88),3)</f>
        <v>18.681000000000001</v>
      </c>
      <c r="L88" s="3231"/>
      <c r="M88" s="2188"/>
      <c r="N88" s="2188"/>
    </row>
    <row r="89" spans="1:15">
      <c r="A89" s="1771" t="s">
        <v>901</v>
      </c>
      <c r="B89" s="740"/>
      <c r="C89" s="1739">
        <v>187.429</v>
      </c>
      <c r="D89" s="1736"/>
      <c r="E89" s="1739">
        <v>48.991</v>
      </c>
      <c r="F89" s="1736"/>
      <c r="G89" s="1739">
        <v>0</v>
      </c>
      <c r="H89" s="1736"/>
      <c r="I89" s="1739">
        <v>-14.792999999999999</v>
      </c>
      <c r="J89" s="1769"/>
      <c r="K89" s="655">
        <f t="shared" si="5"/>
        <v>221.62700000000001</v>
      </c>
      <c r="L89" s="3231"/>
      <c r="M89" s="2188"/>
      <c r="N89" s="2188"/>
    </row>
    <row r="90" spans="1:15">
      <c r="A90" s="438" t="s">
        <v>300</v>
      </c>
      <c r="B90" s="740"/>
      <c r="C90" s="443">
        <f>ROUND(SUM(C28:C89),3)</f>
        <v>4858.4219999999996</v>
      </c>
      <c r="D90" s="442"/>
      <c r="E90" s="443">
        <f>ROUND(SUM(E28:E89),3)</f>
        <v>4507.7079999999996</v>
      </c>
      <c r="F90" s="442"/>
      <c r="G90" s="443">
        <f>ROUND(SUM(G28:G89),3)</f>
        <v>3788.7089999999998</v>
      </c>
      <c r="H90" s="442"/>
      <c r="I90" s="443">
        <f>ROUND(SUM(I28:I89),3)</f>
        <v>32.130000000000003</v>
      </c>
      <c r="J90" s="442"/>
      <c r="K90" s="443">
        <f>ROUND(SUM(K28:K89),3)</f>
        <v>5609.5510000000004</v>
      </c>
      <c r="L90" s="2190"/>
      <c r="M90" s="3153"/>
      <c r="N90" s="2188"/>
      <c r="O90" s="3154"/>
    </row>
    <row r="91" spans="1:15" ht="11.25" customHeight="1">
      <c r="A91" s="740"/>
      <c r="B91" s="740"/>
      <c r="C91" s="742"/>
      <c r="D91" s="740"/>
      <c r="E91" s="742"/>
      <c r="F91" s="740"/>
      <c r="G91" s="742"/>
      <c r="H91" s="740"/>
      <c r="I91" s="742"/>
      <c r="J91" s="740"/>
      <c r="K91" s="742"/>
      <c r="L91" s="742"/>
      <c r="M91" s="2188"/>
      <c r="N91" s="2188"/>
    </row>
    <row r="92" spans="1:15">
      <c r="A92" s="439" t="s">
        <v>301</v>
      </c>
      <c r="B92" s="740"/>
      <c r="C92" s="740"/>
      <c r="D92" s="740"/>
      <c r="E92" s="740"/>
      <c r="F92" s="740"/>
      <c r="G92" s="740"/>
      <c r="H92" s="740"/>
      <c r="I92" s="740"/>
      <c r="J92" s="740"/>
      <c r="K92" s="740"/>
      <c r="L92" s="742"/>
      <c r="M92" s="2188"/>
      <c r="N92" s="2188"/>
    </row>
    <row r="93" spans="1:15">
      <c r="A93" s="740" t="s">
        <v>967</v>
      </c>
      <c r="B93" s="740"/>
      <c r="C93" s="1739">
        <v>-4.8089999999999993</v>
      </c>
      <c r="D93" s="1736"/>
      <c r="E93" s="1739">
        <v>254.095</v>
      </c>
      <c r="F93" s="1736"/>
      <c r="G93" s="1739">
        <v>216.74</v>
      </c>
      <c r="H93" s="1736"/>
      <c r="I93" s="1739">
        <v>-39.5</v>
      </c>
      <c r="J93" s="1769"/>
      <c r="K93" s="655">
        <f t="shared" ref="K93:K99" si="6">ROUND(SUM(C93)+SUM(E93)-SUM(G93)+SUM(I93),3)</f>
        <v>-6.9539999999999997</v>
      </c>
      <c r="L93" s="743"/>
      <c r="M93" s="2188"/>
      <c r="N93" s="2188"/>
      <c r="O93" s="744"/>
    </row>
    <row r="94" spans="1:15">
      <c r="A94" s="740" t="s">
        <v>302</v>
      </c>
      <c r="B94" s="740"/>
      <c r="C94" s="1739">
        <v>2200.0659999999998</v>
      </c>
      <c r="D94" s="1736"/>
      <c r="E94" s="1739">
        <v>4575.4970000000003</v>
      </c>
      <c r="F94" s="1736"/>
      <c r="G94" s="1739">
        <v>4782.8860000000004</v>
      </c>
      <c r="H94" s="1736"/>
      <c r="I94" s="1739">
        <v>-244.58199999999999</v>
      </c>
      <c r="J94" s="1769"/>
      <c r="K94" s="655">
        <f>ROUND(SUM(C94)+SUM(E94)-SUM(G94)+SUM(I94),3)</f>
        <v>1748.095</v>
      </c>
      <c r="L94" s="743"/>
      <c r="M94" s="2188"/>
      <c r="N94" s="2188"/>
    </row>
    <row r="95" spans="1:15">
      <c r="A95" s="740" t="s">
        <v>303</v>
      </c>
      <c r="B95" s="440"/>
      <c r="C95" s="1739">
        <v>-37.281999999999996</v>
      </c>
      <c r="D95" s="1736"/>
      <c r="E95" s="1739">
        <v>241.89699999999999</v>
      </c>
      <c r="F95" s="1736"/>
      <c r="G95" s="1739">
        <v>278.52099999999996</v>
      </c>
      <c r="H95" s="1736"/>
      <c r="I95" s="1739">
        <v>0</v>
      </c>
      <c r="J95" s="1769"/>
      <c r="K95" s="655">
        <f t="shared" si="6"/>
        <v>-73.906000000000006</v>
      </c>
      <c r="L95" s="743"/>
      <c r="M95" s="2188"/>
      <c r="N95" s="2188"/>
    </row>
    <row r="96" spans="1:15">
      <c r="A96" s="740" t="s">
        <v>304</v>
      </c>
      <c r="B96" s="740"/>
      <c r="C96" s="1739">
        <v>-283.85500000000002</v>
      </c>
      <c r="D96" s="1736"/>
      <c r="E96" s="1739">
        <v>299.447</v>
      </c>
      <c r="F96" s="1736"/>
      <c r="G96" s="1739">
        <v>247.06100000000001</v>
      </c>
      <c r="H96" s="1736"/>
      <c r="I96" s="1739">
        <v>-2.1999999999999999E-2</v>
      </c>
      <c r="J96" s="1769"/>
      <c r="K96" s="655">
        <f t="shared" si="6"/>
        <v>-231.49100000000001</v>
      </c>
      <c r="L96" s="743"/>
      <c r="M96" s="745"/>
    </row>
    <row r="97" spans="1:15">
      <c r="A97" s="740" t="s">
        <v>305</v>
      </c>
      <c r="B97" s="740"/>
      <c r="C97" s="1739">
        <v>138.21</v>
      </c>
      <c r="D97" s="1736"/>
      <c r="E97" s="1739">
        <v>23.154</v>
      </c>
      <c r="F97" s="1736"/>
      <c r="G97" s="1739">
        <v>29.448</v>
      </c>
      <c r="H97" s="1736"/>
      <c r="I97" s="1739">
        <v>0</v>
      </c>
      <c r="J97" s="1769"/>
      <c r="K97" s="655">
        <f t="shared" si="6"/>
        <v>131.916</v>
      </c>
      <c r="L97" s="743"/>
      <c r="M97" s="2188"/>
      <c r="N97" s="2188"/>
    </row>
    <row r="98" spans="1:15">
      <c r="A98" s="740" t="s">
        <v>306</v>
      </c>
      <c r="B98" s="740"/>
      <c r="C98" s="1739">
        <v>-0.50900000000000001</v>
      </c>
      <c r="D98" s="1736"/>
      <c r="E98" s="1739">
        <v>0.45</v>
      </c>
      <c r="F98" s="1736"/>
      <c r="G98" s="1739">
        <v>0.437</v>
      </c>
      <c r="H98" s="1736"/>
      <c r="I98" s="1739">
        <v>0</v>
      </c>
      <c r="J98" s="1769"/>
      <c r="K98" s="655">
        <f t="shared" si="6"/>
        <v>-0.496</v>
      </c>
      <c r="L98" s="743"/>
      <c r="M98" s="2188"/>
      <c r="N98" s="2188"/>
    </row>
    <row r="99" spans="1:15">
      <c r="A99" s="741" t="s">
        <v>307</v>
      </c>
      <c r="B99" s="740"/>
      <c r="C99" s="1739">
        <v>-7.3949999999999996</v>
      </c>
      <c r="D99" s="1736"/>
      <c r="E99" s="1739">
        <v>27.649000000000001</v>
      </c>
      <c r="F99" s="1736"/>
      <c r="G99" s="1739">
        <v>21.623000000000001</v>
      </c>
      <c r="H99" s="1736"/>
      <c r="I99" s="1739">
        <v>0</v>
      </c>
      <c r="J99" s="1769"/>
      <c r="K99" s="655">
        <f t="shared" si="6"/>
        <v>-1.369</v>
      </c>
      <c r="L99" s="743"/>
      <c r="M99" s="2188"/>
      <c r="N99" s="2188"/>
    </row>
    <row r="100" spans="1:15">
      <c r="A100" s="438" t="s">
        <v>308</v>
      </c>
      <c r="B100" s="740"/>
      <c r="C100" s="443">
        <f>ROUND(SUM(C93:C99),3)</f>
        <v>2004.4259999999999</v>
      </c>
      <c r="D100" s="442"/>
      <c r="E100" s="443">
        <f>ROUND(SUM(E93:E99),3)</f>
        <v>5422.1890000000003</v>
      </c>
      <c r="F100" s="442"/>
      <c r="G100" s="443">
        <f>ROUND(SUM(G93:G99),3)</f>
        <v>5576.7160000000003</v>
      </c>
      <c r="H100" s="442"/>
      <c r="I100" s="443">
        <f>ROUND(SUM(I93:I99),3)</f>
        <v>-284.10399999999998</v>
      </c>
      <c r="J100" s="442"/>
      <c r="K100" s="443">
        <f>ROUND(SUM(K93:K99),3)</f>
        <v>1565.7950000000001</v>
      </c>
      <c r="L100" s="444"/>
      <c r="M100" s="2188"/>
      <c r="N100" s="2188"/>
    </row>
    <row r="101" spans="1:15" ht="12" customHeight="1">
      <c r="A101" s="442"/>
      <c r="B101" s="740"/>
      <c r="C101" s="742"/>
      <c r="D101" s="740"/>
      <c r="E101" s="742"/>
      <c r="F101" s="740"/>
      <c r="G101" s="742"/>
      <c r="H101" s="740"/>
      <c r="I101" s="742"/>
      <c r="J101" s="740"/>
      <c r="K101" s="742"/>
      <c r="L101" s="742"/>
      <c r="M101" s="2188"/>
      <c r="N101" s="2188"/>
    </row>
    <row r="102" spans="1:15">
      <c r="A102" s="3155" t="s">
        <v>309</v>
      </c>
      <c r="B102" s="740"/>
      <c r="C102" s="2274">
        <f>C90+C100</f>
        <v>6862.848</v>
      </c>
      <c r="D102" s="442"/>
      <c r="E102" s="2274">
        <f>E90+E100</f>
        <v>9929.8970000000008</v>
      </c>
      <c r="F102" s="442"/>
      <c r="G102" s="2274">
        <f>G90+G100</f>
        <v>9365.4249999999993</v>
      </c>
      <c r="H102" s="442"/>
      <c r="I102" s="2274">
        <f>I90+I100</f>
        <v>-251.97399999999999</v>
      </c>
      <c r="J102" s="442"/>
      <c r="K102" s="2274">
        <f>K90+K100</f>
        <v>7175.3460000000005</v>
      </c>
      <c r="L102" s="444"/>
      <c r="M102" s="3153"/>
      <c r="N102" s="3153"/>
      <c r="O102" s="744"/>
    </row>
    <row r="103" spans="1:15" ht="10.5" customHeight="1">
      <c r="A103" s="3156"/>
      <c r="B103" s="740"/>
      <c r="C103" s="742"/>
      <c r="D103" s="740"/>
      <c r="E103" s="742"/>
      <c r="F103" s="740"/>
      <c r="G103" s="742"/>
      <c r="H103" s="740"/>
      <c r="I103" s="742"/>
      <c r="J103" s="740"/>
      <c r="K103" s="742"/>
      <c r="L103" s="742"/>
      <c r="M103" s="2188"/>
      <c r="N103" s="2188"/>
    </row>
    <row r="104" spans="1:15" ht="17.25">
      <c r="A104" s="439" t="s">
        <v>185</v>
      </c>
      <c r="B104" s="740"/>
      <c r="C104" s="740"/>
      <c r="D104" s="740"/>
      <c r="E104" s="696"/>
      <c r="F104" s="696"/>
      <c r="G104" s="696"/>
      <c r="H104" s="696"/>
      <c r="I104" s="696"/>
      <c r="J104" s="440"/>
      <c r="K104" s="696"/>
      <c r="L104" s="742"/>
      <c r="M104" s="2188"/>
      <c r="N104" s="2188"/>
    </row>
    <row r="105" spans="1:15">
      <c r="A105" s="740" t="s">
        <v>310</v>
      </c>
      <c r="B105" s="740"/>
      <c r="C105" s="1739">
        <v>0</v>
      </c>
      <c r="D105" s="1736"/>
      <c r="E105" s="1739">
        <v>0</v>
      </c>
      <c r="F105" s="1736"/>
      <c r="G105" s="1739">
        <v>0</v>
      </c>
      <c r="H105" s="1736"/>
      <c r="I105" s="1739">
        <v>0</v>
      </c>
      <c r="J105" s="1769"/>
      <c r="K105" s="655">
        <f t="shared" ref="K105:K111" si="7">ROUND(SUM(C105)+SUM(E105)-SUM(G105)+SUM(I105),3)</f>
        <v>0</v>
      </c>
      <c r="L105" s="2191"/>
    </row>
    <row r="106" spans="1:15">
      <c r="A106" s="740" t="s">
        <v>311</v>
      </c>
      <c r="B106" s="740"/>
      <c r="C106" s="1739">
        <v>511.05099999999999</v>
      </c>
      <c r="D106" s="1736"/>
      <c r="E106" s="1739">
        <v>35.664999999999999</v>
      </c>
      <c r="F106" s="1736"/>
      <c r="G106" s="1739">
        <v>0</v>
      </c>
      <c r="H106" s="1736"/>
      <c r="I106" s="1739">
        <v>-211.77199999999999</v>
      </c>
      <c r="J106" s="1769"/>
      <c r="K106" s="655">
        <f t="shared" si="7"/>
        <v>334.94400000000002</v>
      </c>
      <c r="L106" s="743"/>
      <c r="M106" s="2188"/>
      <c r="N106" s="2188"/>
    </row>
    <row r="107" spans="1:15">
      <c r="A107" s="740" t="s">
        <v>312</v>
      </c>
      <c r="B107" s="740"/>
      <c r="C107" s="1739">
        <v>424.59500000000003</v>
      </c>
      <c r="D107" s="1736"/>
      <c r="E107" s="1739">
        <v>4768.9719999999998</v>
      </c>
      <c r="F107" s="1736"/>
      <c r="G107" s="1739">
        <v>44.752000000000002</v>
      </c>
      <c r="H107" s="1736"/>
      <c r="I107" s="1739">
        <v>-2947.1109999999999</v>
      </c>
      <c r="J107" s="1769"/>
      <c r="K107" s="655">
        <f t="shared" si="7"/>
        <v>2201.7040000000002</v>
      </c>
      <c r="L107" s="743"/>
      <c r="M107" s="2188"/>
      <c r="N107" s="2188"/>
    </row>
    <row r="108" spans="1:15">
      <c r="A108" s="740" t="s">
        <v>313</v>
      </c>
      <c r="B108" s="740"/>
      <c r="C108" s="1739">
        <v>0</v>
      </c>
      <c r="D108" s="1736"/>
      <c r="E108" s="1739">
        <v>0.05</v>
      </c>
      <c r="F108" s="1736"/>
      <c r="G108" s="1739">
        <v>0</v>
      </c>
      <c r="H108" s="1736"/>
      <c r="I108" s="1739">
        <v>-0.05</v>
      </c>
      <c r="J108" s="1769"/>
      <c r="K108" s="655">
        <f t="shared" si="7"/>
        <v>0</v>
      </c>
      <c r="L108" s="2191"/>
      <c r="M108" s="2188"/>
      <c r="N108" s="2188"/>
    </row>
    <row r="109" spans="1:15">
      <c r="A109" s="740" t="s">
        <v>314</v>
      </c>
      <c r="B109" s="740"/>
      <c r="C109" s="1739">
        <v>29.971</v>
      </c>
      <c r="D109" s="1736"/>
      <c r="E109" s="1739">
        <v>2.1280000000000001</v>
      </c>
      <c r="F109" s="1736"/>
      <c r="G109" s="1739">
        <v>0</v>
      </c>
      <c r="H109" s="1736"/>
      <c r="I109" s="1739">
        <v>-11.342000000000001</v>
      </c>
      <c r="J109" s="1769"/>
      <c r="K109" s="655">
        <f t="shared" si="7"/>
        <v>20.757000000000001</v>
      </c>
      <c r="L109" s="743"/>
      <c r="M109" s="2188"/>
      <c r="N109" s="2188"/>
    </row>
    <row r="110" spans="1:15">
      <c r="A110" s="740" t="s">
        <v>315</v>
      </c>
      <c r="B110" s="740"/>
      <c r="C110" s="1739">
        <v>19.475999999999999</v>
      </c>
      <c r="D110" s="1736"/>
      <c r="E110" s="1739">
        <v>82.905000000000001</v>
      </c>
      <c r="F110" s="1736"/>
      <c r="G110" s="1739">
        <v>0</v>
      </c>
      <c r="H110" s="1736"/>
      <c r="I110" s="1739">
        <v>-78.266000000000005</v>
      </c>
      <c r="J110" s="1769"/>
      <c r="K110" s="655">
        <f t="shared" si="7"/>
        <v>24.114999999999998</v>
      </c>
      <c r="L110" s="743"/>
      <c r="M110" s="2188"/>
      <c r="N110" s="2188"/>
    </row>
    <row r="111" spans="1:15">
      <c r="A111" s="741" t="s">
        <v>316</v>
      </c>
      <c r="B111" s="740"/>
      <c r="C111" s="1739">
        <v>0</v>
      </c>
      <c r="D111" s="1736"/>
      <c r="E111" s="1739">
        <v>317.52499999999998</v>
      </c>
      <c r="F111" s="1736"/>
      <c r="G111" s="1739">
        <v>0</v>
      </c>
      <c r="H111" s="1736"/>
      <c r="I111" s="1739">
        <v>-317.52499999999998</v>
      </c>
      <c r="J111" s="1769"/>
      <c r="K111" s="655">
        <f t="shared" si="7"/>
        <v>0</v>
      </c>
      <c r="L111" s="743"/>
      <c r="M111" s="2188"/>
      <c r="N111" s="2188"/>
    </row>
    <row r="112" spans="1:15">
      <c r="A112" s="3157" t="s">
        <v>317</v>
      </c>
      <c r="B112" s="3158"/>
      <c r="C112" s="443">
        <f>ROUND(SUM(C105:C111),3)</f>
        <v>985.09299999999996</v>
      </c>
      <c r="D112" s="445"/>
      <c r="E112" s="443">
        <f>ROUND(SUM(E105:E111),3)</f>
        <v>5207.2449999999999</v>
      </c>
      <c r="F112" s="445"/>
      <c r="G112" s="443">
        <f>ROUND(SUM(G105:G111),3)</f>
        <v>44.752000000000002</v>
      </c>
      <c r="H112" s="445"/>
      <c r="I112" s="443">
        <f>ROUND(SUM(I105:I111),3)</f>
        <v>-3566.0659999999998</v>
      </c>
      <c r="J112" s="445"/>
      <c r="K112" s="443">
        <f>ROUND(SUM(K105:K111),3)</f>
        <v>2581.52</v>
      </c>
      <c r="L112" s="444"/>
      <c r="M112" s="3153"/>
      <c r="N112" s="2188"/>
    </row>
    <row r="113" spans="1:14">
      <c r="A113" s="740"/>
      <c r="B113" s="740"/>
      <c r="C113" s="742"/>
      <c r="D113" s="740"/>
      <c r="E113" s="742"/>
      <c r="F113" s="740"/>
      <c r="G113" s="742"/>
      <c r="H113" s="740"/>
      <c r="I113" s="742"/>
      <c r="J113" s="740"/>
      <c r="K113" s="742" t="s">
        <v>15</v>
      </c>
      <c r="L113" s="742"/>
      <c r="M113" s="2188"/>
      <c r="N113" s="2188"/>
    </row>
    <row r="114" spans="1:14">
      <c r="A114" s="3159" t="s">
        <v>935</v>
      </c>
      <c r="B114" s="740"/>
      <c r="K114" s="744"/>
      <c r="L114" s="743"/>
      <c r="M114" s="2188"/>
      <c r="N114" s="2188"/>
    </row>
    <row r="115" spans="1:14">
      <c r="A115" s="740" t="s">
        <v>318</v>
      </c>
      <c r="B115" s="1769"/>
      <c r="C115" s="1739">
        <v>0</v>
      </c>
      <c r="D115" s="1736"/>
      <c r="E115" s="1739">
        <v>284.62599999999998</v>
      </c>
      <c r="F115" s="1736"/>
      <c r="G115" s="1739">
        <v>493.49400000000003</v>
      </c>
      <c r="H115" s="1736"/>
      <c r="I115" s="1739">
        <v>208.86799999999999</v>
      </c>
      <c r="J115" s="1769"/>
      <c r="K115" s="655">
        <f>ROUND(SUM(C115)+SUM(E115)-SUM(G115)+SUM(I115),3)</f>
        <v>0</v>
      </c>
      <c r="L115" s="2191"/>
      <c r="M115" s="2188"/>
      <c r="N115" s="745"/>
    </row>
    <row r="116" spans="1:14">
      <c r="A116" s="740" t="s">
        <v>319</v>
      </c>
      <c r="B116" s="741"/>
      <c r="C116" s="1739">
        <v>-80.087000000000003</v>
      </c>
      <c r="D116" s="1736"/>
      <c r="E116" s="1739">
        <v>211.65199999999999</v>
      </c>
      <c r="F116" s="1736"/>
      <c r="G116" s="1739">
        <v>164.68100000000001</v>
      </c>
      <c r="H116" s="1736"/>
      <c r="I116" s="1739">
        <v>-44.582999999999998</v>
      </c>
      <c r="J116" s="1769"/>
      <c r="K116" s="655">
        <f>ROUND(SUM(C116)+SUM(E116)-SUM(G116)+SUM(I116),3)</f>
        <v>-77.698999999999998</v>
      </c>
      <c r="L116" s="743"/>
      <c r="M116" s="2188"/>
      <c r="N116" s="2188"/>
    </row>
    <row r="117" spans="1:14">
      <c r="A117" s="740" t="s">
        <v>320</v>
      </c>
      <c r="B117" s="740"/>
      <c r="C117" s="1739">
        <v>149.64500000000001</v>
      </c>
      <c r="D117" s="1736"/>
      <c r="E117" s="1739">
        <v>0.20899999999999999</v>
      </c>
      <c r="F117" s="1736"/>
      <c r="G117" s="1739">
        <v>3.3660000000000001</v>
      </c>
      <c r="H117" s="1736"/>
      <c r="I117" s="1739">
        <v>2.25</v>
      </c>
      <c r="J117" s="1769"/>
      <c r="K117" s="655">
        <f t="shared" ref="K117:K130" si="8">ROUND(SUM(C117)+SUM(E117)-SUM(G117)+SUM(I117),3)</f>
        <v>148.738</v>
      </c>
      <c r="L117" s="743"/>
      <c r="M117" s="2188"/>
      <c r="N117" s="2188"/>
    </row>
    <row r="118" spans="1:14">
      <c r="A118" s="740" t="s">
        <v>321</v>
      </c>
      <c r="B118" s="740"/>
      <c r="C118" s="1739">
        <v>12.903</v>
      </c>
      <c r="D118" s="1736"/>
      <c r="E118" s="1739">
        <v>0.41899999999999998</v>
      </c>
      <c r="F118" s="1736"/>
      <c r="G118" s="1739">
        <v>0</v>
      </c>
      <c r="H118" s="1736"/>
      <c r="I118" s="1739">
        <v>0</v>
      </c>
      <c r="J118" s="1769"/>
      <c r="K118" s="655">
        <f t="shared" si="8"/>
        <v>13.321999999999999</v>
      </c>
      <c r="L118" s="743"/>
      <c r="M118" s="2188"/>
      <c r="N118" s="2188"/>
    </row>
    <row r="119" spans="1:14">
      <c r="A119" s="740" t="s">
        <v>322</v>
      </c>
      <c r="B119" s="740"/>
      <c r="C119" s="1739">
        <v>-102.762</v>
      </c>
      <c r="D119" s="1736"/>
      <c r="E119" s="1739">
        <v>95.022999999999996</v>
      </c>
      <c r="F119" s="1736"/>
      <c r="G119" s="1739">
        <v>11.093</v>
      </c>
      <c r="H119" s="1736"/>
      <c r="I119" s="1739">
        <v>0</v>
      </c>
      <c r="J119" s="1769"/>
      <c r="K119" s="655">
        <f>ROUND(SUM(C119)+SUM(E119)-SUM(G119)+SUM(I119),3)</f>
        <v>-18.832000000000001</v>
      </c>
      <c r="L119" s="743"/>
      <c r="M119" s="2188"/>
      <c r="N119" s="2188"/>
    </row>
    <row r="120" spans="1:14">
      <c r="A120" s="740" t="s">
        <v>323</v>
      </c>
      <c r="B120" s="740"/>
      <c r="C120" s="1739">
        <v>1.4999999999999999E-2</v>
      </c>
      <c r="D120" s="1736"/>
      <c r="E120" s="1739">
        <v>0</v>
      </c>
      <c r="F120" s="1736"/>
      <c r="G120" s="1739">
        <v>0</v>
      </c>
      <c r="H120" s="1736"/>
      <c r="I120" s="1739">
        <v>0</v>
      </c>
      <c r="J120" s="1769"/>
      <c r="K120" s="655">
        <f t="shared" si="8"/>
        <v>1.4999999999999999E-2</v>
      </c>
      <c r="L120" s="743"/>
      <c r="M120" s="2188"/>
      <c r="N120" s="2188"/>
    </row>
    <row r="121" spans="1:14">
      <c r="A121" s="740" t="s">
        <v>324</v>
      </c>
      <c r="B121" s="740"/>
      <c r="C121" s="1739">
        <v>89.57</v>
      </c>
      <c r="D121" s="1736"/>
      <c r="E121" s="1739">
        <v>29.652999999999999</v>
      </c>
      <c r="F121" s="1736"/>
      <c r="G121" s="1739">
        <v>14.895</v>
      </c>
      <c r="H121" s="1736"/>
      <c r="I121" s="1739">
        <v>0</v>
      </c>
      <c r="J121" s="1769"/>
      <c r="K121" s="655">
        <f t="shared" si="8"/>
        <v>104.328</v>
      </c>
      <c r="L121" s="743"/>
      <c r="M121" s="2188"/>
      <c r="N121" s="2188"/>
    </row>
    <row r="122" spans="1:14">
      <c r="A122" s="740" t="s">
        <v>325</v>
      </c>
      <c r="B122" s="740"/>
      <c r="C122" s="1739">
        <v>0</v>
      </c>
      <c r="D122" s="1736"/>
      <c r="E122" s="1739">
        <v>0</v>
      </c>
      <c r="F122" s="1736"/>
      <c r="G122" s="1739">
        <v>0</v>
      </c>
      <c r="H122" s="1736"/>
      <c r="I122" s="1739">
        <v>0</v>
      </c>
      <c r="J122" s="1769"/>
      <c r="K122" s="655">
        <f t="shared" si="8"/>
        <v>0</v>
      </c>
      <c r="L122" s="743"/>
      <c r="M122" s="2188"/>
      <c r="N122" s="2188"/>
    </row>
    <row r="123" spans="1:14">
      <c r="A123" s="740" t="s">
        <v>326</v>
      </c>
      <c r="B123" s="740"/>
      <c r="C123" s="1739">
        <v>0.16400000000000001</v>
      </c>
      <c r="D123" s="1736"/>
      <c r="E123" s="1739">
        <v>0</v>
      </c>
      <c r="F123" s="1736"/>
      <c r="G123" s="1739">
        <v>0</v>
      </c>
      <c r="H123" s="1736"/>
      <c r="I123" s="1739">
        <v>0</v>
      </c>
      <c r="J123" s="1769"/>
      <c r="K123" s="655">
        <f t="shared" si="8"/>
        <v>0.16400000000000001</v>
      </c>
      <c r="L123" s="743"/>
      <c r="M123" s="2188"/>
      <c r="N123" s="2188"/>
    </row>
    <row r="124" spans="1:14">
      <c r="A124" s="740" t="s">
        <v>965</v>
      </c>
      <c r="B124" s="740"/>
      <c r="C124" s="1739">
        <v>0</v>
      </c>
      <c r="D124" s="1736"/>
      <c r="E124" s="1739">
        <v>0</v>
      </c>
      <c r="F124" s="1736"/>
      <c r="G124" s="1739">
        <v>0</v>
      </c>
      <c r="H124" s="1736"/>
      <c r="I124" s="1739">
        <v>0</v>
      </c>
      <c r="J124" s="1769"/>
      <c r="K124" s="655">
        <f t="shared" si="8"/>
        <v>0</v>
      </c>
      <c r="L124" s="743"/>
      <c r="M124" s="2188"/>
      <c r="N124" s="2188"/>
    </row>
    <row r="125" spans="1:14">
      <c r="A125" s="740" t="s">
        <v>327</v>
      </c>
      <c r="B125" s="740"/>
      <c r="C125" s="1739">
        <v>0.66800000000000004</v>
      </c>
      <c r="D125" s="1736"/>
      <c r="E125" s="1739">
        <v>0</v>
      </c>
      <c r="F125" s="1736"/>
      <c r="G125" s="1739">
        <v>0</v>
      </c>
      <c r="H125" s="1736"/>
      <c r="I125" s="1739">
        <v>0</v>
      </c>
      <c r="J125" s="1769"/>
      <c r="K125" s="655">
        <f t="shared" si="8"/>
        <v>0.66800000000000004</v>
      </c>
      <c r="L125" s="743"/>
      <c r="M125" s="2188"/>
      <c r="N125" s="2188"/>
    </row>
    <row r="126" spans="1:14">
      <c r="A126" s="740" t="s">
        <v>328</v>
      </c>
      <c r="B126" s="740"/>
      <c r="C126" s="1739">
        <v>3.3279999999999998</v>
      </c>
      <c r="D126" s="1736"/>
      <c r="E126" s="1739">
        <v>0</v>
      </c>
      <c r="F126" s="1736"/>
      <c r="G126" s="1739">
        <v>0</v>
      </c>
      <c r="H126" s="1736"/>
      <c r="I126" s="1739">
        <v>0</v>
      </c>
      <c r="J126" s="1769"/>
      <c r="K126" s="655">
        <f t="shared" si="8"/>
        <v>3.3279999999999998</v>
      </c>
      <c r="L126" s="743"/>
      <c r="M126" s="2188"/>
      <c r="N126" s="2188"/>
    </row>
    <row r="127" spans="1:14">
      <c r="A127" s="740" t="s">
        <v>329</v>
      </c>
      <c r="B127" s="740"/>
      <c r="C127" s="1739">
        <v>1.419</v>
      </c>
      <c r="D127" s="1736"/>
      <c r="E127" s="1739">
        <v>0</v>
      </c>
      <c r="F127" s="1736"/>
      <c r="G127" s="1739">
        <v>0</v>
      </c>
      <c r="H127" s="1736"/>
      <c r="I127" s="1739">
        <v>0</v>
      </c>
      <c r="J127" s="1769"/>
      <c r="K127" s="655">
        <f t="shared" si="8"/>
        <v>1.419</v>
      </c>
      <c r="L127" s="743"/>
      <c r="M127" s="2188"/>
      <c r="N127" s="2188"/>
    </row>
    <row r="128" spans="1:14">
      <c r="A128" s="740" t="s">
        <v>330</v>
      </c>
      <c r="B128" s="740"/>
      <c r="C128" s="1739">
        <v>17.584</v>
      </c>
      <c r="D128" s="1736"/>
      <c r="E128" s="1739">
        <v>0</v>
      </c>
      <c r="F128" s="1736"/>
      <c r="G128" s="1739">
        <v>0</v>
      </c>
      <c r="H128" s="1736"/>
      <c r="I128" s="1739">
        <v>-0.255</v>
      </c>
      <c r="J128" s="1769"/>
      <c r="K128" s="655">
        <f t="shared" si="8"/>
        <v>17.329000000000001</v>
      </c>
      <c r="L128" s="743"/>
      <c r="M128" s="2188"/>
      <c r="N128" s="2188"/>
    </row>
    <row r="129" spans="1:14">
      <c r="A129" s="740" t="s">
        <v>331</v>
      </c>
      <c r="B129" s="740"/>
      <c r="C129" s="1739">
        <v>4.2549999999999999</v>
      </c>
      <c r="D129" s="1736"/>
      <c r="E129" s="1739">
        <v>0</v>
      </c>
      <c r="F129" s="1736"/>
      <c r="G129" s="1739">
        <v>0</v>
      </c>
      <c r="H129" s="1736"/>
      <c r="I129" s="1739">
        <v>0</v>
      </c>
      <c r="J129" s="1769"/>
      <c r="K129" s="655">
        <f t="shared" si="8"/>
        <v>4.2549999999999999</v>
      </c>
      <c r="L129" s="743"/>
      <c r="M129" s="2188"/>
      <c r="N129" s="745"/>
    </row>
    <row r="130" spans="1:14">
      <c r="A130" s="740" t="s">
        <v>332</v>
      </c>
      <c r="B130" s="740"/>
      <c r="C130" s="1739">
        <v>5.5510000000000002</v>
      </c>
      <c r="D130" s="1736"/>
      <c r="E130" s="1739">
        <v>0</v>
      </c>
      <c r="F130" s="1736"/>
      <c r="G130" s="1739">
        <v>0</v>
      </c>
      <c r="H130" s="1736"/>
      <c r="I130" s="1739">
        <v>0</v>
      </c>
      <c r="J130" s="1769"/>
      <c r="K130" s="655">
        <f t="shared" si="8"/>
        <v>5.5510000000000002</v>
      </c>
      <c r="L130" s="743"/>
      <c r="M130" s="2188"/>
      <c r="N130" s="2188"/>
    </row>
    <row r="131" spans="1:14">
      <c r="A131" s="740" t="s">
        <v>333</v>
      </c>
      <c r="B131" s="740"/>
      <c r="C131" s="3608"/>
      <c r="D131" s="1767"/>
      <c r="E131" s="1770"/>
      <c r="F131" s="1736"/>
      <c r="G131" s="1770" t="s">
        <v>15</v>
      </c>
      <c r="H131" s="1736"/>
      <c r="I131" s="1770"/>
      <c r="J131" s="740"/>
      <c r="K131" s="2289"/>
      <c r="L131" s="743"/>
      <c r="M131" s="2188"/>
      <c r="N131" s="2188"/>
    </row>
    <row r="132" spans="1:14">
      <c r="A132" s="740" t="s">
        <v>334</v>
      </c>
      <c r="B132" s="740"/>
      <c r="C132" s="1739">
        <v>2.778</v>
      </c>
      <c r="D132" s="1736"/>
      <c r="E132" s="1739">
        <v>0</v>
      </c>
      <c r="F132" s="1736"/>
      <c r="G132" s="1739">
        <v>0</v>
      </c>
      <c r="H132" s="1736"/>
      <c r="I132" s="1739">
        <v>0</v>
      </c>
      <c r="J132" s="1769"/>
      <c r="K132" s="655">
        <f>ROUND(SUM(C132)+SUM(E132)-SUM(G132)+SUM(I132),3)</f>
        <v>2.778</v>
      </c>
      <c r="L132" s="743"/>
      <c r="M132" s="2188"/>
      <c r="N132" s="2188"/>
    </row>
    <row r="133" spans="1:14">
      <c r="A133" s="740" t="s">
        <v>335</v>
      </c>
      <c r="B133" s="740"/>
      <c r="C133" s="1739">
        <v>1.4279999999999999</v>
      </c>
      <c r="D133" s="1736"/>
      <c r="E133" s="1739">
        <v>0</v>
      </c>
      <c r="F133" s="1736"/>
      <c r="G133" s="1739">
        <v>0</v>
      </c>
      <c r="H133" s="1736"/>
      <c r="I133" s="1739">
        <v>0</v>
      </c>
      <c r="J133" s="1769"/>
      <c r="K133" s="655">
        <f t="shared" ref="K133:K153" si="9">ROUND(SUM(C133)+SUM(E133)-SUM(G133)+SUM(I133),3)</f>
        <v>1.4279999999999999</v>
      </c>
      <c r="L133" s="743"/>
      <c r="M133" s="2188"/>
      <c r="N133" s="2188"/>
    </row>
    <row r="134" spans="1:14">
      <c r="A134" s="740" t="s">
        <v>1222</v>
      </c>
      <c r="B134" s="740"/>
      <c r="C134" s="1739">
        <v>0</v>
      </c>
      <c r="D134" s="1736"/>
      <c r="E134" s="1739">
        <v>0</v>
      </c>
      <c r="F134" s="1736"/>
      <c r="G134" s="1739">
        <v>0</v>
      </c>
      <c r="H134" s="1736"/>
      <c r="I134" s="1739">
        <v>0</v>
      </c>
      <c r="J134" s="1769"/>
      <c r="K134" s="655">
        <f t="shared" si="9"/>
        <v>0</v>
      </c>
      <c r="L134" s="743"/>
      <c r="M134" s="2188"/>
      <c r="N134" s="2188"/>
    </row>
    <row r="135" spans="1:14">
      <c r="A135" s="740" t="s">
        <v>1301</v>
      </c>
      <c r="B135" s="740"/>
      <c r="C135" s="1739">
        <v>0</v>
      </c>
      <c r="D135" s="1736"/>
      <c r="E135" s="1739">
        <v>0</v>
      </c>
      <c r="F135" s="1736"/>
      <c r="G135" s="1739">
        <v>0</v>
      </c>
      <c r="H135" s="1736"/>
      <c r="I135" s="1739">
        <v>0</v>
      </c>
      <c r="J135" s="1769"/>
      <c r="K135" s="655">
        <f t="shared" si="9"/>
        <v>0</v>
      </c>
      <c r="L135" s="743"/>
      <c r="M135" s="2188"/>
      <c r="N135" s="2188"/>
    </row>
    <row r="136" spans="1:14">
      <c r="A136" s="740" t="s">
        <v>336</v>
      </c>
      <c r="B136" s="740"/>
      <c r="C136" s="1739">
        <v>0</v>
      </c>
      <c r="D136" s="1736"/>
      <c r="E136" s="1739">
        <v>0</v>
      </c>
      <c r="F136" s="1736"/>
      <c r="G136" s="1739">
        <v>0</v>
      </c>
      <c r="H136" s="1736"/>
      <c r="I136" s="1739">
        <v>0</v>
      </c>
      <c r="J136" s="1769"/>
      <c r="K136" s="655">
        <f t="shared" si="9"/>
        <v>0</v>
      </c>
      <c r="L136" s="743"/>
      <c r="M136" s="2188"/>
      <c r="N136" s="2188"/>
    </row>
    <row r="137" spans="1:14">
      <c r="A137" s="740" t="s">
        <v>337</v>
      </c>
      <c r="B137" s="740"/>
      <c r="C137" s="1739">
        <v>0</v>
      </c>
      <c r="D137" s="1736"/>
      <c r="E137" s="1739">
        <v>0</v>
      </c>
      <c r="F137" s="1736"/>
      <c r="G137" s="1739">
        <v>0</v>
      </c>
      <c r="H137" s="1736"/>
      <c r="I137" s="1739">
        <v>0</v>
      </c>
      <c r="J137" s="1769"/>
      <c r="K137" s="655">
        <f t="shared" si="9"/>
        <v>0</v>
      </c>
      <c r="L137" s="743"/>
      <c r="M137" s="2188"/>
      <c r="N137" s="2188"/>
    </row>
    <row r="138" spans="1:14">
      <c r="A138" s="740" t="s">
        <v>338</v>
      </c>
      <c r="B138" s="740"/>
      <c r="C138" s="1739">
        <v>-547.54200000000003</v>
      </c>
      <c r="D138" s="1736"/>
      <c r="E138" s="1739">
        <v>344.47</v>
      </c>
      <c r="F138" s="1736"/>
      <c r="G138" s="1739">
        <v>262.10199999999998</v>
      </c>
      <c r="H138" s="1736"/>
      <c r="I138" s="1739">
        <v>0</v>
      </c>
      <c r="J138" s="1769"/>
      <c r="K138" s="655">
        <f>ROUND(SUM(C138)+SUM(E138)-SUM(G138)+SUM(I138),3)</f>
        <v>-465.17399999999998</v>
      </c>
      <c r="L138" s="743"/>
      <c r="M138" s="2188"/>
      <c r="N138" s="2188"/>
    </row>
    <row r="139" spans="1:14">
      <c r="A139" s="740" t="s">
        <v>339</v>
      </c>
      <c r="B139" s="740"/>
      <c r="C139" s="1739">
        <v>1.0740000000000001</v>
      </c>
      <c r="D139" s="1736"/>
      <c r="E139" s="1739">
        <v>2E-3</v>
      </c>
      <c r="F139" s="1736"/>
      <c r="G139" s="1739">
        <v>0</v>
      </c>
      <c r="H139" s="1736"/>
      <c r="I139" s="1739">
        <v>0</v>
      </c>
      <c r="J139" s="1769"/>
      <c r="K139" s="655">
        <f t="shared" si="9"/>
        <v>1.0760000000000001</v>
      </c>
      <c r="L139" s="2191"/>
      <c r="M139" s="2188"/>
      <c r="N139" s="745"/>
    </row>
    <row r="140" spans="1:14">
      <c r="A140" s="741" t="s">
        <v>340</v>
      </c>
      <c r="B140" s="740"/>
      <c r="C140" s="1739">
        <v>-132.953</v>
      </c>
      <c r="D140" s="1736"/>
      <c r="E140" s="1739">
        <v>74.251999999999995</v>
      </c>
      <c r="F140" s="1736"/>
      <c r="G140" s="1739">
        <v>10.45</v>
      </c>
      <c r="H140" s="1736"/>
      <c r="I140" s="1739">
        <v>-0.55900000000000005</v>
      </c>
      <c r="J140" s="1769"/>
      <c r="K140" s="655">
        <f t="shared" si="9"/>
        <v>-69.709999999999994</v>
      </c>
      <c r="L140" s="743"/>
      <c r="M140" s="2188"/>
      <c r="N140" s="2188"/>
    </row>
    <row r="141" spans="1:14">
      <c r="A141" s="740" t="s">
        <v>341</v>
      </c>
      <c r="B141" s="740"/>
      <c r="C141" s="1739">
        <v>0.53600000000000003</v>
      </c>
      <c r="D141" s="1736"/>
      <c r="E141" s="1739">
        <v>1E-3</v>
      </c>
      <c r="F141" s="1736"/>
      <c r="G141" s="1739">
        <v>0</v>
      </c>
      <c r="H141" s="1736"/>
      <c r="I141" s="1739">
        <v>0</v>
      </c>
      <c r="J141" s="1769"/>
      <c r="K141" s="655">
        <f t="shared" si="9"/>
        <v>0.53700000000000003</v>
      </c>
      <c r="L141" s="743"/>
      <c r="M141" s="2188"/>
      <c r="N141" s="745"/>
    </row>
    <row r="142" spans="1:14">
      <c r="A142" s="740" t="s">
        <v>342</v>
      </c>
      <c r="B142" s="740"/>
      <c r="C142" s="1739">
        <v>-16.626000000000001</v>
      </c>
      <c r="D142" s="1736"/>
      <c r="E142" s="1739">
        <v>0</v>
      </c>
      <c r="F142" s="1736"/>
      <c r="G142" s="1739">
        <v>1.819</v>
      </c>
      <c r="H142" s="1736"/>
      <c r="I142" s="1739">
        <v>0</v>
      </c>
      <c r="J142" s="1769"/>
      <c r="K142" s="655">
        <f t="shared" si="9"/>
        <v>-18.445</v>
      </c>
      <c r="L142" s="743"/>
      <c r="M142" s="2188"/>
      <c r="N142" s="2188"/>
    </row>
    <row r="143" spans="1:14">
      <c r="A143" s="740" t="s">
        <v>343</v>
      </c>
      <c r="B143" s="740"/>
      <c r="C143" s="1739">
        <v>-12.942</v>
      </c>
      <c r="D143" s="1736"/>
      <c r="E143" s="1739">
        <v>0</v>
      </c>
      <c r="F143" s="1736"/>
      <c r="G143" s="1739">
        <v>0</v>
      </c>
      <c r="H143" s="1736"/>
      <c r="I143" s="1739">
        <v>0</v>
      </c>
      <c r="J143" s="1769"/>
      <c r="K143" s="655">
        <f t="shared" si="9"/>
        <v>-12.942</v>
      </c>
      <c r="L143" s="743"/>
      <c r="M143" s="2188"/>
      <c r="N143" s="2188"/>
    </row>
    <row r="144" spans="1:14">
      <c r="A144" s="740" t="s">
        <v>344</v>
      </c>
      <c r="B144" s="740"/>
      <c r="C144" s="1739">
        <v>-97.015000000000001</v>
      </c>
      <c r="D144" s="1736"/>
      <c r="E144" s="1739">
        <v>0</v>
      </c>
      <c r="F144" s="1736"/>
      <c r="G144" s="1739">
        <v>61.528999999999996</v>
      </c>
      <c r="H144" s="1736"/>
      <c r="I144" s="1739">
        <v>0</v>
      </c>
      <c r="J144" s="1769"/>
      <c r="K144" s="655">
        <f>ROUND(SUM(C144)+SUM(E144)-SUM(G144)+SUM(I144),3)</f>
        <v>-158.54400000000001</v>
      </c>
      <c r="L144" s="743"/>
      <c r="M144" s="2188"/>
      <c r="N144" s="2188"/>
    </row>
    <row r="145" spans="1:15">
      <c r="A145" s="740" t="s">
        <v>345</v>
      </c>
      <c r="B145" s="740"/>
      <c r="C145" s="1739">
        <v>17.363</v>
      </c>
      <c r="D145" s="1736"/>
      <c r="E145" s="1739">
        <v>0.03</v>
      </c>
      <c r="F145" s="1736"/>
      <c r="G145" s="2221">
        <v>2.8000000000000001E-2</v>
      </c>
      <c r="H145" s="1736"/>
      <c r="I145" s="1739">
        <v>0</v>
      </c>
      <c r="J145" s="1769"/>
      <c r="K145" s="655">
        <f t="shared" si="9"/>
        <v>17.364999999999998</v>
      </c>
      <c r="L145" s="743"/>
      <c r="M145" s="2188"/>
      <c r="N145" s="2188"/>
    </row>
    <row r="146" spans="1:15">
      <c r="A146" s="740" t="s">
        <v>973</v>
      </c>
      <c r="B146" s="740"/>
      <c r="C146" s="1739">
        <v>-11.968999999999999</v>
      </c>
      <c r="D146" s="1736"/>
      <c r="E146" s="1739">
        <v>0</v>
      </c>
      <c r="F146" s="1736"/>
      <c r="G146" s="1739">
        <v>0</v>
      </c>
      <c r="H146" s="1736"/>
      <c r="I146" s="1739">
        <v>0</v>
      </c>
      <c r="J146" s="1769"/>
      <c r="K146" s="655">
        <f t="shared" si="9"/>
        <v>-11.968999999999999</v>
      </c>
      <c r="L146" s="743"/>
      <c r="M146" s="2188"/>
      <c r="N146" s="2188"/>
    </row>
    <row r="147" spans="1:15">
      <c r="A147" s="740" t="s">
        <v>346</v>
      </c>
      <c r="B147" s="740"/>
      <c r="C147" s="1739">
        <v>103.48099999999999</v>
      </c>
      <c r="D147" s="1736"/>
      <c r="E147" s="1739">
        <v>2.8610000000000002</v>
      </c>
      <c r="F147" s="1736"/>
      <c r="G147" s="1739">
        <v>6.7839999999999998</v>
      </c>
      <c r="H147" s="1736"/>
      <c r="I147" s="1739">
        <v>11.561</v>
      </c>
      <c r="J147" s="1769"/>
      <c r="K147" s="655">
        <f>ROUND(SUM(C147)+SUM(E147)-SUM(G147)+SUM(I147),3)</f>
        <v>111.119</v>
      </c>
      <c r="L147" s="743"/>
      <c r="M147" s="2188"/>
      <c r="N147" s="2188"/>
    </row>
    <row r="148" spans="1:15">
      <c r="A148" s="740" t="s">
        <v>347</v>
      </c>
      <c r="B148" s="740"/>
      <c r="C148" s="1739">
        <v>1.0999999999999999E-2</v>
      </c>
      <c r="D148" s="1736"/>
      <c r="E148" s="1739">
        <v>0</v>
      </c>
      <c r="F148" s="1736"/>
      <c r="G148" s="1739">
        <v>0</v>
      </c>
      <c r="H148" s="1736"/>
      <c r="I148" s="1739">
        <v>0</v>
      </c>
      <c r="J148" s="1769"/>
      <c r="K148" s="655">
        <f t="shared" si="9"/>
        <v>1.0999999999999999E-2</v>
      </c>
      <c r="L148" s="743"/>
      <c r="M148" s="2188"/>
      <c r="N148" s="2188"/>
    </row>
    <row r="149" spans="1:15">
      <c r="A149" s="740" t="s">
        <v>348</v>
      </c>
      <c r="B149" s="740"/>
      <c r="C149" s="1739">
        <v>-389.01400000000001</v>
      </c>
      <c r="D149" s="1736"/>
      <c r="E149" s="1739">
        <v>32.658999999999999</v>
      </c>
      <c r="F149" s="1736"/>
      <c r="G149" s="1739">
        <v>19.442</v>
      </c>
      <c r="H149" s="1736"/>
      <c r="I149" s="1739">
        <v>0</v>
      </c>
      <c r="J149" s="1769"/>
      <c r="K149" s="655">
        <f t="shared" si="9"/>
        <v>-375.79700000000003</v>
      </c>
      <c r="L149" s="2191"/>
      <c r="M149" s="2188"/>
      <c r="N149" s="2188"/>
    </row>
    <row r="150" spans="1:15">
      <c r="A150" s="740" t="s">
        <v>349</v>
      </c>
      <c r="B150" s="740"/>
      <c r="C150" s="1739">
        <v>-304.14100000000002</v>
      </c>
      <c r="D150" s="1736"/>
      <c r="E150" s="1739">
        <v>4.0000000000000001E-3</v>
      </c>
      <c r="F150" s="1736"/>
      <c r="G150" s="2221">
        <v>36.293999999999997</v>
      </c>
      <c r="H150" s="1736"/>
      <c r="I150" s="1739">
        <v>0</v>
      </c>
      <c r="J150" s="1769"/>
      <c r="K150" s="655">
        <f t="shared" si="9"/>
        <v>-340.43099999999998</v>
      </c>
      <c r="L150" s="743"/>
      <c r="M150" s="2188"/>
      <c r="N150" s="2188"/>
    </row>
    <row r="151" spans="1:15">
      <c r="A151" s="740" t="s">
        <v>350</v>
      </c>
      <c r="B151" s="740"/>
      <c r="C151" s="1739">
        <v>163.233</v>
      </c>
      <c r="D151" s="1736"/>
      <c r="E151" s="1739">
        <v>0.45600000000000002</v>
      </c>
      <c r="F151" s="1736"/>
      <c r="G151" s="2221">
        <v>2.2509999999999999</v>
      </c>
      <c r="H151" s="1736"/>
      <c r="I151" s="1739">
        <v>0</v>
      </c>
      <c r="J151" s="1769"/>
      <c r="K151" s="655">
        <f>ROUND(SUM(C151)+SUM(E151)-SUM(G151)+SUM(I151),3)</f>
        <v>161.43799999999999</v>
      </c>
      <c r="L151" s="743"/>
      <c r="M151" s="2188"/>
      <c r="N151" s="2188"/>
    </row>
    <row r="152" spans="1:15">
      <c r="A152" s="740" t="s">
        <v>351</v>
      </c>
      <c r="B152" s="740"/>
      <c r="C152" s="1739">
        <v>-50.142000000000003</v>
      </c>
      <c r="D152" s="1736"/>
      <c r="E152" s="1739">
        <v>0</v>
      </c>
      <c r="F152" s="1736"/>
      <c r="G152" s="1739">
        <v>0.35</v>
      </c>
      <c r="H152" s="1736"/>
      <c r="I152" s="1739">
        <v>0</v>
      </c>
      <c r="J152" s="1769"/>
      <c r="K152" s="655">
        <f t="shared" si="9"/>
        <v>-50.491999999999997</v>
      </c>
      <c r="L152" s="743"/>
      <c r="M152" s="2188"/>
      <c r="N152" s="745"/>
    </row>
    <row r="153" spans="1:15">
      <c r="A153" s="740" t="s">
        <v>1229</v>
      </c>
      <c r="B153" s="740"/>
      <c r="C153" s="1739">
        <v>42.917999999999999</v>
      </c>
      <c r="D153" s="1736"/>
      <c r="E153" s="1739">
        <v>0</v>
      </c>
      <c r="F153" s="1736"/>
      <c r="G153" s="1739">
        <v>84.614000000000004</v>
      </c>
      <c r="H153" s="1736"/>
      <c r="I153" s="1739">
        <v>100</v>
      </c>
      <c r="J153" s="1769"/>
      <c r="K153" s="655">
        <f t="shared" si="9"/>
        <v>58.304000000000002</v>
      </c>
      <c r="L153" s="743"/>
      <c r="M153" s="2188"/>
      <c r="N153" s="2188"/>
    </row>
    <row r="154" spans="1:15">
      <c r="A154" s="442" t="s">
        <v>352</v>
      </c>
      <c r="B154" s="740"/>
      <c r="C154" s="443">
        <f>ROUND(SUM(C115:C153),3)</f>
        <v>-1127.269</v>
      </c>
      <c r="D154" s="442"/>
      <c r="E154" s="443">
        <f>ROUND(SUM(E115:E153),3)</f>
        <v>1076.317</v>
      </c>
      <c r="F154" s="442"/>
      <c r="G154" s="443">
        <f>ROUND(SUM(G115:G153),3)</f>
        <v>1173.192</v>
      </c>
      <c r="H154" s="442"/>
      <c r="I154" s="443">
        <f>ROUND(SUM(I115:I153),3)</f>
        <v>277.28199999999998</v>
      </c>
      <c r="J154" s="442"/>
      <c r="K154" s="443">
        <f>ROUND(SUM(K116:K153),3)</f>
        <v>-946.86199999999997</v>
      </c>
      <c r="L154" s="444"/>
      <c r="M154" s="3153"/>
      <c r="N154" s="3153"/>
      <c r="O154" s="3160"/>
    </row>
    <row r="155" spans="1:15">
      <c r="A155" s="442"/>
      <c r="B155" s="740"/>
      <c r="C155" s="742"/>
      <c r="D155" s="740"/>
      <c r="E155" s="746"/>
      <c r="F155" s="747"/>
      <c r="G155" s="746"/>
      <c r="H155" s="747"/>
      <c r="I155" s="746"/>
      <c r="J155" s="740"/>
      <c r="K155" s="742"/>
      <c r="L155" s="742"/>
    </row>
    <row r="156" spans="1:15" ht="16.5" thickBot="1">
      <c r="A156" s="442" t="s">
        <v>353</v>
      </c>
      <c r="B156" s="445"/>
      <c r="C156" s="446">
        <f>ROUND(SUM(C24+C102+C112+C154),3)</f>
        <v>14900.383</v>
      </c>
      <c r="D156" s="445"/>
      <c r="E156" s="446">
        <f>ROUND(SUM(E24+E102+E112+E154),3)</f>
        <v>19561.261999999999</v>
      </c>
      <c r="F156" s="447"/>
      <c r="G156" s="446">
        <f>ROUND(SUM(G24+G102+G112+G154),3)</f>
        <v>14822.962</v>
      </c>
      <c r="H156" s="447"/>
      <c r="I156" s="446">
        <f>ROUND(SUM(I24+I102+I112+I154),3)</f>
        <v>-10.691000000000001</v>
      </c>
      <c r="J156" s="445"/>
      <c r="K156" s="446">
        <f>ROUND(SUM(K24+K102+K112+K154),3)</f>
        <v>19627.991999999998</v>
      </c>
      <c r="L156" s="448"/>
    </row>
    <row r="157" spans="1:15" ht="16.5" thickTop="1">
      <c r="A157" s="740"/>
      <c r="B157" s="740"/>
      <c r="C157" s="742" t="s">
        <v>15</v>
      </c>
      <c r="D157" s="740"/>
      <c r="E157" s="742"/>
      <c r="F157" s="740"/>
      <c r="G157" s="742"/>
      <c r="H157" s="740"/>
      <c r="I157" s="742"/>
      <c r="J157" s="740"/>
      <c r="K157" s="742"/>
      <c r="L157" s="742"/>
    </row>
    <row r="158" spans="1:15">
      <c r="A158" s="740"/>
      <c r="B158" s="740"/>
      <c r="C158" s="740"/>
      <c r="D158" s="740"/>
      <c r="E158" s="740"/>
      <c r="F158" s="740"/>
      <c r="G158" s="740"/>
      <c r="H158" s="740"/>
      <c r="I158" s="740"/>
      <c r="J158" s="740"/>
      <c r="K158" s="740"/>
      <c r="L158" s="742"/>
    </row>
    <row r="159" spans="1:15">
      <c r="A159" s="441"/>
      <c r="B159" s="740"/>
      <c r="C159" s="740"/>
      <c r="D159" s="740"/>
      <c r="E159" s="3594"/>
      <c r="F159" s="740"/>
      <c r="G159" s="740"/>
      <c r="H159" s="740"/>
      <c r="I159" s="747"/>
      <c r="J159" s="740"/>
      <c r="K159" s="3595"/>
      <c r="L159" s="742"/>
    </row>
    <row r="160" spans="1:15">
      <c r="A160" s="740" t="s">
        <v>15</v>
      </c>
      <c r="B160" s="740"/>
      <c r="C160" s="740"/>
      <c r="D160" s="740"/>
      <c r="E160" s="740"/>
      <c r="F160" s="740"/>
      <c r="G160" s="744"/>
      <c r="H160" s="740"/>
      <c r="I160" s="740"/>
      <c r="J160" s="740"/>
      <c r="K160" s="740"/>
      <c r="L160" s="742"/>
    </row>
    <row r="161" spans="1:12">
      <c r="A161" s="740"/>
      <c r="B161" s="740"/>
      <c r="C161" s="740"/>
      <c r="D161" s="740"/>
      <c r="E161" s="740"/>
      <c r="F161" s="740"/>
      <c r="G161" s="740"/>
      <c r="H161" s="740"/>
      <c r="I161" s="740"/>
      <c r="J161" s="740"/>
      <c r="K161" s="740"/>
      <c r="L161" s="742"/>
    </row>
    <row r="162" spans="1:12">
      <c r="A162" s="748"/>
      <c r="B162" s="740"/>
      <c r="C162" s="740"/>
      <c r="D162" s="740"/>
      <c r="E162" s="740"/>
      <c r="F162" s="740"/>
      <c r="G162" s="740"/>
      <c r="H162" s="740"/>
      <c r="I162" s="749"/>
      <c r="J162" s="740"/>
      <c r="K162" s="740"/>
      <c r="L162" s="742"/>
    </row>
    <row r="163" spans="1:12">
      <c r="I163" s="2275"/>
    </row>
    <row r="164" spans="1:12">
      <c r="I164" s="2275"/>
    </row>
    <row r="165" spans="1:12">
      <c r="I165" s="2275"/>
    </row>
    <row r="166" spans="1:12">
      <c r="I166" s="2275"/>
    </row>
    <row r="167" spans="1:12">
      <c r="I167" s="448"/>
    </row>
    <row r="168" spans="1:12">
      <c r="I168" s="2275"/>
    </row>
    <row r="169" spans="1:12">
      <c r="I169" s="2275"/>
    </row>
    <row r="170" spans="1:12">
      <c r="I170" s="2275"/>
    </row>
    <row r="171" spans="1:12">
      <c r="I171" s="2275"/>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8671875" defaultRowHeight="18"/>
  <cols>
    <col min="1" max="1" width="55.88671875" style="2276" customWidth="1"/>
    <col min="2" max="2" width="6.109375" style="2276" customWidth="1"/>
    <col min="3" max="3" width="20.109375" style="2276" customWidth="1"/>
    <col min="4" max="4" width="3.109375" style="2276" customWidth="1"/>
    <col min="5" max="5" width="17.109375" style="2276" customWidth="1"/>
    <col min="6" max="6" width="3.5546875" style="2276" customWidth="1"/>
    <col min="7" max="7" width="18.109375" style="2276" customWidth="1"/>
    <col min="8" max="8" width="3.109375" style="2276" customWidth="1"/>
    <col min="9" max="9" width="18.5546875" style="2276" customWidth="1"/>
    <col min="10" max="10" width="3.44140625" style="2276" customWidth="1"/>
    <col min="11" max="11" width="22.109375" style="2276" customWidth="1"/>
    <col min="12" max="12" width="15.5546875" style="2276" customWidth="1"/>
    <col min="13" max="13" width="9.88671875" style="2276" bestFit="1" customWidth="1"/>
    <col min="14" max="16384" width="8.88671875" style="2276"/>
  </cols>
  <sheetData>
    <row r="1" spans="1:15">
      <c r="A1" s="1541" t="s">
        <v>979</v>
      </c>
    </row>
    <row r="2" spans="1:15">
      <c r="A2" s="3186"/>
    </row>
    <row r="3" spans="1:15" s="451" customFormat="1" ht="18" customHeight="1">
      <c r="A3" s="455" t="s">
        <v>0</v>
      </c>
      <c r="B3" s="3187"/>
      <c r="C3" s="3187"/>
      <c r="D3" s="3187"/>
      <c r="E3" s="2277"/>
      <c r="F3" s="2277"/>
      <c r="G3" s="449"/>
      <c r="H3" s="449"/>
      <c r="I3" s="455"/>
      <c r="J3" s="455"/>
      <c r="K3" s="458" t="s">
        <v>354</v>
      </c>
      <c r="L3" s="449"/>
      <c r="M3" s="449"/>
      <c r="N3" s="449"/>
      <c r="O3" s="449"/>
    </row>
    <row r="4" spans="1:15" s="451" customFormat="1" ht="18" customHeight="1">
      <c r="A4" s="455" t="s">
        <v>355</v>
      </c>
      <c r="B4" s="3187"/>
      <c r="C4" s="3187"/>
      <c r="D4" s="3187"/>
      <c r="E4" s="2277"/>
      <c r="F4" s="2277"/>
      <c r="G4" s="449"/>
      <c r="H4" s="449"/>
      <c r="I4" s="455"/>
      <c r="J4" s="455"/>
      <c r="K4" s="455"/>
      <c r="L4" s="449"/>
      <c r="M4" s="449"/>
      <c r="N4" s="449"/>
      <c r="O4" s="449"/>
    </row>
    <row r="5" spans="1:15" s="451" customFormat="1" ht="18" customHeight="1">
      <c r="A5" s="461" t="s">
        <v>1304</v>
      </c>
      <c r="B5" s="3187"/>
      <c r="C5" s="3187"/>
      <c r="D5" s="3187"/>
      <c r="E5" s="2277"/>
      <c r="F5" s="2277"/>
      <c r="G5" s="449"/>
      <c r="H5" s="449"/>
      <c r="I5" s="455"/>
      <c r="J5" s="455"/>
      <c r="K5" s="455"/>
      <c r="L5" s="449"/>
      <c r="M5" s="449"/>
      <c r="N5" s="449"/>
      <c r="O5" s="449"/>
    </row>
    <row r="6" spans="1:15" s="451" customFormat="1" ht="18" customHeight="1">
      <c r="A6" s="461" t="s">
        <v>356</v>
      </c>
      <c r="B6" s="3187"/>
      <c r="C6" s="3187"/>
      <c r="D6" s="3187"/>
      <c r="E6" s="2277"/>
      <c r="F6" s="2277"/>
      <c r="G6" s="449"/>
      <c r="H6" s="449"/>
      <c r="I6" s="455"/>
      <c r="J6" s="455"/>
      <c r="K6" s="455"/>
      <c r="L6" s="449"/>
      <c r="M6" s="449"/>
      <c r="N6" s="449"/>
      <c r="O6" s="449"/>
    </row>
    <row r="7" spans="1:15" s="451" customFormat="1" ht="18" customHeight="1">
      <c r="A7" s="461" t="s">
        <v>1397</v>
      </c>
      <c r="B7" s="3187"/>
      <c r="C7" s="3187"/>
      <c r="D7" s="3187"/>
      <c r="E7" s="2277"/>
      <c r="F7" s="2277"/>
      <c r="G7" s="449"/>
      <c r="H7" s="449"/>
      <c r="I7" s="455"/>
      <c r="J7" s="455"/>
      <c r="K7" s="455"/>
      <c r="L7" s="449"/>
      <c r="M7" s="449"/>
      <c r="N7" s="449"/>
      <c r="O7" s="449"/>
    </row>
    <row r="8" spans="1:15" s="451" customFormat="1" ht="18" customHeight="1">
      <c r="A8" s="461" t="str">
        <f>'Sch 1 '!A8</f>
        <v>FOR THE MONTH OF JANUARY 2020</v>
      </c>
      <c r="B8" s="3187"/>
      <c r="C8" s="3187"/>
      <c r="D8" s="3187"/>
      <c r="E8" s="2277"/>
      <c r="G8" s="2277"/>
      <c r="H8" s="449"/>
      <c r="I8" s="455"/>
      <c r="J8" s="455"/>
      <c r="K8" s="455"/>
      <c r="L8" s="449"/>
      <c r="M8" s="449"/>
      <c r="N8" s="449"/>
      <c r="O8" s="449"/>
    </row>
    <row r="9" spans="1:15" s="451" customFormat="1" ht="18" customHeight="1">
      <c r="A9" s="455" t="s">
        <v>1416</v>
      </c>
      <c r="B9" s="3187"/>
      <c r="C9" s="3187"/>
      <c r="D9" s="3187"/>
      <c r="E9" s="2277"/>
      <c r="F9" s="2277"/>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6"/>
      <c r="D12" s="455"/>
      <c r="E12" s="455"/>
      <c r="F12" s="455"/>
      <c r="G12" s="455"/>
      <c r="H12" s="455"/>
      <c r="I12" s="706" t="s">
        <v>357</v>
      </c>
      <c r="J12" s="455"/>
      <c r="K12" s="706"/>
      <c r="L12" s="449"/>
      <c r="M12" s="449"/>
      <c r="N12" s="449"/>
      <c r="O12" s="449"/>
    </row>
    <row r="13" spans="1:15" s="451" customFormat="1">
      <c r="A13" s="455"/>
      <c r="B13" s="455"/>
      <c r="C13" s="706" t="s">
        <v>235</v>
      </c>
      <c r="D13" s="455"/>
      <c r="E13" s="455"/>
      <c r="F13" s="455"/>
      <c r="G13" s="455"/>
      <c r="H13" s="455"/>
      <c r="I13" s="706" t="s">
        <v>358</v>
      </c>
      <c r="J13" s="455"/>
      <c r="K13" s="706" t="s">
        <v>235</v>
      </c>
      <c r="L13" s="449"/>
      <c r="M13" s="449"/>
      <c r="N13" s="449"/>
      <c r="O13" s="449"/>
    </row>
    <row r="14" spans="1:15" s="451" customFormat="1">
      <c r="A14" s="475" t="s">
        <v>359</v>
      </c>
      <c r="B14" s="455"/>
      <c r="C14" s="3603" t="str">
        <f>'Sch 1 '!C11</f>
        <v>JANUARY 1, 2020</v>
      </c>
      <c r="D14" s="455"/>
      <c r="E14" s="706" t="s">
        <v>237</v>
      </c>
      <c r="F14" s="455"/>
      <c r="G14" s="706" t="s">
        <v>238</v>
      </c>
      <c r="H14" s="455"/>
      <c r="I14" s="706" t="s">
        <v>239</v>
      </c>
      <c r="J14" s="455"/>
      <c r="K14" s="922" t="str">
        <f>'Sch 1 '!K11</f>
        <v>JANUARY 31, 2020</v>
      </c>
      <c r="L14" s="449"/>
      <c r="M14" s="449"/>
      <c r="N14" s="449"/>
      <c r="O14" s="449"/>
    </row>
    <row r="15" spans="1:15" s="451" customFormat="1" ht="12" customHeight="1">
      <c r="A15" s="449"/>
      <c r="B15" s="449"/>
      <c r="C15" s="3604"/>
      <c r="D15" s="449"/>
      <c r="E15" s="2278"/>
      <c r="F15" s="449"/>
      <c r="G15" s="2278"/>
      <c r="H15" s="449"/>
      <c r="I15" s="2278"/>
      <c r="J15" s="449"/>
      <c r="K15" s="2278"/>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50000000000001" customHeight="1">
      <c r="A18" s="449" t="s">
        <v>360</v>
      </c>
      <c r="B18" s="450"/>
      <c r="C18" s="1740">
        <v>0.104</v>
      </c>
      <c r="D18" s="1741"/>
      <c r="E18" s="1740">
        <v>3.0000000000000001E-3</v>
      </c>
      <c r="F18" s="1741"/>
      <c r="G18" s="1740">
        <v>5.0000000000000001E-3</v>
      </c>
      <c r="H18" s="1741"/>
      <c r="I18" s="1740">
        <v>0</v>
      </c>
      <c r="J18" s="3170"/>
      <c r="K18" s="1743">
        <f t="shared" ref="K18:K25" si="0">ROUND(SUM(C18)+SUM(E18)-SUM(G18)+SUM(I18),3)</f>
        <v>0.10199999999999999</v>
      </c>
      <c r="L18" s="449"/>
      <c r="M18" s="449"/>
      <c r="N18" s="449"/>
      <c r="O18" s="449"/>
    </row>
    <row r="19" spans="1:15" s="451" customFormat="1" ht="15.75" customHeight="1">
      <c r="A19" s="449" t="s">
        <v>361</v>
      </c>
      <c r="B19" s="449"/>
      <c r="C19" s="1744">
        <v>0.33100000000000002</v>
      </c>
      <c r="D19" s="1741"/>
      <c r="E19" s="1744">
        <v>0.376</v>
      </c>
      <c r="F19" s="1741"/>
      <c r="G19" s="1744">
        <v>0.29199999999999998</v>
      </c>
      <c r="H19" s="1741"/>
      <c r="I19" s="1744">
        <v>0</v>
      </c>
      <c r="J19" s="3170"/>
      <c r="K19" s="1745">
        <f>ROUND(SUM(C19)+SUM(E19)-SUM(G19)+SUM(I19),3)</f>
        <v>0.41499999999999998</v>
      </c>
      <c r="L19" s="449"/>
      <c r="M19" s="449"/>
      <c r="N19" s="449"/>
      <c r="O19" s="449"/>
    </row>
    <row r="20" spans="1:15" s="451" customFormat="1" ht="16.350000000000001" customHeight="1">
      <c r="A20" s="449" t="s">
        <v>362</v>
      </c>
      <c r="B20" s="449"/>
      <c r="C20" s="1744">
        <v>3.3980000000000001</v>
      </c>
      <c r="D20" s="1741"/>
      <c r="E20" s="1744">
        <v>3.7410000000000001</v>
      </c>
      <c r="F20" s="1741"/>
      <c r="G20" s="1744">
        <v>3.1579999999999999</v>
      </c>
      <c r="H20" s="1741"/>
      <c r="I20" s="1744">
        <v>0</v>
      </c>
      <c r="J20" s="3170"/>
      <c r="K20" s="1745">
        <f t="shared" si="0"/>
        <v>3.9809999999999999</v>
      </c>
      <c r="L20" s="449"/>
      <c r="M20" s="449"/>
      <c r="N20" s="449"/>
      <c r="O20" s="449"/>
    </row>
    <row r="21" spans="1:15" s="451" customFormat="1" ht="16.350000000000001" customHeight="1">
      <c r="A21" s="449" t="s">
        <v>1013</v>
      </c>
      <c r="B21" s="449"/>
      <c r="C21" s="1744">
        <v>8.4209999999999994</v>
      </c>
      <c r="D21" s="1741"/>
      <c r="E21" s="1744">
        <v>1.6380000000000001</v>
      </c>
      <c r="F21" s="1741"/>
      <c r="G21" s="1744">
        <v>1.234</v>
      </c>
      <c r="H21" s="1741"/>
      <c r="I21" s="1744">
        <v>0</v>
      </c>
      <c r="J21" s="3170"/>
      <c r="K21" s="1745">
        <f t="shared" si="0"/>
        <v>8.8249999999999993</v>
      </c>
      <c r="L21" s="449"/>
      <c r="M21" s="449"/>
      <c r="N21" s="449"/>
      <c r="O21" s="449"/>
    </row>
    <row r="22" spans="1:15" s="451" customFormat="1" ht="16.350000000000001" customHeight="1">
      <c r="A22" s="449" t="s">
        <v>1014</v>
      </c>
      <c r="B22" s="449"/>
      <c r="C22" s="1744">
        <v>2.2000000000000002</v>
      </c>
      <c r="D22" s="1741"/>
      <c r="E22" s="1744">
        <v>3.0000000000000001E-3</v>
      </c>
      <c r="F22" s="1741"/>
      <c r="G22" s="1744">
        <v>1.7000000000000001E-2</v>
      </c>
      <c r="H22" s="1741"/>
      <c r="I22" s="1744">
        <v>0</v>
      </c>
      <c r="J22" s="3170"/>
      <c r="K22" s="1745">
        <f t="shared" si="0"/>
        <v>2.1859999999999999</v>
      </c>
      <c r="L22" s="449"/>
      <c r="M22" s="449"/>
      <c r="N22" s="449"/>
      <c r="O22" s="449"/>
    </row>
    <row r="23" spans="1:15" s="451" customFormat="1" ht="16.350000000000001" customHeight="1">
      <c r="A23" s="449" t="s">
        <v>1015</v>
      </c>
      <c r="B23" s="449"/>
      <c r="C23" s="1744">
        <v>1.7130000000000001</v>
      </c>
      <c r="D23" s="1741"/>
      <c r="E23" s="1744">
        <v>1.7999999999999999E-2</v>
      </c>
      <c r="F23" s="1741"/>
      <c r="G23" s="1744">
        <v>9.6000000000000002E-2</v>
      </c>
      <c r="H23" s="1741"/>
      <c r="I23" s="1744">
        <v>0</v>
      </c>
      <c r="J23" s="3170"/>
      <c r="K23" s="1745">
        <f t="shared" si="0"/>
        <v>1.635</v>
      </c>
      <c r="L23" s="449"/>
      <c r="M23" s="449"/>
      <c r="N23" s="449"/>
      <c r="O23" s="449"/>
    </row>
    <row r="24" spans="1:15" s="451" customFormat="1" ht="16.350000000000001" customHeight="1">
      <c r="A24" s="449" t="s">
        <v>363</v>
      </c>
      <c r="B24" s="449"/>
      <c r="C24" s="1744">
        <v>4.8109999999999999</v>
      </c>
      <c r="D24" s="1741"/>
      <c r="E24" s="1744">
        <v>0.29199999999999998</v>
      </c>
      <c r="F24" s="1741"/>
      <c r="G24" s="1744">
        <v>0.13100000000000001</v>
      </c>
      <c r="H24" s="1741"/>
      <c r="I24" s="1744">
        <v>0</v>
      </c>
      <c r="J24" s="3170"/>
      <c r="K24" s="1745">
        <f t="shared" si="0"/>
        <v>4.9720000000000004</v>
      </c>
      <c r="L24" s="449"/>
      <c r="M24" s="449"/>
      <c r="N24" s="449"/>
      <c r="O24" s="449"/>
    </row>
    <row r="25" spans="1:15" s="451" customFormat="1" ht="16.350000000000001" customHeight="1">
      <c r="A25" s="3572" t="s">
        <v>1505</v>
      </c>
      <c r="B25" s="449"/>
      <c r="C25" s="1744">
        <v>7.9050000000000002</v>
      </c>
      <c r="D25" s="1741"/>
      <c r="E25" s="1744">
        <v>228.71600000000001</v>
      </c>
      <c r="F25" s="1741"/>
      <c r="G25" s="1744">
        <v>228.34800000000001</v>
      </c>
      <c r="H25" s="1741"/>
      <c r="I25" s="1744">
        <v>0</v>
      </c>
      <c r="J25" s="3170"/>
      <c r="K25" s="1745">
        <f t="shared" si="0"/>
        <v>8.2729999999999997</v>
      </c>
      <c r="L25" s="449"/>
      <c r="M25" s="449"/>
      <c r="N25" s="449"/>
      <c r="O25" s="449"/>
    </row>
    <row r="26" spans="1:15" s="451" customFormat="1" ht="20.100000000000001" customHeight="1">
      <c r="A26" s="455" t="s">
        <v>364</v>
      </c>
      <c r="B26" s="449"/>
      <c r="C26" s="1598">
        <f>ROUND(SUM(C18:C25),3)</f>
        <v>28.882999999999999</v>
      </c>
      <c r="D26" s="1627"/>
      <c r="E26" s="1598">
        <f>ROUND(SUM(E18:E25),3)</f>
        <v>234.78700000000001</v>
      </c>
      <c r="F26" s="1627"/>
      <c r="G26" s="1598">
        <f>ROUND(SUM(G18:G25),3)</f>
        <v>233.28100000000001</v>
      </c>
      <c r="H26" s="713"/>
      <c r="I26" s="1598">
        <f>ROUND(SUM(I18:I25),3)</f>
        <v>0</v>
      </c>
      <c r="J26" s="713"/>
      <c r="K26" s="1598">
        <f>ROUND(SUM(K18:K25),3)</f>
        <v>30.388999999999999</v>
      </c>
      <c r="L26" s="3171"/>
      <c r="M26" s="449"/>
      <c r="N26" s="449"/>
      <c r="O26" s="449"/>
    </row>
    <row r="27" spans="1:15" s="451" customFormat="1" ht="15" customHeight="1">
      <c r="A27" s="449"/>
      <c r="B27" s="449"/>
      <c r="C27" s="715"/>
      <c r="D27" s="452"/>
      <c r="E27" s="715"/>
      <c r="F27" s="452"/>
      <c r="G27" s="715"/>
      <c r="H27" s="452"/>
      <c r="I27" s="453"/>
      <c r="J27" s="452"/>
      <c r="K27" s="715"/>
      <c r="L27" s="449"/>
      <c r="M27" s="449"/>
      <c r="N27" s="449"/>
      <c r="O27" s="449"/>
    </row>
    <row r="28" spans="1:15" s="451" customFormat="1" ht="15" customHeight="1">
      <c r="A28" s="449"/>
      <c r="B28" s="449"/>
      <c r="C28" s="452"/>
      <c r="D28" s="3182"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50000000000001" customHeight="1">
      <c r="A32" s="449" t="s">
        <v>1016</v>
      </c>
      <c r="B32" s="449"/>
      <c r="C32" s="1744">
        <v>-101.38800000000001</v>
      </c>
      <c r="D32" s="1741"/>
      <c r="E32" s="1744">
        <v>40.686</v>
      </c>
      <c r="F32" s="1741"/>
      <c r="G32" s="1744">
        <v>23.398</v>
      </c>
      <c r="H32" s="1741"/>
      <c r="I32" s="1744">
        <v>0.432</v>
      </c>
      <c r="J32" s="3170"/>
      <c r="K32" s="1745">
        <f t="shared" ref="K32:K39" si="1">ROUND(SUM(C32)+SUM(E32)-SUM(G32)+SUM(I32),3)</f>
        <v>-83.668000000000006</v>
      </c>
      <c r="L32" s="449"/>
      <c r="M32" s="452"/>
      <c r="N32" s="449"/>
      <c r="O32" s="449"/>
    </row>
    <row r="33" spans="1:15" s="451" customFormat="1" ht="16.350000000000001" customHeight="1">
      <c r="A33" s="449" t="s">
        <v>365</v>
      </c>
      <c r="B33" s="449"/>
      <c r="C33" s="1744">
        <v>-104.26</v>
      </c>
      <c r="D33" s="1741"/>
      <c r="E33" s="1744">
        <v>15.414</v>
      </c>
      <c r="F33" s="1741"/>
      <c r="G33" s="1744">
        <v>13.784000000000001</v>
      </c>
      <c r="H33" s="1741"/>
      <c r="I33" s="1744">
        <v>2.4239999999999999</v>
      </c>
      <c r="J33" s="3170"/>
      <c r="K33" s="1745">
        <f t="shared" si="1"/>
        <v>-100.206</v>
      </c>
      <c r="L33" s="449"/>
      <c r="M33" s="452"/>
      <c r="N33" s="449"/>
      <c r="O33" s="449"/>
    </row>
    <row r="34" spans="1:15" s="451" customFormat="1" ht="16.350000000000001" customHeight="1">
      <c r="A34" s="449" t="s">
        <v>366</v>
      </c>
      <c r="B34" s="449"/>
      <c r="C34" s="1744">
        <v>-1.6E-2</v>
      </c>
      <c r="D34" s="1741"/>
      <c r="E34" s="1744">
        <v>7.8E-2</v>
      </c>
      <c r="F34" s="1741"/>
      <c r="G34" s="1744">
        <v>6.8000000000000005E-2</v>
      </c>
      <c r="H34" s="1741"/>
      <c r="I34" s="1744">
        <v>0</v>
      </c>
      <c r="J34" s="3170"/>
      <c r="K34" s="1745">
        <f t="shared" si="1"/>
        <v>-6.0000000000000001E-3</v>
      </c>
      <c r="L34" s="449"/>
      <c r="M34" s="452"/>
      <c r="N34" s="449"/>
      <c r="O34" s="449"/>
    </row>
    <row r="35" spans="1:15" s="451" customFormat="1" ht="16.350000000000001" customHeight="1">
      <c r="A35" s="449" t="s">
        <v>367</v>
      </c>
      <c r="B35" s="449"/>
      <c r="C35" s="1744">
        <v>9.4E-2</v>
      </c>
      <c r="D35" s="1741"/>
      <c r="E35" s="1744">
        <v>1E-3</v>
      </c>
      <c r="F35" s="1741"/>
      <c r="G35" s="1744">
        <v>5.0000000000000001E-3</v>
      </c>
      <c r="H35" s="1741"/>
      <c r="I35" s="1744">
        <v>0</v>
      </c>
      <c r="J35" s="3170"/>
      <c r="K35" s="1745">
        <f t="shared" si="1"/>
        <v>0.09</v>
      </c>
      <c r="L35" s="449"/>
      <c r="M35" s="452"/>
      <c r="N35" s="449"/>
      <c r="O35" s="449"/>
    </row>
    <row r="36" spans="1:15" s="451" customFormat="1" ht="16.350000000000001" customHeight="1">
      <c r="A36" s="449" t="s">
        <v>1017</v>
      </c>
      <c r="B36" s="449"/>
      <c r="C36" s="1744">
        <v>0.09</v>
      </c>
      <c r="D36" s="1741"/>
      <c r="E36" s="1744">
        <v>0</v>
      </c>
      <c r="F36" s="1741"/>
      <c r="G36" s="1744">
        <v>9.6000000000000002E-2</v>
      </c>
      <c r="H36" s="1741"/>
      <c r="I36" s="1744">
        <v>0</v>
      </c>
      <c r="J36" s="3170"/>
      <c r="K36" s="1745">
        <f t="shared" si="1"/>
        <v>-6.0000000000000001E-3</v>
      </c>
      <c r="L36" s="449"/>
      <c r="M36" s="452"/>
      <c r="N36" s="449"/>
      <c r="O36" s="449"/>
    </row>
    <row r="37" spans="1:15" s="451" customFormat="1" ht="16.350000000000001" customHeight="1">
      <c r="A37" s="449" t="s">
        <v>368</v>
      </c>
      <c r="B37" s="449"/>
      <c r="C37" s="1744">
        <v>-30.021000000000001</v>
      </c>
      <c r="D37" s="1741"/>
      <c r="E37" s="1744">
        <v>0</v>
      </c>
      <c r="F37" s="1741"/>
      <c r="G37" s="1744">
        <v>2.907</v>
      </c>
      <c r="H37" s="1741"/>
      <c r="I37" s="1744">
        <v>-1.7000000000000001E-2</v>
      </c>
      <c r="J37" s="3170"/>
      <c r="K37" s="1745">
        <f t="shared" si="1"/>
        <v>-32.945</v>
      </c>
      <c r="L37" s="449"/>
      <c r="M37" s="452"/>
      <c r="N37" s="449"/>
      <c r="O37" s="449"/>
    </row>
    <row r="38" spans="1:15" s="451" customFormat="1" ht="16.350000000000001" customHeight="1">
      <c r="A38" s="449" t="s">
        <v>369</v>
      </c>
      <c r="B38" s="449"/>
      <c r="C38" s="1744">
        <v>-20.748999999999999</v>
      </c>
      <c r="D38" s="1741"/>
      <c r="E38" s="1744">
        <v>3.2509999999999999</v>
      </c>
      <c r="F38" s="1741"/>
      <c r="G38" s="1744">
        <v>1.034</v>
      </c>
      <c r="H38" s="1741"/>
      <c r="I38" s="1744">
        <v>7.8520000000000003</v>
      </c>
      <c r="J38" s="3170"/>
      <c r="K38" s="1745">
        <f t="shared" si="1"/>
        <v>-10.68</v>
      </c>
      <c r="L38" s="449"/>
      <c r="M38" s="452"/>
      <c r="N38" s="449"/>
      <c r="O38" s="449"/>
    </row>
    <row r="39" spans="1:15" s="451" customFormat="1" ht="16.350000000000001" customHeight="1">
      <c r="A39" s="449" t="s">
        <v>370</v>
      </c>
      <c r="B39" s="449"/>
      <c r="C39" s="1744">
        <v>-35.040999999999997</v>
      </c>
      <c r="D39" s="1741"/>
      <c r="E39" s="1744">
        <v>2.9049999999999998</v>
      </c>
      <c r="F39" s="1741"/>
      <c r="G39" s="1744">
        <v>4.8179999999999996</v>
      </c>
      <c r="H39" s="1741"/>
      <c r="I39" s="1744">
        <v>0</v>
      </c>
      <c r="J39" s="3170"/>
      <c r="K39" s="1745">
        <f t="shared" si="1"/>
        <v>-36.954000000000001</v>
      </c>
      <c r="L39" s="449"/>
      <c r="M39" s="452"/>
      <c r="N39" s="449"/>
      <c r="O39" s="449"/>
    </row>
    <row r="40" spans="1:15" s="451" customFormat="1" ht="20.100000000000001" customHeight="1">
      <c r="A40" s="455" t="s">
        <v>371</v>
      </c>
      <c r="B40" s="449"/>
      <c r="C40" s="1598">
        <f>ROUND(SUM(C32:C39),3)</f>
        <v>-291.291</v>
      </c>
      <c r="D40" s="716"/>
      <c r="E40" s="1598">
        <f>ROUND(SUM(E32:E39),3)</f>
        <v>62.335000000000001</v>
      </c>
      <c r="F40" s="716"/>
      <c r="G40" s="1598">
        <f>ROUND(SUM(G32:G39),3)</f>
        <v>46.11</v>
      </c>
      <c r="H40" s="714"/>
      <c r="I40" s="1598">
        <f>ROUND(SUM(I32:I39),3)</f>
        <v>10.691000000000001</v>
      </c>
      <c r="J40" s="714"/>
      <c r="K40" s="1598">
        <f>ROUND(SUM(K32:K39),3)</f>
        <v>-264.375</v>
      </c>
      <c r="L40" s="3188"/>
      <c r="M40" s="449"/>
      <c r="N40" s="449"/>
      <c r="O40" s="449"/>
    </row>
    <row r="41" spans="1:15" s="451" customFormat="1" ht="15" customHeight="1">
      <c r="A41" s="455"/>
      <c r="B41" s="449"/>
      <c r="C41" s="3605"/>
      <c r="D41" s="2280"/>
      <c r="E41" s="2279"/>
      <c r="F41" s="2280"/>
      <c r="G41" s="2279"/>
      <c r="H41" s="2280"/>
      <c r="I41" s="3172"/>
      <c r="J41" s="2280"/>
      <c r="K41" s="2279"/>
      <c r="L41" s="449"/>
      <c r="M41" s="449"/>
      <c r="N41" s="449"/>
      <c r="O41" s="449"/>
    </row>
    <row r="42" spans="1:15" s="451" customFormat="1" ht="15" customHeight="1">
      <c r="A42" s="455"/>
      <c r="B42" s="449"/>
      <c r="C42" s="3172"/>
      <c r="D42" s="2280"/>
      <c r="E42" s="2280"/>
      <c r="F42" s="2280"/>
      <c r="G42" s="2280" t="s">
        <v>15</v>
      </c>
      <c r="H42" s="2280"/>
      <c r="I42" s="3189"/>
      <c r="J42" s="2280"/>
      <c r="K42" s="2280"/>
      <c r="L42" s="449"/>
      <c r="M42" s="449"/>
      <c r="N42" s="449"/>
      <c r="O42" s="449"/>
    </row>
    <row r="43" spans="1:15" s="451" customFormat="1" ht="20.100000000000001" customHeight="1" thickBot="1">
      <c r="A43" s="455" t="s">
        <v>65</v>
      </c>
      <c r="B43" s="450"/>
      <c r="C43" s="2281">
        <f>ROUND(SUM(C40)+SUM(C26),3)</f>
        <v>-262.40800000000002</v>
      </c>
      <c r="D43" s="724"/>
      <c r="E43" s="2281">
        <f>ROUND(SUM(E40)+SUM(E26),3)</f>
        <v>297.12200000000001</v>
      </c>
      <c r="F43" s="724"/>
      <c r="G43" s="2281">
        <f>ROUND(SUM(G40)+SUM(G26),3)</f>
        <v>279.39100000000002</v>
      </c>
      <c r="H43" s="724"/>
      <c r="I43" s="2281">
        <f>ROUND(SUM(I40)+SUM(I26),3)</f>
        <v>10.691000000000001</v>
      </c>
      <c r="J43" s="724"/>
      <c r="K43" s="2281">
        <f>ROUND(SUM(K40)+SUM(K26),3)</f>
        <v>-233.98599999999999</v>
      </c>
      <c r="L43" s="3171"/>
      <c r="M43" s="449"/>
      <c r="N43" s="449"/>
      <c r="O43" s="449"/>
    </row>
    <row r="44" spans="1:15" s="451" customFormat="1" ht="18.75" thickTop="1">
      <c r="A44" s="449"/>
      <c r="B44" s="449"/>
      <c r="C44" s="2282"/>
      <c r="D44" s="2280"/>
      <c r="E44" s="2282"/>
      <c r="F44" s="2280"/>
      <c r="G44" s="2282"/>
      <c r="H44" s="2280"/>
      <c r="I44" s="709"/>
      <c r="J44" s="2280"/>
      <c r="K44" s="2282"/>
      <c r="L44" s="449"/>
      <c r="M44" s="449"/>
      <c r="N44" s="449"/>
      <c r="O44" s="449"/>
    </row>
    <row r="45" spans="1:15" s="451" customFormat="1">
      <c r="A45" s="3190"/>
      <c r="B45" s="2276"/>
      <c r="C45" s="2285"/>
      <c r="D45" s="2285"/>
      <c r="E45" s="2283"/>
      <c r="F45" s="2283"/>
      <c r="G45" s="3191"/>
      <c r="H45" s="2283"/>
      <c r="I45" s="3192"/>
      <c r="J45" s="2285"/>
      <c r="K45" s="3193"/>
      <c r="L45" s="2276"/>
      <c r="M45" s="2276"/>
      <c r="N45" s="2276"/>
      <c r="O45" s="2276"/>
    </row>
    <row r="46" spans="1:15" s="451" customFormat="1">
      <c r="A46" s="2276"/>
      <c r="B46" s="2276"/>
      <c r="C46" s="2285"/>
      <c r="D46" s="2285"/>
      <c r="E46" s="2284"/>
      <c r="F46" s="2284"/>
      <c r="G46" s="2284"/>
      <c r="H46" s="2284"/>
      <c r="I46" s="2284"/>
      <c r="J46" s="2284"/>
      <c r="K46" s="2284"/>
      <c r="L46" s="2276"/>
      <c r="M46" s="2276"/>
      <c r="N46" s="2276"/>
      <c r="O46" s="2276"/>
    </row>
    <row r="47" spans="1:15" s="451" customFormat="1">
      <c r="A47" s="2276"/>
      <c r="B47" s="2276"/>
      <c r="C47" s="2285"/>
      <c r="D47" s="2285"/>
      <c r="E47" s="2285"/>
      <c r="F47" s="2285"/>
      <c r="G47" s="3194"/>
      <c r="H47" s="2276"/>
      <c r="I47" s="3195"/>
      <c r="J47" s="2285"/>
      <c r="K47" s="2285"/>
      <c r="L47" s="2276"/>
      <c r="M47" s="2276"/>
      <c r="N47" s="2276"/>
      <c r="O47" s="2276"/>
    </row>
    <row r="48" spans="1:15" s="451" customFormat="1">
      <c r="A48" s="2276"/>
      <c r="B48" s="2276"/>
      <c r="C48" s="2285"/>
      <c r="D48" s="2285"/>
      <c r="E48" s="2285"/>
      <c r="F48" s="2285"/>
      <c r="G48" s="2285"/>
      <c r="H48" s="2276"/>
      <c r="I48" s="3195"/>
      <c r="J48" s="2285"/>
      <c r="K48" s="2285"/>
      <c r="L48" s="2276"/>
      <c r="M48" s="2276"/>
      <c r="N48" s="2276"/>
      <c r="O48" s="2276"/>
    </row>
    <row r="49" spans="1:15" s="451" customFormat="1">
      <c r="A49" s="2276"/>
      <c r="B49" s="2276"/>
      <c r="C49" s="2285"/>
      <c r="D49" s="2285"/>
      <c r="E49" s="2285"/>
      <c r="F49" s="2285"/>
      <c r="G49" s="2285"/>
      <c r="H49" s="2276"/>
      <c r="I49" s="3195"/>
      <c r="J49" s="2285"/>
      <c r="K49" s="2285"/>
      <c r="L49" s="2276"/>
      <c r="M49" s="2276"/>
      <c r="N49" s="2276"/>
      <c r="O49" s="2276"/>
    </row>
    <row r="50" spans="1:15" s="451" customFormat="1">
      <c r="A50" s="2276"/>
      <c r="B50" s="2276"/>
      <c r="C50" s="2285"/>
      <c r="D50" s="2285"/>
      <c r="E50" s="2285"/>
      <c r="F50" s="2285"/>
      <c r="G50" s="2285"/>
      <c r="H50" s="2276"/>
      <c r="I50" s="3195"/>
      <c r="J50" s="2285"/>
      <c r="K50" s="2285"/>
      <c r="L50" s="2276"/>
      <c r="M50" s="2276"/>
      <c r="N50" s="2276"/>
      <c r="O50" s="2276"/>
    </row>
    <row r="51" spans="1:15" s="451" customFormat="1">
      <c r="A51" s="449"/>
      <c r="B51" s="2276"/>
      <c r="C51" s="2285"/>
      <c r="D51" s="2285"/>
      <c r="E51" s="2285"/>
      <c r="F51" s="2285"/>
      <c r="G51" s="2285"/>
      <c r="H51" s="2276"/>
      <c r="I51" s="2276"/>
      <c r="J51" s="2285"/>
      <c r="K51" s="2285"/>
      <c r="L51" s="2276"/>
      <c r="M51" s="2276"/>
      <c r="N51" s="2276"/>
      <c r="O51" s="2276"/>
    </row>
    <row r="52" spans="1:15" s="451" customFormat="1">
      <c r="A52" s="2276"/>
      <c r="B52" s="2276"/>
      <c r="C52" s="2285"/>
      <c r="D52" s="2285"/>
      <c r="E52" s="2285"/>
      <c r="F52" s="2285"/>
      <c r="G52" s="2285"/>
      <c r="H52" s="2276"/>
      <c r="I52" s="2276"/>
      <c r="J52" s="2285"/>
      <c r="K52" s="2285"/>
      <c r="L52" s="2276"/>
      <c r="M52" s="2276"/>
      <c r="N52" s="2276"/>
      <c r="O52" s="2276"/>
    </row>
    <row r="53" spans="1:15" s="451" customFormat="1">
      <c r="A53" s="2276"/>
      <c r="B53" s="2276"/>
      <c r="C53" s="2285"/>
      <c r="D53" s="2285"/>
      <c r="E53" s="2285"/>
      <c r="F53" s="2285"/>
      <c r="G53" s="2285"/>
      <c r="H53" s="2276"/>
      <c r="I53" s="2276"/>
      <c r="J53" s="2285"/>
      <c r="K53" s="2285"/>
      <c r="L53" s="2276"/>
      <c r="M53" s="2276"/>
      <c r="N53" s="2276"/>
      <c r="O53" s="2276"/>
    </row>
    <row r="54" spans="1:15" s="451" customFormat="1">
      <c r="A54" s="2276"/>
      <c r="B54" s="2276"/>
      <c r="C54" s="2285"/>
      <c r="D54" s="2285"/>
      <c r="E54" s="2285"/>
      <c r="F54" s="2285"/>
      <c r="G54" s="2285"/>
      <c r="H54" s="2276"/>
      <c r="I54" s="2276"/>
      <c r="J54" s="2285"/>
      <c r="K54" s="2285"/>
      <c r="L54" s="2276"/>
      <c r="M54" s="2276"/>
      <c r="N54" s="2276"/>
      <c r="O54" s="2276"/>
    </row>
    <row r="55" spans="1:15" s="451" customFormat="1">
      <c r="A55" s="2276"/>
      <c r="B55" s="2276"/>
      <c r="C55" s="2285"/>
      <c r="D55" s="2285"/>
      <c r="E55" s="2285"/>
      <c r="F55" s="2285"/>
      <c r="G55" s="2285"/>
      <c r="H55" s="2276"/>
      <c r="I55" s="2276"/>
      <c r="J55" s="2285"/>
      <c r="K55" s="2285"/>
      <c r="L55" s="2276"/>
      <c r="M55" s="2276"/>
      <c r="N55" s="2276"/>
      <c r="O55" s="2276"/>
    </row>
    <row r="56" spans="1:15" s="451" customFormat="1">
      <c r="A56" s="2276"/>
      <c r="B56" s="2276"/>
      <c r="C56" s="2285"/>
      <c r="D56" s="2285"/>
      <c r="E56" s="2285"/>
      <c r="F56" s="2285"/>
      <c r="G56" s="2285"/>
      <c r="H56" s="2276"/>
      <c r="I56" s="2276"/>
      <c r="J56" s="2285"/>
      <c r="K56" s="2285"/>
      <c r="L56" s="2276"/>
      <c r="M56" s="2276"/>
      <c r="N56" s="2276"/>
      <c r="O56" s="2276"/>
    </row>
    <row r="57" spans="1:15" s="451" customFormat="1">
      <c r="A57" s="2276"/>
      <c r="B57" s="2276"/>
      <c r="C57" s="2285"/>
      <c r="D57" s="2285"/>
      <c r="E57" s="2285"/>
      <c r="F57" s="2285"/>
      <c r="G57" s="2285"/>
      <c r="H57" s="2276"/>
      <c r="I57" s="2276"/>
      <c r="J57" s="2285"/>
      <c r="K57" s="2285"/>
      <c r="L57" s="2276"/>
      <c r="M57" s="2276"/>
      <c r="N57" s="2276"/>
      <c r="O57" s="2276"/>
    </row>
    <row r="58" spans="1:15" s="451" customFormat="1">
      <c r="A58" s="2276"/>
      <c r="B58" s="2276"/>
      <c r="C58" s="2285"/>
      <c r="D58" s="2285"/>
      <c r="E58" s="2285"/>
      <c r="F58" s="2285"/>
      <c r="G58" s="2285"/>
      <c r="H58" s="2276"/>
      <c r="I58" s="2276"/>
      <c r="J58" s="2285"/>
      <c r="K58" s="2285"/>
      <c r="L58" s="2276"/>
      <c r="M58" s="2276"/>
      <c r="N58" s="2276"/>
      <c r="O58" s="2276"/>
    </row>
    <row r="59" spans="1:15" s="451" customFormat="1">
      <c r="A59" s="2276"/>
      <c r="B59" s="2276"/>
      <c r="C59" s="2285"/>
      <c r="D59" s="2285"/>
      <c r="E59" s="2285"/>
      <c r="F59" s="2285"/>
      <c r="G59" s="2285"/>
      <c r="H59" s="2276"/>
      <c r="I59" s="2276"/>
      <c r="J59" s="2285"/>
      <c r="K59" s="2285"/>
      <c r="L59" s="2276"/>
      <c r="M59" s="2276"/>
      <c r="N59" s="2276"/>
      <c r="O59" s="2276"/>
    </row>
    <row r="60" spans="1:15" s="451" customFormat="1">
      <c r="A60" s="2276"/>
      <c r="B60" s="2276"/>
      <c r="C60" s="2285"/>
      <c r="D60" s="2285"/>
      <c r="E60" s="2285"/>
      <c r="F60" s="2285"/>
      <c r="G60" s="2285"/>
      <c r="H60" s="2276"/>
      <c r="I60" s="2276"/>
      <c r="J60" s="2285"/>
      <c r="K60" s="2285"/>
      <c r="L60" s="2276"/>
      <c r="M60" s="2276"/>
      <c r="N60" s="2276"/>
      <c r="O60" s="2276"/>
    </row>
    <row r="61" spans="1:15" s="451" customFormat="1">
      <c r="A61" s="2276"/>
      <c r="B61" s="2276"/>
      <c r="C61" s="2285"/>
      <c r="D61" s="2285"/>
      <c r="E61" s="2285"/>
      <c r="F61" s="2285"/>
      <c r="G61" s="2285"/>
      <c r="H61" s="2276"/>
      <c r="I61" s="2276"/>
      <c r="J61" s="2285"/>
      <c r="K61" s="2285"/>
      <c r="L61" s="2276"/>
      <c r="M61" s="2276"/>
      <c r="N61" s="2276"/>
      <c r="O61" s="2276"/>
    </row>
    <row r="62" spans="1:15" s="451" customFormat="1">
      <c r="A62" s="2276"/>
      <c r="B62" s="2276"/>
      <c r="C62" s="2285"/>
      <c r="D62" s="2285"/>
      <c r="E62" s="2285"/>
      <c r="F62" s="2285"/>
      <c r="G62" s="2285"/>
      <c r="H62" s="2276"/>
      <c r="I62" s="2276"/>
      <c r="J62" s="2285"/>
      <c r="K62" s="2285"/>
      <c r="L62" s="2276"/>
      <c r="M62" s="2276"/>
      <c r="N62" s="2276"/>
      <c r="O62" s="2276"/>
    </row>
    <row r="63" spans="1:15" s="451" customFormat="1">
      <c r="A63" s="2276"/>
      <c r="B63" s="2276"/>
      <c r="C63" s="2285"/>
      <c r="D63" s="2285"/>
      <c r="E63" s="2285"/>
      <c r="F63" s="2285"/>
      <c r="G63" s="2285"/>
      <c r="H63" s="2276"/>
      <c r="I63" s="2276"/>
      <c r="J63" s="2285"/>
      <c r="K63" s="2285"/>
      <c r="L63" s="2276"/>
      <c r="M63" s="2276"/>
      <c r="N63" s="2276"/>
      <c r="O63" s="2276"/>
    </row>
    <row r="64" spans="1:15" s="451" customFormat="1">
      <c r="A64" s="2276"/>
      <c r="B64" s="2276"/>
      <c r="C64" s="2285"/>
      <c r="D64" s="2285"/>
      <c r="E64" s="2285"/>
      <c r="F64" s="2285"/>
      <c r="G64" s="2285"/>
      <c r="H64" s="2276"/>
      <c r="I64" s="2276"/>
      <c r="J64" s="2285"/>
      <c r="K64" s="2285"/>
      <c r="L64" s="2276"/>
      <c r="M64" s="2276"/>
      <c r="N64" s="2276"/>
      <c r="O64" s="2276"/>
    </row>
    <row r="65" spans="1:15" s="451" customFormat="1">
      <c r="A65" s="2276"/>
      <c r="B65" s="2276"/>
      <c r="C65" s="2285"/>
      <c r="D65" s="2285"/>
      <c r="E65" s="2285"/>
      <c r="F65" s="2285"/>
      <c r="G65" s="2285"/>
      <c r="H65" s="2276"/>
      <c r="I65" s="2276"/>
      <c r="J65" s="2285"/>
      <c r="K65" s="2285"/>
      <c r="L65" s="2276"/>
      <c r="M65" s="2276"/>
      <c r="N65" s="2276"/>
      <c r="O65" s="2276"/>
    </row>
    <row r="66" spans="1:15" s="451" customFormat="1">
      <c r="A66" s="2276"/>
      <c r="B66" s="2276"/>
      <c r="C66" s="2285"/>
      <c r="D66" s="2285"/>
      <c r="E66" s="2285"/>
      <c r="F66" s="2285"/>
      <c r="G66" s="2285"/>
      <c r="H66" s="2276"/>
      <c r="I66" s="2276"/>
      <c r="J66" s="2285"/>
      <c r="K66" s="2285"/>
      <c r="L66" s="2276"/>
      <c r="M66" s="2276"/>
      <c r="N66" s="2276"/>
      <c r="O66" s="2276"/>
    </row>
    <row r="67" spans="1:15" s="451" customFormat="1">
      <c r="A67" s="2276"/>
      <c r="B67" s="2276"/>
      <c r="C67" s="2285"/>
      <c r="D67" s="2285"/>
      <c r="E67" s="2285"/>
      <c r="F67" s="2285"/>
      <c r="G67" s="2285"/>
      <c r="H67" s="2276"/>
      <c r="I67" s="2276"/>
      <c r="J67" s="2285"/>
      <c r="K67" s="2285"/>
      <c r="L67" s="2276"/>
      <c r="M67" s="2276"/>
      <c r="N67" s="2276"/>
      <c r="O67" s="2276"/>
    </row>
    <row r="68" spans="1:15" s="451" customFormat="1">
      <c r="A68" s="2276"/>
      <c r="B68" s="2276"/>
      <c r="C68" s="2285"/>
      <c r="D68" s="2285"/>
      <c r="E68" s="2285"/>
      <c r="F68" s="2285"/>
      <c r="G68" s="2285"/>
      <c r="H68" s="2276"/>
      <c r="I68" s="2276"/>
      <c r="J68" s="2285"/>
      <c r="K68" s="2285"/>
      <c r="L68" s="2276"/>
      <c r="M68" s="2276"/>
      <c r="N68" s="2276"/>
      <c r="O68" s="2276"/>
    </row>
    <row r="69" spans="1:15" s="451" customFormat="1">
      <c r="A69" s="2276"/>
      <c r="B69" s="2276"/>
      <c r="C69" s="2285"/>
      <c r="D69" s="2285"/>
      <c r="E69" s="2285"/>
      <c r="F69" s="2285"/>
      <c r="G69" s="2285"/>
      <c r="H69" s="2276"/>
      <c r="I69" s="2276"/>
      <c r="J69" s="2285"/>
      <c r="K69" s="2285"/>
      <c r="L69" s="2276"/>
      <c r="M69" s="2276"/>
      <c r="N69" s="2276"/>
      <c r="O69" s="2276"/>
    </row>
    <row r="70" spans="1:15" s="451" customFormat="1">
      <c r="A70" s="2276"/>
      <c r="B70" s="2276"/>
      <c r="C70" s="2285"/>
      <c r="D70" s="2285"/>
      <c r="E70" s="2285"/>
      <c r="F70" s="2285"/>
      <c r="G70" s="2285"/>
      <c r="H70" s="2276"/>
      <c r="I70" s="2276"/>
      <c r="J70" s="2285"/>
      <c r="K70" s="2285"/>
      <c r="L70" s="2276"/>
      <c r="M70" s="2276"/>
      <c r="N70" s="2276"/>
      <c r="O70" s="2276"/>
    </row>
    <row r="71" spans="1:15" s="451" customFormat="1">
      <c r="A71" s="2276"/>
      <c r="B71" s="2276"/>
      <c r="C71" s="2285"/>
      <c r="D71" s="2285"/>
      <c r="E71" s="2285"/>
      <c r="F71" s="2285"/>
      <c r="G71" s="2285"/>
      <c r="H71" s="2276"/>
      <c r="I71" s="2276"/>
      <c r="J71" s="2285"/>
      <c r="K71" s="2285"/>
      <c r="L71" s="2276"/>
      <c r="M71" s="2276"/>
      <c r="N71" s="2276"/>
      <c r="O71" s="2276"/>
    </row>
    <row r="72" spans="1:15" s="451" customFormat="1">
      <c r="A72" s="2276"/>
      <c r="B72" s="2276"/>
      <c r="C72" s="2285"/>
      <c r="D72" s="2285"/>
      <c r="E72" s="2285"/>
      <c r="F72" s="2285"/>
      <c r="G72" s="2285"/>
      <c r="H72" s="2276"/>
      <c r="I72" s="2276"/>
      <c r="J72" s="2285"/>
      <c r="K72" s="2285"/>
      <c r="L72" s="2276"/>
      <c r="M72" s="2276"/>
      <c r="N72" s="2276"/>
      <c r="O72" s="2276"/>
    </row>
    <row r="73" spans="1:15" s="451" customFormat="1">
      <c r="A73" s="2276"/>
      <c r="B73" s="2276"/>
      <c r="C73" s="2285"/>
      <c r="D73" s="2285"/>
      <c r="E73" s="2285"/>
      <c r="F73" s="2285"/>
      <c r="G73" s="2285"/>
      <c r="H73" s="2276"/>
      <c r="I73" s="2276"/>
      <c r="J73" s="2285"/>
      <c r="K73" s="2285"/>
      <c r="L73" s="2276"/>
      <c r="M73" s="2276"/>
      <c r="N73" s="2276"/>
      <c r="O73" s="2276"/>
    </row>
    <row r="74" spans="1:15" s="451" customFormat="1">
      <c r="A74" s="2276"/>
      <c r="B74" s="2276"/>
      <c r="C74" s="2285"/>
      <c r="D74" s="2285"/>
      <c r="E74" s="2285"/>
      <c r="F74" s="2285"/>
      <c r="G74" s="2285"/>
      <c r="H74" s="2276"/>
      <c r="I74" s="2276"/>
      <c r="J74" s="2285"/>
      <c r="K74" s="2285"/>
      <c r="L74" s="2276"/>
      <c r="M74" s="2276"/>
      <c r="N74" s="2276"/>
      <c r="O74" s="2276"/>
    </row>
    <row r="75" spans="1:15" s="451" customFormat="1">
      <c r="A75" s="2276"/>
      <c r="B75" s="2276"/>
      <c r="C75" s="2285"/>
      <c r="D75" s="2285"/>
      <c r="E75" s="2285"/>
      <c r="F75" s="2285"/>
      <c r="G75" s="2285"/>
      <c r="H75" s="2276"/>
      <c r="I75" s="2276"/>
      <c r="J75" s="2285"/>
      <c r="K75" s="2285"/>
      <c r="L75" s="2276"/>
      <c r="M75" s="2276"/>
      <c r="N75" s="2276"/>
      <c r="O75" s="2276"/>
    </row>
    <row r="76" spans="1:15" s="451" customFormat="1">
      <c r="A76" s="2276"/>
      <c r="B76" s="2276"/>
      <c r="C76" s="2285"/>
      <c r="D76" s="2285"/>
      <c r="E76" s="2285"/>
      <c r="F76" s="2285"/>
      <c r="G76" s="2285"/>
      <c r="H76" s="2276"/>
      <c r="I76" s="2276"/>
      <c r="J76" s="2285"/>
      <c r="K76" s="2285"/>
      <c r="L76" s="2276"/>
      <c r="M76" s="2276"/>
      <c r="N76" s="2276"/>
      <c r="O76" s="2276"/>
    </row>
    <row r="77" spans="1:15" s="451" customFormat="1">
      <c r="A77" s="2276"/>
      <c r="B77" s="2276"/>
      <c r="C77" s="2285"/>
      <c r="D77" s="2285"/>
      <c r="E77" s="2285"/>
      <c r="F77" s="2285"/>
      <c r="G77" s="2285"/>
      <c r="H77" s="2276"/>
      <c r="I77" s="2276"/>
      <c r="J77" s="2285"/>
      <c r="K77" s="2285"/>
      <c r="L77" s="2276"/>
      <c r="M77" s="2276"/>
      <c r="N77" s="2276"/>
      <c r="O77" s="2276"/>
    </row>
    <row r="78" spans="1:15" s="451" customFormat="1">
      <c r="A78" s="2276"/>
      <c r="B78" s="2276"/>
      <c r="C78" s="2285"/>
      <c r="D78" s="2285"/>
      <c r="E78" s="2285"/>
      <c r="F78" s="2285"/>
      <c r="G78" s="2285"/>
      <c r="H78" s="2276"/>
      <c r="I78" s="2276"/>
      <c r="J78" s="2285"/>
      <c r="K78" s="2285"/>
      <c r="L78" s="2276"/>
      <c r="M78" s="2276"/>
      <c r="N78" s="2276"/>
      <c r="O78" s="2276"/>
    </row>
    <row r="79" spans="1:15" s="451" customFormat="1">
      <c r="A79" s="2276"/>
      <c r="B79" s="2276"/>
      <c r="C79" s="2285"/>
      <c r="D79" s="2285"/>
      <c r="E79" s="2285"/>
      <c r="F79" s="2285"/>
      <c r="G79" s="2285"/>
      <c r="H79" s="2276"/>
      <c r="I79" s="2276"/>
      <c r="J79" s="2285"/>
      <c r="K79" s="2285"/>
      <c r="L79" s="2276"/>
      <c r="M79" s="2276"/>
      <c r="N79" s="2276"/>
      <c r="O79" s="2276"/>
    </row>
    <row r="80" spans="1:15" s="451" customFormat="1">
      <c r="A80" s="2276"/>
      <c r="B80" s="2276"/>
      <c r="C80" s="2285"/>
      <c r="D80" s="2285"/>
      <c r="E80" s="2285"/>
      <c r="F80" s="2285"/>
      <c r="G80" s="2285"/>
      <c r="H80" s="2276"/>
      <c r="I80" s="2276"/>
      <c r="J80" s="2285"/>
      <c r="K80" s="2285"/>
      <c r="L80" s="2276"/>
      <c r="M80" s="2276"/>
      <c r="N80" s="2276"/>
      <c r="O80" s="2276"/>
    </row>
    <row r="81" spans="1:15" s="451" customFormat="1">
      <c r="A81" s="2276"/>
      <c r="B81" s="2276"/>
      <c r="C81" s="2285"/>
      <c r="D81" s="2285"/>
      <c r="E81" s="2285"/>
      <c r="F81" s="2285"/>
      <c r="G81" s="2285"/>
      <c r="H81" s="2276"/>
      <c r="I81" s="2276"/>
      <c r="J81" s="2285"/>
      <c r="K81" s="2285"/>
      <c r="L81" s="2276"/>
      <c r="M81" s="2276"/>
      <c r="N81" s="2276"/>
      <c r="O81" s="2276"/>
    </row>
    <row r="82" spans="1:15" s="451" customFormat="1">
      <c r="A82" s="2276"/>
      <c r="B82" s="2276"/>
      <c r="C82" s="2285"/>
      <c r="D82" s="2285"/>
      <c r="E82" s="2285"/>
      <c r="F82" s="2285"/>
      <c r="G82" s="2285"/>
      <c r="H82" s="2276"/>
      <c r="I82" s="2276"/>
      <c r="J82" s="2285"/>
      <c r="K82" s="2285"/>
      <c r="L82" s="2276"/>
      <c r="M82" s="2276"/>
      <c r="N82" s="2276"/>
      <c r="O82" s="2276"/>
    </row>
    <row r="83" spans="1:15" s="451" customFormat="1">
      <c r="A83" s="2276"/>
      <c r="B83" s="2276"/>
      <c r="C83" s="2285"/>
      <c r="D83" s="2285"/>
      <c r="E83" s="2285"/>
      <c r="F83" s="2285"/>
      <c r="G83" s="2285"/>
      <c r="H83" s="2276"/>
      <c r="I83" s="2276"/>
      <c r="J83" s="2285"/>
      <c r="K83" s="2285"/>
      <c r="L83" s="2276"/>
      <c r="M83" s="2276"/>
      <c r="N83" s="2276"/>
      <c r="O83" s="2276"/>
    </row>
    <row r="84" spans="1:15" s="451" customFormat="1">
      <c r="A84" s="2276"/>
      <c r="B84" s="2276"/>
      <c r="C84" s="2285"/>
      <c r="D84" s="2285"/>
      <c r="E84" s="2285"/>
      <c r="F84" s="2285"/>
      <c r="G84" s="2285"/>
      <c r="H84" s="2276"/>
      <c r="I84" s="2276"/>
      <c r="J84" s="2285"/>
      <c r="K84" s="2285"/>
      <c r="L84" s="2276"/>
      <c r="M84" s="2276"/>
      <c r="N84" s="2276"/>
      <c r="O84" s="2276"/>
    </row>
    <row r="85" spans="1:15" s="451" customFormat="1">
      <c r="A85" s="2276"/>
      <c r="B85" s="2276"/>
      <c r="C85" s="2285"/>
      <c r="D85" s="2285"/>
      <c r="E85" s="2285"/>
      <c r="F85" s="2285"/>
      <c r="G85" s="2285"/>
      <c r="H85" s="2276"/>
      <c r="I85" s="2276"/>
      <c r="J85" s="2285"/>
      <c r="K85" s="2285"/>
      <c r="L85" s="2276"/>
      <c r="M85" s="2276"/>
      <c r="N85" s="2276"/>
      <c r="O85" s="2276"/>
    </row>
    <row r="86" spans="1:15" s="451" customFormat="1">
      <c r="A86" s="2276"/>
      <c r="B86" s="2276"/>
      <c r="C86" s="2285"/>
      <c r="D86" s="2285"/>
      <c r="E86" s="2285"/>
      <c r="F86" s="2285"/>
      <c r="G86" s="2285"/>
      <c r="H86" s="2276"/>
      <c r="I86" s="2276"/>
      <c r="J86" s="2285"/>
      <c r="K86" s="2285"/>
      <c r="L86" s="2276"/>
      <c r="M86" s="2276"/>
      <c r="N86" s="2276"/>
      <c r="O86" s="2276"/>
    </row>
    <row r="87" spans="1:15" s="451" customFormat="1">
      <c r="A87" s="2276"/>
      <c r="B87" s="2276"/>
      <c r="C87" s="2285"/>
      <c r="D87" s="2285"/>
      <c r="E87" s="2285"/>
      <c r="F87" s="2285"/>
      <c r="G87" s="2285"/>
      <c r="H87" s="2276"/>
      <c r="I87" s="2276"/>
      <c r="J87" s="2285"/>
      <c r="K87" s="2285"/>
      <c r="L87" s="2276"/>
      <c r="M87" s="2276"/>
      <c r="N87" s="2276"/>
      <c r="O87" s="2276"/>
    </row>
    <row r="88" spans="1:15" s="451" customFormat="1">
      <c r="A88" s="2276"/>
      <c r="B88" s="2276"/>
      <c r="C88" s="2285"/>
      <c r="D88" s="2285"/>
      <c r="E88" s="2285"/>
      <c r="F88" s="2285"/>
      <c r="G88" s="2285"/>
      <c r="H88" s="2276"/>
      <c r="I88" s="2276"/>
      <c r="J88" s="2285"/>
      <c r="K88" s="2285"/>
      <c r="L88" s="2276"/>
      <c r="M88" s="2276"/>
      <c r="N88" s="2276"/>
      <c r="O88" s="2276"/>
    </row>
    <row r="89" spans="1:15" s="451" customFormat="1">
      <c r="A89" s="2276"/>
      <c r="B89" s="2276"/>
      <c r="C89" s="2285"/>
      <c r="D89" s="2285"/>
      <c r="E89" s="2285"/>
      <c r="F89" s="2285"/>
      <c r="G89" s="2285"/>
      <c r="H89" s="2276"/>
      <c r="I89" s="2276"/>
      <c r="J89" s="2285"/>
      <c r="K89" s="2285"/>
      <c r="L89" s="2276"/>
      <c r="M89" s="2276"/>
      <c r="N89" s="2276"/>
      <c r="O89" s="2276"/>
    </row>
    <row r="90" spans="1:15" s="451" customFormat="1">
      <c r="A90" s="2276"/>
      <c r="B90" s="2276"/>
      <c r="C90" s="2285"/>
      <c r="D90" s="2285"/>
      <c r="E90" s="2285"/>
      <c r="F90" s="2285"/>
      <c r="G90" s="2285"/>
      <c r="H90" s="2276"/>
      <c r="I90" s="2276"/>
      <c r="J90" s="2285"/>
      <c r="K90" s="2285"/>
      <c r="L90" s="2276"/>
      <c r="M90" s="2276"/>
      <c r="N90" s="2276"/>
      <c r="O90" s="2276"/>
    </row>
    <row r="91" spans="1:15" s="451" customFormat="1">
      <c r="A91" s="2276"/>
      <c r="B91" s="2276"/>
      <c r="C91" s="2285"/>
      <c r="D91" s="2285"/>
      <c r="E91" s="2285"/>
      <c r="F91" s="2285"/>
      <c r="G91" s="2285"/>
      <c r="H91" s="2276"/>
      <c r="I91" s="2276"/>
      <c r="J91" s="2285"/>
      <c r="K91" s="2285"/>
      <c r="L91" s="2276"/>
      <c r="M91" s="2276"/>
      <c r="N91" s="2276"/>
      <c r="O91" s="2276"/>
    </row>
    <row r="92" spans="1:15" s="451" customFormat="1">
      <c r="A92" s="2276"/>
      <c r="B92" s="2276"/>
      <c r="C92" s="2285"/>
      <c r="D92" s="2285"/>
      <c r="E92" s="2285"/>
      <c r="F92" s="2285"/>
      <c r="G92" s="2285"/>
      <c r="H92" s="2276"/>
      <c r="I92" s="2276"/>
      <c r="J92" s="2285"/>
      <c r="K92" s="2285"/>
      <c r="L92" s="2276"/>
      <c r="M92" s="2276"/>
      <c r="N92" s="2276"/>
      <c r="O92" s="2276"/>
    </row>
    <row r="93" spans="1:15" s="451" customFormat="1">
      <c r="A93" s="2276"/>
      <c r="B93" s="2276"/>
      <c r="C93" s="2285"/>
      <c r="D93" s="2285"/>
      <c r="E93" s="2285"/>
      <c r="F93" s="2285"/>
      <c r="G93" s="2285"/>
      <c r="H93" s="2276"/>
      <c r="I93" s="2276"/>
      <c r="J93" s="2285"/>
      <c r="K93" s="2285"/>
      <c r="L93" s="2276"/>
      <c r="M93" s="2276"/>
      <c r="N93" s="2276"/>
      <c r="O93" s="2276"/>
    </row>
  </sheetData>
  <pageMargins left="0.75" right="0.5" top="0.5"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88671875" defaultRowHeight="12.75"/>
  <cols>
    <col min="1" max="1" width="56.109375" style="454" customWidth="1"/>
    <col min="2" max="2" width="5.88671875" style="454" customWidth="1"/>
    <col min="3" max="3" width="9.88671875" style="454" customWidth="1"/>
    <col min="4" max="4" width="21.109375" style="454" customWidth="1"/>
    <col min="5" max="5" width="1.88671875" style="454" customWidth="1"/>
    <col min="6" max="6" width="16.88671875" style="454" customWidth="1"/>
    <col min="7" max="7" width="2.109375" style="454" customWidth="1"/>
    <col min="8" max="8" width="19.109375" style="454" customWidth="1"/>
    <col min="9" max="9" width="1.88671875" style="454" customWidth="1"/>
    <col min="10" max="10" width="20.88671875" style="454" customWidth="1"/>
    <col min="11" max="11" width="2.109375" style="454" customWidth="1"/>
    <col min="12" max="12" width="22.44140625" style="454" customWidth="1"/>
    <col min="13" max="13" width="2.44140625" style="454" customWidth="1"/>
    <col min="14" max="14" width="10.88671875" style="454" bestFit="1" customWidth="1"/>
    <col min="15" max="15" width="12.5546875" style="454" bestFit="1" customWidth="1"/>
    <col min="16" max="16384" width="8.88671875" style="454"/>
  </cols>
  <sheetData>
    <row r="1" spans="1:256" ht="15">
      <c r="A1" s="657" t="s">
        <v>979</v>
      </c>
    </row>
    <row r="2" spans="1:256" ht="18" customHeight="1"/>
    <row r="3" spans="1:256" ht="18">
      <c r="A3" s="455" t="s">
        <v>0</v>
      </c>
      <c r="B3" s="456"/>
      <c r="C3" s="456"/>
      <c r="D3" s="457"/>
      <c r="E3" s="457"/>
      <c r="F3" s="456"/>
      <c r="G3" s="456" t="s">
        <v>15</v>
      </c>
      <c r="H3" s="456"/>
      <c r="I3" s="456"/>
      <c r="J3" s="456"/>
      <c r="K3" s="456"/>
      <c r="L3" s="458" t="s">
        <v>372</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373</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1303</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1397</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JANUARY 2020</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18" t="s">
        <v>1416</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6"/>
      <c r="E9" s="455"/>
      <c r="F9" s="455"/>
      <c r="G9" s="455"/>
      <c r="H9" s="455"/>
      <c r="I9" s="455"/>
      <c r="J9" s="706" t="s">
        <v>357</v>
      </c>
      <c r="K9" s="455"/>
      <c r="L9" s="706"/>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6" t="s">
        <v>235</v>
      </c>
      <c r="E10" s="455"/>
      <c r="F10" s="455"/>
      <c r="G10" s="455"/>
      <c r="H10" s="455"/>
      <c r="I10" s="455"/>
      <c r="J10" s="706" t="s">
        <v>358</v>
      </c>
      <c r="K10" s="455"/>
      <c r="L10" s="706"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2" t="str">
        <f>'Sch 1 '!C11</f>
        <v>JANUARY 1, 2020</v>
      </c>
      <c r="E11" s="455"/>
      <c r="F11" s="706" t="s">
        <v>237</v>
      </c>
      <c r="G11" s="455"/>
      <c r="H11" s="706" t="s">
        <v>238</v>
      </c>
      <c r="I11" s="455"/>
      <c r="J11" s="706" t="s">
        <v>239</v>
      </c>
      <c r="K11" s="455"/>
      <c r="L11" s="922" t="str">
        <f>'Sch 1 '!K11</f>
        <v>JANUARY 31, 2020</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7" t="s">
        <v>15</v>
      </c>
      <c r="E12" s="455"/>
      <c r="F12" s="707" t="s">
        <v>15</v>
      </c>
      <c r="G12" s="455"/>
      <c r="H12" s="707" t="s">
        <v>15</v>
      </c>
      <c r="I12" s="455"/>
      <c r="J12" s="707" t="s">
        <v>15</v>
      </c>
      <c r="K12" s="455" t="s">
        <v>15</v>
      </c>
      <c r="L12" s="707"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08"/>
      <c r="E13" s="708"/>
      <c r="F13" s="478"/>
      <c r="G13" s="449"/>
      <c r="H13" s="478"/>
      <c r="I13" s="708"/>
      <c r="J13" s="708"/>
      <c r="K13" s="708"/>
      <c r="L13" s="708"/>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08"/>
      <c r="E14" s="708"/>
      <c r="F14" s="708"/>
      <c r="G14" s="708"/>
      <c r="H14" s="708"/>
      <c r="I14" s="708"/>
      <c r="J14" s="708"/>
      <c r="K14" s="708"/>
      <c r="L14" s="708"/>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1018</v>
      </c>
      <c r="B15" s="459"/>
      <c r="C15" s="459"/>
      <c r="D15" s="3601">
        <v>0.14000000000000001</v>
      </c>
      <c r="E15" s="1741"/>
      <c r="F15" s="1740">
        <v>5.2779999999999996</v>
      </c>
      <c r="G15" s="1741"/>
      <c r="H15" s="1740">
        <v>11.554</v>
      </c>
      <c r="I15" s="1741"/>
      <c r="J15" s="1740">
        <v>0</v>
      </c>
      <c r="K15" s="1742"/>
      <c r="L15" s="1743">
        <f>ROUND(SUM(D15)+SUM(F15)-SUM(H15)+SUM(J15),3)</f>
        <v>-6.1360000000000001</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02" t="s">
        <v>15</v>
      </c>
      <c r="E16" s="709"/>
      <c r="F16" s="710" t="s">
        <v>15</v>
      </c>
      <c r="G16" s="709"/>
      <c r="H16" s="710" t="s">
        <v>15</v>
      </c>
      <c r="I16" s="709"/>
      <c r="J16" s="711" t="s">
        <v>15</v>
      </c>
      <c r="K16" s="709"/>
      <c r="L16" s="712"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374</v>
      </c>
      <c r="B17" s="459"/>
      <c r="C17" s="459"/>
      <c r="D17" s="713">
        <f>ROUND(SUM(D15),3)</f>
        <v>0.14000000000000001</v>
      </c>
      <c r="E17" s="714"/>
      <c r="F17" s="713">
        <f>ROUND(SUM(F15),3)</f>
        <v>5.2779999999999996</v>
      </c>
      <c r="G17" s="714"/>
      <c r="H17" s="713">
        <f>ROUND(SUM(H15),3)</f>
        <v>11.554</v>
      </c>
      <c r="I17" s="714"/>
      <c r="J17" s="914">
        <f>ROUND(SUM(J15),3)</f>
        <v>0</v>
      </c>
      <c r="K17" s="714"/>
      <c r="L17" s="713">
        <f>ROUND(SUM(L15),3)</f>
        <v>-6.1360000000000001</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5"/>
      <c r="E18" s="452"/>
      <c r="F18" s="715"/>
      <c r="G18" s="452"/>
      <c r="H18" s="715"/>
      <c r="I18" s="452"/>
      <c r="J18" s="453"/>
      <c r="K18" s="452"/>
      <c r="L18" s="715"/>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6"/>
      <c r="E19" s="716"/>
      <c r="F19" s="716"/>
      <c r="G19" s="716"/>
      <c r="H19" s="716"/>
      <c r="I19" s="716"/>
      <c r="J19" s="716"/>
      <c r="K19" s="716"/>
      <c r="L19" s="716"/>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6"/>
      <c r="E20" s="716"/>
      <c r="F20" s="716"/>
      <c r="G20" s="716"/>
      <c r="H20" s="716"/>
      <c r="I20" s="716"/>
      <c r="J20" s="716"/>
      <c r="K20" s="716"/>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7" t="s">
        <v>375</v>
      </c>
      <c r="B21" s="455"/>
      <c r="C21" s="477"/>
      <c r="D21" s="1744">
        <v>2.9649999999999999</v>
      </c>
      <c r="E21" s="1741"/>
      <c r="F21" s="1744">
        <v>4.0000000000000001E-3</v>
      </c>
      <c r="G21" s="1741"/>
      <c r="H21" s="1744">
        <v>0.02</v>
      </c>
      <c r="I21" s="1741"/>
      <c r="J21" s="1744">
        <v>0</v>
      </c>
      <c r="K21" s="1742"/>
      <c r="L21" s="1745">
        <f>ROUND(SUM(D21)+SUM(F21)-SUM(H21)+SUM(J21),3)</f>
        <v>2.9489999999999998</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7" t="s">
        <v>376</v>
      </c>
      <c r="B22" s="455"/>
      <c r="C22" s="455"/>
      <c r="D22" s="1746">
        <v>11.115</v>
      </c>
      <c r="E22" s="1741"/>
      <c r="F22" s="1746">
        <v>7.5999999999999998E-2</v>
      </c>
      <c r="G22" s="1741"/>
      <c r="H22" s="1746">
        <v>2.3E-2</v>
      </c>
      <c r="I22" s="1741"/>
      <c r="J22" s="1746">
        <v>0</v>
      </c>
      <c r="K22" s="1742"/>
      <c r="L22" s="1747">
        <f>ROUND(SUM(D22)+SUM(F22)-SUM(H22)+SUM(J22),3)</f>
        <v>11.167999999999999</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7"/>
      <c r="B23" s="455"/>
      <c r="C23" s="455"/>
      <c r="D23" s="453"/>
      <c r="E23" s="452"/>
      <c r="F23" s="453" t="s">
        <v>15</v>
      </c>
      <c r="G23" s="452"/>
      <c r="H23" s="718"/>
      <c r="I23" s="452"/>
      <c r="J23" s="719"/>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1226</v>
      </c>
      <c r="B24" s="455"/>
      <c r="C24" s="477"/>
      <c r="D24" s="720">
        <f>ROUND(SUM(D21:D22),3)</f>
        <v>14.08</v>
      </c>
      <c r="E24" s="716"/>
      <c r="F24" s="720">
        <f>ROUND(SUM(F21:F22),3)</f>
        <v>0.08</v>
      </c>
      <c r="G24" s="716"/>
      <c r="H24" s="720">
        <f>ROUND(SUM(H21:H22),3)</f>
        <v>4.2999999999999997E-2</v>
      </c>
      <c r="I24" s="716"/>
      <c r="J24" s="720">
        <f>ROUND(SUM(J21:J22),3)</f>
        <v>0</v>
      </c>
      <c r="K24" s="716"/>
      <c r="L24" s="720">
        <f>ROUND(SUM(L21:L22),3)</f>
        <v>14.117000000000001</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6"/>
      <c r="E25" s="714"/>
      <c r="F25" s="716"/>
      <c r="G25" s="714"/>
      <c r="H25" s="716"/>
      <c r="I25" s="714"/>
      <c r="J25" s="716"/>
      <c r="K25" s="714"/>
      <c r="L25" s="716"/>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377</v>
      </c>
      <c r="B26" s="455"/>
      <c r="C26" s="455"/>
      <c r="D26" s="714"/>
      <c r="E26" s="714"/>
      <c r="F26" s="714"/>
      <c r="G26" s="714"/>
      <c r="H26" s="714"/>
      <c r="I26" s="714"/>
      <c r="J26" s="714"/>
      <c r="K26" s="714"/>
      <c r="L26" s="714"/>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1009</v>
      </c>
      <c r="B28" s="459"/>
      <c r="C28" s="459" t="s">
        <v>15</v>
      </c>
      <c r="D28" s="1744">
        <v>24.117999999999999</v>
      </c>
      <c r="E28" s="1741"/>
      <c r="F28" s="1744">
        <v>0.224</v>
      </c>
      <c r="G28" s="1741"/>
      <c r="H28" s="1744">
        <v>0</v>
      </c>
      <c r="I28" s="1741"/>
      <c r="J28" s="1744">
        <v>0</v>
      </c>
      <c r="K28" s="1742"/>
      <c r="L28" s="1745">
        <f t="shared" ref="L28:L44" si="0">ROUND(SUM(D28)+SUM(F28)-SUM(H28)+SUM(J28),3)</f>
        <v>24.341999999999999</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7" t="s">
        <v>378</v>
      </c>
      <c r="B29" s="459"/>
      <c r="C29" s="459"/>
      <c r="D29" s="1744">
        <v>0.52800000000000002</v>
      </c>
      <c r="E29" s="1741"/>
      <c r="F29" s="1744">
        <v>2E-3</v>
      </c>
      <c r="G29" s="1741"/>
      <c r="H29" s="1744">
        <v>2E-3</v>
      </c>
      <c r="I29" s="1741"/>
      <c r="J29" s="1744">
        <v>0</v>
      </c>
      <c r="K29" s="1742"/>
      <c r="L29" s="1745">
        <f t="shared" si="0"/>
        <v>0.52800000000000002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379</v>
      </c>
      <c r="B30" s="459"/>
      <c r="C30" s="459"/>
      <c r="D30" s="1744">
        <v>1158.722</v>
      </c>
      <c r="E30" s="1741"/>
      <c r="F30" s="1744">
        <v>906.76599999999996</v>
      </c>
      <c r="G30" s="1741"/>
      <c r="H30" s="1744">
        <v>959.56799999999998</v>
      </c>
      <c r="I30" s="1741"/>
      <c r="J30" s="1744">
        <v>0</v>
      </c>
      <c r="K30" s="1742"/>
      <c r="L30" s="1745">
        <f t="shared" si="0"/>
        <v>1105.92</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380</v>
      </c>
      <c r="B31" s="459"/>
      <c r="C31" s="459" t="s">
        <v>15</v>
      </c>
      <c r="D31" s="1744">
        <v>15.053000000000001</v>
      </c>
      <c r="E31" s="1741"/>
      <c r="F31" s="1744">
        <v>115.22199999999999</v>
      </c>
      <c r="G31" s="1741"/>
      <c r="H31" s="1744">
        <v>115.246</v>
      </c>
      <c r="I31" s="1741"/>
      <c r="J31" s="1744">
        <v>0</v>
      </c>
      <c r="K31" s="1742"/>
      <c r="L31" s="1745">
        <f>ROUND(SUM(D31)+SUM(F31)-SUM(H31)+SUM(J31),3)</f>
        <v>15.029</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1021</v>
      </c>
      <c r="B32" s="459"/>
      <c r="C32" s="459"/>
      <c r="D32" s="1744">
        <v>14.097</v>
      </c>
      <c r="E32" s="1741"/>
      <c r="F32" s="1744">
        <v>419.214</v>
      </c>
      <c r="G32" s="1741"/>
      <c r="H32" s="1744">
        <v>392.15999999999997</v>
      </c>
      <c r="I32" s="1741"/>
      <c r="J32" s="1744">
        <v>0</v>
      </c>
      <c r="K32" s="1742"/>
      <c r="L32" s="1745">
        <f t="shared" si="0"/>
        <v>41.151000000000003</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381</v>
      </c>
      <c r="B33" s="459"/>
      <c r="C33" s="459" t="s">
        <v>15</v>
      </c>
      <c r="D33" s="1744">
        <v>25.798999999999999</v>
      </c>
      <c r="E33" s="1741"/>
      <c r="F33" s="1744">
        <v>7.2489999999999997</v>
      </c>
      <c r="G33" s="1741"/>
      <c r="H33" s="1744">
        <v>5.8710000000000004</v>
      </c>
      <c r="I33" s="1741"/>
      <c r="J33" s="1744">
        <v>0</v>
      </c>
      <c r="K33" s="1742"/>
      <c r="L33" s="1745">
        <f t="shared" si="0"/>
        <v>27.177</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382</v>
      </c>
      <c r="B34" s="459"/>
      <c r="C34" s="459"/>
      <c r="D34" s="1744">
        <v>0.53200000000000003</v>
      </c>
      <c r="E34" s="1741"/>
      <c r="F34" s="1744">
        <v>0.73499999999999999</v>
      </c>
      <c r="G34" s="1741"/>
      <c r="H34" s="1744">
        <v>0.72</v>
      </c>
      <c r="I34" s="1741"/>
      <c r="J34" s="1744">
        <v>0</v>
      </c>
      <c r="K34" s="1742"/>
      <c r="L34" s="1745">
        <f t="shared" si="0"/>
        <v>0.54700000000000004</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383</v>
      </c>
      <c r="B35" s="459"/>
      <c r="C35" s="459"/>
      <c r="D35" s="1744">
        <v>608.03300000000002</v>
      </c>
      <c r="E35" s="1741"/>
      <c r="F35" s="1744">
        <v>90.072000000000003</v>
      </c>
      <c r="G35" s="1741"/>
      <c r="H35" s="1744">
        <v>101.187</v>
      </c>
      <c r="I35" s="1741"/>
      <c r="J35" s="1744">
        <v>0</v>
      </c>
      <c r="K35" s="1742"/>
      <c r="L35" s="1745">
        <f t="shared" si="0"/>
        <v>596.91800000000001</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384</v>
      </c>
      <c r="B36" s="459"/>
      <c r="C36" s="459"/>
      <c r="D36" s="1744">
        <v>0.14499999999999999</v>
      </c>
      <c r="E36" s="1741"/>
      <c r="F36" s="1744">
        <v>0</v>
      </c>
      <c r="G36" s="1741"/>
      <c r="H36" s="1744">
        <v>0</v>
      </c>
      <c r="I36" s="1741"/>
      <c r="J36" s="1744">
        <v>0</v>
      </c>
      <c r="K36" s="1742"/>
      <c r="L36" s="1745">
        <f t="shared" si="0"/>
        <v>0.14499999999999999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385</v>
      </c>
      <c r="B37" s="459"/>
      <c r="C37" s="459"/>
      <c r="D37" s="1744">
        <v>968.13400000000001</v>
      </c>
      <c r="E37" s="1741"/>
      <c r="F37" s="1744">
        <v>419.26400000000001</v>
      </c>
      <c r="G37" s="1741"/>
      <c r="H37" s="1744">
        <v>490.53500000000003</v>
      </c>
      <c r="I37" s="1741"/>
      <c r="J37" s="1744">
        <v>0</v>
      </c>
      <c r="K37" s="1742"/>
      <c r="L37" s="1745">
        <f t="shared" si="0"/>
        <v>896.86300000000006</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1029</v>
      </c>
      <c r="B38" s="459"/>
      <c r="C38" s="459"/>
      <c r="D38" s="1744">
        <v>27.239000000000001</v>
      </c>
      <c r="E38" s="1741"/>
      <c r="F38" s="1744">
        <v>9.1080000000000005</v>
      </c>
      <c r="G38" s="1741"/>
      <c r="H38" s="1744">
        <v>3.4</v>
      </c>
      <c r="I38" s="1741"/>
      <c r="J38" s="1744">
        <v>0</v>
      </c>
      <c r="K38" s="1742"/>
      <c r="L38" s="1745">
        <f t="shared" si="0"/>
        <v>32.947000000000003</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386</v>
      </c>
      <c r="B39" s="459"/>
      <c r="C39" s="459"/>
      <c r="D39" s="1744">
        <v>38.450000000000003</v>
      </c>
      <c r="E39" s="1741"/>
      <c r="F39" s="1744">
        <v>240.73699999999999</v>
      </c>
      <c r="G39" s="1741"/>
      <c r="H39" s="1744">
        <v>233.07400000000001</v>
      </c>
      <c r="I39" s="1741"/>
      <c r="J39" s="1744">
        <v>0</v>
      </c>
      <c r="K39" s="1742"/>
      <c r="L39" s="1745">
        <f t="shared" si="0"/>
        <v>46.113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1030</v>
      </c>
      <c r="B40" s="459"/>
      <c r="C40" s="459"/>
      <c r="D40" s="1744">
        <v>296.90699999999998</v>
      </c>
      <c r="E40" s="1741"/>
      <c r="F40" s="1744">
        <v>6993.7610000000004</v>
      </c>
      <c r="G40" s="1741"/>
      <c r="H40" s="1744">
        <v>7123.0879999999997</v>
      </c>
      <c r="I40" s="1741"/>
      <c r="J40" s="1744">
        <v>0</v>
      </c>
      <c r="K40" s="1742"/>
      <c r="L40" s="1745">
        <f t="shared" si="0"/>
        <v>167.58</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387</v>
      </c>
      <c r="B41" s="459"/>
      <c r="C41" s="459"/>
      <c r="D41" s="1744">
        <v>0</v>
      </c>
      <c r="E41" s="1741"/>
      <c r="F41" s="1744">
        <v>0</v>
      </c>
      <c r="G41" s="1741"/>
      <c r="H41" s="1744">
        <v>0</v>
      </c>
      <c r="I41" s="1741"/>
      <c r="J41" s="1744">
        <v>0</v>
      </c>
      <c r="K41" s="1742"/>
      <c r="L41" s="1745">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1019</v>
      </c>
      <c r="B42" s="459"/>
      <c r="C42" s="459"/>
      <c r="D42" s="1744">
        <v>112.37</v>
      </c>
      <c r="E42" s="1741"/>
      <c r="F42" s="1744">
        <v>398.03399999999999</v>
      </c>
      <c r="G42" s="1741"/>
      <c r="H42" s="1744">
        <v>0</v>
      </c>
      <c r="I42" s="1741"/>
      <c r="J42" s="1744">
        <v>0</v>
      </c>
      <c r="K42" s="1742"/>
      <c r="L42" s="1745">
        <f t="shared" si="0"/>
        <v>510.404</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1020</v>
      </c>
      <c r="B43" s="459"/>
      <c r="C43" s="459"/>
      <c r="D43" s="1744">
        <v>-0.89200000000000002</v>
      </c>
      <c r="E43" s="1741"/>
      <c r="F43" s="1744">
        <v>350.23099999999999</v>
      </c>
      <c r="G43" s="1741"/>
      <c r="H43" s="1744">
        <v>407.11</v>
      </c>
      <c r="I43" s="1741"/>
      <c r="J43" s="1744">
        <v>0</v>
      </c>
      <c r="K43" s="1742"/>
      <c r="L43" s="1745">
        <f t="shared" si="0"/>
        <v>-57.771000000000001</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1228</v>
      </c>
      <c r="B44" s="459"/>
      <c r="C44" s="459"/>
      <c r="D44" s="1744">
        <v>0</v>
      </c>
      <c r="E44" s="1741"/>
      <c r="F44" s="1744">
        <v>0</v>
      </c>
      <c r="G44" s="1741"/>
      <c r="H44" s="1744">
        <v>0</v>
      </c>
      <c r="I44" s="1741"/>
      <c r="J44" s="1744">
        <v>0</v>
      </c>
      <c r="K44" s="1742"/>
      <c r="L44" s="1745">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1223</v>
      </c>
      <c r="B45" s="459"/>
      <c r="C45" s="459"/>
      <c r="D45" s="721">
        <f>ROUND(SUM(D28:D44),3)</f>
        <v>3289.2350000000001</v>
      </c>
      <c r="E45" s="713"/>
      <c r="F45" s="721">
        <f>ROUND(SUM(F28:F44),3)</f>
        <v>9950.6190000000006</v>
      </c>
      <c r="G45" s="713"/>
      <c r="H45" s="721">
        <f>ROUND(SUM(H28:H44),3)</f>
        <v>9831.9609999999993</v>
      </c>
      <c r="I45" s="713"/>
      <c r="J45" s="721">
        <f>ROUND(SUM(J28:J44),3)</f>
        <v>0</v>
      </c>
      <c r="K45" s="713"/>
      <c r="L45" s="721">
        <f>ROUND(SUM(L28:L44),3)</f>
        <v>3407.893</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5" t="s">
        <v>15</v>
      </c>
      <c r="E46" s="452"/>
      <c r="F46" s="715" t="s">
        <v>15</v>
      </c>
      <c r="G46" s="452"/>
      <c r="H46" s="715" t="s">
        <v>15</v>
      </c>
      <c r="I46" s="452"/>
      <c r="J46" s="453" t="s">
        <v>15</v>
      </c>
      <c r="K46" s="452"/>
      <c r="L46" s="715"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2"/>
      <c r="E47" s="722"/>
      <c r="F47" s="722"/>
      <c r="G47" s="722"/>
      <c r="H47" s="722"/>
      <c r="I47" s="722"/>
      <c r="J47" s="722"/>
      <c r="K47" s="722"/>
      <c r="L47" s="722"/>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1224</v>
      </c>
      <c r="B48" s="459"/>
      <c r="C48" s="477"/>
      <c r="D48" s="723">
        <f>ROUND(D17+D24+D45,3)</f>
        <v>3303.4549999999999</v>
      </c>
      <c r="E48" s="724"/>
      <c r="F48" s="723">
        <f>ROUND(F17+F24+F45,3)</f>
        <v>9955.9770000000008</v>
      </c>
      <c r="G48" s="724"/>
      <c r="H48" s="723">
        <f>ROUND(H17+H24+H45,3)</f>
        <v>9843.5580000000009</v>
      </c>
      <c r="I48" s="725"/>
      <c r="J48" s="723">
        <f>ROUND(J17+J24+J45,3)</f>
        <v>0</v>
      </c>
      <c r="K48" s="724"/>
      <c r="L48" s="723">
        <f>ROUND(L17+L24+L45,3)</f>
        <v>3415.8739999999998</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6" t="s">
        <v>15</v>
      </c>
      <c r="E49" s="709"/>
      <c r="F49" s="726" t="s">
        <v>15</v>
      </c>
      <c r="G49" s="709"/>
      <c r="H49" s="726" t="s">
        <v>15</v>
      </c>
      <c r="I49" s="709"/>
      <c r="J49" s="708" t="s">
        <v>15</v>
      </c>
      <c r="K49" s="709"/>
      <c r="L49" s="726"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7"/>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28"/>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28"/>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8671875" defaultRowHeight="12.75"/>
  <cols>
    <col min="1" max="1" width="53.5546875" style="1950" customWidth="1"/>
    <col min="2" max="2" width="1.88671875" style="1950" customWidth="1"/>
    <col min="3" max="3" width="2.88671875" style="1950" customWidth="1"/>
    <col min="4" max="4" width="20.109375" style="1950" customWidth="1"/>
    <col min="5" max="5" width="7.88671875" style="1950" customWidth="1"/>
    <col min="6" max="6" width="18.88671875" style="1950" customWidth="1"/>
    <col min="7" max="7" width="7.88671875" style="1950" customWidth="1"/>
    <col min="8" max="8" width="18.88671875" style="1950" customWidth="1"/>
    <col min="9" max="9" width="7.88671875" style="1950" customWidth="1"/>
    <col min="10" max="10" width="21.88671875" style="1950" customWidth="1"/>
    <col min="11" max="11" width="10.88671875" style="1950" customWidth="1"/>
    <col min="12" max="16384" width="8.88671875" style="1950"/>
  </cols>
  <sheetData>
    <row r="1" spans="1:10" ht="15">
      <c r="A1" s="657" t="s">
        <v>979</v>
      </c>
    </row>
    <row r="2" spans="1:10" ht="15">
      <c r="A2" s="1951"/>
    </row>
    <row r="3" spans="1:10" ht="18">
      <c r="A3" s="1952" t="s">
        <v>0</v>
      </c>
      <c r="B3" s="1953"/>
      <c r="C3" s="1953"/>
      <c r="D3" s="1953"/>
      <c r="E3" s="1953"/>
      <c r="F3" s="1953"/>
      <c r="G3" s="1952"/>
      <c r="H3" s="1952"/>
      <c r="I3" s="1952"/>
      <c r="J3" s="1955" t="s">
        <v>388</v>
      </c>
    </row>
    <row r="4" spans="1:10" ht="18">
      <c r="A4" s="1952" t="s">
        <v>389</v>
      </c>
      <c r="B4" s="1953"/>
      <c r="C4" s="1952"/>
      <c r="D4" s="1953"/>
      <c r="E4" s="1953"/>
      <c r="F4" s="1953"/>
      <c r="G4" s="1952"/>
      <c r="H4" s="1952"/>
      <c r="I4" s="1952"/>
      <c r="J4" s="1952"/>
    </row>
    <row r="5" spans="1:10" ht="18">
      <c r="A5" s="1952" t="s">
        <v>390</v>
      </c>
      <c r="B5" s="1953"/>
      <c r="C5" s="1952"/>
      <c r="D5" s="1953"/>
      <c r="E5" s="1953"/>
      <c r="F5" s="1953"/>
      <c r="G5" s="1952"/>
      <c r="H5" s="1952"/>
      <c r="I5" s="1952"/>
      <c r="J5" s="1952"/>
    </row>
    <row r="6" spans="1:10" ht="18">
      <c r="A6" s="1952" t="s">
        <v>1397</v>
      </c>
      <c r="B6" s="1953"/>
      <c r="C6" s="1952"/>
      <c r="D6" s="1953"/>
      <c r="E6" s="1953"/>
      <c r="F6" s="1953"/>
      <c r="G6" s="1952"/>
      <c r="H6" s="1952"/>
      <c r="I6" s="1952"/>
      <c r="J6" s="1952"/>
    </row>
    <row r="7" spans="1:10" ht="18">
      <c r="A7" s="1954" t="str">
        <f>'Sch 3 '!A7</f>
        <v>FOR THE MONTH OF JANUARY 2020</v>
      </c>
      <c r="B7" s="1953"/>
      <c r="C7" s="1952"/>
      <c r="D7" s="3215"/>
      <c r="E7" s="1953"/>
      <c r="F7" s="1953"/>
      <c r="G7" s="1952"/>
      <c r="H7" s="1952"/>
      <c r="I7" s="1952"/>
      <c r="J7" s="1952"/>
    </row>
    <row r="8" spans="1:10" ht="18">
      <c r="A8" s="1952" t="s">
        <v>1416</v>
      </c>
      <c r="B8" s="1953"/>
      <c r="C8" s="1952"/>
      <c r="D8" s="3215"/>
      <c r="E8" s="1953"/>
      <c r="F8" s="1953"/>
      <c r="G8" s="1952"/>
      <c r="H8" s="1952"/>
      <c r="I8" s="1952"/>
      <c r="J8" s="1952"/>
    </row>
    <row r="9" spans="1:10" ht="18">
      <c r="A9" s="1952"/>
      <c r="B9" s="1953"/>
      <c r="C9" s="1952"/>
      <c r="D9" s="3215"/>
      <c r="E9" s="1953"/>
      <c r="F9" s="1953"/>
      <c r="G9" s="1952"/>
      <c r="H9" s="1952"/>
      <c r="I9" s="1952"/>
      <c r="J9" s="1952"/>
    </row>
    <row r="10" spans="1:10" ht="18">
      <c r="A10" s="1952"/>
      <c r="B10" s="1952"/>
      <c r="C10" s="1952"/>
      <c r="D10" s="3216"/>
      <c r="E10" s="1952"/>
      <c r="F10" s="1952"/>
      <c r="G10" s="1952"/>
      <c r="H10" s="1952"/>
      <c r="I10" s="1952"/>
      <c r="J10" s="1952"/>
    </row>
    <row r="11" spans="1:10" ht="18">
      <c r="A11" s="1952"/>
      <c r="B11" s="1952"/>
      <c r="C11" s="1952"/>
      <c r="D11" s="3217"/>
      <c r="E11" s="1952"/>
      <c r="F11" s="1952"/>
      <c r="G11" s="1952"/>
      <c r="H11" s="1952"/>
      <c r="I11" s="1952"/>
      <c r="J11" s="1955"/>
    </row>
    <row r="12" spans="1:10" ht="18">
      <c r="A12" s="1952"/>
      <c r="B12" s="1952"/>
      <c r="C12" s="1952"/>
      <c r="D12" s="3217" t="s">
        <v>235</v>
      </c>
      <c r="E12" s="1952"/>
      <c r="F12" s="1952"/>
      <c r="G12" s="1952"/>
      <c r="H12" s="1952"/>
      <c r="I12" s="1952"/>
      <c r="J12" s="1955" t="s">
        <v>235</v>
      </c>
    </row>
    <row r="13" spans="1:10" ht="18">
      <c r="A13" s="1956" t="s">
        <v>359</v>
      </c>
      <c r="B13" s="1952"/>
      <c r="C13" s="1952"/>
      <c r="D13" s="3541" t="str">
        <f>'Sch 3 '!D11</f>
        <v>JANUARY 1, 2020</v>
      </c>
      <c r="E13" s="1952"/>
      <c r="F13" s="1955" t="s">
        <v>237</v>
      </c>
      <c r="G13" s="1952"/>
      <c r="H13" s="1955" t="s">
        <v>238</v>
      </c>
      <c r="I13" s="1952"/>
      <c r="J13" s="1957" t="str">
        <f>'Sch 3 '!L11</f>
        <v>JANUARY 31, 2020</v>
      </c>
    </row>
    <row r="14" spans="1:10" ht="18">
      <c r="A14" s="1956"/>
      <c r="B14" s="1952"/>
      <c r="C14" s="1952"/>
      <c r="D14" s="3600"/>
      <c r="E14" s="1952"/>
      <c r="F14" s="1958"/>
      <c r="G14" s="1952"/>
      <c r="H14" s="1959" t="s">
        <v>234</v>
      </c>
      <c r="I14" s="1952"/>
      <c r="J14" s="1958"/>
    </row>
    <row r="15" spans="1:10" ht="18">
      <c r="A15" s="1960" t="s">
        <v>391</v>
      </c>
      <c r="B15" s="1952"/>
      <c r="C15" s="1952"/>
      <c r="D15" s="3216"/>
      <c r="E15" s="3216"/>
      <c r="F15" s="3228"/>
      <c r="G15" s="3216"/>
      <c r="H15" s="3216"/>
      <c r="I15" s="3216"/>
      <c r="J15" s="3216"/>
    </row>
    <row r="16" spans="1:10" ht="25.35" customHeight="1">
      <c r="A16" s="1953" t="s">
        <v>392</v>
      </c>
      <c r="B16" s="1952"/>
      <c r="C16" s="1953"/>
      <c r="D16" s="1961">
        <v>2.8679999999999999</v>
      </c>
      <c r="E16" s="1961"/>
      <c r="F16" s="1961">
        <v>4.0000000000000001E-3</v>
      </c>
      <c r="G16" s="1961"/>
      <c r="H16" s="1961">
        <v>0</v>
      </c>
      <c r="I16" s="1961"/>
      <c r="J16" s="1961">
        <f>ROUND(D16+F16-H16,3)</f>
        <v>2.8719999999999999</v>
      </c>
    </row>
    <row r="17" spans="1:14" s="3715" customFormat="1" ht="25.35" customHeight="1">
      <c r="A17" s="3215" t="s">
        <v>1457</v>
      </c>
      <c r="B17" s="3215"/>
      <c r="C17" s="3215"/>
      <c r="D17" s="1965">
        <v>103.93300000000001</v>
      </c>
      <c r="E17" s="1963"/>
      <c r="F17" s="1965">
        <v>298.33100000000002</v>
      </c>
      <c r="G17" s="1963"/>
      <c r="H17" s="1965">
        <v>86.391000000000005</v>
      </c>
      <c r="I17" s="1963"/>
      <c r="J17" s="1964">
        <f>ROUND(D17+F17-H17,3)</f>
        <v>315.87299999999999</v>
      </c>
    </row>
    <row r="18" spans="1:14" ht="25.35" customHeight="1">
      <c r="A18" s="1962" t="s">
        <v>1394</v>
      </c>
      <c r="B18" s="1953"/>
      <c r="C18" s="1953"/>
      <c r="D18" s="1964">
        <v>2291.4079999999999</v>
      </c>
      <c r="E18" s="1963"/>
      <c r="F18" s="3542">
        <v>4992.6980000000003</v>
      </c>
      <c r="G18" s="1963"/>
      <c r="H18" s="3542">
        <v>4756.0690000000004</v>
      </c>
      <c r="I18" s="1963"/>
      <c r="J18" s="1964">
        <f>ROUND(D18+F18-H18,3)</f>
        <v>2528.0369999999998</v>
      </c>
    </row>
    <row r="19" spans="1:14" ht="25.35" customHeight="1">
      <c r="A19" s="1953" t="s">
        <v>1338</v>
      </c>
      <c r="B19" s="1953"/>
      <c r="C19" s="1953"/>
      <c r="D19" s="1965">
        <v>0</v>
      </c>
      <c r="E19" s="1963"/>
      <c r="F19" s="1965">
        <v>204.06</v>
      </c>
      <c r="G19" s="1963"/>
      <c r="H19" s="1965">
        <v>204.06</v>
      </c>
      <c r="I19" s="1963"/>
      <c r="J19" s="1964">
        <f>ROUND(D19+F19-H19,3)</f>
        <v>0</v>
      </c>
    </row>
    <row r="20" spans="1:14" ht="25.35" customHeight="1" thickBot="1">
      <c r="A20" s="1966" t="s">
        <v>393</v>
      </c>
      <c r="B20" s="1953"/>
      <c r="C20" s="1953"/>
      <c r="D20" s="1967">
        <f>ROUND(SUM(D16:D19),3)</f>
        <v>2398.2089999999998</v>
      </c>
      <c r="E20" s="3229"/>
      <c r="F20" s="1967">
        <f>ROUND(SUM(F16:F19),3)</f>
        <v>5495.0929999999998</v>
      </c>
      <c r="G20" s="3229"/>
      <c r="H20" s="1967">
        <f>ROUND(SUM(H16:H19),3)</f>
        <v>5046.5200000000004</v>
      </c>
      <c r="I20" s="3229"/>
      <c r="J20" s="1967">
        <f>ROUND(SUM(J16:J19),3)</f>
        <v>2846.7820000000002</v>
      </c>
      <c r="K20" s="1968"/>
      <c r="L20" s="1968"/>
      <c r="M20" s="1968"/>
      <c r="N20" s="1968"/>
    </row>
    <row r="21" spans="1:14" ht="18.75" thickTop="1">
      <c r="A21" s="1953"/>
      <c r="B21" s="1953"/>
      <c r="C21" s="1953"/>
      <c r="D21" s="3218"/>
      <c r="E21" s="1953"/>
      <c r="F21" s="1969"/>
      <c r="G21" s="1953"/>
      <c r="H21" s="1969"/>
      <c r="I21" s="1953"/>
      <c r="J21" s="1969"/>
    </row>
    <row r="22" spans="1:14" ht="18">
      <c r="A22" s="1953"/>
      <c r="B22" s="1953"/>
      <c r="C22" s="1953"/>
      <c r="D22" s="3218"/>
      <c r="E22" s="1953"/>
      <c r="F22" s="1969"/>
      <c r="G22" s="1953"/>
      <c r="H22" s="1969"/>
      <c r="I22" s="1953"/>
      <c r="J22" s="1969"/>
    </row>
    <row r="23" spans="1:14" ht="15.75">
      <c r="A23" s="3683" t="s">
        <v>1393</v>
      </c>
      <c r="B23" s="2222"/>
      <c r="C23" s="2222"/>
      <c r="D23" s="3592"/>
      <c r="E23" s="2222"/>
      <c r="F23" s="2222"/>
      <c r="G23" s="2222"/>
      <c r="H23" s="2222"/>
      <c r="I23" s="2222"/>
      <c r="J23" s="2222"/>
    </row>
    <row r="24" spans="1:14" ht="6.75" customHeight="1">
      <c r="A24" s="1953"/>
      <c r="B24" s="1953"/>
      <c r="C24" s="1953"/>
      <c r="D24" s="1969"/>
      <c r="E24" s="1953"/>
      <c r="F24" s="1969"/>
      <c r="G24" s="1953"/>
      <c r="H24" s="1969"/>
      <c r="I24" s="1953"/>
      <c r="J24" s="1969"/>
    </row>
    <row r="25" spans="1:14" ht="18">
      <c r="A25" s="2223" t="s">
        <v>1395</v>
      </c>
      <c r="B25" s="1953"/>
      <c r="C25" s="1953"/>
      <c r="D25" s="1953"/>
      <c r="E25" s="1953"/>
      <c r="F25" s="1953" t="s">
        <v>15</v>
      </c>
      <c r="G25" s="1953"/>
      <c r="H25" s="1953"/>
      <c r="I25" s="1953"/>
      <c r="J25" s="1953"/>
    </row>
    <row r="26" spans="1:14" ht="6" customHeight="1"/>
    <row r="27" spans="1:14" ht="59.25" customHeight="1">
      <c r="A27" s="3928" t="s">
        <v>1319</v>
      </c>
      <c r="B27" s="3928"/>
      <c r="C27" s="3928"/>
      <c r="D27" s="3928"/>
      <c r="E27" s="3928"/>
      <c r="F27" s="3928"/>
      <c r="G27" s="3928"/>
      <c r="H27" s="3928"/>
      <c r="I27" s="3928"/>
      <c r="J27" s="3928"/>
    </row>
    <row r="28" spans="1:14" ht="43.35" customHeight="1">
      <c r="A28" s="3929" t="s">
        <v>1581</v>
      </c>
      <c r="B28" s="3929"/>
      <c r="C28" s="3929"/>
      <c r="D28" s="3929"/>
      <c r="E28" s="3929"/>
      <c r="F28" s="3929"/>
      <c r="G28" s="3929"/>
      <c r="H28" s="3929"/>
      <c r="I28" s="3929"/>
      <c r="J28" s="3929"/>
    </row>
    <row r="29" spans="1:14" ht="18.75" customHeight="1">
      <c r="A29" s="3930"/>
      <c r="B29" s="3930"/>
      <c r="C29" s="3930"/>
      <c r="D29" s="3930"/>
      <c r="E29" s="3930"/>
      <c r="F29" s="3930"/>
      <c r="G29" s="3930"/>
      <c r="H29" s="3930"/>
      <c r="I29" s="3930"/>
      <c r="J29" s="3930"/>
    </row>
    <row r="30" spans="1:14" ht="18" customHeight="1">
      <c r="A30" s="1970"/>
      <c r="B30" s="1995"/>
      <c r="C30" s="1995"/>
      <c r="D30" s="1995"/>
      <c r="E30" s="1995"/>
      <c r="F30" s="1995"/>
      <c r="G30" s="1995"/>
      <c r="H30" s="1995"/>
      <c r="I30" s="1995"/>
      <c r="J30" s="1995"/>
    </row>
    <row r="31" spans="1:14" ht="20.25" customHeight="1">
      <c r="A31" s="3931"/>
      <c r="B31" s="3931"/>
      <c r="C31" s="3931"/>
      <c r="D31" s="3931"/>
      <c r="E31" s="3931"/>
      <c r="F31" s="3931"/>
      <c r="G31" s="3931"/>
      <c r="H31" s="3931"/>
      <c r="I31" s="3931"/>
      <c r="J31" s="3931"/>
    </row>
    <row r="32" spans="1:14" ht="20.25" customHeight="1">
      <c r="A32" s="1996"/>
      <c r="B32" s="1995"/>
      <c r="C32" s="1995"/>
      <c r="D32" s="1995"/>
      <c r="E32" s="1995"/>
      <c r="F32" s="1995"/>
      <c r="G32" s="1995"/>
      <c r="H32" s="1995"/>
      <c r="I32" s="1995"/>
      <c r="J32" s="1995"/>
    </row>
    <row r="33" spans="1:10" ht="20.25" customHeight="1">
      <c r="A33" s="1996"/>
      <c r="B33" s="1995"/>
      <c r="C33" s="1995"/>
      <c r="D33" s="1995"/>
      <c r="E33" s="1995"/>
      <c r="F33" s="1995"/>
      <c r="G33" s="1995"/>
      <c r="H33" s="1995"/>
      <c r="I33" s="1995"/>
      <c r="J33" s="1995"/>
    </row>
    <row r="34" spans="1:10" ht="20.25" customHeight="1">
      <c r="A34" s="1996"/>
      <c r="B34" s="1995"/>
      <c r="C34" s="1995"/>
      <c r="D34" s="1995"/>
      <c r="E34" s="1995"/>
      <c r="F34" s="1995"/>
      <c r="G34" s="1995"/>
      <c r="H34" s="1995"/>
      <c r="I34" s="1995"/>
      <c r="J34" s="1995"/>
    </row>
    <row r="35" spans="1:10" ht="20.25" customHeight="1">
      <c r="A35" s="1996"/>
      <c r="B35" s="1995"/>
      <c r="C35" s="1995"/>
      <c r="D35" s="1995"/>
      <c r="E35" s="1995"/>
      <c r="F35" s="1995"/>
      <c r="G35" s="1995"/>
      <c r="H35" s="1995"/>
      <c r="I35" s="1995"/>
      <c r="J35" s="1995"/>
    </row>
    <row r="36" spans="1:10" ht="20.25" customHeight="1">
      <c r="A36" s="1996"/>
      <c r="B36" s="1995"/>
      <c r="C36" s="1995"/>
      <c r="D36" s="1995"/>
      <c r="E36" s="1995"/>
      <c r="F36" s="1995"/>
      <c r="G36" s="1995"/>
      <c r="H36" s="1995"/>
      <c r="I36" s="1995"/>
      <c r="J36" s="1995"/>
    </row>
    <row r="37" spans="1:10" ht="20.25" customHeight="1">
      <c r="A37" s="1996"/>
      <c r="B37" s="1995"/>
      <c r="C37" s="1995"/>
      <c r="D37" s="1995"/>
      <c r="E37" s="1995"/>
      <c r="F37" s="1995"/>
      <c r="G37" s="1995"/>
      <c r="H37" s="1995"/>
      <c r="I37" s="1995"/>
      <c r="J37" s="1995"/>
    </row>
    <row r="38" spans="1:10" ht="20.25" customHeight="1">
      <c r="A38" s="1996"/>
      <c r="B38" s="1995"/>
      <c r="C38" s="1995"/>
      <c r="D38" s="1995"/>
      <c r="E38" s="1995"/>
      <c r="F38" s="1995"/>
      <c r="G38" s="1995"/>
      <c r="H38" s="1995"/>
      <c r="I38" s="1995"/>
      <c r="J38" s="1995"/>
    </row>
    <row r="39" spans="1:10" ht="20.25" customHeight="1">
      <c r="A39" s="1996"/>
      <c r="B39" s="1995"/>
      <c r="C39" s="1995"/>
      <c r="D39" s="1995"/>
      <c r="E39" s="1995"/>
      <c r="F39" s="1995"/>
      <c r="G39" s="1995"/>
      <c r="H39" s="1995"/>
      <c r="I39" s="1995"/>
      <c r="J39" s="1995"/>
    </row>
    <row r="40" spans="1:10" ht="20.25" customHeight="1">
      <c r="A40" s="1996"/>
      <c r="B40" s="1995"/>
      <c r="C40" s="1995"/>
      <c r="D40" s="1995"/>
      <c r="E40" s="1995"/>
      <c r="F40" s="1995"/>
      <c r="G40" s="1995"/>
      <c r="H40" s="1995"/>
      <c r="I40" s="1995"/>
      <c r="J40" s="1995"/>
    </row>
    <row r="41" spans="1:10" ht="20.25" customHeight="1">
      <c r="A41" s="1996"/>
      <c r="B41" s="1995"/>
      <c r="C41" s="1995"/>
      <c r="D41" s="1995"/>
      <c r="E41" s="1995"/>
      <c r="F41" s="1995"/>
      <c r="G41" s="1995"/>
      <c r="H41" s="1995"/>
      <c r="I41" s="1995"/>
      <c r="J41" s="1995"/>
    </row>
    <row r="42" spans="1:10" ht="20.25" customHeight="1">
      <c r="A42" s="1996"/>
      <c r="B42" s="1995"/>
      <c r="C42" s="1995"/>
      <c r="D42" s="1995"/>
      <c r="E42" s="1995"/>
      <c r="F42" s="1995"/>
      <c r="G42" s="1995"/>
      <c r="H42" s="1995"/>
      <c r="I42" s="1995"/>
      <c r="J42" s="1995"/>
    </row>
    <row r="43" spans="1:10" ht="20.25" customHeight="1">
      <c r="A43" s="1996"/>
      <c r="B43" s="1995"/>
      <c r="C43" s="1995"/>
      <c r="D43" s="1995"/>
      <c r="E43" s="1995"/>
      <c r="F43" s="1995"/>
      <c r="G43" s="1995"/>
      <c r="H43" s="1995"/>
      <c r="I43" s="1995"/>
      <c r="J43" s="1995"/>
    </row>
    <row r="44" spans="1:10" ht="21" customHeight="1"/>
    <row r="45" spans="1:10" ht="21" customHeight="1">
      <c r="A45" s="1996"/>
      <c r="B45" s="1995"/>
      <c r="C45" s="1995"/>
      <c r="D45" s="1995"/>
      <c r="E45" s="1995"/>
      <c r="F45" s="1995"/>
      <c r="G45" s="1995"/>
      <c r="H45" s="1995"/>
      <c r="I45" s="1995"/>
      <c r="J45" s="1995"/>
    </row>
    <row r="46" spans="1:10" ht="18" customHeight="1">
      <c r="A46" s="1971"/>
      <c r="B46" s="1972"/>
      <c r="C46" s="1973"/>
      <c r="D46" s="1974"/>
      <c r="E46" s="1973"/>
      <c r="F46" s="1974"/>
      <c r="G46" s="1973"/>
      <c r="H46" s="1974"/>
      <c r="I46" s="1975"/>
    </row>
    <row r="47" spans="1:10" ht="18" customHeight="1">
      <c r="A47" s="1976"/>
      <c r="B47" s="1972"/>
      <c r="C47" s="1972"/>
      <c r="D47" s="1974"/>
      <c r="E47" s="1972"/>
      <c r="F47" s="1977"/>
      <c r="G47" s="1974"/>
      <c r="H47" s="1974"/>
      <c r="I47" s="1975"/>
    </row>
    <row r="48" spans="1:10" ht="18" customHeight="1">
      <c r="A48" s="1976"/>
      <c r="B48" s="1972"/>
      <c r="C48" s="1972"/>
      <c r="D48" s="1974"/>
      <c r="E48" s="1972"/>
      <c r="F48" s="1977"/>
      <c r="G48" s="1974"/>
      <c r="H48" s="1974"/>
      <c r="I48" s="1975"/>
    </row>
    <row r="49" spans="1:9" ht="18" customHeight="1">
      <c r="A49" s="1976"/>
      <c r="B49" s="1972"/>
      <c r="C49" s="1972"/>
      <c r="D49" s="1974"/>
      <c r="E49" s="1972"/>
      <c r="F49" s="1977"/>
      <c r="G49" s="1974"/>
      <c r="H49" s="1974"/>
      <c r="I49" s="1975"/>
    </row>
    <row r="50" spans="1:9" ht="18" customHeight="1">
      <c r="A50" s="1976"/>
      <c r="B50" s="1972"/>
      <c r="C50" s="1972"/>
      <c r="D50" s="1974"/>
      <c r="E50" s="1972"/>
      <c r="F50" s="1974"/>
      <c r="G50" s="1974"/>
      <c r="H50" s="1978"/>
      <c r="I50" s="1975"/>
    </row>
    <row r="51" spans="1:9" ht="18" customHeight="1">
      <c r="A51" s="1979"/>
      <c r="B51" s="1972"/>
      <c r="C51" s="1972"/>
      <c r="D51" s="1974"/>
      <c r="E51" s="1972"/>
      <c r="F51" s="1974"/>
      <c r="G51" s="1974"/>
      <c r="H51" s="1974"/>
      <c r="I51" s="1975"/>
    </row>
    <row r="52" spans="1:9" ht="18" customHeight="1">
      <c r="A52" s="1980"/>
      <c r="B52" s="1972"/>
      <c r="C52" s="1972"/>
      <c r="D52" s="1974"/>
      <c r="E52" s="1972"/>
      <c r="F52" s="1978"/>
      <c r="G52" s="1974"/>
      <c r="H52" s="1974"/>
      <c r="I52" s="1975"/>
    </row>
    <row r="53" spans="1:9" ht="18" customHeight="1">
      <c r="A53" s="1976"/>
      <c r="B53" s="1972"/>
      <c r="C53" s="1972"/>
      <c r="D53" s="1974"/>
      <c r="E53" s="1972"/>
      <c r="F53" s="1977"/>
      <c r="G53" s="1974"/>
      <c r="H53" s="1974"/>
      <c r="I53" s="1975"/>
    </row>
    <row r="54" spans="1:9" ht="18" customHeight="1">
      <c r="A54" s="1976"/>
      <c r="B54" s="1972"/>
      <c r="C54" s="1972"/>
      <c r="D54" s="1974"/>
      <c r="E54" s="1972"/>
      <c r="F54" s="1981"/>
      <c r="G54" s="1974"/>
      <c r="H54" s="1978"/>
      <c r="I54" s="1975"/>
    </row>
    <row r="55" spans="1:9" ht="18" customHeight="1">
      <c r="A55" s="1979"/>
      <c r="B55" s="1972"/>
      <c r="C55" s="1973"/>
      <c r="D55" s="1982"/>
      <c r="E55" s="1973"/>
      <c r="G55" s="1973"/>
      <c r="H55" s="1982"/>
      <c r="I55" s="1975"/>
    </row>
  </sheetData>
  <mergeCells count="4">
    <mergeCell ref="A27:J27"/>
    <mergeCell ref="A28:J28"/>
    <mergeCell ref="A29:J29"/>
    <mergeCell ref="A31:J31"/>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8671875" defaultRowHeight="12.75"/>
  <cols>
    <col min="1" max="1" width="40.109375" style="638" customWidth="1"/>
    <col min="2" max="2" width="2.109375" style="638" customWidth="1"/>
    <col min="3" max="3" width="17.109375" style="819"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109375" style="819" customWidth="1"/>
    <col min="14" max="14" width="1.88671875" style="638" customWidth="1"/>
    <col min="15" max="15" width="1.109375" style="638" customWidth="1"/>
    <col min="16" max="16" width="2" style="638" customWidth="1"/>
    <col min="17" max="17" width="15.44140625" style="638" customWidth="1"/>
    <col min="18" max="18" width="2.109375" style="638" customWidth="1"/>
    <col min="19" max="19" width="16.44140625" style="638" bestFit="1" customWidth="1"/>
    <col min="20" max="20" width="11.88671875" style="638" customWidth="1"/>
    <col min="21" max="21" width="12.44140625" style="638" customWidth="1"/>
    <col min="22" max="22" width="8" style="638" bestFit="1" customWidth="1"/>
    <col min="23" max="16384" width="8.88671875" style="638"/>
  </cols>
  <sheetData>
    <row r="1" spans="1:23" ht="15">
      <c r="A1" s="657" t="s">
        <v>979</v>
      </c>
    </row>
    <row r="2" spans="1:23" ht="15">
      <c r="A2" s="1636"/>
    </row>
    <row r="3" spans="1:23" ht="18">
      <c r="A3" s="637" t="s">
        <v>0</v>
      </c>
      <c r="S3" s="637" t="s">
        <v>394</v>
      </c>
    </row>
    <row r="4" spans="1:23" ht="18">
      <c r="A4" s="637" t="s">
        <v>185</v>
      </c>
      <c r="J4" s="638" t="s">
        <v>15</v>
      </c>
    </row>
    <row r="5" spans="1:23" ht="18">
      <c r="A5" s="637" t="s">
        <v>395</v>
      </c>
    </row>
    <row r="6" spans="1:23" ht="18">
      <c r="A6" s="1637" t="str">
        <f>'Cashflow Governmental'!A6</f>
        <v xml:space="preserve">FISCAL YEAR 2019-2020   </v>
      </c>
    </row>
    <row r="9" spans="1:23">
      <c r="C9" s="3695"/>
      <c r="D9" s="1564"/>
      <c r="E9" s="3932" t="s">
        <v>1485</v>
      </c>
      <c r="F9" s="3932"/>
      <c r="G9" s="3932"/>
      <c r="H9" s="1567"/>
      <c r="I9" s="3762" t="s">
        <v>1323</v>
      </c>
      <c r="J9" s="3763"/>
      <c r="K9" s="3763"/>
      <c r="L9" s="1564"/>
      <c r="M9" s="1564"/>
      <c r="N9" s="1564"/>
      <c r="O9" s="1569"/>
      <c r="P9" s="1564"/>
    </row>
    <row r="10" spans="1:23">
      <c r="C10" s="1572" t="s">
        <v>122</v>
      </c>
      <c r="D10" s="1571"/>
      <c r="E10" s="3757"/>
      <c r="F10" s="3758"/>
      <c r="G10" s="3759"/>
      <c r="H10" s="1564"/>
      <c r="I10" s="3760"/>
      <c r="J10" s="3761"/>
      <c r="K10" s="3761"/>
      <c r="L10" s="1564"/>
      <c r="M10" s="1572" t="s">
        <v>122</v>
      </c>
      <c r="N10" s="1564"/>
      <c r="O10" s="1573"/>
      <c r="P10" s="1564"/>
      <c r="Q10" s="1570" t="s">
        <v>939</v>
      </c>
      <c r="R10" s="1570"/>
      <c r="S10" s="1570"/>
    </row>
    <row r="11" spans="1:23">
      <c r="C11" s="1572" t="s">
        <v>396</v>
      </c>
      <c r="D11" s="1571"/>
      <c r="E11" s="3771" t="s">
        <v>7</v>
      </c>
      <c r="F11" s="1571"/>
      <c r="G11" s="1574" t="s">
        <v>1570</v>
      </c>
      <c r="H11" s="1564"/>
      <c r="I11" s="1571" t="s">
        <v>397</v>
      </c>
      <c r="J11" s="1566" t="s">
        <v>15</v>
      </c>
      <c r="K11" s="1571" t="str">
        <f>G11</f>
        <v>10 MONTHS ENDED</v>
      </c>
      <c r="L11" s="1564"/>
      <c r="M11" s="1572" t="s">
        <v>396</v>
      </c>
      <c r="N11" s="1564"/>
      <c r="O11" s="1573"/>
      <c r="P11" s="1564"/>
      <c r="Q11" s="1571" t="s">
        <v>397</v>
      </c>
      <c r="R11" s="1566" t="s">
        <v>15</v>
      </c>
      <c r="S11" s="1571" t="str">
        <f>K11</f>
        <v>10 MONTHS ENDED</v>
      </c>
    </row>
    <row r="12" spans="1:23">
      <c r="A12" s="1638" t="s">
        <v>398</v>
      </c>
      <c r="C12" s="3696" t="s">
        <v>1399</v>
      </c>
      <c r="D12" s="2214"/>
      <c r="E12" s="3772" t="s">
        <v>134</v>
      </c>
      <c r="F12" s="2214"/>
      <c r="G12" s="1639" t="s">
        <v>1569</v>
      </c>
      <c r="H12" s="1564"/>
      <c r="I12" s="1568" t="s">
        <v>134</v>
      </c>
      <c r="J12" s="1564"/>
      <c r="K12" s="1565" t="str">
        <f>G12</f>
        <v>JANUARY 31, 2020</v>
      </c>
      <c r="L12" s="1564"/>
      <c r="M12" s="1565" t="str">
        <f>K12</f>
        <v>JANUARY 31, 2020</v>
      </c>
      <c r="N12" s="1564"/>
      <c r="O12" s="1573"/>
      <c r="P12" s="1564"/>
      <c r="Q12" s="1568" t="str">
        <f>I12</f>
        <v>JANUARY</v>
      </c>
      <c r="R12" s="1564"/>
      <c r="S12" s="1565" t="str">
        <f>M12</f>
        <v>JANUARY 31, 2020</v>
      </c>
    </row>
    <row r="13" spans="1:23">
      <c r="K13" s="1594"/>
      <c r="O13" s="1640"/>
    </row>
    <row r="14" spans="1:23">
      <c r="A14" s="640" t="s">
        <v>399</v>
      </c>
      <c r="K14" s="1594"/>
      <c r="O14" s="1640"/>
      <c r="Q14" s="639"/>
    </row>
    <row r="15" spans="1:23" ht="12" customHeight="1">
      <c r="A15" s="640"/>
      <c r="K15" s="1594"/>
      <c r="M15" s="819" t="s">
        <v>15</v>
      </c>
      <c r="O15" s="1640"/>
      <c r="Q15" s="639"/>
    </row>
    <row r="16" spans="1:23">
      <c r="A16" s="638" t="s">
        <v>992</v>
      </c>
      <c r="B16" s="639"/>
      <c r="C16" s="3689">
        <f>ROUND(16747925.19,0)</f>
        <v>16747925</v>
      </c>
      <c r="D16" s="1593"/>
      <c r="E16" s="3689">
        <v>0</v>
      </c>
      <c r="F16" s="1593"/>
      <c r="G16" s="3689">
        <v>155154.95000000001</v>
      </c>
      <c r="H16" s="3689"/>
      <c r="I16" s="3689">
        <v>0</v>
      </c>
      <c r="J16" s="1593"/>
      <c r="K16" s="3689">
        <v>720272</v>
      </c>
      <c r="L16" s="1593"/>
      <c r="M16" s="3689">
        <f>ROUND(SUM(C16)-SUM(K16)+SUM(G16),0)</f>
        <v>16182808</v>
      </c>
      <c r="N16" s="653"/>
      <c r="O16" s="1641"/>
      <c r="P16" s="639"/>
      <c r="Q16" s="3689">
        <v>0</v>
      </c>
      <c r="R16" s="3689"/>
      <c r="S16" s="3689">
        <v>489058.85</v>
      </c>
      <c r="T16" s="642"/>
      <c r="U16" s="1593"/>
      <c r="V16" s="2208"/>
      <c r="W16" s="736"/>
    </row>
    <row r="17" spans="1:23">
      <c r="C17" s="820"/>
      <c r="D17" s="734"/>
      <c r="E17" s="644"/>
      <c r="F17" s="734"/>
      <c r="G17" s="820"/>
      <c r="H17" s="653"/>
      <c r="I17" s="644"/>
      <c r="J17" s="653"/>
      <c r="K17" s="1594"/>
      <c r="L17" s="653"/>
      <c r="M17" s="820"/>
      <c r="N17" s="653"/>
      <c r="O17" s="1641"/>
      <c r="P17" s="653"/>
      <c r="Q17" s="644"/>
      <c r="R17" s="653"/>
      <c r="S17" s="1594"/>
      <c r="U17" s="644"/>
      <c r="V17" s="735"/>
      <c r="W17" s="736"/>
    </row>
    <row r="18" spans="1:23">
      <c r="A18" s="638" t="s">
        <v>400</v>
      </c>
      <c r="C18" s="820"/>
      <c r="D18" s="734"/>
      <c r="E18" s="639"/>
      <c r="F18" s="734"/>
      <c r="G18" s="820"/>
      <c r="H18" s="653"/>
      <c r="J18" s="639"/>
      <c r="K18" s="1594"/>
      <c r="L18" s="653"/>
      <c r="M18" s="820"/>
      <c r="N18" s="653"/>
      <c r="O18" s="1641"/>
      <c r="P18" s="653"/>
      <c r="Q18" s="639"/>
      <c r="R18" s="639"/>
      <c r="S18" s="1594"/>
      <c r="U18" s="639"/>
      <c r="V18" s="735"/>
      <c r="W18" s="642"/>
    </row>
    <row r="19" spans="1:23" ht="12" customHeight="1">
      <c r="A19" s="638" t="s">
        <v>993</v>
      </c>
      <c r="C19" s="3691">
        <f>ROUND(2465599.69,0)</f>
        <v>2465600</v>
      </c>
      <c r="D19" s="1595"/>
      <c r="E19" s="3691">
        <v>0</v>
      </c>
      <c r="F19" s="1595"/>
      <c r="G19" s="3691">
        <v>-12617</v>
      </c>
      <c r="H19" s="3691"/>
      <c r="I19" s="3691">
        <v>0</v>
      </c>
      <c r="J19" s="1595"/>
      <c r="K19" s="3691">
        <v>194892</v>
      </c>
      <c r="L19" s="1595" t="s">
        <v>15</v>
      </c>
      <c r="M19" s="3691">
        <f>ROUND(SUM(C19)-SUM(K19)+SUM(G19),0)</f>
        <v>2258091</v>
      </c>
      <c r="N19" s="653"/>
      <c r="O19" s="1641"/>
      <c r="P19" s="653" t="s">
        <v>15</v>
      </c>
      <c r="Q19" s="3691">
        <v>0</v>
      </c>
      <c r="R19" s="3691"/>
      <c r="S19" s="3691">
        <v>42160.39</v>
      </c>
      <c r="T19" s="642"/>
      <c r="U19" s="820"/>
      <c r="V19" s="735"/>
      <c r="W19" s="736"/>
    </row>
    <row r="20" spans="1:23">
      <c r="A20" s="638" t="s">
        <v>401</v>
      </c>
      <c r="C20" s="3691">
        <v>0</v>
      </c>
      <c r="D20" s="1595"/>
      <c r="E20" s="3691">
        <v>0</v>
      </c>
      <c r="F20" s="1595"/>
      <c r="G20" s="3691">
        <v>0</v>
      </c>
      <c r="H20" s="3691"/>
      <c r="I20" s="3691">
        <v>0</v>
      </c>
      <c r="J20" s="1595"/>
      <c r="K20" s="3691">
        <v>0</v>
      </c>
      <c r="L20" s="1595"/>
      <c r="M20" s="3691">
        <f>ROUND(SUM(C20)-SUM(K20)+SUM(G20),0)</f>
        <v>0</v>
      </c>
      <c r="N20" s="653"/>
      <c r="O20" s="1641"/>
      <c r="P20" s="653"/>
      <c r="Q20" s="3691">
        <v>0</v>
      </c>
      <c r="R20" s="3691"/>
      <c r="S20" s="3691">
        <v>0</v>
      </c>
      <c r="T20" s="642"/>
      <c r="U20" s="820"/>
      <c r="V20" s="735"/>
      <c r="W20" s="736"/>
    </row>
    <row r="21" spans="1:23">
      <c r="A21" s="638" t="s">
        <v>1316</v>
      </c>
      <c r="C21" s="3691">
        <f>ROUND(321372380.81,0)</f>
        <v>321372381</v>
      </c>
      <c r="D21" s="1595"/>
      <c r="E21" s="3691">
        <v>0</v>
      </c>
      <c r="F21" s="1595"/>
      <c r="G21" s="3691">
        <v>2863627</v>
      </c>
      <c r="H21" s="3691"/>
      <c r="I21" s="3691">
        <v>0</v>
      </c>
      <c r="J21" s="1595"/>
      <c r="K21" s="3691">
        <v>8678052</v>
      </c>
      <c r="L21" s="1595"/>
      <c r="M21" s="3691">
        <f>ROUND(SUM(C21)-SUM(K21)+SUM(G21),0)</f>
        <v>315557956</v>
      </c>
      <c r="N21" s="653"/>
      <c r="O21" s="1641"/>
      <c r="P21" s="653"/>
      <c r="Q21" s="3691">
        <v>0</v>
      </c>
      <c r="R21" s="3691"/>
      <c r="S21" s="3691">
        <v>8318063.9900000002</v>
      </c>
      <c r="T21" s="642"/>
      <c r="U21" s="820"/>
      <c r="V21" s="735"/>
      <c r="W21" s="736"/>
    </row>
    <row r="22" spans="1:23">
      <c r="A22" s="638" t="s">
        <v>402</v>
      </c>
      <c r="C22" s="3691">
        <f>ROUND(22144792.5,0)-1</f>
        <v>22144792</v>
      </c>
      <c r="D22" s="1595"/>
      <c r="E22" s="3691">
        <v>0</v>
      </c>
      <c r="F22" s="1595"/>
      <c r="G22" s="3691">
        <v>33541</v>
      </c>
      <c r="H22" s="3691"/>
      <c r="I22" s="3691">
        <v>0</v>
      </c>
      <c r="J22" s="1595"/>
      <c r="K22" s="3691">
        <v>2034166</v>
      </c>
      <c r="L22" s="1595"/>
      <c r="M22" s="3691">
        <f>ROUND(SUM(C22)-SUM(K22)+SUM(G22),0)</f>
        <v>20144167</v>
      </c>
      <c r="N22" s="653"/>
      <c r="O22" s="1641"/>
      <c r="P22" s="653"/>
      <c r="Q22" s="3691">
        <v>0</v>
      </c>
      <c r="R22" s="3691"/>
      <c r="S22" s="3691">
        <v>559915.98</v>
      </c>
      <c r="T22" s="642"/>
      <c r="U22" s="820"/>
      <c r="V22" s="735"/>
      <c r="W22" s="736"/>
    </row>
    <row r="23" spans="1:23">
      <c r="A23" s="638" t="s">
        <v>994</v>
      </c>
      <c r="C23" s="3691">
        <f>ROUND(46724919.33,0)</f>
        <v>46724919</v>
      </c>
      <c r="D23" s="1595"/>
      <c r="E23" s="3691">
        <v>0</v>
      </c>
      <c r="F23" s="1595"/>
      <c r="G23" s="3691">
        <v>-27114</v>
      </c>
      <c r="H23" s="3691"/>
      <c r="I23" s="3691">
        <v>0</v>
      </c>
      <c r="J23" s="1595"/>
      <c r="K23" s="3691">
        <v>1283363</v>
      </c>
      <c r="L23" s="1595"/>
      <c r="M23" s="3691">
        <f>ROUND(SUM(C23)-SUM(K23)+SUM(G23),0)</f>
        <v>45414442</v>
      </c>
      <c r="N23" s="653"/>
      <c r="O23" s="1641"/>
      <c r="P23" s="653"/>
      <c r="Q23" s="3691">
        <v>0</v>
      </c>
      <c r="R23" s="3691"/>
      <c r="S23" s="3691">
        <v>1164969.1000000001</v>
      </c>
      <c r="T23" s="642"/>
      <c r="U23" s="820"/>
      <c r="V23" s="735"/>
      <c r="W23" s="736"/>
    </row>
    <row r="24" spans="1:23">
      <c r="C24" s="3691"/>
      <c r="D24" s="820"/>
      <c r="E24" s="3690"/>
      <c r="F24" s="820"/>
      <c r="G24" s="3690"/>
      <c r="H24" s="3690"/>
      <c r="I24" s="3690"/>
      <c r="J24" s="820"/>
      <c r="K24" s="3690"/>
      <c r="L24" s="820"/>
      <c r="M24" s="3690"/>
      <c r="N24" s="653"/>
      <c r="O24" s="1641"/>
      <c r="P24" s="653"/>
      <c r="Q24" s="3691"/>
      <c r="R24" s="3691"/>
      <c r="S24" s="3691"/>
      <c r="U24" s="644"/>
      <c r="V24" s="735"/>
      <c r="W24" s="736"/>
    </row>
    <row r="25" spans="1:23">
      <c r="A25" s="638" t="s">
        <v>893</v>
      </c>
      <c r="C25" s="3691"/>
      <c r="D25" s="820"/>
      <c r="E25" s="3690"/>
      <c r="F25" s="820"/>
      <c r="G25" s="3690"/>
      <c r="H25" s="3690"/>
      <c r="I25" s="3690"/>
      <c r="J25" s="820"/>
      <c r="K25" s="3690"/>
      <c r="L25" s="820"/>
      <c r="M25" s="3690"/>
      <c r="N25" s="653"/>
      <c r="O25" s="1641"/>
      <c r="P25" s="653"/>
      <c r="Q25" s="3691"/>
      <c r="R25" s="3691"/>
      <c r="S25" s="3691"/>
      <c r="U25" s="644"/>
      <c r="V25" s="735"/>
      <c r="W25" s="642"/>
    </row>
    <row r="26" spans="1:23">
      <c r="A26" s="638" t="s">
        <v>1010</v>
      </c>
      <c r="C26" s="3691">
        <f>ROUND(1352814.93,0)</f>
        <v>1352815</v>
      </c>
      <c r="D26" s="1595"/>
      <c r="E26" s="3691">
        <v>0</v>
      </c>
      <c r="F26" s="1595"/>
      <c r="G26" s="3691">
        <v>0</v>
      </c>
      <c r="H26" s="3691"/>
      <c r="I26" s="3691">
        <v>0</v>
      </c>
      <c r="J26" s="1595"/>
      <c r="K26" s="3691">
        <v>154061</v>
      </c>
      <c r="L26" s="1595"/>
      <c r="M26" s="3691">
        <f>ROUND(SUM(C26)-SUM(K26)+SUM(G26),0)</f>
        <v>1198754</v>
      </c>
      <c r="N26" s="653"/>
      <c r="O26" s="1641"/>
      <c r="P26" s="653"/>
      <c r="Q26" s="3691">
        <v>0</v>
      </c>
      <c r="R26" s="3691"/>
      <c r="S26" s="3691">
        <v>55666.62</v>
      </c>
      <c r="T26" s="642"/>
      <c r="U26" s="820"/>
      <c r="V26" s="735"/>
      <c r="W26" s="736"/>
    </row>
    <row r="27" spans="1:23">
      <c r="C27" s="3691"/>
      <c r="D27" s="820" t="s">
        <v>15</v>
      </c>
      <c r="E27" s="3690"/>
      <c r="F27" s="820"/>
      <c r="G27" s="3690"/>
      <c r="H27" s="3690"/>
      <c r="I27" s="3690"/>
      <c r="J27" s="820"/>
      <c r="K27" s="3690"/>
      <c r="L27" s="820"/>
      <c r="M27" s="3690"/>
      <c r="N27" s="653"/>
      <c r="O27" s="1641"/>
      <c r="P27" s="653"/>
      <c r="Q27" s="3691"/>
      <c r="R27" s="3691"/>
      <c r="S27" s="3691"/>
      <c r="U27" s="644"/>
      <c r="V27" s="735"/>
      <c r="W27" s="736"/>
    </row>
    <row r="28" spans="1:23">
      <c r="A28" s="638" t="s">
        <v>1263</v>
      </c>
      <c r="C28" s="3691"/>
      <c r="D28" s="820" t="s">
        <v>15</v>
      </c>
      <c r="E28" s="3690"/>
      <c r="F28" s="820"/>
      <c r="G28" s="3690"/>
      <c r="H28" s="3690"/>
      <c r="I28" s="3690"/>
      <c r="J28" s="820"/>
      <c r="K28" s="3690"/>
      <c r="L28" s="820"/>
      <c r="M28" s="3690"/>
      <c r="N28" s="653"/>
      <c r="O28" s="1641"/>
      <c r="P28" s="653"/>
      <c r="Q28" s="3691"/>
      <c r="R28" s="3691"/>
      <c r="S28" s="3691"/>
      <c r="U28" s="644"/>
      <c r="V28" s="735"/>
    </row>
    <row r="29" spans="1:23">
      <c r="A29" s="638" t="s">
        <v>403</v>
      </c>
      <c r="C29" s="3691">
        <f>ROUND(6246.94,0)</f>
        <v>6247</v>
      </c>
      <c r="D29" s="1595"/>
      <c r="E29" s="3691">
        <v>0</v>
      </c>
      <c r="F29" s="1595"/>
      <c r="G29" s="3691">
        <v>0</v>
      </c>
      <c r="H29" s="3691"/>
      <c r="I29" s="3691">
        <v>0</v>
      </c>
      <c r="J29" s="1595"/>
      <c r="K29" s="3691">
        <v>0</v>
      </c>
      <c r="L29" s="1595"/>
      <c r="M29" s="3691">
        <f>ROUND(SUM(C29)-SUM(K29)+SUM(G29),0)</f>
        <v>6247</v>
      </c>
      <c r="N29" s="653"/>
      <c r="O29" s="1641"/>
      <c r="P29" s="653"/>
      <c r="Q29" s="3691">
        <v>0</v>
      </c>
      <c r="R29" s="3691"/>
      <c r="S29" s="3691">
        <v>124.97</v>
      </c>
      <c r="T29" s="642"/>
      <c r="U29" s="820"/>
      <c r="V29" s="735"/>
      <c r="W29" s="736"/>
    </row>
    <row r="30" spans="1:23">
      <c r="A30" s="638" t="s">
        <v>995</v>
      </c>
      <c r="C30" s="3691">
        <f>ROUND(5870168.98,0)</f>
        <v>5870169</v>
      </c>
      <c r="D30" s="1595"/>
      <c r="E30" s="3691">
        <v>0</v>
      </c>
      <c r="F30" s="1595"/>
      <c r="G30" s="3691">
        <v>-795</v>
      </c>
      <c r="H30" s="3691"/>
      <c r="I30" s="3691">
        <v>0</v>
      </c>
      <c r="J30" s="1595"/>
      <c r="K30" s="3691">
        <v>56671</v>
      </c>
      <c r="L30" s="1595"/>
      <c r="M30" s="3691">
        <f>ROUND(SUM(C30)-SUM(K30)+SUM(G30),0)</f>
        <v>5812703</v>
      </c>
      <c r="N30" s="653"/>
      <c r="O30" s="1641"/>
      <c r="P30" s="653"/>
      <c r="Q30" s="3691">
        <v>0</v>
      </c>
      <c r="R30" s="3691"/>
      <c r="S30" s="3691">
        <v>138350.99</v>
      </c>
      <c r="T30" s="642"/>
      <c r="U30" s="820"/>
      <c r="V30" s="735"/>
      <c r="W30" s="736"/>
    </row>
    <row r="31" spans="1:23">
      <c r="A31" s="638" t="s">
        <v>404</v>
      </c>
      <c r="C31" s="3691">
        <f>ROUND(10826301.39,0)</f>
        <v>10826301</v>
      </c>
      <c r="D31" s="1595"/>
      <c r="E31" s="3691">
        <v>0</v>
      </c>
      <c r="F31" s="1595"/>
      <c r="G31" s="3691">
        <v>109856</v>
      </c>
      <c r="H31" s="3691"/>
      <c r="I31" s="3691">
        <v>0</v>
      </c>
      <c r="J31" s="1595"/>
      <c r="K31" s="3691">
        <v>4418953</v>
      </c>
      <c r="L31" s="1595"/>
      <c r="M31" s="3691">
        <f>ROUND(SUM(C31)-SUM(K31)+SUM(G31),0)</f>
        <v>6517204</v>
      </c>
      <c r="N31" s="653"/>
      <c r="O31" s="1641"/>
      <c r="P31" s="653"/>
      <c r="Q31" s="3691">
        <v>0</v>
      </c>
      <c r="R31" s="3691"/>
      <c r="S31" s="3691">
        <v>286440.27</v>
      </c>
      <c r="T31" s="642"/>
      <c r="U31" s="820"/>
      <c r="V31" s="735"/>
      <c r="W31" s="736"/>
    </row>
    <row r="32" spans="1:23">
      <c r="C32" s="3691"/>
      <c r="D32" s="820"/>
      <c r="E32" s="3690"/>
      <c r="F32" s="820"/>
      <c r="G32" s="3690"/>
      <c r="H32" s="3690"/>
      <c r="I32" s="3690"/>
      <c r="J32" s="820"/>
      <c r="K32" s="3690"/>
      <c r="L32" s="820"/>
      <c r="M32" s="3690"/>
      <c r="N32" s="653"/>
      <c r="O32" s="1641"/>
      <c r="P32" s="653"/>
      <c r="Q32" s="3691"/>
      <c r="R32" s="3691"/>
      <c r="S32" s="3691"/>
      <c r="U32" s="644"/>
      <c r="V32" s="735"/>
      <c r="W32" s="736"/>
    </row>
    <row r="33" spans="1:24">
      <c r="A33" s="638" t="s">
        <v>405</v>
      </c>
      <c r="C33" s="3691"/>
      <c r="D33" s="820"/>
      <c r="E33" s="3690"/>
      <c r="F33" s="820"/>
      <c r="G33" s="3690"/>
      <c r="H33" s="3690"/>
      <c r="I33" s="3690"/>
      <c r="J33" s="820"/>
      <c r="K33" s="3690"/>
      <c r="L33" s="820"/>
      <c r="M33" s="3690"/>
      <c r="N33" s="653"/>
      <c r="O33" s="1641"/>
      <c r="P33" s="653"/>
      <c r="Q33" s="3691"/>
      <c r="R33" s="3691"/>
      <c r="S33" s="3691"/>
      <c r="U33" s="644"/>
      <c r="V33" s="735"/>
      <c r="W33" s="642"/>
    </row>
    <row r="34" spans="1:24">
      <c r="A34" s="638" t="s">
        <v>1264</v>
      </c>
      <c r="C34" s="3691">
        <f>ROUND(6831631.69,0)</f>
        <v>6831632</v>
      </c>
      <c r="D34" s="1595"/>
      <c r="E34" s="3691">
        <v>0</v>
      </c>
      <c r="F34" s="1595"/>
      <c r="G34" s="3691">
        <v>9798</v>
      </c>
      <c r="H34" s="3691"/>
      <c r="I34" s="3691">
        <v>0</v>
      </c>
      <c r="J34" s="1595"/>
      <c r="K34" s="3691">
        <v>741830</v>
      </c>
      <c r="L34" s="1595"/>
      <c r="M34" s="3691">
        <f>ROUND(SUM(C34)-SUM(K34)+SUM(G34),0)</f>
        <v>6099600</v>
      </c>
      <c r="N34" s="653"/>
      <c r="O34" s="1641"/>
      <c r="P34" s="653"/>
      <c r="Q34" s="3691">
        <v>0</v>
      </c>
      <c r="R34" s="3691"/>
      <c r="S34" s="3691">
        <v>184629.27</v>
      </c>
      <c r="T34" s="642"/>
      <c r="U34" s="820"/>
      <c r="V34" s="735"/>
      <c r="W34" s="736"/>
    </row>
    <row r="35" spans="1:24">
      <c r="A35" s="638" t="s">
        <v>406</v>
      </c>
      <c r="C35" s="3691">
        <f>ROUND(107613084.85,0)</f>
        <v>107613085</v>
      </c>
      <c r="D35" s="1595"/>
      <c r="E35" s="3691">
        <v>0</v>
      </c>
      <c r="F35" s="1595"/>
      <c r="G35" s="3691">
        <v>287704</v>
      </c>
      <c r="H35" s="3691"/>
      <c r="I35" s="3691">
        <v>0</v>
      </c>
      <c r="J35" s="1595"/>
      <c r="K35" s="3691">
        <v>7388442</v>
      </c>
      <c r="L35" s="1595"/>
      <c r="M35" s="3691">
        <f>ROUND(SUM(C35)-SUM(K35)+SUM(G35),0)</f>
        <v>100512347</v>
      </c>
      <c r="N35" s="653"/>
      <c r="O35" s="1641"/>
      <c r="P35" s="653"/>
      <c r="Q35" s="3691">
        <v>0</v>
      </c>
      <c r="R35" s="3691"/>
      <c r="S35" s="3691">
        <v>3424676.95</v>
      </c>
      <c r="T35" s="642"/>
      <c r="U35" s="820"/>
      <c r="V35" s="735"/>
      <c r="W35" s="736"/>
      <c r="X35" s="642"/>
    </row>
    <row r="36" spans="1:24">
      <c r="C36" s="3691"/>
      <c r="D36" s="820"/>
      <c r="E36" s="3690"/>
      <c r="F36" s="820"/>
      <c r="G36" s="3690"/>
      <c r="H36" s="3690"/>
      <c r="I36" s="3690"/>
      <c r="J36" s="820"/>
      <c r="K36" s="3690"/>
      <c r="L36" s="820"/>
      <c r="M36" s="3690"/>
      <c r="N36" s="653"/>
      <c r="O36" s="1641"/>
      <c r="P36" s="653"/>
      <c r="Q36" s="3691"/>
      <c r="R36" s="3691"/>
      <c r="S36" s="3691"/>
      <c r="U36" s="644"/>
      <c r="V36" s="735"/>
      <c r="W36" s="736"/>
    </row>
    <row r="37" spans="1:24">
      <c r="A37" s="638" t="s">
        <v>407</v>
      </c>
      <c r="C37" s="3691"/>
      <c r="D37" s="820"/>
      <c r="E37" s="3690"/>
      <c r="F37" s="820"/>
      <c r="G37" s="3690"/>
      <c r="H37" s="3690"/>
      <c r="I37" s="3690"/>
      <c r="J37" s="820"/>
      <c r="K37" s="3690"/>
      <c r="L37" s="820"/>
      <c r="M37" s="3690"/>
      <c r="N37" s="653"/>
      <c r="O37" s="1641"/>
      <c r="P37" s="653"/>
      <c r="Q37" s="3691"/>
      <c r="R37" s="3691"/>
      <c r="S37" s="3691"/>
      <c r="U37" s="1887"/>
      <c r="V37" s="735"/>
      <c r="W37" s="642"/>
    </row>
    <row r="38" spans="1:24">
      <c r="A38" s="638" t="s">
        <v>1317</v>
      </c>
      <c r="C38" s="3691">
        <f>ROUND(8500000,0)</f>
        <v>8500000</v>
      </c>
      <c r="D38" s="1595"/>
      <c r="E38" s="3691">
        <v>0</v>
      </c>
      <c r="F38" s="1595"/>
      <c r="G38" s="3691">
        <v>0</v>
      </c>
      <c r="H38" s="3691"/>
      <c r="I38" s="3691">
        <v>0</v>
      </c>
      <c r="J38" s="1595"/>
      <c r="K38" s="3691">
        <v>1860000</v>
      </c>
      <c r="L38" s="1595"/>
      <c r="M38" s="3691">
        <f>ROUND(SUM(C38)-SUM(K38)+SUM(G38),0)</f>
        <v>6640000</v>
      </c>
      <c r="N38" s="653"/>
      <c r="O38" s="1641"/>
      <c r="P38" s="653"/>
      <c r="Q38" s="3691">
        <v>0</v>
      </c>
      <c r="R38" s="3691"/>
      <c r="S38" s="3691">
        <v>243000</v>
      </c>
      <c r="T38" s="642"/>
      <c r="U38" s="820"/>
      <c r="V38" s="735"/>
      <c r="W38" s="736"/>
    </row>
    <row r="39" spans="1:24">
      <c r="A39" s="638" t="s">
        <v>996</v>
      </c>
      <c r="C39" s="3691">
        <f>ROUND(6225000,0)</f>
        <v>6225000</v>
      </c>
      <c r="D39" s="1595"/>
      <c r="E39" s="3691">
        <v>0</v>
      </c>
      <c r="F39" s="1595"/>
      <c r="G39" s="3691">
        <v>0</v>
      </c>
      <c r="H39" s="3691"/>
      <c r="I39" s="3691">
        <v>0</v>
      </c>
      <c r="J39" s="1595"/>
      <c r="K39" s="3691">
        <v>2190000</v>
      </c>
      <c r="L39" s="1595"/>
      <c r="M39" s="3691">
        <f>ROUND(SUM(C39)-SUM(K39)+SUM(G39),0)</f>
        <v>4035000</v>
      </c>
      <c r="N39" s="653"/>
      <c r="O39" s="1641"/>
      <c r="P39" s="653"/>
      <c r="Q39" s="3691">
        <v>0</v>
      </c>
      <c r="R39" s="3691"/>
      <c r="S39" s="3691">
        <v>120137.5</v>
      </c>
      <c r="T39" s="642"/>
      <c r="U39" s="820"/>
      <c r="V39" s="735"/>
      <c r="W39" s="736"/>
    </row>
    <row r="40" spans="1:24">
      <c r="C40" s="3691"/>
      <c r="D40" s="820"/>
      <c r="E40" s="3690"/>
      <c r="F40" s="820"/>
      <c r="G40" s="3690"/>
      <c r="H40" s="3690"/>
      <c r="I40" s="3690"/>
      <c r="J40" s="820"/>
      <c r="K40" s="3690"/>
      <c r="L40" s="820"/>
      <c r="M40" s="3690"/>
      <c r="N40" s="653"/>
      <c r="O40" s="1641"/>
      <c r="P40" s="653"/>
      <c r="Q40" s="3691"/>
      <c r="R40" s="3691"/>
      <c r="S40" s="3691"/>
      <c r="U40" s="1887"/>
      <c r="V40" s="735"/>
      <c r="W40" s="736"/>
    </row>
    <row r="41" spans="1:24">
      <c r="A41" s="638" t="s">
        <v>997</v>
      </c>
      <c r="C41" s="3691">
        <v>0</v>
      </c>
      <c r="D41" s="1595"/>
      <c r="E41" s="3691">
        <v>0</v>
      </c>
      <c r="F41" s="1595"/>
      <c r="G41" s="3691">
        <v>0</v>
      </c>
      <c r="H41" s="3691"/>
      <c r="I41" s="3691">
        <v>0</v>
      </c>
      <c r="J41" s="1595"/>
      <c r="K41" s="3691">
        <v>0</v>
      </c>
      <c r="L41" s="1595"/>
      <c r="M41" s="3691">
        <f>ROUND(SUM(C41)-SUM(K41)+SUM(G41),2)</f>
        <v>0</v>
      </c>
      <c r="N41" s="653"/>
      <c r="O41" s="1641"/>
      <c r="P41" s="653"/>
      <c r="Q41" s="3691">
        <v>0</v>
      </c>
      <c r="R41" s="3691"/>
      <c r="S41" s="3691">
        <v>0</v>
      </c>
      <c r="T41" s="642"/>
      <c r="U41" s="820"/>
      <c r="V41" s="735"/>
      <c r="W41" s="736"/>
    </row>
    <row r="42" spans="1:24">
      <c r="C42" s="3691"/>
      <c r="D42" s="1595"/>
      <c r="E42" s="3691"/>
      <c r="F42" s="1595"/>
      <c r="G42" s="3691"/>
      <c r="H42" s="3691"/>
      <c r="I42" s="3691"/>
      <c r="J42" s="1595"/>
      <c r="K42" s="3691"/>
      <c r="L42" s="1595"/>
      <c r="M42" s="3691"/>
      <c r="N42" s="653"/>
      <c r="O42" s="1641"/>
      <c r="P42" s="653"/>
      <c r="Q42" s="3691"/>
      <c r="R42" s="3691"/>
      <c r="S42" s="3691"/>
      <c r="U42" s="1887"/>
      <c r="V42" s="735"/>
      <c r="W42" s="736"/>
    </row>
    <row r="43" spans="1:24">
      <c r="A43" s="638" t="s">
        <v>408</v>
      </c>
      <c r="C43" s="3691">
        <f>ROUND(17772576.39,0)</f>
        <v>17772576</v>
      </c>
      <c r="D43" s="1595"/>
      <c r="E43" s="3691">
        <v>0</v>
      </c>
      <c r="F43" s="1595"/>
      <c r="G43" s="3691">
        <v>367188</v>
      </c>
      <c r="H43" s="3691"/>
      <c r="I43" s="3691">
        <v>0</v>
      </c>
      <c r="J43" s="1595"/>
      <c r="K43" s="3691">
        <v>2418138</v>
      </c>
      <c r="L43" s="1595"/>
      <c r="M43" s="3691">
        <f>ROUND(SUM(C43)-SUM(K43)+SUM(G43),0)</f>
        <v>15721626</v>
      </c>
      <c r="N43" s="653"/>
      <c r="O43" s="1641"/>
      <c r="P43" s="653"/>
      <c r="Q43" s="3691">
        <v>0</v>
      </c>
      <c r="R43" s="3691"/>
      <c r="S43" s="3691">
        <v>552636.31999999995</v>
      </c>
      <c r="T43" s="642"/>
      <c r="U43" s="820"/>
      <c r="V43" s="735"/>
      <c r="W43" s="736"/>
    </row>
    <row r="44" spans="1:24">
      <c r="C44" s="3691"/>
      <c r="D44" s="1595"/>
      <c r="E44" s="3691"/>
      <c r="F44" s="1595"/>
      <c r="G44" s="3691"/>
      <c r="H44" s="3691"/>
      <c r="I44" s="3691"/>
      <c r="J44" s="1595"/>
      <c r="K44" s="3691"/>
      <c r="L44" s="1595"/>
      <c r="M44" s="3691"/>
      <c r="N44" s="653"/>
      <c r="O44" s="1641"/>
      <c r="P44" s="653"/>
      <c r="Q44" s="3691"/>
      <c r="R44" s="3691"/>
      <c r="S44" s="3691"/>
      <c r="U44" s="790"/>
      <c r="V44" s="735"/>
      <c r="W44" s="736"/>
    </row>
    <row r="45" spans="1:24">
      <c r="A45" s="638" t="s">
        <v>409</v>
      </c>
      <c r="C45" s="3691">
        <v>0</v>
      </c>
      <c r="D45" s="1595"/>
      <c r="E45" s="3691">
        <v>0</v>
      </c>
      <c r="F45" s="1595"/>
      <c r="G45" s="3691">
        <v>0</v>
      </c>
      <c r="H45" s="3691"/>
      <c r="I45" s="3691">
        <v>0</v>
      </c>
      <c r="J45" s="1595"/>
      <c r="K45" s="3691">
        <v>0</v>
      </c>
      <c r="L45" s="1595"/>
      <c r="M45" s="3691">
        <f>ROUND(SUM(C45)-SUM(K45)+SUM(G45),0)</f>
        <v>0</v>
      </c>
      <c r="N45" s="653"/>
      <c r="O45" s="1641"/>
      <c r="P45" s="653"/>
      <c r="Q45" s="3691">
        <v>0</v>
      </c>
      <c r="R45" s="3691"/>
      <c r="S45" s="3691">
        <v>0</v>
      </c>
      <c r="T45" s="642"/>
      <c r="U45" s="820"/>
      <c r="V45" s="735"/>
      <c r="W45" s="736"/>
    </row>
    <row r="46" spans="1:24">
      <c r="C46" s="3691"/>
      <c r="D46" s="1595"/>
      <c r="E46" s="3691"/>
      <c r="F46" s="1595"/>
      <c r="G46" s="3691"/>
      <c r="H46" s="3691"/>
      <c r="I46" s="3691"/>
      <c r="J46" s="1595"/>
      <c r="K46" s="3691"/>
      <c r="L46" s="1595"/>
      <c r="M46" s="3691"/>
      <c r="N46" s="653"/>
      <c r="O46" s="1641"/>
      <c r="P46" s="653"/>
      <c r="Q46" s="3691"/>
      <c r="R46" s="3691"/>
      <c r="S46" s="3691"/>
      <c r="U46" s="644"/>
      <c r="V46" s="735"/>
      <c r="W46" s="736"/>
    </row>
    <row r="47" spans="1:24">
      <c r="A47" s="638" t="s">
        <v>410</v>
      </c>
      <c r="C47" s="3691"/>
      <c r="D47" s="1596"/>
      <c r="E47" s="3692"/>
      <c r="F47" s="1596"/>
      <c r="G47" s="3692"/>
      <c r="H47" s="3692"/>
      <c r="I47" s="3692"/>
      <c r="J47" s="1596"/>
      <c r="K47" s="3692"/>
      <c r="L47" s="1596"/>
      <c r="M47" s="3692"/>
      <c r="N47" s="653"/>
      <c r="O47" s="1641"/>
      <c r="P47" s="653"/>
      <c r="Q47" s="3691"/>
      <c r="R47" s="3691"/>
      <c r="S47" s="3691"/>
      <c r="U47" s="1887"/>
      <c r="V47" s="735"/>
      <c r="W47" s="736"/>
    </row>
    <row r="48" spans="1:24">
      <c r="A48" s="638" t="s">
        <v>411</v>
      </c>
      <c r="C48" s="3691">
        <f>ROUND(641322675.69,0)</f>
        <v>641322676</v>
      </c>
      <c r="D48" s="1596"/>
      <c r="E48" s="3692">
        <v>0</v>
      </c>
      <c r="F48" s="1596"/>
      <c r="G48" s="3691">
        <v>6303945</v>
      </c>
      <c r="H48" s="3692"/>
      <c r="I48" s="3692">
        <v>0</v>
      </c>
      <c r="J48" s="1596"/>
      <c r="K48" s="3692">
        <v>5866865</v>
      </c>
      <c r="L48" s="1596"/>
      <c r="M48" s="3692">
        <f t="shared" ref="M48:M53" si="0">ROUND(SUM(C48)-SUM(K48)+SUM(G48),0)</f>
        <v>641759756</v>
      </c>
      <c r="N48" s="653"/>
      <c r="O48" s="1641"/>
      <c r="P48" s="653"/>
      <c r="Q48" s="3691">
        <v>0</v>
      </c>
      <c r="R48" s="3691"/>
      <c r="S48" s="3691">
        <v>15847049.060000001</v>
      </c>
      <c r="T48" s="1642"/>
      <c r="U48" s="820"/>
      <c r="V48" s="735"/>
      <c r="W48" s="736"/>
    </row>
    <row r="49" spans="1:23">
      <c r="A49" s="638" t="s">
        <v>412</v>
      </c>
      <c r="C49" s="3691">
        <f>ROUND(11884363.15,0)</f>
        <v>11884363</v>
      </c>
      <c r="D49" s="1596"/>
      <c r="E49" s="3692">
        <v>0</v>
      </c>
      <c r="F49" s="1596"/>
      <c r="G49" s="3691">
        <v>0</v>
      </c>
      <c r="H49" s="3692"/>
      <c r="I49" s="3692">
        <v>0</v>
      </c>
      <c r="J49" s="1596"/>
      <c r="K49" s="3692">
        <v>483008</v>
      </c>
      <c r="L49" s="1596"/>
      <c r="M49" s="3692">
        <f t="shared" si="0"/>
        <v>11401355</v>
      </c>
      <c r="N49" s="653"/>
      <c r="O49" s="1641"/>
      <c r="P49" s="653"/>
      <c r="Q49" s="3691">
        <v>0</v>
      </c>
      <c r="R49" s="3691"/>
      <c r="S49" s="3691">
        <v>279699.49</v>
      </c>
      <c r="T49" s="1642"/>
      <c r="U49" s="820"/>
      <c r="V49" s="735"/>
      <c r="W49" s="736"/>
    </row>
    <row r="50" spans="1:23">
      <c r="A50" s="638" t="s">
        <v>413</v>
      </c>
      <c r="C50" s="3691">
        <f>ROUND(42044726.22,0)</f>
        <v>42044726</v>
      </c>
      <c r="D50" s="1596"/>
      <c r="E50" s="3692">
        <v>0</v>
      </c>
      <c r="F50" s="1596"/>
      <c r="G50" s="3691">
        <v>1372382</v>
      </c>
      <c r="H50" s="3692"/>
      <c r="I50" s="3692">
        <v>0</v>
      </c>
      <c r="J50" s="1596"/>
      <c r="K50" s="3692">
        <v>0</v>
      </c>
      <c r="L50" s="1596"/>
      <c r="M50" s="3692">
        <f t="shared" si="0"/>
        <v>43417108</v>
      </c>
      <c r="N50" s="653"/>
      <c r="O50" s="1641"/>
      <c r="P50" s="653"/>
      <c r="Q50" s="3691">
        <v>0</v>
      </c>
      <c r="R50" s="3691"/>
      <c r="S50" s="3691">
        <v>895796.27</v>
      </c>
      <c r="T50" s="1642"/>
      <c r="U50" s="820"/>
      <c r="V50" s="735"/>
      <c r="W50" s="736"/>
    </row>
    <row r="51" spans="1:23">
      <c r="A51" s="638" t="s">
        <v>414</v>
      </c>
      <c r="C51" s="3691">
        <f>ROUND(94745140.81,0)</f>
        <v>94745141</v>
      </c>
      <c r="D51" s="1596"/>
      <c r="E51" s="3692">
        <v>0</v>
      </c>
      <c r="F51" s="1596"/>
      <c r="G51" s="3691">
        <v>3009919</v>
      </c>
      <c r="H51" s="3692"/>
      <c r="I51" s="3692">
        <v>0</v>
      </c>
      <c r="J51" s="1596"/>
      <c r="K51" s="3692">
        <v>0</v>
      </c>
      <c r="L51" s="1596"/>
      <c r="M51" s="3692">
        <f t="shared" si="0"/>
        <v>97755060</v>
      </c>
      <c r="N51" s="653"/>
      <c r="O51" s="1641"/>
      <c r="P51" s="653"/>
      <c r="Q51" s="3691">
        <v>0</v>
      </c>
      <c r="R51" s="3691"/>
      <c r="S51" s="3691">
        <v>1983245.34</v>
      </c>
      <c r="T51" s="1642"/>
      <c r="U51" s="820"/>
      <c r="V51" s="735"/>
      <c r="W51" s="736"/>
    </row>
    <row r="52" spans="1:23">
      <c r="A52" s="638" t="s">
        <v>415</v>
      </c>
      <c r="C52" s="3691">
        <f>ROUND(13915297.45,0)</f>
        <v>13915297</v>
      </c>
      <c r="D52" s="1596"/>
      <c r="E52" s="3692">
        <v>0</v>
      </c>
      <c r="F52" s="1596"/>
      <c r="G52" s="3691">
        <v>-39774</v>
      </c>
      <c r="H52" s="3692"/>
      <c r="I52" s="3692">
        <v>0</v>
      </c>
      <c r="J52" s="1596"/>
      <c r="K52" s="3692">
        <v>0</v>
      </c>
      <c r="L52" s="1596"/>
      <c r="M52" s="3692">
        <f t="shared" si="0"/>
        <v>13875523</v>
      </c>
      <c r="N52" s="653"/>
      <c r="O52" s="1641"/>
      <c r="P52" s="653"/>
      <c r="Q52" s="3691">
        <v>0</v>
      </c>
      <c r="R52" s="3691"/>
      <c r="S52" s="3691">
        <v>309012.84000000003</v>
      </c>
      <c r="T52" s="1642"/>
      <c r="U52" s="820"/>
      <c r="V52" s="735"/>
      <c r="W52" s="736"/>
    </row>
    <row r="53" spans="1:23">
      <c r="A53" s="638" t="s">
        <v>894</v>
      </c>
      <c r="C53" s="3691">
        <f>ROUND(721891398.63,0)</f>
        <v>721891399</v>
      </c>
      <c r="D53" s="1595"/>
      <c r="E53" s="3691">
        <v>0</v>
      </c>
      <c r="F53" s="1595"/>
      <c r="G53" s="3691">
        <v>11348989</v>
      </c>
      <c r="H53" s="3691"/>
      <c r="I53" s="3691">
        <v>0</v>
      </c>
      <c r="J53" s="1595"/>
      <c r="K53" s="3691">
        <v>6346813</v>
      </c>
      <c r="L53" s="1595"/>
      <c r="M53" s="3691">
        <f t="shared" si="0"/>
        <v>726893575</v>
      </c>
      <c r="N53" s="653"/>
      <c r="O53" s="1641"/>
      <c r="P53" s="653"/>
      <c r="Q53" s="3691">
        <v>0</v>
      </c>
      <c r="R53" s="3691"/>
      <c r="S53" s="3691">
        <v>19193504.339999996</v>
      </c>
      <c r="T53" s="1642"/>
      <c r="U53" s="820"/>
      <c r="V53" s="735"/>
      <c r="W53" s="736"/>
    </row>
    <row r="54" spans="1:23">
      <c r="C54" s="3691"/>
      <c r="D54" s="1595"/>
      <c r="E54" s="3691"/>
      <c r="F54" s="1595"/>
      <c r="G54" s="3691"/>
      <c r="H54" s="3691"/>
      <c r="I54" s="3691"/>
      <c r="J54" s="1595"/>
      <c r="K54" s="3691"/>
      <c r="L54" s="1595"/>
      <c r="M54" s="3691"/>
      <c r="N54" s="653"/>
      <c r="O54" s="1641"/>
      <c r="P54" s="653"/>
      <c r="Q54" s="3691"/>
      <c r="R54" s="3691"/>
      <c r="S54" s="3691"/>
      <c r="U54" s="644"/>
      <c r="V54" s="735"/>
      <c r="W54" s="736"/>
    </row>
    <row r="55" spans="1:23">
      <c r="A55" s="638" t="s">
        <v>895</v>
      </c>
      <c r="C55" s="3691"/>
      <c r="D55" s="1595"/>
      <c r="E55" s="3691"/>
      <c r="F55" s="1595"/>
      <c r="G55" s="3691"/>
      <c r="H55" s="3691"/>
      <c r="I55" s="3691"/>
      <c r="J55" s="1595"/>
      <c r="K55" s="3691"/>
      <c r="L55" s="1595"/>
      <c r="M55" s="3691"/>
      <c r="N55" s="653"/>
      <c r="O55" s="1641"/>
      <c r="P55" s="653"/>
      <c r="Q55" s="3691"/>
      <c r="R55" s="3691"/>
      <c r="S55" s="3691"/>
      <c r="U55" s="1887"/>
      <c r="V55" s="735"/>
      <c r="W55" s="642"/>
    </row>
    <row r="56" spans="1:23">
      <c r="A56" s="638" t="s">
        <v>998</v>
      </c>
      <c r="C56" s="3691">
        <f>ROUND(741417.6,0)</f>
        <v>741418</v>
      </c>
      <c r="D56" s="1595"/>
      <c r="E56" s="3691">
        <v>0</v>
      </c>
      <c r="F56" s="1595"/>
      <c r="G56" s="3691">
        <v>-1803.55</v>
      </c>
      <c r="H56" s="3691"/>
      <c r="I56" s="3691">
        <v>0</v>
      </c>
      <c r="J56" s="1595"/>
      <c r="K56" s="3691">
        <v>15824</v>
      </c>
      <c r="L56" s="1595"/>
      <c r="M56" s="3691">
        <f>ROUND(SUM(C56)-SUM(K56)+SUM(G56),0)</f>
        <v>723790</v>
      </c>
      <c r="N56" s="653"/>
      <c r="O56" s="1641"/>
      <c r="P56" s="653"/>
      <c r="Q56" s="3691">
        <v>0</v>
      </c>
      <c r="R56" s="3691"/>
      <c r="S56" s="3691">
        <v>18941.62</v>
      </c>
      <c r="T56" s="642"/>
      <c r="U56" s="820"/>
      <c r="V56" s="735"/>
      <c r="W56" s="736"/>
    </row>
    <row r="57" spans="1:23">
      <c r="A57" s="638" t="s">
        <v>968</v>
      </c>
      <c r="C57" s="3691">
        <f>ROUND(2597617.35,0)</f>
        <v>2597617</v>
      </c>
      <c r="D57" s="1595"/>
      <c r="E57" s="3691">
        <v>0</v>
      </c>
      <c r="F57" s="1595"/>
      <c r="G57" s="3691">
        <v>0</v>
      </c>
      <c r="H57" s="3691"/>
      <c r="I57" s="3691">
        <v>0</v>
      </c>
      <c r="J57" s="1595"/>
      <c r="K57" s="3691">
        <v>555054</v>
      </c>
      <c r="L57" s="1595"/>
      <c r="M57" s="3691">
        <f>ROUND(SUM(C57)-SUM(K57)+SUM(G57),0)</f>
        <v>2042563</v>
      </c>
      <c r="N57" s="653"/>
      <c r="O57" s="1641"/>
      <c r="P57" s="653"/>
      <c r="Q57" s="3691">
        <v>0</v>
      </c>
      <c r="R57" s="3691"/>
      <c r="S57" s="3691">
        <v>112616.68</v>
      </c>
      <c r="T57" s="642"/>
      <c r="U57" s="820"/>
      <c r="V57" s="735"/>
      <c r="W57" s="736"/>
    </row>
    <row r="58" spans="1:23" ht="13.5" customHeight="1">
      <c r="C58" s="3691"/>
      <c r="D58" s="1595"/>
      <c r="E58" s="3691"/>
      <c r="F58" s="1595"/>
      <c r="G58" s="3691"/>
      <c r="H58" s="3691"/>
      <c r="I58" s="3691"/>
      <c r="J58" s="1595"/>
      <c r="K58" s="3691"/>
      <c r="L58" s="1595"/>
      <c r="M58" s="3691"/>
      <c r="N58" s="653"/>
      <c r="O58" s="1641"/>
      <c r="P58" s="653"/>
      <c r="Q58" s="3691"/>
      <c r="R58" s="3691"/>
      <c r="S58" s="3691"/>
      <c r="U58" s="644"/>
      <c r="V58" s="735"/>
      <c r="W58" s="736"/>
    </row>
    <row r="59" spans="1:23">
      <c r="A59" s="638" t="s">
        <v>1302</v>
      </c>
      <c r="C59" s="3691">
        <f>ROUND(179020225.27,0)</f>
        <v>179020225</v>
      </c>
      <c r="D59" s="1595"/>
      <c r="E59" s="3691">
        <v>0</v>
      </c>
      <c r="F59" s="1595"/>
      <c r="G59" s="3691">
        <v>0</v>
      </c>
      <c r="H59" s="3691"/>
      <c r="I59" s="3691">
        <v>0</v>
      </c>
      <c r="J59" s="1595"/>
      <c r="K59" s="3691">
        <v>0</v>
      </c>
      <c r="L59" s="1595"/>
      <c r="M59" s="3691">
        <f>ROUND(SUM(C59)-SUM(K59)+SUM(G59),0)</f>
        <v>179020225</v>
      </c>
      <c r="N59" s="653"/>
      <c r="O59" s="1641"/>
      <c r="P59" s="653"/>
      <c r="Q59" s="3691">
        <v>0</v>
      </c>
      <c r="R59" s="3691"/>
      <c r="S59" s="3691">
        <v>4227134.8099999996</v>
      </c>
      <c r="T59" s="642"/>
      <c r="U59" s="820"/>
      <c r="V59" s="735"/>
      <c r="W59" s="736"/>
    </row>
    <row r="60" spans="1:23" ht="13.5" customHeight="1">
      <c r="C60" s="3691"/>
      <c r="D60" s="1595"/>
      <c r="E60" s="3691"/>
      <c r="F60" s="1595"/>
      <c r="G60" s="3691"/>
      <c r="H60" s="3691"/>
      <c r="I60" s="3691"/>
      <c r="J60" s="1595"/>
      <c r="K60" s="3691"/>
      <c r="L60" s="1595"/>
      <c r="M60" s="3691"/>
      <c r="N60" s="653"/>
      <c r="O60" s="1641"/>
      <c r="P60" s="653"/>
      <c r="Q60" s="3691"/>
      <c r="R60" s="3691"/>
      <c r="S60" s="3691"/>
      <c r="U60" s="644"/>
      <c r="V60" s="735"/>
      <c r="W60" s="736"/>
    </row>
    <row r="61" spans="1:23">
      <c r="A61" s="638" t="s">
        <v>416</v>
      </c>
      <c r="C61" s="3691"/>
      <c r="D61" s="1595"/>
      <c r="E61" s="3691"/>
      <c r="F61" s="1595"/>
      <c r="G61" s="3691"/>
      <c r="H61" s="3691"/>
      <c r="I61" s="3691"/>
      <c r="J61" s="1595"/>
      <c r="K61" s="3691"/>
      <c r="L61" s="1595"/>
      <c r="M61" s="3691"/>
      <c r="N61" s="653"/>
      <c r="O61" s="1641"/>
      <c r="P61" s="653"/>
      <c r="Q61" s="3691"/>
      <c r="R61" s="3691"/>
      <c r="S61" s="3691"/>
      <c r="U61" s="1887"/>
      <c r="V61" s="735"/>
      <c r="W61" s="642"/>
    </row>
    <row r="62" spans="1:23">
      <c r="A62" s="638" t="s">
        <v>413</v>
      </c>
      <c r="C62" s="3691">
        <f>ROUND(3018694.6,0)</f>
        <v>3018695</v>
      </c>
      <c r="D62" s="1595"/>
      <c r="E62" s="3691">
        <v>0</v>
      </c>
      <c r="F62" s="1595"/>
      <c r="G62" s="3691">
        <v>0</v>
      </c>
      <c r="H62" s="3691"/>
      <c r="I62" s="3691">
        <v>0</v>
      </c>
      <c r="J62" s="1595"/>
      <c r="K62" s="3691">
        <v>928596</v>
      </c>
      <c r="L62" s="1595"/>
      <c r="M62" s="3691">
        <f>ROUND(SUM(C62)-SUM(K62)+SUM(G62),0)</f>
        <v>2090099</v>
      </c>
      <c r="N62" s="653"/>
      <c r="O62" s="1641"/>
      <c r="P62" s="653"/>
      <c r="Q62" s="3691">
        <v>0</v>
      </c>
      <c r="R62" s="3691"/>
      <c r="S62" s="3691">
        <v>113588.62</v>
      </c>
      <c r="T62" s="642"/>
      <c r="U62" s="820"/>
      <c r="V62" s="735"/>
      <c r="W62" s="736"/>
    </row>
    <row r="63" spans="1:23">
      <c r="A63" s="638" t="s">
        <v>417</v>
      </c>
      <c r="C63" s="3691">
        <v>0</v>
      </c>
      <c r="D63" s="1595"/>
      <c r="E63" s="3691">
        <v>0</v>
      </c>
      <c r="F63" s="1595"/>
      <c r="G63" s="3691">
        <v>0</v>
      </c>
      <c r="H63" s="3691"/>
      <c r="I63" s="3691">
        <v>0</v>
      </c>
      <c r="J63" s="1595"/>
      <c r="K63" s="1595">
        <v>0</v>
      </c>
      <c r="L63" s="1595"/>
      <c r="M63" s="3691">
        <f>ROUND(SUM(C63)-SUM(K63)+SUM(G63),2)</f>
        <v>0</v>
      </c>
      <c r="N63" s="653"/>
      <c r="O63" s="1641"/>
      <c r="P63" s="653"/>
      <c r="Q63" s="3691">
        <v>0</v>
      </c>
      <c r="R63" s="3691"/>
      <c r="S63" s="3691">
        <v>0</v>
      </c>
      <c r="T63" s="642"/>
      <c r="U63" s="820"/>
      <c r="V63" s="735"/>
      <c r="W63" s="736"/>
    </row>
    <row r="64" spans="1:23">
      <c r="B64" s="653"/>
      <c r="C64" s="3697"/>
      <c r="D64" s="1643"/>
      <c r="E64" s="3693"/>
      <c r="F64" s="1643"/>
      <c r="G64" s="3693"/>
      <c r="H64" s="3693"/>
      <c r="I64" s="3693"/>
      <c r="J64" s="3693"/>
      <c r="K64" s="3693"/>
      <c r="L64" s="3693"/>
      <c r="M64" s="3693"/>
      <c r="N64" s="653"/>
      <c r="O64" s="1641"/>
      <c r="P64" s="653"/>
      <c r="Q64" s="1644"/>
      <c r="R64" s="653"/>
      <c r="S64" s="1645"/>
      <c r="T64" s="648"/>
    </row>
    <row r="65" spans="1:23" ht="15" customHeight="1" thickBot="1">
      <c r="A65" s="640" t="s">
        <v>418</v>
      </c>
      <c r="B65" s="1646"/>
      <c r="C65" s="3694">
        <f>ROUND(SUM(C16:C63),2)</f>
        <v>2285634999</v>
      </c>
      <c r="D65" s="2209"/>
      <c r="E65" s="3694">
        <f>ROUND(SUM(E16:E64),2)</f>
        <v>0</v>
      </c>
      <c r="F65" s="2209"/>
      <c r="G65" s="3694">
        <f>ROUND(SUM(G16:G63),2)</f>
        <v>25780000.399999999</v>
      </c>
      <c r="H65" s="1646"/>
      <c r="I65" s="3694">
        <f>ROUND(SUM(I16:I63),2)</f>
        <v>0</v>
      </c>
      <c r="J65" s="1646"/>
      <c r="K65" s="3694">
        <f>ROUND(SUM(K16:K63),0)</f>
        <v>46335000</v>
      </c>
      <c r="L65" s="1646"/>
      <c r="M65" s="3694">
        <f>ROUND(SUM(M16:M63),2)</f>
        <v>2265079999</v>
      </c>
      <c r="N65" s="1647"/>
      <c r="O65" s="1648"/>
      <c r="P65" s="1646"/>
      <c r="Q65" s="3694">
        <f>ROUND(SUM(Q16:Q63),2)</f>
        <v>0</v>
      </c>
      <c r="R65" s="1646"/>
      <c r="S65" s="3694">
        <f>ROUND(SUM(S16:S63),0)</f>
        <v>58560420</v>
      </c>
      <c r="T65" s="1649"/>
      <c r="U65" s="2209"/>
      <c r="V65" s="791"/>
      <c r="W65" s="791"/>
    </row>
    <row r="66" spans="1:23" ht="15" customHeight="1" thickTop="1">
      <c r="A66" s="1650"/>
      <c r="B66" s="1651"/>
      <c r="C66" s="888"/>
      <c r="D66" s="1649"/>
      <c r="E66" s="1652"/>
      <c r="F66" s="1649"/>
      <c r="G66" s="1652"/>
      <c r="H66" s="1651"/>
      <c r="I66" s="1649"/>
      <c r="J66" s="1651"/>
      <c r="K66" s="1653"/>
      <c r="L66" s="1651"/>
      <c r="M66" s="888"/>
      <c r="N66" s="640"/>
      <c r="O66" s="640"/>
      <c r="P66" s="1651"/>
      <c r="Q66" s="1653"/>
      <c r="R66" s="1651"/>
      <c r="S66" s="1649"/>
      <c r="U66" s="792"/>
      <c r="V66" s="792"/>
      <c r="W66" s="792"/>
    </row>
    <row r="67" spans="1:23">
      <c r="A67" s="1654" t="s">
        <v>1486</v>
      </c>
      <c r="B67" s="648"/>
      <c r="C67" s="892"/>
      <c r="D67" s="648"/>
      <c r="E67" s="648"/>
      <c r="F67" s="648"/>
      <c r="H67" s="653"/>
      <c r="I67" s="638"/>
      <c r="J67" s="653"/>
      <c r="K67" s="638"/>
      <c r="L67" s="653"/>
      <c r="N67" s="648"/>
      <c r="P67" s="737"/>
    </row>
    <row r="68" spans="1:23">
      <c r="A68" s="737"/>
      <c r="C68" s="892"/>
      <c r="D68" s="648"/>
      <c r="E68" s="793"/>
      <c r="F68" s="648"/>
      <c r="G68" s="648"/>
      <c r="H68" s="735"/>
      <c r="I68" s="653"/>
      <c r="J68" s="735"/>
      <c r="K68" s="653"/>
      <c r="L68" s="736"/>
      <c r="O68" s="648"/>
      <c r="P68" s="736"/>
      <c r="Q68" s="1914"/>
      <c r="R68" s="642"/>
      <c r="S68" s="1914"/>
    </row>
    <row r="69" spans="1:23">
      <c r="A69" s="654"/>
      <c r="E69" s="1655"/>
      <c r="G69" s="652"/>
      <c r="I69" s="644"/>
      <c r="K69" s="644"/>
      <c r="Q69" s="642"/>
      <c r="S69" s="642"/>
      <c r="T69" s="641"/>
    </row>
    <row r="70" spans="1:23">
      <c r="E70" s="653"/>
      <c r="G70" s="653"/>
      <c r="M70" s="820"/>
      <c r="O70" s="648"/>
      <c r="Q70" s="737"/>
    </row>
    <row r="71" spans="1:23">
      <c r="D71" s="642"/>
      <c r="E71" s="643"/>
      <c r="F71" s="642"/>
      <c r="G71" s="643"/>
      <c r="I71" s="644"/>
      <c r="K71" s="644"/>
      <c r="M71" s="645"/>
      <c r="O71" s="648"/>
      <c r="Q71" s="649"/>
      <c r="S71" s="642"/>
    </row>
    <row r="72" spans="1:23">
      <c r="D72" s="642"/>
      <c r="E72" s="643"/>
      <c r="F72" s="642"/>
      <c r="G72" s="736"/>
      <c r="I72" s="644"/>
      <c r="K72" s="644"/>
      <c r="M72" s="889"/>
      <c r="O72" s="648"/>
      <c r="Q72" s="736"/>
      <c r="S72" s="642"/>
    </row>
    <row r="73" spans="1:23">
      <c r="D73" s="642"/>
      <c r="E73" s="643"/>
      <c r="F73" s="642"/>
      <c r="G73" s="734"/>
      <c r="I73" s="644"/>
      <c r="K73" s="644"/>
      <c r="M73" s="820"/>
      <c r="O73" s="648"/>
      <c r="Q73" s="790"/>
      <c r="S73" s="642"/>
    </row>
    <row r="74" spans="1:23">
      <c r="D74" s="642"/>
      <c r="E74" s="643"/>
      <c r="F74" s="642"/>
      <c r="G74" s="643"/>
      <c r="I74" s="644"/>
      <c r="K74" s="644"/>
      <c r="M74" s="645"/>
      <c r="O74" s="648"/>
      <c r="Q74" s="649"/>
      <c r="S74" s="642"/>
      <c r="T74" s="641"/>
    </row>
    <row r="75" spans="1:23">
      <c r="D75" s="642"/>
      <c r="E75" s="643"/>
      <c r="F75" s="642"/>
      <c r="G75" s="643"/>
      <c r="I75" s="644"/>
      <c r="K75" s="644"/>
      <c r="M75" s="645"/>
      <c r="O75" s="648"/>
      <c r="Q75" s="649"/>
      <c r="S75" s="642"/>
    </row>
    <row r="76" spans="1:23">
      <c r="D76" s="642"/>
      <c r="E76" s="643"/>
      <c r="F76" s="642"/>
      <c r="G76" s="736"/>
      <c r="I76" s="644"/>
      <c r="K76" s="644"/>
      <c r="M76" s="889"/>
      <c r="O76" s="648"/>
      <c r="Q76" s="736"/>
      <c r="S76" s="642"/>
    </row>
    <row r="77" spans="1:23">
      <c r="D77" s="642"/>
      <c r="E77" s="643"/>
      <c r="F77" s="642"/>
      <c r="G77" s="734"/>
      <c r="I77" s="644"/>
      <c r="K77" s="644"/>
      <c r="M77" s="820"/>
      <c r="O77" s="648"/>
      <c r="Q77" s="790"/>
      <c r="S77" s="642"/>
    </row>
    <row r="78" spans="1:23">
      <c r="B78" s="648"/>
      <c r="C78" s="892"/>
      <c r="D78" s="794"/>
      <c r="E78" s="795"/>
      <c r="F78" s="794"/>
      <c r="G78" s="795"/>
      <c r="H78" s="648"/>
      <c r="I78" s="796"/>
      <c r="J78" s="648"/>
      <c r="K78" s="796"/>
      <c r="L78" s="648"/>
      <c r="M78" s="890"/>
      <c r="N78" s="648"/>
      <c r="O78" s="648"/>
      <c r="P78" s="648"/>
      <c r="Q78" s="797"/>
      <c r="R78" s="648"/>
      <c r="S78" s="794"/>
    </row>
    <row r="79" spans="1:23">
      <c r="A79" s="648"/>
      <c r="B79" s="648"/>
      <c r="C79" s="3698"/>
      <c r="D79" s="647"/>
      <c r="E79" s="798"/>
      <c r="F79" s="647"/>
      <c r="G79" s="798"/>
      <c r="H79" s="646"/>
      <c r="I79" s="650"/>
      <c r="J79" s="646"/>
      <c r="K79" s="650"/>
      <c r="L79" s="646"/>
      <c r="M79" s="891"/>
      <c r="N79" s="646"/>
      <c r="O79" s="646"/>
      <c r="P79" s="646"/>
      <c r="Q79" s="798"/>
      <c r="R79" s="646"/>
      <c r="S79" s="647"/>
    </row>
    <row r="80" spans="1:23">
      <c r="A80" s="646"/>
      <c r="C80" s="888"/>
      <c r="D80" s="792"/>
      <c r="E80" s="792"/>
      <c r="F80" s="792"/>
      <c r="G80" s="792"/>
      <c r="H80" s="640"/>
      <c r="I80" s="789"/>
      <c r="J80" s="640"/>
      <c r="K80" s="789"/>
      <c r="L80" s="640"/>
      <c r="M80" s="888"/>
      <c r="N80" s="640"/>
      <c r="O80" s="640"/>
      <c r="P80" s="640"/>
      <c r="Q80" s="792"/>
      <c r="R80" s="640"/>
      <c r="S80" s="792"/>
    </row>
    <row r="81" spans="1:13">
      <c r="A81" s="640"/>
    </row>
    <row r="82" spans="1:13">
      <c r="C82" s="3699"/>
      <c r="D82" s="737"/>
      <c r="F82" s="737"/>
    </row>
    <row r="83" spans="1:13">
      <c r="C83" s="3700"/>
      <c r="D83" s="654"/>
      <c r="E83" s="793"/>
      <c r="F83" s="654"/>
      <c r="G83" s="793"/>
      <c r="H83" s="648"/>
      <c r="I83" s="651"/>
      <c r="J83" s="648"/>
      <c r="K83" s="651"/>
      <c r="L83" s="648"/>
      <c r="M83" s="892"/>
    </row>
    <row r="84" spans="1:13">
      <c r="E84" s="1597"/>
      <c r="G84" s="738"/>
    </row>
    <row r="85" spans="1:13">
      <c r="E85" s="1656"/>
      <c r="G85" s="652"/>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8671875" defaultRowHeight="12.75"/>
  <cols>
    <col min="1" max="1" width="3.88671875" style="1657" customWidth="1"/>
    <col min="2" max="2" width="43.88671875" style="1657" customWidth="1"/>
    <col min="3" max="3" width="2.109375" style="1657" customWidth="1"/>
    <col min="4" max="4" width="13.88671875" style="1657" customWidth="1"/>
    <col min="5" max="5" width="2.109375" style="1657" customWidth="1"/>
    <col min="6" max="6" width="24" style="1657" bestFit="1" customWidth="1"/>
    <col min="7" max="7" width="2.109375" style="1657" customWidth="1"/>
    <col min="8" max="8" width="20.109375" style="1657" customWidth="1"/>
    <col min="9" max="9" width="2.109375" style="1657" customWidth="1"/>
    <col min="10" max="10" width="17.88671875" style="1657" bestFit="1" customWidth="1"/>
    <col min="11" max="11" width="2.109375" style="1657" customWidth="1"/>
    <col min="12" max="12" width="17.88671875" style="1657" bestFit="1" customWidth="1"/>
    <col min="13" max="13" width="2.109375" style="1657" customWidth="1"/>
    <col min="14" max="14" width="19.88671875" style="1657" bestFit="1" customWidth="1"/>
    <col min="15" max="15" width="2.109375" style="1657" customWidth="1"/>
    <col min="16" max="16" width="18.44140625" style="1657" bestFit="1" customWidth="1"/>
    <col min="17" max="17" width="2.109375" style="1657" customWidth="1"/>
    <col min="18" max="18" width="19.88671875" style="1657" customWidth="1"/>
    <col min="19" max="19" width="2.109375" style="1657" customWidth="1"/>
    <col min="20" max="20" width="19.88671875" style="1657" bestFit="1" customWidth="1"/>
    <col min="21" max="21" width="2.109375" style="1657" customWidth="1"/>
    <col min="22" max="22" width="20.88671875" style="1657" bestFit="1" customWidth="1"/>
    <col min="23" max="23" width="17.109375" style="1657" customWidth="1"/>
    <col min="24" max="24" width="18.5546875" style="1657" customWidth="1"/>
    <col min="25" max="25" width="35.109375" style="1657" bestFit="1" customWidth="1"/>
    <col min="26" max="16384" width="8.88671875" style="1657"/>
  </cols>
  <sheetData>
    <row r="1" spans="1:23" ht="15">
      <c r="B1" s="953" t="s">
        <v>979</v>
      </c>
    </row>
    <row r="2" spans="1:23" ht="16.5">
      <c r="B2" s="2115"/>
      <c r="C2" s="2115"/>
      <c r="D2" s="2115"/>
      <c r="E2" s="2115"/>
      <c r="F2" s="2115"/>
      <c r="G2" s="2115"/>
      <c r="H2" s="2115"/>
      <c r="I2" s="2115"/>
      <c r="J2" s="2115"/>
      <c r="K2" s="2115"/>
      <c r="L2" s="2115"/>
      <c r="M2" s="2115"/>
      <c r="N2" s="2115"/>
      <c r="O2" s="2115"/>
      <c r="P2" s="2115"/>
      <c r="Q2" s="2115"/>
      <c r="R2" s="2115"/>
      <c r="S2" s="2115"/>
      <c r="T2" s="2115"/>
      <c r="U2" s="2115"/>
      <c r="V2" s="2115"/>
      <c r="W2" s="2116"/>
    </row>
    <row r="3" spans="1:23" ht="18">
      <c r="A3" s="1658"/>
      <c r="B3" s="2117" t="s">
        <v>0</v>
      </c>
      <c r="C3" s="2118"/>
      <c r="D3" s="2118"/>
      <c r="E3" s="2118"/>
      <c r="F3" s="2115"/>
      <c r="G3" s="2115"/>
      <c r="H3" s="2115"/>
      <c r="I3" s="2115"/>
      <c r="J3" s="2115"/>
      <c r="K3" s="2115"/>
      <c r="L3" s="2115"/>
      <c r="M3" s="2115"/>
      <c r="N3" s="2115"/>
      <c r="O3" s="2115"/>
      <c r="P3" s="2115"/>
      <c r="Q3" s="2115"/>
      <c r="R3" s="2115"/>
      <c r="S3" s="2115"/>
      <c r="T3" s="2115"/>
      <c r="U3" s="2115"/>
      <c r="V3" s="2119" t="s">
        <v>419</v>
      </c>
      <c r="W3" s="2120"/>
    </row>
    <row r="4" spans="1:23" ht="18">
      <c r="A4" s="1658"/>
      <c r="B4" s="2117" t="s">
        <v>420</v>
      </c>
      <c r="C4" s="2118"/>
      <c r="D4" s="2118"/>
      <c r="E4" s="2118"/>
      <c r="F4" s="2115"/>
      <c r="G4" s="2115"/>
      <c r="H4" s="2115"/>
      <c r="I4" s="2115"/>
      <c r="J4" s="2115"/>
      <c r="K4" s="2115"/>
      <c r="L4" s="2115"/>
      <c r="M4" s="2115"/>
      <c r="N4" s="2115"/>
      <c r="O4" s="2115"/>
      <c r="P4" s="2115"/>
      <c r="Q4" s="2115"/>
      <c r="R4" s="2115"/>
      <c r="S4" s="2115"/>
      <c r="T4" s="2115"/>
      <c r="U4" s="2115"/>
      <c r="V4" s="2121"/>
      <c r="W4" s="2116"/>
    </row>
    <row r="5" spans="1:23" ht="18">
      <c r="A5" s="1658"/>
      <c r="B5" s="2117" t="s">
        <v>421</v>
      </c>
      <c r="C5" s="2118"/>
      <c r="D5" s="2118"/>
      <c r="E5" s="2118"/>
      <c r="F5" s="2115"/>
      <c r="G5" s="2115"/>
      <c r="H5" s="2115"/>
      <c r="I5" s="2115"/>
      <c r="J5" s="2115"/>
      <c r="K5" s="2115"/>
      <c r="L5" s="2115"/>
      <c r="M5" s="2115"/>
      <c r="N5" s="2115"/>
      <c r="O5" s="2115"/>
      <c r="P5" s="2115"/>
      <c r="Q5" s="2115"/>
      <c r="R5" s="2115"/>
      <c r="S5" s="2115"/>
      <c r="T5" s="2115"/>
      <c r="U5" s="2115"/>
      <c r="V5" s="2115"/>
      <c r="W5" s="2116"/>
    </row>
    <row r="6" spans="1:23" ht="18">
      <c r="A6" s="1658"/>
      <c r="B6" s="2122" t="s">
        <v>1575</v>
      </c>
      <c r="C6" s="2123"/>
      <c r="D6" s="2118"/>
      <c r="E6" s="2118"/>
      <c r="F6" s="2115"/>
      <c r="G6" s="2115"/>
      <c r="H6" s="2115"/>
      <c r="I6" s="2115"/>
      <c r="J6" s="2115"/>
      <c r="K6" s="2115"/>
      <c r="L6" s="2115"/>
      <c r="M6" s="2115"/>
      <c r="N6" s="2115"/>
      <c r="O6" s="2115"/>
      <c r="P6" s="2115"/>
      <c r="Q6" s="2115"/>
      <c r="R6" s="2115"/>
      <c r="S6" s="2115"/>
      <c r="T6" s="2115"/>
      <c r="U6" s="2115"/>
      <c r="V6" s="2115"/>
      <c r="W6" s="2116"/>
    </row>
    <row r="7" spans="1:23" ht="16.5">
      <c r="A7" s="1658"/>
      <c r="B7" s="2124"/>
      <c r="C7" s="2124"/>
      <c r="D7" s="2118"/>
      <c r="E7" s="2118"/>
      <c r="F7" s="2115"/>
      <c r="G7" s="2115"/>
      <c r="H7" s="2115"/>
      <c r="I7" s="2115"/>
      <c r="J7" s="2115"/>
      <c r="K7" s="2115"/>
      <c r="L7" s="2115"/>
      <c r="M7" s="2115"/>
      <c r="N7" s="2115"/>
      <c r="O7" s="2115"/>
      <c r="P7" s="2115"/>
      <c r="Q7" s="2115"/>
      <c r="R7" s="2115"/>
      <c r="S7" s="2115"/>
      <c r="T7" s="2115"/>
      <c r="U7" s="2115"/>
      <c r="V7" s="2115"/>
      <c r="W7" s="2116"/>
    </row>
    <row r="8" spans="1:23" ht="5.25" customHeight="1">
      <c r="B8" s="2125"/>
      <c r="C8" s="2125"/>
      <c r="D8" s="2115"/>
      <c r="E8" s="2115"/>
      <c r="F8" s="2115"/>
      <c r="G8" s="2115"/>
      <c r="H8" s="2115"/>
      <c r="I8" s="2115"/>
      <c r="J8" s="2115"/>
      <c r="K8" s="2115"/>
      <c r="L8" s="2115"/>
      <c r="M8" s="2115"/>
      <c r="N8" s="2115"/>
      <c r="O8" s="2115"/>
      <c r="P8" s="2115"/>
      <c r="Q8" s="2115"/>
      <c r="R8" s="2115"/>
      <c r="S8" s="2115"/>
      <c r="T8" s="2115"/>
      <c r="U8" s="2115"/>
      <c r="V8" s="2115"/>
      <c r="W8" s="2116"/>
    </row>
    <row r="9" spans="1:23" ht="16.5">
      <c r="B9" s="2115"/>
      <c r="C9" s="2115"/>
      <c r="E9" s="2126"/>
      <c r="F9" s="2126"/>
      <c r="G9" s="2126"/>
      <c r="H9" s="2126"/>
      <c r="I9" s="2126"/>
      <c r="J9" s="2126" t="s">
        <v>422</v>
      </c>
      <c r="K9" s="2126"/>
      <c r="L9" s="2126"/>
      <c r="M9" s="2126"/>
      <c r="N9" s="2126"/>
      <c r="O9" s="2126"/>
      <c r="P9" s="2126"/>
      <c r="Q9" s="2126"/>
      <c r="R9" s="2115"/>
      <c r="S9" s="2115"/>
      <c r="T9" s="2115"/>
      <c r="U9" s="2115"/>
      <c r="V9" s="2115"/>
      <c r="W9" s="2116"/>
    </row>
    <row r="10" spans="1:23" ht="16.5">
      <c r="B10" s="2115"/>
      <c r="C10" s="2115"/>
      <c r="D10" s="2126" t="s">
        <v>122</v>
      </c>
      <c r="E10" s="2127"/>
      <c r="F10" s="2127" t="s">
        <v>105</v>
      </c>
      <c r="G10" s="2127"/>
      <c r="H10" s="2127" t="s">
        <v>424</v>
      </c>
      <c r="I10" s="2127"/>
      <c r="J10" s="2127" t="s">
        <v>425</v>
      </c>
      <c r="K10" s="2127"/>
      <c r="L10" s="2127" t="s">
        <v>426</v>
      </c>
      <c r="M10" s="2127"/>
      <c r="N10" s="2127" t="s">
        <v>10</v>
      </c>
      <c r="O10" s="2127"/>
      <c r="P10" s="2127" t="s">
        <v>896</v>
      </c>
      <c r="Q10" s="2127"/>
      <c r="R10" s="2115"/>
      <c r="S10" s="2115"/>
      <c r="T10" s="2115"/>
      <c r="U10" s="2115"/>
      <c r="V10" s="2115"/>
      <c r="W10" s="2116"/>
    </row>
    <row r="11" spans="1:23" ht="16.5">
      <c r="B11" s="2115"/>
      <c r="C11" s="2115"/>
      <c r="D11" s="2127" t="s">
        <v>423</v>
      </c>
      <c r="E11" s="2127"/>
      <c r="F11" s="2127" t="s">
        <v>122</v>
      </c>
      <c r="G11" s="2127"/>
      <c r="H11" s="2127" t="s">
        <v>428</v>
      </c>
      <c r="I11" s="2127"/>
      <c r="J11" s="2127" t="s">
        <v>429</v>
      </c>
      <c r="K11" s="2127"/>
      <c r="L11" s="2127" t="s">
        <v>430</v>
      </c>
      <c r="M11" s="2127"/>
      <c r="N11" s="2128" t="s">
        <v>431</v>
      </c>
      <c r="O11" s="2127"/>
      <c r="P11" s="2127" t="s">
        <v>897</v>
      </c>
      <c r="Q11" s="2127"/>
      <c r="R11" s="2130" t="s">
        <v>432</v>
      </c>
      <c r="S11" s="2130"/>
      <c r="T11" s="2130"/>
      <c r="U11" s="2115"/>
      <c r="V11" s="2115"/>
      <c r="W11" s="2116"/>
    </row>
    <row r="12" spans="1:23" ht="16.5">
      <c r="B12" s="2115"/>
      <c r="C12" s="2115"/>
      <c r="D12" s="2127" t="s">
        <v>427</v>
      </c>
      <c r="E12" s="2127"/>
      <c r="F12" s="2127" t="s">
        <v>11</v>
      </c>
      <c r="G12" s="2127"/>
      <c r="H12" s="2127" t="s">
        <v>433</v>
      </c>
      <c r="I12" s="2127"/>
      <c r="J12" s="2127" t="s">
        <v>434</v>
      </c>
      <c r="K12" s="2127"/>
      <c r="L12" s="2127" t="s">
        <v>435</v>
      </c>
      <c r="M12" s="2127"/>
      <c r="N12" s="2128" t="s">
        <v>434</v>
      </c>
      <c r="O12" s="2128"/>
      <c r="P12" s="2127" t="s">
        <v>434</v>
      </c>
      <c r="Q12" s="2127"/>
      <c r="R12" s="2129" t="s">
        <v>1571</v>
      </c>
      <c r="S12" s="2129"/>
      <c r="T12" s="2129"/>
      <c r="U12" s="2115"/>
      <c r="V12" s="2126" t="s">
        <v>898</v>
      </c>
      <c r="W12" s="2131"/>
    </row>
    <row r="13" spans="1:23" ht="16.5">
      <c r="A13" s="1659"/>
      <c r="B13" s="2132" t="s">
        <v>443</v>
      </c>
      <c r="C13" s="2133"/>
      <c r="D13" s="2134" t="s">
        <v>436</v>
      </c>
      <c r="E13" s="2131"/>
      <c r="F13" s="2134" t="s">
        <v>437</v>
      </c>
      <c r="G13" s="2131"/>
      <c r="H13" s="2135" t="s">
        <v>438</v>
      </c>
      <c r="I13" s="2131"/>
      <c r="J13" s="2135" t="s">
        <v>439</v>
      </c>
      <c r="K13" s="2131"/>
      <c r="L13" s="2135" t="s">
        <v>440</v>
      </c>
      <c r="M13" s="2131"/>
      <c r="N13" s="2136" t="s">
        <v>441</v>
      </c>
      <c r="O13" s="2131"/>
      <c r="P13" s="2136" t="s">
        <v>899</v>
      </c>
      <c r="Q13" s="2131"/>
      <c r="R13" s="2137">
        <v>2020</v>
      </c>
      <c r="S13" s="2137"/>
      <c r="T13" s="2137">
        <v>2019</v>
      </c>
      <c r="U13" s="2131"/>
      <c r="V13" s="2138" t="s">
        <v>442</v>
      </c>
      <c r="W13" s="2131"/>
    </row>
    <row r="14" spans="1:23" ht="16.5">
      <c r="B14" s="2133" t="s">
        <v>444</v>
      </c>
      <c r="C14" s="2133"/>
      <c r="D14" s="2139"/>
      <c r="E14" s="2139"/>
      <c r="F14" s="2140"/>
      <c r="G14" s="2140"/>
      <c r="H14" s="2141"/>
      <c r="I14" s="2141"/>
      <c r="J14" s="2141"/>
      <c r="K14" s="2141"/>
      <c r="L14" s="2141"/>
      <c r="M14" s="2141"/>
      <c r="N14" s="2139"/>
      <c r="O14" s="2139"/>
      <c r="P14" s="2139"/>
      <c r="Q14" s="2139"/>
      <c r="R14" s="2141"/>
      <c r="S14" s="2141"/>
      <c r="T14" s="2142"/>
      <c r="U14" s="2142"/>
      <c r="V14" s="2143"/>
      <c r="W14" s="2116"/>
    </row>
    <row r="15" spans="1:23" ht="16.5">
      <c r="A15" s="1660"/>
      <c r="B15" s="2125" t="s">
        <v>445</v>
      </c>
      <c r="C15" s="2125"/>
      <c r="D15" s="2144">
        <v>0</v>
      </c>
      <c r="E15" s="2144"/>
      <c r="F15" s="2144">
        <v>71889337</v>
      </c>
      <c r="G15" s="2145"/>
      <c r="H15" s="2144">
        <v>0</v>
      </c>
      <c r="I15" s="2145"/>
      <c r="J15" s="2144">
        <v>0</v>
      </c>
      <c r="K15" s="2145"/>
      <c r="L15" s="2144">
        <v>0</v>
      </c>
      <c r="M15" s="2145"/>
      <c r="N15" s="2144">
        <v>0</v>
      </c>
      <c r="O15" s="2145"/>
      <c r="P15" s="2144">
        <v>0</v>
      </c>
      <c r="Q15" s="2145"/>
      <c r="R15" s="2144">
        <f>ROUND(SUM(D15:Q15),0)</f>
        <v>71889337</v>
      </c>
      <c r="S15" s="2144"/>
      <c r="T15" s="3674">
        <v>106149845</v>
      </c>
      <c r="U15" s="2145"/>
      <c r="V15" s="2146">
        <f>ROUND(R15-T15,0)</f>
        <v>-34260508</v>
      </c>
      <c r="W15" s="2144"/>
    </row>
    <row r="16" spans="1:23" ht="16.5">
      <c r="A16" s="1660"/>
      <c r="B16" s="2115" t="s">
        <v>446</v>
      </c>
      <c r="C16" s="2115"/>
      <c r="D16" s="2147"/>
      <c r="E16" s="2147"/>
      <c r="F16" s="2147"/>
      <c r="G16" s="2147"/>
      <c r="H16" s="2147"/>
      <c r="I16" s="2147"/>
      <c r="J16" s="2147"/>
      <c r="K16" s="2145"/>
      <c r="L16" s="2147"/>
      <c r="M16" s="2148"/>
      <c r="N16" s="2147"/>
      <c r="O16" s="2148"/>
      <c r="P16" s="2147"/>
      <c r="Q16" s="2148"/>
      <c r="R16" s="2148"/>
      <c r="S16" s="2148"/>
      <c r="T16" s="3675"/>
      <c r="U16" s="2148"/>
      <c r="V16" s="2149"/>
      <c r="W16" s="2144"/>
    </row>
    <row r="17" spans="1:23" ht="16.5">
      <c r="A17" s="1660"/>
      <c r="B17" s="2115" t="s">
        <v>1257</v>
      </c>
      <c r="C17" s="2115"/>
      <c r="D17" s="2147">
        <v>0</v>
      </c>
      <c r="E17" s="2147">
        <v>0</v>
      </c>
      <c r="F17" s="2147">
        <v>54551063</v>
      </c>
      <c r="G17" s="2147">
        <v>0</v>
      </c>
      <c r="H17" s="2147">
        <v>0</v>
      </c>
      <c r="I17" s="2147">
        <v>0</v>
      </c>
      <c r="J17" s="2147">
        <v>0</v>
      </c>
      <c r="K17" s="2147">
        <v>0</v>
      </c>
      <c r="L17" s="2147">
        <v>0</v>
      </c>
      <c r="M17" s="2147">
        <v>0</v>
      </c>
      <c r="N17" s="2147">
        <v>0</v>
      </c>
      <c r="O17" s="2147">
        <v>0</v>
      </c>
      <c r="P17" s="2147">
        <v>0</v>
      </c>
      <c r="Q17" s="2147">
        <v>0</v>
      </c>
      <c r="R17" s="2148">
        <f>ROUND(SUM(D17:Q17),0)</f>
        <v>54551063</v>
      </c>
      <c r="S17" s="2148"/>
      <c r="T17" s="3676">
        <v>57690325</v>
      </c>
      <c r="U17" s="2150"/>
      <c r="V17" s="2150">
        <f t="shared" ref="V17:V26" si="0">SUM(R17-T17,0)</f>
        <v>-3139262</v>
      </c>
      <c r="W17" s="2144"/>
    </row>
    <row r="18" spans="1:23" ht="16.5">
      <c r="A18" s="1660"/>
      <c r="B18" s="2115" t="s">
        <v>1258</v>
      </c>
      <c r="C18" s="2115"/>
      <c r="D18" s="2147">
        <v>0</v>
      </c>
      <c r="E18" s="2147">
        <v>0</v>
      </c>
      <c r="F18" s="2147">
        <v>0</v>
      </c>
      <c r="G18" s="2147">
        <v>0</v>
      </c>
      <c r="H18" s="2147">
        <v>0</v>
      </c>
      <c r="I18" s="2147">
        <v>0</v>
      </c>
      <c r="J18" s="2147">
        <v>0</v>
      </c>
      <c r="K18" s="2147">
        <v>0</v>
      </c>
      <c r="L18" s="2147">
        <v>0</v>
      </c>
      <c r="M18" s="2147">
        <v>0</v>
      </c>
      <c r="N18" s="2147">
        <v>303001454</v>
      </c>
      <c r="O18" s="2147"/>
      <c r="P18" s="2147">
        <v>239836331</v>
      </c>
      <c r="Q18" s="2147">
        <v>0</v>
      </c>
      <c r="R18" s="2148">
        <f t="shared" ref="R18:R26" si="1">ROUND(SUM(D18:Q18),0)</f>
        <v>542837785</v>
      </c>
      <c r="S18" s="2148"/>
      <c r="T18" s="2147">
        <v>411174742</v>
      </c>
      <c r="U18" s="2150"/>
      <c r="V18" s="2150">
        <f t="shared" si="0"/>
        <v>131663043</v>
      </c>
      <c r="W18" s="2144"/>
    </row>
    <row r="19" spans="1:23" ht="16.5">
      <c r="A19" s="1660"/>
      <c r="B19" s="2115" t="s">
        <v>447</v>
      </c>
      <c r="C19" s="2115"/>
      <c r="D19" s="2147">
        <v>0</v>
      </c>
      <c r="E19" s="2147">
        <v>0</v>
      </c>
      <c r="F19" s="2147">
        <v>0</v>
      </c>
      <c r="G19" s="2147">
        <v>0</v>
      </c>
      <c r="H19" s="2147">
        <v>26157902</v>
      </c>
      <c r="I19" s="2147">
        <v>0</v>
      </c>
      <c r="J19" s="2147">
        <v>0</v>
      </c>
      <c r="K19" s="2147">
        <v>0</v>
      </c>
      <c r="L19" s="2147">
        <v>0</v>
      </c>
      <c r="M19" s="2147">
        <v>0</v>
      </c>
      <c r="N19" s="2147">
        <v>0</v>
      </c>
      <c r="O19" s="2147"/>
      <c r="P19" s="2147">
        <v>0</v>
      </c>
      <c r="Q19" s="2147">
        <v>0</v>
      </c>
      <c r="R19" s="2148">
        <f>ROUND(SUM(D19:Q19),0)</f>
        <v>26157902</v>
      </c>
      <c r="S19" s="2148"/>
      <c r="T19" s="2147">
        <v>26132003</v>
      </c>
      <c r="U19" s="2150"/>
      <c r="V19" s="2150">
        <f t="shared" si="0"/>
        <v>25899</v>
      </c>
      <c r="W19" s="2144"/>
    </row>
    <row r="20" spans="1:23" ht="16.5">
      <c r="A20" s="1660"/>
      <c r="B20" s="2115" t="s">
        <v>999</v>
      </c>
      <c r="C20" s="2115"/>
      <c r="D20" s="2147">
        <v>0</v>
      </c>
      <c r="E20" s="2147">
        <v>0</v>
      </c>
      <c r="F20" s="2147">
        <v>0</v>
      </c>
      <c r="G20" s="2147">
        <v>0</v>
      </c>
      <c r="H20" s="2147">
        <v>0</v>
      </c>
      <c r="I20" s="2147">
        <v>0</v>
      </c>
      <c r="J20" s="2147">
        <v>0</v>
      </c>
      <c r="K20" s="2147">
        <v>0</v>
      </c>
      <c r="L20" s="2147">
        <v>7095959</v>
      </c>
      <c r="M20" s="2147">
        <v>0</v>
      </c>
      <c r="N20" s="2147">
        <v>0</v>
      </c>
      <c r="O20" s="2147"/>
      <c r="P20" s="2147">
        <v>0</v>
      </c>
      <c r="Q20" s="2147">
        <v>0</v>
      </c>
      <c r="R20" s="2148">
        <f t="shared" si="1"/>
        <v>7095959</v>
      </c>
      <c r="S20" s="2148"/>
      <c r="T20" s="2147">
        <v>53548293</v>
      </c>
      <c r="U20" s="2151"/>
      <c r="V20" s="2150">
        <f t="shared" si="0"/>
        <v>-46452334</v>
      </c>
      <c r="W20" s="2144"/>
    </row>
    <row r="21" spans="1:23" ht="16.5">
      <c r="A21" s="1660"/>
      <c r="B21" s="2115" t="s">
        <v>843</v>
      </c>
      <c r="C21" s="2115"/>
      <c r="D21" s="2147">
        <v>0</v>
      </c>
      <c r="E21" s="2147">
        <v>0</v>
      </c>
      <c r="F21" s="2147">
        <v>3829093</v>
      </c>
      <c r="G21" s="2147">
        <v>0</v>
      </c>
      <c r="H21" s="2147">
        <v>0</v>
      </c>
      <c r="I21" s="2147">
        <v>0</v>
      </c>
      <c r="J21" s="2147">
        <v>0</v>
      </c>
      <c r="K21" s="2147">
        <v>0</v>
      </c>
      <c r="L21" s="2147">
        <v>0</v>
      </c>
      <c r="M21" s="2147">
        <v>0</v>
      </c>
      <c r="N21" s="2147">
        <v>0</v>
      </c>
      <c r="O21" s="2147"/>
      <c r="P21" s="2147">
        <v>0</v>
      </c>
      <c r="Q21" s="2147">
        <v>0</v>
      </c>
      <c r="R21" s="2148">
        <f t="shared" si="1"/>
        <v>3829093</v>
      </c>
      <c r="S21" s="2148"/>
      <c r="T21" s="2147">
        <v>603759</v>
      </c>
      <c r="U21" s="2151"/>
      <c r="V21" s="2150">
        <f t="shared" si="0"/>
        <v>3225334</v>
      </c>
      <c r="W21" s="2144"/>
    </row>
    <row r="22" spans="1:23" ht="16.5">
      <c r="A22" s="1660"/>
      <c r="B22" s="2115" t="s">
        <v>1259</v>
      </c>
      <c r="C22" s="2115"/>
      <c r="D22" s="2147">
        <v>0</v>
      </c>
      <c r="E22" s="2147">
        <v>0</v>
      </c>
      <c r="F22" s="2147">
        <v>5928700</v>
      </c>
      <c r="G22" s="2147">
        <v>0</v>
      </c>
      <c r="H22" s="2147">
        <v>0</v>
      </c>
      <c r="I22" s="2147">
        <v>0</v>
      </c>
      <c r="J22" s="2147">
        <v>0</v>
      </c>
      <c r="K22" s="2147">
        <v>0</v>
      </c>
      <c r="L22" s="2147">
        <v>0</v>
      </c>
      <c r="M22" s="2147">
        <v>0</v>
      </c>
      <c r="N22" s="2147">
        <v>0</v>
      </c>
      <c r="O22" s="2147"/>
      <c r="P22" s="2147">
        <v>0</v>
      </c>
      <c r="Q22" s="2147">
        <v>0</v>
      </c>
      <c r="R22" s="2148">
        <f t="shared" si="1"/>
        <v>5928700</v>
      </c>
      <c r="S22" s="2148"/>
      <c r="T22" s="2147">
        <v>4586528</v>
      </c>
      <c r="U22" s="2150"/>
      <c r="V22" s="2150">
        <f t="shared" si="0"/>
        <v>1342172</v>
      </c>
      <c r="W22" s="2144"/>
    </row>
    <row r="23" spans="1:23" ht="16.5">
      <c r="A23" s="1660"/>
      <c r="B23" s="2115" t="s">
        <v>1260</v>
      </c>
      <c r="C23" s="2115"/>
      <c r="D23" s="2147">
        <v>0</v>
      </c>
      <c r="E23" s="2147">
        <v>0</v>
      </c>
      <c r="F23" s="2147">
        <v>18022938</v>
      </c>
      <c r="G23" s="2147">
        <v>0</v>
      </c>
      <c r="H23" s="2147">
        <v>0</v>
      </c>
      <c r="I23" s="2147">
        <v>0</v>
      </c>
      <c r="J23" s="2147">
        <v>0</v>
      </c>
      <c r="K23" s="2147">
        <v>0</v>
      </c>
      <c r="L23" s="2147">
        <v>0</v>
      </c>
      <c r="M23" s="2147">
        <v>0</v>
      </c>
      <c r="N23" s="2147">
        <v>0</v>
      </c>
      <c r="O23" s="2147"/>
      <c r="P23" s="2147">
        <v>0</v>
      </c>
      <c r="Q23" s="2147">
        <v>0</v>
      </c>
      <c r="R23" s="2148">
        <f t="shared" si="1"/>
        <v>18022938</v>
      </c>
      <c r="S23" s="2148"/>
      <c r="T23" s="2147">
        <v>17145625</v>
      </c>
      <c r="U23" s="2150"/>
      <c r="V23" s="2150">
        <f t="shared" si="0"/>
        <v>877313</v>
      </c>
      <c r="W23" s="2144"/>
    </row>
    <row r="24" spans="1:23" ht="16.5">
      <c r="A24" s="1660"/>
      <c r="B24" s="2115" t="s">
        <v>448</v>
      </c>
      <c r="C24" s="2115"/>
      <c r="D24" s="2147">
        <v>0</v>
      </c>
      <c r="E24" s="2147">
        <v>0</v>
      </c>
      <c r="F24" s="2147">
        <v>0</v>
      </c>
      <c r="G24" s="2147">
        <v>0</v>
      </c>
      <c r="H24" s="2147">
        <v>0</v>
      </c>
      <c r="I24" s="2147">
        <v>0</v>
      </c>
      <c r="J24" s="2147">
        <v>0</v>
      </c>
      <c r="K24" s="2147">
        <v>0</v>
      </c>
      <c r="L24" s="2147">
        <v>0</v>
      </c>
      <c r="M24" s="2147">
        <v>0</v>
      </c>
      <c r="N24" s="2147">
        <v>17269722</v>
      </c>
      <c r="O24" s="2147"/>
      <c r="P24" s="2147">
        <v>0</v>
      </c>
      <c r="Q24" s="2147">
        <v>0</v>
      </c>
      <c r="R24" s="2148">
        <f t="shared" si="1"/>
        <v>17269722</v>
      </c>
      <c r="S24" s="2148"/>
      <c r="T24" s="3676">
        <v>33203788</v>
      </c>
      <c r="U24" s="2150"/>
      <c r="V24" s="2150">
        <f t="shared" si="0"/>
        <v>-15934066</v>
      </c>
      <c r="W24" s="2144"/>
    </row>
    <row r="25" spans="1:23" ht="16.5">
      <c r="A25" s="1660"/>
      <c r="B25" s="2115" t="s">
        <v>449</v>
      </c>
      <c r="C25" s="2115"/>
      <c r="D25" s="2147">
        <v>0</v>
      </c>
      <c r="E25" s="2147">
        <v>0</v>
      </c>
      <c r="F25" s="2147">
        <v>15734765</v>
      </c>
      <c r="G25" s="2147">
        <v>0</v>
      </c>
      <c r="H25" s="2147">
        <v>0</v>
      </c>
      <c r="I25" s="2147">
        <v>0</v>
      </c>
      <c r="J25" s="2147">
        <v>0</v>
      </c>
      <c r="K25" s="2147">
        <v>0</v>
      </c>
      <c r="L25" s="2147">
        <v>0</v>
      </c>
      <c r="M25" s="2147">
        <v>0</v>
      </c>
      <c r="N25" s="2147">
        <v>1907968</v>
      </c>
      <c r="O25" s="2147"/>
      <c r="P25" s="2147">
        <v>0</v>
      </c>
      <c r="Q25" s="2147">
        <v>0</v>
      </c>
      <c r="R25" s="2148">
        <f t="shared" si="1"/>
        <v>17642733</v>
      </c>
      <c r="S25" s="2148"/>
      <c r="T25" s="3676">
        <v>17219183</v>
      </c>
      <c r="U25" s="2150"/>
      <c r="V25" s="2150">
        <f t="shared" si="0"/>
        <v>423550</v>
      </c>
      <c r="W25" s="2144"/>
    </row>
    <row r="26" spans="1:23" ht="16.5">
      <c r="A26" s="1660"/>
      <c r="B26" s="2115" t="s">
        <v>1261</v>
      </c>
      <c r="C26" s="2115"/>
      <c r="D26" s="2147">
        <v>0</v>
      </c>
      <c r="E26" s="2147">
        <v>0</v>
      </c>
      <c r="F26" s="2147">
        <v>0</v>
      </c>
      <c r="G26" s="2147">
        <v>0</v>
      </c>
      <c r="H26" s="2147">
        <v>0</v>
      </c>
      <c r="I26" s="2147">
        <v>0</v>
      </c>
      <c r="J26" s="2147">
        <v>21302971</v>
      </c>
      <c r="K26" s="2147">
        <v>0</v>
      </c>
      <c r="L26" s="2147">
        <v>0</v>
      </c>
      <c r="M26" s="2147">
        <v>0</v>
      </c>
      <c r="N26" s="2147">
        <v>0</v>
      </c>
      <c r="O26" s="2147"/>
      <c r="P26" s="2147">
        <v>0</v>
      </c>
      <c r="Q26" s="2147">
        <v>0</v>
      </c>
      <c r="R26" s="2148">
        <f t="shared" si="1"/>
        <v>21302971</v>
      </c>
      <c r="S26" s="2148"/>
      <c r="T26" s="3676">
        <v>27129517</v>
      </c>
      <c r="U26" s="2150"/>
      <c r="V26" s="2150">
        <f t="shared" si="0"/>
        <v>-5826546</v>
      </c>
      <c r="W26" s="2144"/>
    </row>
    <row r="27" spans="1:23" ht="16.5">
      <c r="A27" s="1660"/>
      <c r="B27" s="2115" t="s">
        <v>450</v>
      </c>
      <c r="C27" s="2115"/>
      <c r="D27" s="2152"/>
      <c r="E27" s="2152"/>
      <c r="F27" s="2152"/>
      <c r="G27" s="2152"/>
      <c r="H27" s="2152"/>
      <c r="I27" s="2152"/>
      <c r="J27" s="2152"/>
      <c r="K27" s="2152"/>
      <c r="L27" s="2152"/>
      <c r="M27" s="2152"/>
      <c r="N27" s="2152"/>
      <c r="O27" s="2152"/>
      <c r="P27" s="2152"/>
      <c r="Q27" s="2152"/>
      <c r="R27" s="2148"/>
      <c r="S27" s="2148"/>
      <c r="T27" s="3676"/>
      <c r="U27" s="2150"/>
      <c r="V27" s="2148"/>
      <c r="W27" s="2144"/>
    </row>
    <row r="28" spans="1:23" ht="16.5">
      <c r="A28" s="1660"/>
      <c r="B28" s="2115" t="s">
        <v>451</v>
      </c>
      <c r="C28" s="2115"/>
      <c r="D28" s="2147">
        <v>0</v>
      </c>
      <c r="E28" s="2147">
        <v>0</v>
      </c>
      <c r="F28" s="2147">
        <v>0</v>
      </c>
      <c r="G28" s="2147">
        <v>0</v>
      </c>
      <c r="H28" s="2147">
        <v>0</v>
      </c>
      <c r="I28" s="2147">
        <v>0</v>
      </c>
      <c r="J28" s="2147">
        <v>0</v>
      </c>
      <c r="K28" s="2147">
        <v>0</v>
      </c>
      <c r="L28" s="2147">
        <v>0</v>
      </c>
      <c r="M28" s="2147">
        <v>0</v>
      </c>
      <c r="N28" s="2147">
        <v>0</v>
      </c>
      <c r="O28" s="2147"/>
      <c r="P28" s="2147">
        <v>0</v>
      </c>
      <c r="Q28" s="2147">
        <v>0</v>
      </c>
      <c r="R28" s="2148">
        <f>ROUND(SUM(D28:Q28),0)</f>
        <v>0</v>
      </c>
      <c r="S28" s="2148"/>
      <c r="T28" s="3676">
        <v>35457621</v>
      </c>
      <c r="U28" s="2150"/>
      <c r="V28" s="2150">
        <f>SUM(R28-T28,0)</f>
        <v>-35457621</v>
      </c>
      <c r="W28" s="2144"/>
    </row>
    <row r="29" spans="1:23" ht="16.5">
      <c r="A29" s="1660"/>
      <c r="B29" s="2115" t="s">
        <v>953</v>
      </c>
      <c r="C29" s="2115"/>
      <c r="D29" s="2147"/>
      <c r="E29" s="2147"/>
      <c r="F29" s="2147"/>
      <c r="G29" s="2148"/>
      <c r="H29" s="2147"/>
      <c r="I29" s="2147"/>
      <c r="J29" s="2147"/>
      <c r="K29" s="2148"/>
      <c r="L29" s="2147"/>
      <c r="M29" s="2148"/>
      <c r="N29" s="2147"/>
      <c r="O29" s="2148"/>
      <c r="P29" s="2147"/>
      <c r="Q29" s="2148"/>
      <c r="R29" s="2148"/>
      <c r="S29" s="2148"/>
      <c r="T29" s="3676"/>
      <c r="U29" s="2150"/>
      <c r="V29" s="2148"/>
      <c r="W29" s="2144"/>
    </row>
    <row r="30" spans="1:23" ht="17.100000000000001" customHeight="1">
      <c r="A30" s="1660"/>
      <c r="B30" s="2115" t="s">
        <v>952</v>
      </c>
      <c r="C30" s="2115"/>
      <c r="D30" s="2147">
        <v>0</v>
      </c>
      <c r="E30" s="2147"/>
      <c r="F30" s="2147">
        <v>442238607</v>
      </c>
      <c r="G30" s="2148"/>
      <c r="H30" s="2147">
        <v>0</v>
      </c>
      <c r="I30" s="2147"/>
      <c r="J30" s="2147">
        <v>0</v>
      </c>
      <c r="K30" s="2148"/>
      <c r="L30" s="2147">
        <v>0</v>
      </c>
      <c r="M30" s="2148"/>
      <c r="N30" s="2147">
        <v>0</v>
      </c>
      <c r="O30" s="2148"/>
      <c r="P30" s="2147">
        <v>0</v>
      </c>
      <c r="Q30" s="2148"/>
      <c r="R30" s="2148">
        <f>ROUND(SUM(D30:Q30),0)</f>
        <v>442238607</v>
      </c>
      <c r="S30" s="2148"/>
      <c r="T30" s="3714">
        <v>192497596</v>
      </c>
      <c r="U30" s="2150"/>
      <c r="V30" s="2150">
        <f t="shared" ref="V30:V41" si="2">SUM(R30-T30,0)</f>
        <v>249741011</v>
      </c>
      <c r="W30" s="2144"/>
    </row>
    <row r="31" spans="1:23" ht="16.5">
      <c r="A31" s="1660"/>
      <c r="B31" s="2115" t="s">
        <v>951</v>
      </c>
      <c r="C31" s="2115"/>
      <c r="D31" s="2147">
        <v>0</v>
      </c>
      <c r="E31" s="2147">
        <v>0</v>
      </c>
      <c r="F31" s="2147">
        <v>21772000</v>
      </c>
      <c r="G31" s="2147">
        <v>0</v>
      </c>
      <c r="H31" s="2147">
        <v>0</v>
      </c>
      <c r="I31" s="2147">
        <v>0</v>
      </c>
      <c r="J31" s="2147">
        <v>0</v>
      </c>
      <c r="K31" s="2147">
        <v>0</v>
      </c>
      <c r="L31" s="2147">
        <v>0</v>
      </c>
      <c r="M31" s="2147">
        <v>0</v>
      </c>
      <c r="N31" s="2147">
        <v>0</v>
      </c>
      <c r="O31" s="2147"/>
      <c r="P31" s="2147">
        <v>0</v>
      </c>
      <c r="Q31" s="2147">
        <v>0</v>
      </c>
      <c r="R31" s="2148">
        <f>ROUND(SUM(D31:Q31),0)</f>
        <v>21772000</v>
      </c>
      <c r="S31" s="2148"/>
      <c r="T31" s="2147">
        <v>36892075</v>
      </c>
      <c r="U31" s="2150"/>
      <c r="V31" s="2150">
        <f t="shared" si="2"/>
        <v>-15120075</v>
      </c>
      <c r="W31" s="2144"/>
    </row>
    <row r="32" spans="1:23" ht="16.5">
      <c r="A32" s="1660"/>
      <c r="B32" s="2115" t="s">
        <v>900</v>
      </c>
      <c r="C32" s="2115"/>
      <c r="D32" s="2147">
        <v>0</v>
      </c>
      <c r="E32" s="2147">
        <v>0</v>
      </c>
      <c r="F32" s="2147">
        <v>0</v>
      </c>
      <c r="G32" s="2147">
        <v>0</v>
      </c>
      <c r="H32" s="2147">
        <v>0</v>
      </c>
      <c r="I32" s="2147">
        <v>0</v>
      </c>
      <c r="J32" s="2147">
        <v>0</v>
      </c>
      <c r="K32" s="2147">
        <v>0</v>
      </c>
      <c r="L32" s="2147">
        <v>0</v>
      </c>
      <c r="M32" s="2147">
        <v>0</v>
      </c>
      <c r="N32" s="2147">
        <v>27320113</v>
      </c>
      <c r="O32" s="2147"/>
      <c r="P32" s="2147">
        <v>0</v>
      </c>
      <c r="Q32" s="2147">
        <v>0</v>
      </c>
      <c r="R32" s="2148">
        <f>ROUND(SUM(D32:Q32),0)</f>
        <v>27320113</v>
      </c>
      <c r="S32" s="2148"/>
      <c r="T32" s="2147">
        <v>30877100</v>
      </c>
      <c r="U32" s="2150"/>
      <c r="V32" s="2150">
        <f t="shared" si="2"/>
        <v>-3556987</v>
      </c>
      <c r="W32" s="2144"/>
    </row>
    <row r="33" spans="1:25" ht="16.5">
      <c r="A33" s="1660"/>
      <c r="B33" s="2115" t="s">
        <v>452</v>
      </c>
      <c r="C33" s="2115"/>
      <c r="D33" s="2147"/>
      <c r="E33" s="2147"/>
      <c r="F33" s="2147"/>
      <c r="G33" s="2147"/>
      <c r="H33" s="2147"/>
      <c r="I33" s="2147"/>
      <c r="J33" s="2147"/>
      <c r="K33" s="2147"/>
      <c r="L33" s="2147"/>
      <c r="M33" s="2147"/>
      <c r="N33" s="2147"/>
      <c r="O33" s="2147"/>
      <c r="P33" s="2147"/>
      <c r="Q33" s="2147"/>
      <c r="R33" s="2148"/>
      <c r="S33" s="2148"/>
      <c r="T33" s="3676"/>
      <c r="U33" s="2150"/>
      <c r="V33" s="2148"/>
      <c r="W33" s="2144"/>
    </row>
    <row r="34" spans="1:25" ht="16.5">
      <c r="A34" s="1660"/>
      <c r="B34" s="2115" t="s">
        <v>453</v>
      </c>
      <c r="C34" s="2115"/>
      <c r="D34" s="2147">
        <v>0</v>
      </c>
      <c r="E34" s="2147">
        <v>0</v>
      </c>
      <c r="F34" s="2147">
        <v>448350</v>
      </c>
      <c r="G34" s="2147">
        <v>0</v>
      </c>
      <c r="H34" s="2147">
        <v>0</v>
      </c>
      <c r="I34" s="2147">
        <v>0</v>
      </c>
      <c r="J34" s="2147">
        <v>0</v>
      </c>
      <c r="K34" s="2147">
        <v>0</v>
      </c>
      <c r="L34" s="2147">
        <v>0</v>
      </c>
      <c r="M34" s="2147">
        <v>0</v>
      </c>
      <c r="N34" s="2147">
        <v>0</v>
      </c>
      <c r="O34" s="2147"/>
      <c r="P34" s="2147">
        <v>0</v>
      </c>
      <c r="Q34" s="2147">
        <v>0</v>
      </c>
      <c r="R34" s="2148">
        <f t="shared" ref="R34:R39" si="3">ROUND(SUM(D34:Q34),0)</f>
        <v>448350</v>
      </c>
      <c r="S34" s="2148"/>
      <c r="T34" s="2147">
        <v>1023950</v>
      </c>
      <c r="U34" s="2151"/>
      <c r="V34" s="2150">
        <f t="shared" si="2"/>
        <v>-575600</v>
      </c>
      <c r="W34" s="2144"/>
    </row>
    <row r="35" spans="1:25" ht="16.5">
      <c r="A35" s="1660"/>
      <c r="B35" s="2153" t="s">
        <v>454</v>
      </c>
      <c r="C35" s="2154"/>
      <c r="D35" s="2147">
        <v>0</v>
      </c>
      <c r="E35" s="2147">
        <v>0</v>
      </c>
      <c r="F35" s="2147">
        <v>0</v>
      </c>
      <c r="G35" s="2147">
        <v>0</v>
      </c>
      <c r="H35" s="2147">
        <v>0</v>
      </c>
      <c r="I35" s="2147">
        <v>0</v>
      </c>
      <c r="J35" s="2147">
        <v>0</v>
      </c>
      <c r="K35" s="2147">
        <v>0</v>
      </c>
      <c r="L35" s="2147">
        <v>0</v>
      </c>
      <c r="M35" s="2147">
        <v>0</v>
      </c>
      <c r="N35" s="2147">
        <v>0</v>
      </c>
      <c r="O35" s="2147"/>
      <c r="P35" s="2147">
        <v>0</v>
      </c>
      <c r="Q35" s="2147">
        <v>0</v>
      </c>
      <c r="R35" s="2148">
        <f t="shared" si="3"/>
        <v>0</v>
      </c>
      <c r="S35" s="2148"/>
      <c r="T35" s="2147">
        <v>2777000</v>
      </c>
      <c r="U35" s="2151"/>
      <c r="V35" s="2150">
        <f t="shared" si="2"/>
        <v>-2777000</v>
      </c>
      <c r="W35" s="2144"/>
    </row>
    <row r="36" spans="1:25" ht="16.5">
      <c r="A36" s="1660"/>
      <c r="B36" s="2115" t="s">
        <v>1257</v>
      </c>
      <c r="C36" s="2115"/>
      <c r="D36" s="2147">
        <v>0</v>
      </c>
      <c r="E36" s="2147">
        <v>0</v>
      </c>
      <c r="F36" s="2147">
        <v>78840807</v>
      </c>
      <c r="G36" s="2147">
        <v>0</v>
      </c>
      <c r="H36" s="2147">
        <v>0</v>
      </c>
      <c r="I36" s="2147">
        <v>0</v>
      </c>
      <c r="J36" s="2147">
        <v>0</v>
      </c>
      <c r="K36" s="2147">
        <v>0</v>
      </c>
      <c r="L36" s="2147">
        <v>0</v>
      </c>
      <c r="M36" s="2147">
        <v>0</v>
      </c>
      <c r="N36" s="2147">
        <v>0</v>
      </c>
      <c r="O36" s="2147"/>
      <c r="P36" s="2147">
        <v>0</v>
      </c>
      <c r="Q36" s="2147">
        <v>0</v>
      </c>
      <c r="R36" s="2148">
        <f t="shared" si="3"/>
        <v>78840807</v>
      </c>
      <c r="S36" s="2148"/>
      <c r="T36" s="2147">
        <v>170037784</v>
      </c>
      <c r="U36" s="2151"/>
      <c r="V36" s="2150">
        <f t="shared" si="2"/>
        <v>-91196977</v>
      </c>
      <c r="W36" s="2144"/>
    </row>
    <row r="37" spans="1:25" ht="16.5">
      <c r="A37" s="1660"/>
      <c r="B37" s="2153" t="s">
        <v>455</v>
      </c>
      <c r="C37" s="2154"/>
      <c r="D37" s="2147">
        <v>0</v>
      </c>
      <c r="E37" s="2147">
        <v>0</v>
      </c>
      <c r="F37" s="2147">
        <v>0</v>
      </c>
      <c r="G37" s="2147">
        <v>0</v>
      </c>
      <c r="H37" s="2147">
        <v>0</v>
      </c>
      <c r="I37" s="2147">
        <v>0</v>
      </c>
      <c r="J37" s="2147">
        <v>0</v>
      </c>
      <c r="K37" s="2147">
        <v>0</v>
      </c>
      <c r="L37" s="2147">
        <v>0</v>
      </c>
      <c r="M37" s="2147">
        <v>0</v>
      </c>
      <c r="N37" s="2147">
        <v>0</v>
      </c>
      <c r="O37" s="2147"/>
      <c r="P37" s="2147">
        <v>0</v>
      </c>
      <c r="Q37" s="2147">
        <v>0</v>
      </c>
      <c r="R37" s="2148">
        <f t="shared" si="3"/>
        <v>0</v>
      </c>
      <c r="S37" s="2148"/>
      <c r="T37" s="2147">
        <v>362000</v>
      </c>
      <c r="U37" s="2150"/>
      <c r="V37" s="2150">
        <f t="shared" si="2"/>
        <v>-362000</v>
      </c>
      <c r="W37" s="2144"/>
    </row>
    <row r="38" spans="1:25" ht="16.5">
      <c r="A38" s="1660"/>
      <c r="B38" s="2125" t="s">
        <v>456</v>
      </c>
      <c r="C38" s="2125"/>
      <c r="D38" s="2147">
        <v>0</v>
      </c>
      <c r="E38" s="2147">
        <v>0</v>
      </c>
      <c r="F38" s="2147">
        <v>555750</v>
      </c>
      <c r="G38" s="2147">
        <v>0</v>
      </c>
      <c r="H38" s="2147">
        <v>0</v>
      </c>
      <c r="I38" s="2147">
        <v>0</v>
      </c>
      <c r="J38" s="2147">
        <v>0</v>
      </c>
      <c r="K38" s="2147">
        <v>0</v>
      </c>
      <c r="L38" s="2147">
        <v>0</v>
      </c>
      <c r="M38" s="2147">
        <v>0</v>
      </c>
      <c r="N38" s="2147">
        <v>0</v>
      </c>
      <c r="O38" s="2147"/>
      <c r="P38" s="2147">
        <v>0</v>
      </c>
      <c r="Q38" s="2147">
        <v>0</v>
      </c>
      <c r="R38" s="2148">
        <f t="shared" si="3"/>
        <v>555750</v>
      </c>
      <c r="S38" s="2148"/>
      <c r="T38" s="2147">
        <v>1081432</v>
      </c>
      <c r="U38" s="2150"/>
      <c r="V38" s="2150">
        <f t="shared" si="2"/>
        <v>-525682</v>
      </c>
      <c r="W38" s="2144"/>
    </row>
    <row r="39" spans="1:25" ht="16.5">
      <c r="A39" s="1660"/>
      <c r="B39" s="2153" t="s">
        <v>1170</v>
      </c>
      <c r="C39" s="2154"/>
      <c r="D39" s="2147">
        <v>0</v>
      </c>
      <c r="E39" s="2147">
        <v>0</v>
      </c>
      <c r="F39" s="2147">
        <v>0</v>
      </c>
      <c r="G39" s="2147">
        <v>0</v>
      </c>
      <c r="H39" s="2147">
        <v>0</v>
      </c>
      <c r="I39" s="2147">
        <v>0</v>
      </c>
      <c r="J39" s="2147">
        <v>0</v>
      </c>
      <c r="K39" s="2147">
        <v>0</v>
      </c>
      <c r="L39" s="2147">
        <v>0</v>
      </c>
      <c r="M39" s="2147">
        <v>0</v>
      </c>
      <c r="N39" s="2147">
        <v>0</v>
      </c>
      <c r="O39" s="2147"/>
      <c r="P39" s="2147">
        <v>0</v>
      </c>
      <c r="Q39" s="2147">
        <v>0</v>
      </c>
      <c r="R39" s="2148">
        <f t="shared" si="3"/>
        <v>0</v>
      </c>
      <c r="S39" s="2148"/>
      <c r="T39" s="2147">
        <v>0</v>
      </c>
      <c r="U39" s="2150"/>
      <c r="V39" s="2150">
        <f t="shared" si="2"/>
        <v>0</v>
      </c>
      <c r="W39" s="2144"/>
    </row>
    <row r="40" spans="1:25" ht="16.5">
      <c r="A40" s="1659"/>
      <c r="B40" s="2115" t="s">
        <v>1012</v>
      </c>
      <c r="C40" s="2115"/>
      <c r="D40" s="2147">
        <v>0</v>
      </c>
      <c r="E40" s="2147">
        <v>0</v>
      </c>
      <c r="F40" s="2147">
        <v>0</v>
      </c>
      <c r="G40" s="2147">
        <v>0</v>
      </c>
      <c r="H40" s="2147">
        <v>0</v>
      </c>
      <c r="I40" s="2147">
        <v>0</v>
      </c>
      <c r="J40" s="2147">
        <v>0</v>
      </c>
      <c r="K40" s="2147">
        <v>0</v>
      </c>
      <c r="L40" s="2147">
        <v>0</v>
      </c>
      <c r="M40" s="2147">
        <v>0</v>
      </c>
      <c r="N40" s="2147">
        <v>92438900</v>
      </c>
      <c r="O40" s="2147"/>
      <c r="P40" s="2147">
        <v>0</v>
      </c>
      <c r="Q40" s="2147">
        <v>0</v>
      </c>
      <c r="R40" s="2148">
        <f>ROUND(SUM(D40:Q40),0)</f>
        <v>92438900</v>
      </c>
      <c r="S40" s="2148"/>
      <c r="T40" s="2147">
        <v>424841312</v>
      </c>
      <c r="U40" s="2155"/>
      <c r="V40" s="2150">
        <f t="shared" si="2"/>
        <v>-332402412</v>
      </c>
      <c r="W40" s="2144"/>
      <c r="Y40" s="1661"/>
    </row>
    <row r="41" spans="1:25" ht="16.5">
      <c r="B41" s="2115" t="s">
        <v>457</v>
      </c>
      <c r="C41" s="2115"/>
      <c r="D41" s="2147">
        <v>0</v>
      </c>
      <c r="E41" s="2147">
        <v>0</v>
      </c>
      <c r="F41" s="2147">
        <v>1770144</v>
      </c>
      <c r="G41" s="2147">
        <v>0</v>
      </c>
      <c r="H41" s="2147">
        <v>0</v>
      </c>
      <c r="I41" s="2147">
        <v>0</v>
      </c>
      <c r="J41" s="2147">
        <v>0</v>
      </c>
      <c r="K41" s="2147">
        <v>0</v>
      </c>
      <c r="L41" s="2147">
        <v>0</v>
      </c>
      <c r="M41" s="2147">
        <v>0</v>
      </c>
      <c r="N41" s="2147">
        <v>0</v>
      </c>
      <c r="O41" s="2147"/>
      <c r="P41" s="2147">
        <v>0</v>
      </c>
      <c r="Q41" s="2147">
        <v>0</v>
      </c>
      <c r="R41" s="2148">
        <f>ROUND(SUM(D41:Q41),0)</f>
        <v>1770144</v>
      </c>
      <c r="S41" s="2148"/>
      <c r="T41" s="3676">
        <v>985972</v>
      </c>
      <c r="U41" s="2156"/>
      <c r="V41" s="2150">
        <f t="shared" si="2"/>
        <v>784172</v>
      </c>
      <c r="W41" s="2144"/>
    </row>
    <row r="42" spans="1:25" ht="16.5">
      <c r="A42" s="1662"/>
      <c r="B42" s="2118" t="s">
        <v>458</v>
      </c>
      <c r="C42" s="2118"/>
      <c r="D42" s="2121"/>
      <c r="E42" s="2121"/>
      <c r="F42" s="2121"/>
      <c r="G42" s="2121"/>
      <c r="H42" s="2157"/>
      <c r="I42" s="2157"/>
      <c r="J42" s="2149"/>
      <c r="K42" s="2149"/>
      <c r="L42" s="2149"/>
      <c r="M42" s="2149"/>
      <c r="N42" s="2157"/>
      <c r="O42" s="2157"/>
      <c r="P42" s="2157"/>
      <c r="Q42" s="2157"/>
      <c r="R42" s="2157"/>
      <c r="S42" s="2157"/>
      <c r="T42" s="2157"/>
      <c r="U42" s="2158"/>
      <c r="V42" s="2148"/>
      <c r="W42" s="2144"/>
    </row>
    <row r="43" spans="1:25" s="1658" customFormat="1" ht="17.25" thickBot="1">
      <c r="B43" s="2159" t="s">
        <v>459</v>
      </c>
      <c r="C43" s="2123"/>
      <c r="D43" s="2160">
        <f>ROUND(SUM(D15:D41),0)</f>
        <v>0</v>
      </c>
      <c r="E43" s="2161"/>
      <c r="F43" s="2160">
        <f>ROUND(SUM(F15:F41),0)</f>
        <v>715581554</v>
      </c>
      <c r="G43" s="2161"/>
      <c r="H43" s="2160">
        <f>ROUND(SUM(H15:H41),0)</f>
        <v>26157902</v>
      </c>
      <c r="I43" s="2161"/>
      <c r="J43" s="2160">
        <f>ROUND(SUM(J15:J41),0)</f>
        <v>21302971</v>
      </c>
      <c r="K43" s="2162"/>
      <c r="L43" s="2160">
        <f>ROUND(SUM(L15:L41),0)</f>
        <v>7095959</v>
      </c>
      <c r="M43" s="2162"/>
      <c r="N43" s="2160">
        <f>ROUND(SUM(N15:N41),0)</f>
        <v>441938157</v>
      </c>
      <c r="O43" s="2161"/>
      <c r="P43" s="2160">
        <f>ROUND(SUM(P15:P41),0)</f>
        <v>239836331</v>
      </c>
      <c r="Q43" s="2161"/>
      <c r="R43" s="2160">
        <f>ROUND(SUM(R15:R41),0)</f>
        <v>1451912874</v>
      </c>
      <c r="S43" s="2161"/>
      <c r="T43" s="2160">
        <f>ROUND(SUM(T15:T41),0)</f>
        <v>1651417450</v>
      </c>
      <c r="U43" s="2161"/>
      <c r="V43" s="2160">
        <f>ROUND(SUM(V15:V41),0)</f>
        <v>-199504576</v>
      </c>
      <c r="W43" s="2144"/>
    </row>
    <row r="44" spans="1:25" ht="17.25" thickTop="1">
      <c r="B44" s="2163"/>
      <c r="C44" s="2163"/>
      <c r="D44" s="2115"/>
      <c r="E44" s="2115"/>
      <c r="F44" s="2115"/>
      <c r="G44" s="2115"/>
      <c r="H44" s="2115"/>
      <c r="I44" s="2115"/>
      <c r="J44" s="2115"/>
      <c r="K44" s="2115"/>
      <c r="L44" s="2115"/>
      <c r="M44" s="2115"/>
      <c r="N44" s="2115"/>
      <c r="O44" s="2115"/>
      <c r="P44" s="2115"/>
      <c r="Q44" s="2115"/>
      <c r="R44" s="2115"/>
      <c r="S44" s="2115"/>
      <c r="T44" s="2115"/>
      <c r="U44" s="2115"/>
      <c r="V44" s="2164"/>
      <c r="W44" s="2116"/>
    </row>
    <row r="45" spans="1:25" ht="16.5">
      <c r="B45" s="2115"/>
      <c r="C45" s="2115"/>
      <c r="D45" s="2115"/>
      <c r="E45" s="2115"/>
      <c r="F45" s="2115"/>
      <c r="G45" s="2115"/>
      <c r="H45" s="2115"/>
      <c r="I45" s="2115"/>
      <c r="J45" s="2115"/>
      <c r="K45" s="2115"/>
      <c r="L45" s="2115"/>
      <c r="M45" s="2115"/>
      <c r="N45" s="2115"/>
      <c r="O45" s="2115"/>
      <c r="P45" s="2115"/>
      <c r="Q45" s="2115"/>
      <c r="R45" s="3574"/>
      <c r="S45" s="2115"/>
      <c r="T45" s="2115"/>
      <c r="U45" s="2115"/>
      <c r="V45" s="2115"/>
    </row>
    <row r="46" spans="1:25" ht="15">
      <c r="B46" s="1663"/>
      <c r="R46" s="3575"/>
    </row>
    <row r="47" spans="1:25" ht="15">
      <c r="B47" s="1663"/>
    </row>
    <row r="48" spans="1:25" ht="15">
      <c r="B48" s="1663"/>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workbookViewId="0"/>
  </sheetViews>
  <sheetFormatPr defaultColWidth="8.88671875" defaultRowHeight="15"/>
  <cols>
    <col min="1" max="1" width="2.109375" style="1359" customWidth="1"/>
    <col min="2" max="4" width="9.88671875" style="1359" customWidth="1"/>
    <col min="5" max="5" width="10.44140625" style="1359" customWidth="1"/>
    <col min="6" max="6" width="14.88671875" style="1359" customWidth="1"/>
    <col min="7" max="7" width="1.109375" style="1359" customWidth="1"/>
    <col min="8" max="8" width="16.88671875" style="1359" customWidth="1"/>
    <col min="9" max="9" width="1.109375" style="1359" customWidth="1"/>
    <col min="10" max="10" width="16.88671875" style="1359" bestFit="1" customWidth="1"/>
    <col min="11" max="11" width="9.88671875" style="1359" customWidth="1"/>
    <col min="12" max="12" width="15.88671875" style="1359" customWidth="1"/>
    <col min="13" max="16384" width="8.88671875" style="1359"/>
  </cols>
  <sheetData>
    <row r="1" spans="2:12">
      <c r="B1" s="3724" t="s">
        <v>979</v>
      </c>
    </row>
    <row r="2" spans="2:12">
      <c r="B2" s="842"/>
    </row>
    <row r="3" spans="2:12" ht="15.75">
      <c r="B3" s="733" t="s">
        <v>0</v>
      </c>
      <c r="J3" s="1222" t="s">
        <v>1169</v>
      </c>
    </row>
    <row r="4" spans="2:12" ht="15.75">
      <c r="B4" s="843" t="s">
        <v>1168</v>
      </c>
    </row>
    <row r="5" spans="2:12" ht="15.75">
      <c r="B5" s="1997" t="s">
        <v>1567</v>
      </c>
      <c r="C5" s="1998"/>
      <c r="D5" s="1998"/>
      <c r="E5" s="1998"/>
      <c r="F5" s="1998"/>
      <c r="G5" s="1998"/>
      <c r="H5" s="1998"/>
      <c r="I5" s="1998"/>
      <c r="J5" s="1998"/>
      <c r="K5" s="1998"/>
      <c r="L5" s="1998"/>
    </row>
    <row r="6" spans="2:12" ht="15.75">
      <c r="B6" s="1997" t="s">
        <v>881</v>
      </c>
      <c r="C6" s="1998"/>
      <c r="D6" s="1998"/>
      <c r="E6" s="1998"/>
      <c r="F6" s="1998"/>
      <c r="G6" s="1998"/>
      <c r="H6" s="1998"/>
      <c r="I6" s="1998"/>
      <c r="J6" s="1998"/>
      <c r="K6" s="1998"/>
      <c r="L6" s="1998"/>
    </row>
    <row r="7" spans="2:12" ht="15.75">
      <c r="B7" s="1997" t="s">
        <v>1416</v>
      </c>
      <c r="C7" s="1999"/>
      <c r="D7" s="1999"/>
      <c r="E7" s="1999"/>
      <c r="F7" s="1999"/>
      <c r="G7" s="1999"/>
      <c r="H7" s="1999"/>
      <c r="I7" s="1999"/>
      <c r="J7" s="1999"/>
      <c r="K7" s="1999"/>
      <c r="L7" s="1999"/>
    </row>
    <row r="8" spans="2:12">
      <c r="B8" s="406"/>
      <c r="G8" s="406"/>
      <c r="I8" s="406"/>
    </row>
    <row r="9" spans="2:12" ht="15.75">
      <c r="B9" s="406"/>
      <c r="F9" s="407" t="s">
        <v>7</v>
      </c>
      <c r="G9" s="406"/>
      <c r="H9" s="408" t="s">
        <v>461</v>
      </c>
      <c r="I9" s="406"/>
      <c r="J9" s="407" t="s">
        <v>460</v>
      </c>
    </row>
    <row r="10" spans="2:12" ht="15.75">
      <c r="B10" s="406"/>
      <c r="F10" s="409" t="s">
        <v>1572</v>
      </c>
      <c r="G10" s="406"/>
      <c r="H10" s="408" t="s">
        <v>463</v>
      </c>
      <c r="I10" s="406"/>
      <c r="J10" s="408" t="s">
        <v>462</v>
      </c>
    </row>
    <row r="11" spans="2:12" ht="15.75">
      <c r="B11" s="406"/>
      <c r="F11" s="1948"/>
      <c r="G11" s="406"/>
      <c r="H11" s="1948"/>
      <c r="I11" s="406"/>
      <c r="J11" s="1948"/>
    </row>
    <row r="12" spans="2:12" ht="15.75">
      <c r="B12" s="410" t="s">
        <v>971</v>
      </c>
      <c r="G12" s="406"/>
      <c r="I12" s="406"/>
      <c r="J12" s="732"/>
      <c r="K12" s="732"/>
    </row>
    <row r="13" spans="2:12">
      <c r="B13" s="406"/>
      <c r="G13" s="406"/>
      <c r="I13" s="406"/>
      <c r="J13" s="732"/>
      <c r="K13" s="732"/>
    </row>
    <row r="14" spans="2:12">
      <c r="B14" s="678" t="s">
        <v>970</v>
      </c>
      <c r="F14" s="3225">
        <v>22840.1</v>
      </c>
      <c r="G14" s="3225"/>
      <c r="H14" s="3577">
        <v>19276.8</v>
      </c>
      <c r="I14" s="1360"/>
      <c r="J14" s="3225">
        <v>16734.599999999999</v>
      </c>
      <c r="K14" s="732"/>
    </row>
    <row r="15" spans="2:12">
      <c r="B15" s="678" t="s">
        <v>969</v>
      </c>
      <c r="F15" s="3226">
        <v>1.686E-2</v>
      </c>
      <c r="G15" s="730"/>
      <c r="H15" s="3578">
        <v>2.146E-2</v>
      </c>
      <c r="I15" s="822"/>
      <c r="J15" s="3226">
        <v>2.1520000000000001E-2</v>
      </c>
      <c r="K15" s="732"/>
    </row>
    <row r="16" spans="2:12">
      <c r="B16" s="822" t="s">
        <v>464</v>
      </c>
      <c r="F16" s="3227">
        <v>32.012</v>
      </c>
      <c r="G16" s="3579"/>
      <c r="H16" s="3580">
        <v>352.79500000000002</v>
      </c>
      <c r="I16" s="918"/>
      <c r="J16" s="3227">
        <v>291.63099999999997</v>
      </c>
      <c r="K16" s="732"/>
    </row>
    <row r="17" spans="2:11">
      <c r="B17" s="406"/>
      <c r="J17" s="732"/>
      <c r="K17" s="412"/>
    </row>
    <row r="18" spans="2:11">
      <c r="B18" s="893"/>
      <c r="C18" s="1361"/>
      <c r="D18" s="1361"/>
      <c r="E18" s="1361"/>
      <c r="F18" s="1361"/>
      <c r="G18" s="1361"/>
      <c r="H18" s="1361"/>
      <c r="I18" s="1361"/>
      <c r="J18" s="3244"/>
      <c r="K18" s="893"/>
    </row>
    <row r="19" spans="2:11">
      <c r="B19" s="893"/>
      <c r="C19" s="1361"/>
      <c r="D19" s="1361"/>
      <c r="E19" s="1361"/>
      <c r="F19" s="1361"/>
      <c r="G19" s="1361"/>
      <c r="H19" s="1361"/>
      <c r="I19" s="1361"/>
      <c r="J19" s="3244"/>
      <c r="K19" s="893"/>
    </row>
    <row r="20" spans="2:11" ht="18">
      <c r="B20" s="894" t="s">
        <v>465</v>
      </c>
      <c r="C20" s="895"/>
      <c r="D20" s="895"/>
      <c r="E20" s="1361"/>
      <c r="F20" s="1361"/>
      <c r="G20" s="1361"/>
      <c r="H20" s="1361"/>
      <c r="I20" s="1361"/>
      <c r="J20" s="3244"/>
      <c r="K20" s="893"/>
    </row>
    <row r="21" spans="2:11">
      <c r="B21" s="893"/>
      <c r="C21" s="1361"/>
      <c r="D21" s="1361"/>
      <c r="E21" s="1361"/>
      <c r="F21" s="1361"/>
      <c r="G21" s="636"/>
      <c r="H21" s="636" t="str">
        <f>F10</f>
        <v>JANUARY 2020</v>
      </c>
      <c r="I21" s="2196"/>
      <c r="J21" s="3680" t="s">
        <v>1573</v>
      </c>
      <c r="K21" s="893"/>
    </row>
    <row r="22" spans="2:11">
      <c r="B22" s="893"/>
      <c r="C22" s="896" t="s">
        <v>466</v>
      </c>
      <c r="D22" s="1361"/>
      <c r="E22" s="1362" t="s">
        <v>15</v>
      </c>
      <c r="F22" s="1361"/>
      <c r="G22" s="897"/>
      <c r="H22" s="2002" t="s">
        <v>467</v>
      </c>
      <c r="I22" s="897"/>
      <c r="J22" s="3681" t="s">
        <v>467</v>
      </c>
      <c r="K22" s="893"/>
    </row>
    <row r="23" spans="2:11">
      <c r="B23" s="893"/>
      <c r="C23" s="1362" t="s">
        <v>468</v>
      </c>
      <c r="D23" s="1361"/>
      <c r="E23" s="1361"/>
      <c r="F23" s="1361"/>
      <c r="G23" s="1363"/>
      <c r="H23" s="1364">
        <v>6624.5</v>
      </c>
      <c r="I23" s="1363"/>
      <c r="J23" s="3858">
        <v>4857.5</v>
      </c>
      <c r="K23" s="893"/>
    </row>
    <row r="24" spans="2:11">
      <c r="B24" s="893"/>
      <c r="C24" s="1362" t="s">
        <v>469</v>
      </c>
      <c r="D24" s="1361"/>
      <c r="E24" s="1361"/>
      <c r="F24" s="1361"/>
      <c r="G24" s="1363"/>
      <c r="H24" s="1365">
        <v>307.39999999999998</v>
      </c>
      <c r="I24" s="1363"/>
      <c r="J24" s="3859">
        <v>29</v>
      </c>
      <c r="K24" s="893"/>
    </row>
    <row r="25" spans="2:11">
      <c r="B25" s="893"/>
      <c r="C25" s="1362" t="s">
        <v>470</v>
      </c>
      <c r="D25" s="1361"/>
      <c r="E25" s="1361"/>
      <c r="F25" s="1361"/>
      <c r="G25" s="1366"/>
      <c r="H25" s="1365">
        <v>16197.5</v>
      </c>
      <c r="I25" s="1366"/>
      <c r="J25" s="3860">
        <v>14865.2</v>
      </c>
      <c r="K25" s="893" t="s">
        <v>15</v>
      </c>
    </row>
    <row r="26" spans="2:11">
      <c r="B26" s="893"/>
      <c r="C26" s="1362" t="s">
        <v>471</v>
      </c>
      <c r="D26" s="1361"/>
      <c r="E26" s="1361"/>
      <c r="F26" s="1361"/>
      <c r="G26" s="1366"/>
      <c r="H26" s="1365">
        <v>2939.7</v>
      </c>
      <c r="I26" s="1366"/>
      <c r="J26" s="3860">
        <v>2952.5</v>
      </c>
      <c r="K26" s="893" t="s">
        <v>15</v>
      </c>
    </row>
    <row r="27" spans="2:11">
      <c r="B27" s="893"/>
      <c r="C27" s="898" t="s">
        <v>844</v>
      </c>
      <c r="D27" s="1361"/>
      <c r="E27" s="1361"/>
      <c r="F27" s="1361"/>
      <c r="G27" s="1367"/>
      <c r="H27" s="1365">
        <v>78</v>
      </c>
      <c r="I27" s="1367"/>
      <c r="J27" s="3860">
        <v>168</v>
      </c>
      <c r="K27" s="893"/>
    </row>
    <row r="28" spans="2:11" ht="16.5" thickBot="1">
      <c r="B28" s="893"/>
      <c r="C28" s="1361"/>
      <c r="D28" s="1361"/>
      <c r="E28" s="1361"/>
      <c r="F28" s="1361"/>
      <c r="G28" s="411"/>
      <c r="H28" s="1949">
        <f>ROUND(SUM(H23:H27),1)</f>
        <v>26147.1</v>
      </c>
      <c r="I28" s="411"/>
      <c r="J28" s="3593">
        <f>ROUND(SUM(J23:J27),1)</f>
        <v>22872.2</v>
      </c>
      <c r="K28" s="893"/>
    </row>
    <row r="29" spans="2:11" ht="15.75" thickTop="1">
      <c r="B29" s="406"/>
      <c r="G29" s="1368"/>
      <c r="H29" s="1368"/>
      <c r="I29" s="1368"/>
      <c r="J29" s="732"/>
      <c r="K29" s="406"/>
    </row>
    <row r="30" spans="2:11">
      <c r="B30" s="406"/>
      <c r="K30" s="406"/>
    </row>
    <row r="31" spans="2:11" ht="15.75">
      <c r="B31" s="410"/>
      <c r="K31" s="406"/>
    </row>
    <row r="32" spans="2:11" ht="192.75" customHeight="1">
      <c r="B32" s="3933" t="s">
        <v>984</v>
      </c>
      <c r="C32" s="3933"/>
      <c r="D32" s="3933"/>
      <c r="E32" s="3933"/>
      <c r="F32" s="3933"/>
      <c r="G32" s="3933"/>
      <c r="H32" s="3933"/>
      <c r="I32" s="3933"/>
      <c r="J32" s="3933"/>
      <c r="K32" s="406"/>
    </row>
    <row r="34" spans="2:12" ht="15" customHeight="1">
      <c r="B34" s="663" t="s">
        <v>972</v>
      </c>
      <c r="C34" s="731"/>
      <c r="D34" s="731"/>
      <c r="E34" s="731"/>
      <c r="F34" s="731"/>
      <c r="G34" s="731"/>
      <c r="H34" s="731"/>
      <c r="I34" s="731"/>
      <c r="J34" s="731"/>
      <c r="K34" s="731"/>
      <c r="L34" s="731"/>
    </row>
    <row r="35" spans="2:12" ht="17.25" customHeight="1">
      <c r="B35" s="729"/>
      <c r="C35" s="732"/>
      <c r="D35" s="732"/>
      <c r="E35" s="732"/>
      <c r="F35" s="732"/>
      <c r="G35" s="732"/>
      <c r="H35" s="732"/>
      <c r="I35" s="732"/>
      <c r="J35" s="732"/>
      <c r="K35" s="732"/>
      <c r="L35" s="412"/>
    </row>
    <row r="36" spans="2:12">
      <c r="B36" s="822"/>
      <c r="C36" s="822"/>
      <c r="D36" s="732"/>
      <c r="E36" s="732"/>
      <c r="F36" s="732"/>
      <c r="G36" s="732"/>
      <c r="H36" s="732"/>
      <c r="I36" s="732"/>
      <c r="J36" s="732"/>
      <c r="K36" s="732"/>
      <c r="L36" s="412"/>
    </row>
    <row r="37" spans="2:12">
      <c r="B37" s="729"/>
      <c r="C37" s="730"/>
      <c r="D37" s="732"/>
      <c r="E37" s="732"/>
      <c r="F37" s="732"/>
      <c r="G37" s="732"/>
      <c r="H37" s="732"/>
      <c r="I37" s="732"/>
      <c r="J37" s="732"/>
      <c r="K37" s="732"/>
      <c r="L37" s="412"/>
    </row>
    <row r="38" spans="2:12">
      <c r="B38" s="406"/>
      <c r="C38" s="822" t="s">
        <v>15</v>
      </c>
      <c r="D38" s="406"/>
      <c r="E38" s="406"/>
      <c r="F38" s="406"/>
      <c r="G38" s="406"/>
      <c r="H38" s="406"/>
      <c r="I38" s="406"/>
      <c r="J38" s="406"/>
    </row>
    <row r="39" spans="2:12">
      <c r="C39" s="822" t="s">
        <v>15</v>
      </c>
    </row>
  </sheetData>
  <mergeCells count="1">
    <mergeCell ref="B32:J32"/>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88671875" defaultRowHeight="15"/>
  <cols>
    <col min="1" max="1" width="45.44140625" style="1785" customWidth="1"/>
    <col min="2" max="2" width="17" style="1609" bestFit="1" customWidth="1"/>
    <col min="3" max="3" width="1.88671875" style="1609" customWidth="1"/>
    <col min="4" max="4" width="17" style="1609" bestFit="1" customWidth="1"/>
    <col min="5" max="5" width="1.88671875" style="1608" customWidth="1"/>
    <col min="6" max="6" width="17.109375" style="1609" customWidth="1"/>
    <col min="7" max="7" width="1.88671875" style="1608" customWidth="1"/>
    <col min="8" max="8" width="17.5546875" style="1609" customWidth="1"/>
    <col min="9" max="9" width="1.88671875" style="1836" customWidth="1"/>
    <col min="10" max="10" width="16.44140625" style="1790" customWidth="1"/>
    <col min="11" max="11" width="1.88671875" style="1790" customWidth="1"/>
    <col min="12" max="12" width="17" style="1790" bestFit="1" customWidth="1"/>
    <col min="13" max="13" width="1.88671875" style="1836" customWidth="1"/>
    <col min="14" max="14" width="17.5546875" style="1790" customWidth="1"/>
    <col min="15" max="15" width="1.88671875" style="1836" customWidth="1"/>
    <col min="16" max="16" width="17.109375" style="1790" customWidth="1"/>
    <col min="17" max="17" width="1.88671875" style="1836" customWidth="1"/>
    <col min="18" max="18" width="13.88671875" style="1790" customWidth="1"/>
    <col min="19" max="19" width="1.88671875" style="1836" customWidth="1"/>
    <col min="20" max="20" width="13.88671875" style="1790" customWidth="1"/>
    <col min="21" max="21" width="1.88671875" style="1836" customWidth="1"/>
    <col min="22" max="22" width="13.88671875" style="1790" customWidth="1"/>
    <col min="23" max="23" width="1.88671875" style="1836" customWidth="1"/>
    <col min="24" max="24" width="13.88671875" style="1790" customWidth="1"/>
    <col min="25" max="25" width="1.88671875" style="1836" customWidth="1"/>
    <col min="26" max="26" width="21.88671875" style="1837" customWidth="1"/>
    <col min="27" max="27" width="1.5546875" style="1803" customWidth="1"/>
    <col min="28" max="28" width="18.88671875" style="1785" bestFit="1" customWidth="1"/>
    <col min="29" max="29" width="12.88671875" style="1785" bestFit="1" customWidth="1"/>
    <col min="30" max="16384" width="8.88671875" style="1785"/>
  </cols>
  <sheetData>
    <row r="1" spans="1:40">
      <c r="A1" s="1541" t="s">
        <v>979</v>
      </c>
      <c r="B1" s="1329"/>
      <c r="C1" s="1329"/>
      <c r="D1" s="1329"/>
      <c r="E1" s="1329"/>
      <c r="F1" s="1329"/>
      <c r="G1" s="1329"/>
      <c r="H1" s="1329"/>
      <c r="I1" s="1784"/>
      <c r="J1" s="1784"/>
      <c r="K1" s="1784"/>
      <c r="L1" s="1784"/>
      <c r="M1" s="1784"/>
      <c r="N1" s="1784"/>
      <c r="O1" s="1784"/>
      <c r="P1" s="1784"/>
      <c r="Q1" s="1784"/>
      <c r="R1" s="1784"/>
      <c r="S1" s="1784"/>
      <c r="T1" s="1784"/>
      <c r="U1" s="1784"/>
      <c r="V1" s="1784"/>
      <c r="W1" s="1784"/>
      <c r="X1" s="1784"/>
      <c r="Y1" s="1784"/>
      <c r="Z1" s="1784"/>
      <c r="AA1" s="3609"/>
      <c r="AB1" s="1784"/>
      <c r="AC1" s="1784"/>
      <c r="AD1" s="1784"/>
      <c r="AE1" s="1784"/>
      <c r="AF1" s="1784"/>
      <c r="AG1" s="1784"/>
    </row>
    <row r="2" spans="1:40">
      <c r="A2" s="1541"/>
      <c r="B2" s="1329"/>
      <c r="C2" s="1329"/>
      <c r="D2" s="1329"/>
      <c r="E2" s="1329"/>
      <c r="F2" s="1329"/>
      <c r="G2" s="1329"/>
      <c r="H2" s="1329"/>
      <c r="I2" s="1784"/>
      <c r="J2" s="1784"/>
      <c r="K2" s="1784"/>
      <c r="L2" s="1784"/>
      <c r="M2" s="1784"/>
      <c r="N2" s="1784"/>
      <c r="O2" s="1784"/>
      <c r="P2" s="1784"/>
      <c r="Q2" s="1784"/>
      <c r="R2" s="1784"/>
      <c r="S2" s="1784"/>
      <c r="T2" s="1784"/>
      <c r="U2" s="1784"/>
      <c r="V2" s="1784"/>
      <c r="W2" s="1784"/>
      <c r="X2" s="1784"/>
      <c r="Y2" s="1784"/>
      <c r="Z2" s="1784"/>
      <c r="AA2" s="3609"/>
      <c r="AB2" s="1784"/>
      <c r="AC2" s="1784"/>
      <c r="AD2" s="1784"/>
      <c r="AE2" s="1784"/>
      <c r="AF2" s="1784"/>
      <c r="AG2" s="1784"/>
    </row>
    <row r="3" spans="1:40" ht="24" customHeight="1">
      <c r="A3" s="1786" t="s">
        <v>0</v>
      </c>
      <c r="B3" s="486"/>
      <c r="C3" s="486"/>
      <c r="D3" s="487"/>
      <c r="E3" s="488"/>
      <c r="F3" s="487"/>
      <c r="G3" s="488"/>
      <c r="H3" s="487"/>
      <c r="I3" s="1789"/>
      <c r="K3" s="1787"/>
      <c r="L3" s="1791"/>
      <c r="M3" s="1787"/>
      <c r="N3" s="1788"/>
      <c r="O3" s="1789"/>
      <c r="P3" s="1788"/>
      <c r="Q3" s="1789"/>
      <c r="R3" s="1788"/>
      <c r="S3" s="1789"/>
      <c r="T3" s="1788"/>
      <c r="U3" s="1789"/>
      <c r="V3" s="1788"/>
      <c r="W3" s="1789"/>
      <c r="X3" s="1788"/>
      <c r="Y3" s="1789"/>
      <c r="Z3" s="1792" t="s">
        <v>472</v>
      </c>
      <c r="AA3" s="3610"/>
      <c r="AC3" s="1787"/>
      <c r="AE3" s="1787"/>
    </row>
    <row r="4" spans="1:40" ht="16.5">
      <c r="A4" s="1786" t="s">
        <v>473</v>
      </c>
      <c r="B4" s="1330"/>
      <c r="C4" s="1330"/>
      <c r="D4" s="490"/>
      <c r="E4" s="488"/>
      <c r="F4" s="1330"/>
      <c r="G4" s="488"/>
      <c r="H4" s="1330"/>
      <c r="I4" s="1789"/>
      <c r="J4" s="1793"/>
      <c r="K4" s="1793"/>
      <c r="L4" s="1793"/>
      <c r="M4" s="1794"/>
      <c r="N4" s="1793"/>
      <c r="O4" s="1789"/>
      <c r="P4" s="1793"/>
      <c r="Q4" s="1789"/>
      <c r="R4" s="1793"/>
      <c r="S4" s="1789"/>
      <c r="T4" s="1793"/>
      <c r="U4" s="1789"/>
      <c r="V4" s="1793"/>
      <c r="W4" s="1789"/>
      <c r="X4" s="1793"/>
      <c r="Y4" s="1789"/>
      <c r="Z4" s="1795"/>
      <c r="AA4" s="3610"/>
      <c r="AC4" s="1787"/>
    </row>
    <row r="5" spans="1:40" ht="16.5">
      <c r="A5" s="1796" t="s">
        <v>1188</v>
      </c>
      <c r="B5" s="1330"/>
      <c r="C5" s="1330"/>
      <c r="D5" s="1330"/>
      <c r="E5" s="488"/>
      <c r="F5" s="1330"/>
      <c r="G5" s="488"/>
      <c r="H5" s="1330"/>
      <c r="I5" s="1789"/>
      <c r="J5" s="1793"/>
      <c r="K5" s="1793"/>
      <c r="L5" s="1793"/>
      <c r="M5" s="1794"/>
      <c r="N5" s="1793"/>
      <c r="O5" s="1789"/>
      <c r="P5" s="1793"/>
      <c r="Q5" s="1789"/>
      <c r="R5" s="1793"/>
      <c r="S5" s="1789"/>
      <c r="T5" s="1793"/>
      <c r="U5" s="1789"/>
      <c r="V5" s="1793"/>
      <c r="W5" s="1789"/>
      <c r="X5" s="1793"/>
      <c r="Y5" s="1789"/>
      <c r="Z5" s="1795"/>
    </row>
    <row r="6" spans="1:40" ht="18" customHeight="1">
      <c r="A6" s="1797" t="str">
        <f>'Cashflow Governmental'!A6</f>
        <v xml:space="preserve">FISCAL YEAR 2019-2020   </v>
      </c>
      <c r="B6" s="1330"/>
      <c r="C6" s="1330"/>
      <c r="D6" s="495"/>
      <c r="E6" s="488"/>
      <c r="F6" s="1330"/>
      <c r="G6" s="488"/>
      <c r="H6" s="1330"/>
      <c r="I6" s="1789"/>
      <c r="J6" s="1793"/>
      <c r="K6" s="1793"/>
      <c r="L6" s="1793"/>
      <c r="M6" s="1794"/>
      <c r="N6" s="1793"/>
      <c r="O6" s="1789"/>
      <c r="P6" s="1793"/>
      <c r="Q6" s="1789"/>
      <c r="R6" s="1793"/>
      <c r="S6" s="1789"/>
      <c r="T6" s="1793"/>
      <c r="U6" s="1789"/>
      <c r="V6" s="1793"/>
      <c r="W6" s="1789"/>
      <c r="X6" s="1793"/>
      <c r="Y6" s="1789"/>
      <c r="Z6" s="1795"/>
    </row>
    <row r="7" spans="1:40" ht="15" customHeight="1">
      <c r="A7" s="1798"/>
      <c r="B7" s="1330"/>
      <c r="C7" s="1330"/>
      <c r="D7" s="1330"/>
      <c r="E7" s="488"/>
      <c r="F7" s="1330"/>
      <c r="G7" s="488"/>
      <c r="H7" s="1330"/>
      <c r="I7" s="1789"/>
      <c r="J7" s="1793"/>
      <c r="K7" s="1793"/>
      <c r="L7" s="1793"/>
      <c r="M7" s="1794"/>
      <c r="N7" s="1793"/>
      <c r="O7" s="1789"/>
      <c r="P7" s="1793"/>
      <c r="Q7" s="1789"/>
      <c r="R7" s="1799"/>
      <c r="S7" s="1789"/>
      <c r="T7" s="1799"/>
      <c r="U7" s="1789"/>
      <c r="V7" s="1799"/>
      <c r="W7" s="1789"/>
      <c r="X7" s="1799"/>
      <c r="Y7" s="1789"/>
      <c r="Z7" s="1795"/>
    </row>
    <row r="8" spans="1:40" ht="15.75">
      <c r="A8" s="1800"/>
      <c r="B8" s="1330"/>
      <c r="C8" s="1330"/>
      <c r="D8" s="1330"/>
      <c r="E8" s="488"/>
      <c r="F8" s="1330"/>
      <c r="G8" s="488"/>
      <c r="H8" s="1330"/>
      <c r="I8" s="1789"/>
      <c r="J8" s="1793"/>
      <c r="K8" s="1793"/>
      <c r="L8" s="1793"/>
      <c r="M8" s="1789"/>
      <c r="N8" s="1793"/>
      <c r="O8" s="1789"/>
      <c r="P8" s="1793"/>
      <c r="Q8" s="1789"/>
      <c r="R8" s="1793"/>
      <c r="S8" s="1789"/>
      <c r="T8" s="1793"/>
      <c r="U8" s="1789"/>
      <c r="V8" s="1793"/>
      <c r="W8" s="1789"/>
      <c r="X8" s="1793"/>
      <c r="Y8" s="1789"/>
      <c r="Z8" s="1801"/>
      <c r="AA8" s="1802"/>
    </row>
    <row r="9" spans="1:40" ht="15" customHeight="1">
      <c r="A9" s="1803"/>
      <c r="B9" s="925" t="str">
        <f>'Cashflow Governmental'!C13</f>
        <v>2019</v>
      </c>
      <c r="C9" s="498"/>
      <c r="D9" s="498"/>
      <c r="E9" s="491"/>
      <c r="F9" s="498"/>
      <c r="G9" s="491"/>
      <c r="H9" s="498"/>
      <c r="I9" s="1794"/>
      <c r="J9" s="1805"/>
      <c r="K9" s="1805"/>
      <c r="L9" s="1806"/>
      <c r="M9" s="1794"/>
      <c r="N9" s="1806"/>
      <c r="O9" s="1794"/>
      <c r="P9" s="1806"/>
      <c r="Q9" s="1794"/>
      <c r="R9" s="1806"/>
      <c r="S9" s="1794"/>
      <c r="T9" s="1804" t="str">
        <f>'Cashflow Governmental'!U13</f>
        <v>2020</v>
      </c>
      <c r="U9" s="1794"/>
      <c r="V9" s="1806"/>
      <c r="W9" s="1794"/>
      <c r="X9" s="1806"/>
      <c r="Y9" s="1794"/>
      <c r="Z9" s="1807" t="s">
        <v>1574</v>
      </c>
      <c r="AA9" s="1807"/>
    </row>
    <row r="10" spans="1:40" ht="15" customHeight="1">
      <c r="A10" s="1803"/>
      <c r="B10" s="501" t="s">
        <v>125</v>
      </c>
      <c r="C10" s="502"/>
      <c r="D10" s="499" t="s">
        <v>126</v>
      </c>
      <c r="E10" s="491"/>
      <c r="F10" s="499" t="s">
        <v>127</v>
      </c>
      <c r="G10" s="491"/>
      <c r="H10" s="499" t="s">
        <v>128</v>
      </c>
      <c r="I10" s="1794"/>
      <c r="J10" s="1988" t="s">
        <v>129</v>
      </c>
      <c r="K10" s="503"/>
      <c r="L10" s="1806" t="s">
        <v>144</v>
      </c>
      <c r="M10" s="1794"/>
      <c r="N10" s="1806" t="s">
        <v>145</v>
      </c>
      <c r="O10" s="1794"/>
      <c r="P10" s="1806" t="s">
        <v>132</v>
      </c>
      <c r="Q10" s="1794"/>
      <c r="R10" s="1806" t="s">
        <v>133</v>
      </c>
      <c r="S10" s="1794"/>
      <c r="T10" s="1806" t="s">
        <v>134</v>
      </c>
      <c r="U10" s="1794"/>
      <c r="V10" s="1806" t="s">
        <v>135</v>
      </c>
      <c r="W10" s="1794"/>
      <c r="X10" s="1806" t="s">
        <v>186</v>
      </c>
      <c r="Y10" s="1794"/>
      <c r="Z10" s="1808">
        <v>43861</v>
      </c>
      <c r="AA10" s="1808"/>
    </row>
    <row r="11" spans="1:40" ht="15" customHeight="1">
      <c r="A11" s="1803"/>
      <c r="B11" s="1915" t="s">
        <v>15</v>
      </c>
      <c r="C11" s="1334"/>
      <c r="D11" s="1915" t="s">
        <v>15</v>
      </c>
      <c r="E11" s="1335"/>
      <c r="F11" s="1915" t="s">
        <v>15</v>
      </c>
      <c r="G11" s="1335"/>
      <c r="H11" s="1915" t="s">
        <v>15</v>
      </c>
      <c r="I11" s="1811"/>
      <c r="J11" s="1809" t="s">
        <v>15</v>
      </c>
      <c r="K11" s="503"/>
      <c r="L11" s="1809" t="s">
        <v>15</v>
      </c>
      <c r="M11" s="1811"/>
      <c r="N11" s="1809" t="s">
        <v>15</v>
      </c>
      <c r="O11" s="1811"/>
      <c r="P11" s="1809" t="s">
        <v>15</v>
      </c>
      <c r="Q11" s="1811"/>
      <c r="R11" s="1809" t="s">
        <v>15</v>
      </c>
      <c r="S11" s="1811"/>
      <c r="T11" s="1809" t="s">
        <v>15</v>
      </c>
      <c r="U11" s="1811"/>
      <c r="V11" s="1809" t="s">
        <v>15</v>
      </c>
      <c r="W11" s="1811"/>
      <c r="X11" s="1809" t="s">
        <v>15</v>
      </c>
      <c r="Y11" s="1811"/>
      <c r="Z11" s="1812" t="s">
        <v>15</v>
      </c>
      <c r="AB11" s="1813"/>
      <c r="AC11" s="1813"/>
      <c r="AD11" s="1813"/>
      <c r="AE11" s="1813"/>
      <c r="AF11" s="1813"/>
      <c r="AG11" s="1813"/>
      <c r="AH11" s="1813"/>
      <c r="AI11" s="1813"/>
      <c r="AJ11" s="1813"/>
      <c r="AK11" s="1813"/>
      <c r="AL11" s="1813"/>
      <c r="AM11" s="1813"/>
      <c r="AN11" s="1813"/>
    </row>
    <row r="12" spans="1:40" s="1815" customFormat="1" ht="15" customHeight="1">
      <c r="A12" s="517" t="s">
        <v>474</v>
      </c>
      <c r="B12" s="506">
        <v>0</v>
      </c>
      <c r="C12" s="507"/>
      <c r="D12" s="506">
        <f>B46</f>
        <v>543140525</v>
      </c>
      <c r="E12" s="1336"/>
      <c r="F12" s="506">
        <f>D46</f>
        <v>283562198</v>
      </c>
      <c r="G12" s="1336"/>
      <c r="H12" s="506">
        <f>F46</f>
        <v>300393092</v>
      </c>
      <c r="I12" s="1814"/>
      <c r="J12" s="519">
        <f>H46</f>
        <v>420298155</v>
      </c>
      <c r="K12" s="508"/>
      <c r="L12" s="519">
        <f>J46</f>
        <v>136965831</v>
      </c>
      <c r="M12" s="518"/>
      <c r="N12" s="519">
        <f>L46</f>
        <v>79863323</v>
      </c>
      <c r="O12" s="519"/>
      <c r="P12" s="519">
        <f>N46</f>
        <v>152028064</v>
      </c>
      <c r="Q12" s="519"/>
      <c r="R12" s="519">
        <f>P46</f>
        <v>223908390</v>
      </c>
      <c r="S12" s="519"/>
      <c r="T12" s="519">
        <f>R46</f>
        <v>213101187</v>
      </c>
      <c r="U12" s="519"/>
      <c r="V12" s="519"/>
      <c r="W12" s="519"/>
      <c r="X12" s="519"/>
      <c r="Y12" s="519"/>
      <c r="Z12" s="519">
        <f>+B12</f>
        <v>0</v>
      </c>
      <c r="AA12" s="3611"/>
    </row>
    <row r="13" spans="1:40" ht="15" customHeight="1">
      <c r="A13" s="1816"/>
      <c r="B13" s="1338"/>
      <c r="C13" s="1339"/>
      <c r="D13" s="1338"/>
      <c r="E13" s="1338"/>
      <c r="F13" s="1338"/>
      <c r="G13" s="1338"/>
      <c r="H13" s="1338"/>
      <c r="I13" s="1348"/>
      <c r="J13" s="1348"/>
      <c r="K13" s="503"/>
      <c r="L13" s="1348"/>
      <c r="M13" s="1348"/>
      <c r="N13" s="1348"/>
      <c r="O13" s="1348"/>
      <c r="P13" s="1348"/>
      <c r="Q13" s="1348"/>
      <c r="R13" s="1348"/>
      <c r="S13" s="1348"/>
      <c r="T13" s="1348"/>
      <c r="U13" s="1348"/>
      <c r="V13" s="1348"/>
      <c r="W13" s="1348"/>
      <c r="X13" s="1348"/>
      <c r="Y13" s="1348"/>
      <c r="Z13" s="1818"/>
    </row>
    <row r="14" spans="1:40" ht="15" customHeight="1">
      <c r="A14" s="516" t="s">
        <v>14</v>
      </c>
      <c r="B14" s="1338"/>
      <c r="C14" s="1339"/>
      <c r="D14" s="1338"/>
      <c r="E14" s="1338"/>
      <c r="F14" s="1338"/>
      <c r="G14" s="1338"/>
      <c r="H14" s="1338"/>
      <c r="I14" s="1348"/>
      <c r="J14" s="1348"/>
      <c r="K14" s="1348"/>
      <c r="L14" s="1348"/>
      <c r="M14" s="1348"/>
      <c r="N14" s="1348"/>
      <c r="O14" s="1348"/>
      <c r="P14" s="1348"/>
      <c r="Q14" s="1348"/>
      <c r="R14" s="1348"/>
      <c r="S14" s="1348"/>
      <c r="T14" s="1348"/>
      <c r="U14" s="1348"/>
      <c r="V14" s="1348"/>
      <c r="W14" s="1348"/>
      <c r="X14" s="1348"/>
      <c r="Y14" s="1348"/>
      <c r="Z14" s="1818"/>
    </row>
    <row r="15" spans="1:40" ht="15" customHeight="1">
      <c r="A15" s="834" t="s">
        <v>475</v>
      </c>
      <c r="B15" s="1341">
        <v>63203605</v>
      </c>
      <c r="C15" s="1342"/>
      <c r="D15" s="1341">
        <v>59370644</v>
      </c>
      <c r="E15" s="1341"/>
      <c r="F15" s="1341">
        <v>57339173</v>
      </c>
      <c r="G15" s="1341"/>
      <c r="H15" s="1341">
        <v>75425457</v>
      </c>
      <c r="I15" s="1346"/>
      <c r="J15" s="1341">
        <v>63846255</v>
      </c>
      <c r="K15" s="1346"/>
      <c r="L15" s="1341">
        <v>59381304</v>
      </c>
      <c r="M15" s="1348"/>
      <c r="N15" s="1346">
        <v>65507143</v>
      </c>
      <c r="O15" s="1346"/>
      <c r="P15" s="1346">
        <v>57797138</v>
      </c>
      <c r="Q15" s="1346"/>
      <c r="R15" s="1346">
        <v>68931372</v>
      </c>
      <c r="S15" s="1346"/>
      <c r="T15" s="1346">
        <f>$Z15-$B15-$D15-$F15-$H15-$J15-$L15-$N15-$P15-$R15</f>
        <v>55243103</v>
      </c>
      <c r="U15" s="1346"/>
      <c r="V15" s="1346"/>
      <c r="W15" s="1346"/>
      <c r="X15" s="1346"/>
      <c r="Y15" s="1346"/>
      <c r="Z15" s="1346">
        <v>626045194</v>
      </c>
    </row>
    <row r="16" spans="1:40" ht="15" customHeight="1">
      <c r="A16" s="834" t="s">
        <v>476</v>
      </c>
      <c r="B16" s="1341">
        <v>2069000</v>
      </c>
      <c r="C16" s="1342"/>
      <c r="D16" s="1341">
        <v>2175000</v>
      </c>
      <c r="E16" s="1341"/>
      <c r="F16" s="1341">
        <v>1928000</v>
      </c>
      <c r="G16" s="1341"/>
      <c r="H16" s="1341">
        <v>1929000</v>
      </c>
      <c r="I16" s="1346"/>
      <c r="J16" s="1341">
        <v>2141000</v>
      </c>
      <c r="K16" s="1346"/>
      <c r="L16" s="1341">
        <v>1867000</v>
      </c>
      <c r="M16" s="1348"/>
      <c r="N16" s="1346">
        <v>2219000</v>
      </c>
      <c r="O16" s="1346"/>
      <c r="P16" s="1346">
        <v>1792000</v>
      </c>
      <c r="Q16" s="1346"/>
      <c r="R16" s="1346">
        <v>1701000</v>
      </c>
      <c r="S16" s="1346"/>
      <c r="T16" s="1346">
        <f t="shared" ref="T16:T22" si="0">$Z16-$B16-$D16-$F16-$H16-$J16-$L16-$N16-$P16-$R16</f>
        <v>1978000</v>
      </c>
      <c r="U16" s="1346"/>
      <c r="V16" s="1346"/>
      <c r="W16" s="1346"/>
      <c r="X16" s="1346"/>
      <c r="Y16" s="1346"/>
      <c r="Z16" s="1346">
        <v>19799000</v>
      </c>
    </row>
    <row r="17" spans="1:28" ht="15" customHeight="1">
      <c r="A17" s="834" t="s">
        <v>477</v>
      </c>
      <c r="B17" s="1341">
        <v>469440</v>
      </c>
      <c r="C17" s="1342"/>
      <c r="D17" s="1341">
        <v>785843</v>
      </c>
      <c r="E17" s="1341"/>
      <c r="F17" s="1341">
        <v>1583166</v>
      </c>
      <c r="G17" s="1341"/>
      <c r="H17" s="1341">
        <v>1015764</v>
      </c>
      <c r="I17" s="1346"/>
      <c r="J17" s="1341">
        <v>1230923</v>
      </c>
      <c r="K17" s="1346"/>
      <c r="L17" s="1341">
        <v>1065269</v>
      </c>
      <c r="M17" s="1348"/>
      <c r="N17" s="1346">
        <v>821677</v>
      </c>
      <c r="O17" s="1346"/>
      <c r="P17" s="1346">
        <v>676684</v>
      </c>
      <c r="Q17" s="1346"/>
      <c r="R17" s="1346">
        <v>571892</v>
      </c>
      <c r="S17" s="1346"/>
      <c r="T17" s="1346">
        <f t="shared" si="0"/>
        <v>562232</v>
      </c>
      <c r="U17" s="1346"/>
      <c r="V17" s="1346"/>
      <c r="W17" s="1346"/>
      <c r="X17" s="1346"/>
      <c r="Y17" s="1346"/>
      <c r="Z17" s="1346">
        <v>8782890</v>
      </c>
    </row>
    <row r="18" spans="1:28" ht="15" customHeight="1">
      <c r="A18" s="834" t="s">
        <v>478</v>
      </c>
      <c r="B18" s="1341">
        <v>0</v>
      </c>
      <c r="C18" s="1344"/>
      <c r="D18" s="1341">
        <v>0</v>
      </c>
      <c r="E18" s="1916"/>
      <c r="F18" s="1341">
        <v>0</v>
      </c>
      <c r="G18" s="1916"/>
      <c r="H18" s="1341">
        <v>0</v>
      </c>
      <c r="I18" s="1346"/>
      <c r="J18" s="1341">
        <v>0</v>
      </c>
      <c r="K18" s="1819"/>
      <c r="L18" s="1341">
        <v>0</v>
      </c>
      <c r="M18" s="1348"/>
      <c r="N18" s="1346">
        <v>0</v>
      </c>
      <c r="O18" s="1346"/>
      <c r="P18" s="1346">
        <v>0</v>
      </c>
      <c r="Q18" s="1346"/>
      <c r="R18" s="1346">
        <v>0</v>
      </c>
      <c r="S18" s="1346"/>
      <c r="T18" s="1346">
        <f t="shared" si="0"/>
        <v>0</v>
      </c>
      <c r="U18" s="1346"/>
      <c r="V18" s="1346"/>
      <c r="W18" s="1346"/>
      <c r="X18" s="1346"/>
      <c r="Y18" s="1346"/>
      <c r="Z18" s="1352">
        <v>0</v>
      </c>
    </row>
    <row r="19" spans="1:28" ht="15" customHeight="1">
      <c r="A19" s="834" t="s">
        <v>479</v>
      </c>
      <c r="B19" s="1341">
        <v>533324883</v>
      </c>
      <c r="C19" s="1342"/>
      <c r="D19" s="1341">
        <v>443523673</v>
      </c>
      <c r="E19" s="1341"/>
      <c r="F19" s="1341">
        <v>423216328</v>
      </c>
      <c r="G19" s="1341"/>
      <c r="H19" s="1341">
        <v>494280029</v>
      </c>
      <c r="I19" s="1346"/>
      <c r="J19" s="1341">
        <v>436582470</v>
      </c>
      <c r="K19" s="1346"/>
      <c r="L19" s="1341">
        <v>465018162</v>
      </c>
      <c r="M19" s="1348"/>
      <c r="N19" s="1346">
        <v>453744940</v>
      </c>
      <c r="O19" s="1346"/>
      <c r="P19" s="1346">
        <v>389283657</v>
      </c>
      <c r="Q19" s="1346"/>
      <c r="R19" s="1346">
        <v>448018093</v>
      </c>
      <c r="S19" s="1346"/>
      <c r="T19" s="1346">
        <f t="shared" si="0"/>
        <v>481298926</v>
      </c>
      <c r="U19" s="1346"/>
      <c r="V19" s="1346"/>
      <c r="W19" s="1346"/>
      <c r="X19" s="1346"/>
      <c r="Y19" s="1346"/>
      <c r="Z19" s="1346">
        <v>4568291161</v>
      </c>
    </row>
    <row r="20" spans="1:28" ht="15" customHeight="1">
      <c r="A20" s="834" t="s">
        <v>480</v>
      </c>
      <c r="B20" s="1341">
        <v>404000</v>
      </c>
      <c r="C20" s="1344"/>
      <c r="D20" s="1341">
        <v>903000</v>
      </c>
      <c r="E20" s="1341"/>
      <c r="F20" s="1341">
        <v>2574000</v>
      </c>
      <c r="G20" s="1341"/>
      <c r="H20" s="1341">
        <v>312000</v>
      </c>
      <c r="I20" s="1346"/>
      <c r="J20" s="1341">
        <v>94000</v>
      </c>
      <c r="K20" s="1349"/>
      <c r="L20" s="1341">
        <v>987000</v>
      </c>
      <c r="M20" s="1348"/>
      <c r="N20" s="1346">
        <v>280000</v>
      </c>
      <c r="O20" s="1346"/>
      <c r="P20" s="1346">
        <v>47000</v>
      </c>
      <c r="Q20" s="1346"/>
      <c r="R20" s="1346">
        <v>2545000</v>
      </c>
      <c r="S20" s="1346"/>
      <c r="T20" s="1346">
        <f t="shared" si="0"/>
        <v>579000</v>
      </c>
      <c r="U20" s="1346"/>
      <c r="V20" s="1346"/>
      <c r="W20" s="1352"/>
      <c r="X20" s="1346"/>
      <c r="Y20" s="1346"/>
      <c r="Z20" s="1346">
        <v>8725000</v>
      </c>
    </row>
    <row r="21" spans="1:28" ht="15" customHeight="1">
      <c r="A21" s="834" t="s">
        <v>481</v>
      </c>
      <c r="B21" s="1341">
        <v>4761424</v>
      </c>
      <c r="C21" s="1344"/>
      <c r="D21" s="1341">
        <v>362419</v>
      </c>
      <c r="E21" s="1341"/>
      <c r="F21" s="1341">
        <v>6001122</v>
      </c>
      <c r="G21" s="1341"/>
      <c r="H21" s="1341">
        <v>13400488</v>
      </c>
      <c r="I21" s="1346"/>
      <c r="J21" s="1341">
        <v>1044971</v>
      </c>
      <c r="K21" s="1349"/>
      <c r="L21" s="1341">
        <v>3626158</v>
      </c>
      <c r="M21" s="1348"/>
      <c r="N21" s="1346">
        <v>9624921</v>
      </c>
      <c r="O21" s="1346"/>
      <c r="P21" s="1346">
        <v>3786088</v>
      </c>
      <c r="Q21" s="1346"/>
      <c r="R21" s="1346">
        <v>3599685</v>
      </c>
      <c r="S21" s="1346"/>
      <c r="T21" s="1346">
        <f t="shared" si="0"/>
        <v>5019882</v>
      </c>
      <c r="U21" s="1346"/>
      <c r="V21" s="1346"/>
      <c r="W21" s="1352"/>
      <c r="X21" s="1346"/>
      <c r="Y21" s="1346"/>
      <c r="Z21" s="1346">
        <v>51227158</v>
      </c>
    </row>
    <row r="22" spans="1:28" ht="15" customHeight="1">
      <c r="A22" s="834" t="s">
        <v>482</v>
      </c>
      <c r="B22" s="1341">
        <v>0</v>
      </c>
      <c r="C22" s="1344"/>
      <c r="D22" s="1341">
        <v>0</v>
      </c>
      <c r="E22" s="1341"/>
      <c r="F22" s="1341">
        <v>0</v>
      </c>
      <c r="G22" s="1341"/>
      <c r="H22" s="1341">
        <v>0</v>
      </c>
      <c r="I22" s="1346"/>
      <c r="J22" s="1341">
        <v>0</v>
      </c>
      <c r="K22" s="1349"/>
      <c r="L22" s="1341">
        <v>0</v>
      </c>
      <c r="M22" s="1348"/>
      <c r="N22" s="1346">
        <v>0</v>
      </c>
      <c r="O22" s="1346"/>
      <c r="P22" s="1346">
        <v>0</v>
      </c>
      <c r="Q22" s="1346"/>
      <c r="R22" s="1346">
        <v>0</v>
      </c>
      <c r="S22" s="1346"/>
      <c r="T22" s="1346">
        <f t="shared" si="0"/>
        <v>0</v>
      </c>
      <c r="U22" s="1346"/>
      <c r="V22" s="1346"/>
      <c r="W22" s="1352"/>
      <c r="X22" s="1346"/>
      <c r="Y22" s="1346"/>
      <c r="Z22" s="1346">
        <v>0</v>
      </c>
    </row>
    <row r="23" spans="1:28" ht="15" customHeight="1">
      <c r="A23" s="834" t="s">
        <v>483</v>
      </c>
      <c r="B23" s="1341">
        <v>0</v>
      </c>
      <c r="C23" s="1917"/>
      <c r="D23" s="1341">
        <v>0</v>
      </c>
      <c r="E23" s="1341"/>
      <c r="F23" s="1341">
        <v>0</v>
      </c>
      <c r="G23" s="1341"/>
      <c r="H23" s="1341">
        <v>0</v>
      </c>
      <c r="I23" s="1346"/>
      <c r="J23" s="1341">
        <v>0</v>
      </c>
      <c r="K23" s="1346"/>
      <c r="L23" s="1341">
        <v>0</v>
      </c>
      <c r="M23" s="1348"/>
      <c r="N23" s="1346">
        <v>0</v>
      </c>
      <c r="O23" s="1346"/>
      <c r="P23" s="1346">
        <v>0</v>
      </c>
      <c r="Q23" s="1346"/>
      <c r="R23" s="1346">
        <v>0</v>
      </c>
      <c r="S23" s="1346"/>
      <c r="T23" s="1346">
        <f>$Z23-$B23-$D23-$F23-$H23-$J23-$L23-$N23-$P23-$R23</f>
        <v>0</v>
      </c>
      <c r="U23" s="1346"/>
      <c r="V23" s="1346"/>
      <c r="W23" s="1346"/>
      <c r="X23" s="1346"/>
      <c r="Y23" s="1346"/>
      <c r="Z23" s="1346">
        <v>0</v>
      </c>
    </row>
    <row r="24" spans="1:28" s="1815" customFormat="1" ht="22.5" customHeight="1">
      <c r="A24" s="516" t="s">
        <v>151</v>
      </c>
      <c r="B24" s="1918">
        <f>ROUND(SUM(B15:B23),0)</f>
        <v>604232352</v>
      </c>
      <c r="C24" s="512"/>
      <c r="D24" s="1918">
        <f>ROUND(SUM(D15:D23),0)</f>
        <v>507120579</v>
      </c>
      <c r="E24" s="513"/>
      <c r="F24" s="1918">
        <f>ROUND(SUM(F15:F23),0)</f>
        <v>492641789</v>
      </c>
      <c r="G24" s="513"/>
      <c r="H24" s="1918">
        <f>ROUND(SUM(H15:H23),0)</f>
        <v>586362738</v>
      </c>
      <c r="I24" s="1820"/>
      <c r="J24" s="1783">
        <f>ROUND(SUM(J15:J23),0)</f>
        <v>504939619</v>
      </c>
      <c r="K24" s="515"/>
      <c r="L24" s="1783">
        <f>ROUND(SUM(L15:L23),0)</f>
        <v>531944893</v>
      </c>
      <c r="M24" s="518"/>
      <c r="N24" s="1783">
        <f>ROUND(SUM(N15:N23),0)</f>
        <v>532197681</v>
      </c>
      <c r="O24" s="1820"/>
      <c r="P24" s="1783">
        <f>ROUND(SUM(P15:P23),0)</f>
        <v>453382567</v>
      </c>
      <c r="Q24" s="1820"/>
      <c r="R24" s="1783">
        <f>ROUND(SUM(R15:R23),0)</f>
        <v>525367042</v>
      </c>
      <c r="S24" s="1820"/>
      <c r="T24" s="1783">
        <f>ROUND(SUM(T15:T23),0)</f>
        <v>544681143</v>
      </c>
      <c r="U24" s="1820"/>
      <c r="V24" s="1783">
        <f>ROUND(SUM(V15:V23),0)</f>
        <v>0</v>
      </c>
      <c r="W24" s="1820"/>
      <c r="X24" s="1783">
        <f>ROUND(SUM(X15:X23),0)</f>
        <v>0</v>
      </c>
      <c r="Y24" s="1820"/>
      <c r="Z24" s="514">
        <f>ROUND(SUM(Z15:Z23),0)</f>
        <v>5282870403</v>
      </c>
      <c r="AA24" s="3611"/>
      <c r="AB24" s="1821"/>
    </row>
    <row r="25" spans="1:28" ht="15" customHeight="1">
      <c r="A25" s="1816"/>
      <c r="B25" s="1341"/>
      <c r="C25" s="1342"/>
      <c r="D25" s="1341"/>
      <c r="E25" s="1341"/>
      <c r="F25" s="1341"/>
      <c r="G25" s="1341"/>
      <c r="H25" s="1341"/>
      <c r="I25" s="1346"/>
      <c r="J25" s="1346"/>
      <c r="K25" s="1346"/>
      <c r="L25" s="1346"/>
      <c r="M25" s="1348"/>
      <c r="N25" s="1346"/>
      <c r="O25" s="1346"/>
      <c r="P25" s="1346"/>
      <c r="Q25" s="1346"/>
      <c r="R25" s="1346"/>
      <c r="S25" s="1346"/>
      <c r="T25" s="1346"/>
      <c r="U25" s="1346"/>
      <c r="V25" s="1346"/>
      <c r="W25" s="1346"/>
      <c r="X25" s="1346"/>
      <c r="Y25" s="1346"/>
      <c r="Z25" s="1343"/>
    </row>
    <row r="26" spans="1:28" ht="15" customHeight="1">
      <c r="A26" s="516" t="s">
        <v>23</v>
      </c>
      <c r="B26" s="1341"/>
      <c r="C26" s="1342"/>
      <c r="D26" s="1341"/>
      <c r="E26" s="1341"/>
      <c r="F26" s="1341"/>
      <c r="G26" s="1341"/>
      <c r="H26" s="1341"/>
      <c r="I26" s="1346"/>
      <c r="J26" s="1346"/>
      <c r="K26" s="1346"/>
      <c r="L26" s="1346"/>
      <c r="M26" s="1348"/>
      <c r="N26" s="1346"/>
      <c r="O26" s="1346"/>
      <c r="P26" s="1346"/>
      <c r="Q26" s="1346"/>
      <c r="R26" s="1346"/>
      <c r="S26" s="1346"/>
      <c r="T26" s="1346"/>
      <c r="U26" s="1346"/>
      <c r="V26" s="1346"/>
      <c r="W26" s="1346"/>
      <c r="X26" s="1346"/>
      <c r="Y26" s="1346"/>
      <c r="Z26" s="1343"/>
    </row>
    <row r="27" spans="1:28" ht="15" customHeight="1">
      <c r="A27" s="834" t="s">
        <v>484</v>
      </c>
      <c r="B27" s="1341">
        <v>57388500</v>
      </c>
      <c r="C27" s="1347"/>
      <c r="D27" s="1341">
        <v>753490762</v>
      </c>
      <c r="E27" s="1346"/>
      <c r="F27" s="1341">
        <v>467314025</v>
      </c>
      <c r="G27" s="1346"/>
      <c r="H27" s="1341">
        <v>461209200</v>
      </c>
      <c r="I27" s="1346"/>
      <c r="J27" s="1341">
        <v>773350315</v>
      </c>
      <c r="K27" s="1346"/>
      <c r="L27" s="1341">
        <v>580722220</v>
      </c>
      <c r="M27" s="1348"/>
      <c r="N27" s="1346">
        <v>449489176</v>
      </c>
      <c r="O27" s="1346"/>
      <c r="P27" s="1346">
        <v>368204270</v>
      </c>
      <c r="Q27" s="1346"/>
      <c r="R27" s="1346">
        <v>531251298</v>
      </c>
      <c r="S27" s="1346"/>
      <c r="T27" s="1346">
        <f t="shared" ref="T27:T31" si="1">$Z27-$B27-$D27-$F27-$H27-$J27-$L27-$N27-$P27-$R27</f>
        <v>519162242</v>
      </c>
      <c r="U27" s="1346"/>
      <c r="V27" s="1346"/>
      <c r="W27" s="1346"/>
      <c r="X27" s="1346"/>
      <c r="Y27" s="1346"/>
      <c r="Z27" s="1346">
        <v>4961582008</v>
      </c>
    </row>
    <row r="28" spans="1:28" ht="15" customHeight="1">
      <c r="A28" s="834" t="s">
        <v>485</v>
      </c>
      <c r="B28" s="1341">
        <v>1007</v>
      </c>
      <c r="C28" s="1347"/>
      <c r="D28" s="1341">
        <v>72</v>
      </c>
      <c r="E28" s="1346"/>
      <c r="F28" s="1341">
        <v>16</v>
      </c>
      <c r="G28" s="1346"/>
      <c r="H28" s="1341">
        <v>1654</v>
      </c>
      <c r="I28" s="1346"/>
      <c r="J28" s="1341">
        <v>331</v>
      </c>
      <c r="K28" s="1346"/>
      <c r="L28" s="1341">
        <v>105</v>
      </c>
      <c r="M28" s="1348"/>
      <c r="N28" s="1346">
        <v>1003</v>
      </c>
      <c r="O28" s="1346"/>
      <c r="P28" s="1346">
        <v>55</v>
      </c>
      <c r="Q28" s="1346"/>
      <c r="R28" s="1346">
        <v>1871</v>
      </c>
      <c r="S28" s="1346"/>
      <c r="T28" s="1346">
        <f t="shared" si="1"/>
        <v>2155</v>
      </c>
      <c r="U28" s="1346"/>
      <c r="V28" s="1346"/>
      <c r="W28" s="1346"/>
      <c r="X28" s="1346"/>
      <c r="Y28" s="1346"/>
      <c r="Z28" s="1346">
        <v>8269</v>
      </c>
      <c r="AB28" s="1822"/>
    </row>
    <row r="29" spans="1:28" ht="15" customHeight="1">
      <c r="A29" s="834" t="s">
        <v>486</v>
      </c>
      <c r="B29" s="1341">
        <v>541446</v>
      </c>
      <c r="C29" s="1347"/>
      <c r="D29" s="1341">
        <v>1589857</v>
      </c>
      <c r="E29" s="1346"/>
      <c r="F29" s="1341">
        <v>1742462</v>
      </c>
      <c r="G29" s="1346"/>
      <c r="H29" s="1341">
        <v>1042316</v>
      </c>
      <c r="I29" s="1346"/>
      <c r="J29" s="1341">
        <v>944621</v>
      </c>
      <c r="K29" s="1346"/>
      <c r="L29" s="1341">
        <v>1006723</v>
      </c>
      <c r="M29" s="1348"/>
      <c r="N29" s="1346">
        <v>1635676</v>
      </c>
      <c r="O29" s="1346"/>
      <c r="P29" s="1346">
        <v>1037444</v>
      </c>
      <c r="Q29" s="1346"/>
      <c r="R29" s="1346">
        <v>392768</v>
      </c>
      <c r="S29" s="1346"/>
      <c r="T29" s="1346">
        <f t="shared" si="1"/>
        <v>1371806</v>
      </c>
      <c r="U29" s="1346"/>
      <c r="V29" s="1346"/>
      <c r="W29" s="1346"/>
      <c r="X29" s="1346"/>
      <c r="Y29" s="1346"/>
      <c r="Z29" s="1346">
        <v>11305119</v>
      </c>
    </row>
    <row r="30" spans="1:28" ht="15" customHeight="1">
      <c r="A30" s="834" t="s">
        <v>487</v>
      </c>
      <c r="B30" s="1341">
        <v>1746620</v>
      </c>
      <c r="C30" s="1347"/>
      <c r="D30" s="1341">
        <v>3414743</v>
      </c>
      <c r="E30" s="1346"/>
      <c r="F30" s="1341">
        <v>4043595</v>
      </c>
      <c r="G30" s="1346"/>
      <c r="H30" s="1341">
        <v>3156138</v>
      </c>
      <c r="I30" s="1346"/>
      <c r="J30" s="1341">
        <v>2726729</v>
      </c>
      <c r="K30" s="1346"/>
      <c r="L30" s="1341">
        <v>2156664</v>
      </c>
      <c r="M30" s="1348"/>
      <c r="N30" s="1346">
        <v>7461050</v>
      </c>
      <c r="O30" s="1346"/>
      <c r="P30" s="1346">
        <v>3537859</v>
      </c>
      <c r="Q30" s="1346"/>
      <c r="R30" s="1346">
        <v>4073856</v>
      </c>
      <c r="S30" s="1346"/>
      <c r="T30" s="1346">
        <f t="shared" si="1"/>
        <v>5203488</v>
      </c>
      <c r="U30" s="1346"/>
      <c r="V30" s="1346"/>
      <c r="W30" s="1346"/>
      <c r="X30" s="1346"/>
      <c r="Y30" s="1346"/>
      <c r="Z30" s="1346">
        <v>37520742</v>
      </c>
    </row>
    <row r="31" spans="1:28" ht="15" customHeight="1">
      <c r="A31" s="834" t="s">
        <v>488</v>
      </c>
      <c r="B31" s="1341">
        <v>345719</v>
      </c>
      <c r="C31" s="1347"/>
      <c r="D31" s="1341">
        <v>445042</v>
      </c>
      <c r="E31" s="1346"/>
      <c r="F31" s="1341">
        <v>1682906</v>
      </c>
      <c r="G31" s="1346"/>
      <c r="H31" s="1341">
        <v>662367</v>
      </c>
      <c r="I31" s="1346"/>
      <c r="J31" s="1341">
        <v>602434</v>
      </c>
      <c r="K31" s="1346"/>
      <c r="L31" s="1341">
        <v>591118</v>
      </c>
      <c r="M31" s="1348"/>
      <c r="N31" s="1346">
        <v>630960</v>
      </c>
      <c r="O31" s="1346"/>
      <c r="P31" s="1346">
        <v>829183</v>
      </c>
      <c r="Q31" s="1346"/>
      <c r="R31" s="1346">
        <v>220952</v>
      </c>
      <c r="S31" s="1346"/>
      <c r="T31" s="1346">
        <f t="shared" si="1"/>
        <v>1158044</v>
      </c>
      <c r="U31" s="1346"/>
      <c r="V31" s="1346"/>
      <c r="W31" s="1346"/>
      <c r="X31" s="1346"/>
      <c r="Y31" s="1346"/>
      <c r="Z31" s="1346">
        <v>7168725</v>
      </c>
    </row>
    <row r="32" spans="1:28" ht="22.5" customHeight="1">
      <c r="A32" s="516" t="s">
        <v>157</v>
      </c>
      <c r="B32" s="1783">
        <f>ROUND(SUM(B27:B31),0)</f>
        <v>60023292</v>
      </c>
      <c r="C32" s="1347"/>
      <c r="D32" s="1783">
        <f>ROUND(SUM(D27:D31),0)</f>
        <v>758940476</v>
      </c>
      <c r="E32" s="1346"/>
      <c r="F32" s="1783">
        <f>ROUND(SUM(F27:F31),0)</f>
        <v>474783004</v>
      </c>
      <c r="G32" s="1346"/>
      <c r="H32" s="1783">
        <f>ROUND(SUM(H27:H31),0)</f>
        <v>466071675</v>
      </c>
      <c r="I32" s="1346"/>
      <c r="J32" s="1783">
        <f>ROUND(SUM(J27:J31),0)</f>
        <v>777624430</v>
      </c>
      <c r="K32" s="1346"/>
      <c r="L32" s="1783">
        <f>ROUND(SUM(L27:L31),0)</f>
        <v>584476830</v>
      </c>
      <c r="M32" s="1348"/>
      <c r="N32" s="1783">
        <f>ROUND(SUM(N27:N31),0)</f>
        <v>459217865</v>
      </c>
      <c r="O32" s="1346"/>
      <c r="P32" s="1783">
        <f>ROUND(SUM(P27:P31),0)</f>
        <v>373608811</v>
      </c>
      <c r="Q32" s="1346"/>
      <c r="R32" s="1783">
        <f>ROUND(SUM(R27:R31),0)</f>
        <v>535940745</v>
      </c>
      <c r="S32" s="1346"/>
      <c r="T32" s="1783">
        <f>ROUND(SUM(T27:T31),0)</f>
        <v>526897735</v>
      </c>
      <c r="U32" s="1346"/>
      <c r="V32" s="1783">
        <f>ROUND(SUM(V27:V31),0)</f>
        <v>0</v>
      </c>
      <c r="W32" s="1346"/>
      <c r="X32" s="1783">
        <f>ROUND(SUM(X27:X31),0)</f>
        <v>0</v>
      </c>
      <c r="Y32" s="1346"/>
      <c r="Z32" s="514">
        <f>ROUND(SUM(Z27:Z31),0)</f>
        <v>5017584863</v>
      </c>
    </row>
    <row r="33" spans="1:28" ht="15" customHeight="1">
      <c r="A33" s="516"/>
      <c r="B33" s="1346"/>
      <c r="C33" s="1347"/>
      <c r="D33" s="1346"/>
      <c r="E33" s="1346"/>
      <c r="F33" s="1352"/>
      <c r="G33" s="1346"/>
      <c r="H33" s="1352"/>
      <c r="I33" s="1346"/>
      <c r="J33" s="1346"/>
      <c r="K33" s="1346"/>
      <c r="L33" s="1346"/>
      <c r="M33" s="1348"/>
      <c r="N33" s="1346"/>
      <c r="O33" s="1346"/>
      <c r="P33" s="1346"/>
      <c r="Q33" s="1346"/>
      <c r="R33" s="1346"/>
      <c r="S33" s="1346"/>
      <c r="T33" s="1346"/>
      <c r="U33" s="1346"/>
      <c r="V33" s="1346"/>
      <c r="W33" s="1346"/>
      <c r="X33" s="1346"/>
      <c r="Y33" s="1346"/>
      <c r="Z33" s="1343"/>
    </row>
    <row r="34" spans="1:28" ht="15" customHeight="1">
      <c r="A34" s="517" t="s">
        <v>489</v>
      </c>
      <c r="B34" s="1352"/>
      <c r="C34" s="1353"/>
      <c r="D34" s="1352"/>
      <c r="E34" s="1346"/>
      <c r="F34" s="1351"/>
      <c r="G34" s="1346"/>
      <c r="H34" s="1352"/>
      <c r="I34" s="1346"/>
      <c r="J34" s="1352"/>
      <c r="K34" s="1346"/>
      <c r="L34" s="1352"/>
      <c r="M34" s="1348"/>
      <c r="N34" s="1352"/>
      <c r="O34" s="1346"/>
      <c r="P34" s="1352"/>
      <c r="Q34" s="1346"/>
      <c r="R34" s="1352"/>
      <c r="S34" s="1346"/>
      <c r="T34" s="1352"/>
      <c r="U34" s="1346"/>
      <c r="V34" s="1352"/>
      <c r="W34" s="1346"/>
      <c r="X34" s="1352"/>
      <c r="Y34" s="1346"/>
      <c r="Z34" s="1343"/>
    </row>
    <row r="35" spans="1:28" ht="15" customHeight="1">
      <c r="A35" s="834" t="s">
        <v>490</v>
      </c>
      <c r="B35" s="1341">
        <v>0</v>
      </c>
      <c r="C35" s="1353"/>
      <c r="D35" s="1341">
        <v>0</v>
      </c>
      <c r="E35" s="1346"/>
      <c r="F35" s="1341">
        <v>0</v>
      </c>
      <c r="G35" s="1346"/>
      <c r="H35" s="1341">
        <v>0</v>
      </c>
      <c r="I35" s="1346"/>
      <c r="J35" s="1341">
        <v>0</v>
      </c>
      <c r="K35" s="1346"/>
      <c r="L35" s="1341">
        <v>0</v>
      </c>
      <c r="M35" s="1348"/>
      <c r="N35" s="1346">
        <v>0</v>
      </c>
      <c r="O35" s="1346"/>
      <c r="P35" s="1346">
        <v>0</v>
      </c>
      <c r="Q35" s="1346"/>
      <c r="R35" s="1346">
        <v>0</v>
      </c>
      <c r="S35" s="1346"/>
      <c r="T35" s="1346">
        <f t="shared" ref="T35:T41" si="2">$Z35-$B35-$D35-$F35-$H35-$J35-$L35-$N35-$P35-$R35</f>
        <v>0</v>
      </c>
      <c r="U35" s="1346"/>
      <c r="V35" s="1346"/>
      <c r="W35" s="1346"/>
      <c r="X35" s="1346"/>
      <c r="Y35" s="1346"/>
      <c r="Z35" s="1346">
        <v>0</v>
      </c>
    </row>
    <row r="36" spans="1:28" ht="15" customHeight="1">
      <c r="A36" s="834" t="s">
        <v>491</v>
      </c>
      <c r="B36" s="1341">
        <v>0</v>
      </c>
      <c r="C36" s="1353"/>
      <c r="D36" s="1341">
        <v>0</v>
      </c>
      <c r="E36" s="1346"/>
      <c r="F36" s="1341">
        <v>26968</v>
      </c>
      <c r="G36" s="1346"/>
      <c r="H36" s="1341">
        <v>0</v>
      </c>
      <c r="I36" s="1346"/>
      <c r="J36" s="1341">
        <v>0</v>
      </c>
      <c r="K36" s="1346"/>
      <c r="L36" s="1341">
        <v>0</v>
      </c>
      <c r="M36" s="1348"/>
      <c r="N36" s="1346">
        <v>0</v>
      </c>
      <c r="O36" s="1346"/>
      <c r="P36" s="1346">
        <v>0</v>
      </c>
      <c r="Q36" s="1346"/>
      <c r="R36" s="1346">
        <v>233500</v>
      </c>
      <c r="S36" s="1346"/>
      <c r="T36" s="1346">
        <f t="shared" si="2"/>
        <v>0</v>
      </c>
      <c r="U36" s="1346"/>
      <c r="V36" s="1346"/>
      <c r="W36" s="1346"/>
      <c r="X36" s="1346"/>
      <c r="Y36" s="1346"/>
      <c r="Z36" s="1346">
        <v>260468</v>
      </c>
    </row>
    <row r="37" spans="1:28" ht="15" customHeight="1">
      <c r="A37" s="834" t="s">
        <v>146</v>
      </c>
      <c r="B37" s="1341">
        <v>0</v>
      </c>
      <c r="C37" s="1353"/>
      <c r="D37" s="1341">
        <v>0</v>
      </c>
      <c r="E37" s="1346"/>
      <c r="F37" s="1341">
        <v>0</v>
      </c>
      <c r="G37" s="1346"/>
      <c r="H37" s="1341">
        <v>0</v>
      </c>
      <c r="I37" s="1346"/>
      <c r="J37" s="1341">
        <v>3027025</v>
      </c>
      <c r="K37" s="1346"/>
      <c r="L37" s="1341">
        <v>3754806</v>
      </c>
      <c r="M37" s="1348"/>
      <c r="N37" s="1346">
        <v>0</v>
      </c>
      <c r="O37" s="1346"/>
      <c r="P37" s="1346">
        <v>0</v>
      </c>
      <c r="Q37" s="1346"/>
      <c r="R37" s="1346">
        <v>0</v>
      </c>
      <c r="S37" s="1346"/>
      <c r="T37" s="1346">
        <f t="shared" si="2"/>
        <v>0</v>
      </c>
      <c r="U37" s="1346"/>
      <c r="V37" s="1346"/>
      <c r="W37" s="1346"/>
      <c r="X37" s="1346"/>
      <c r="Y37" s="1346"/>
      <c r="Z37" s="1346">
        <v>6781831</v>
      </c>
    </row>
    <row r="38" spans="1:28" ht="13.5" customHeight="1">
      <c r="A38" s="834" t="s">
        <v>492</v>
      </c>
      <c r="B38" s="1341" t="s">
        <v>15</v>
      </c>
      <c r="C38" s="1920"/>
      <c r="D38" s="1341"/>
      <c r="E38" s="1920"/>
      <c r="F38" s="1341"/>
      <c r="G38" s="1920"/>
      <c r="H38" s="1341"/>
      <c r="I38" s="1823"/>
      <c r="J38" s="1341"/>
      <c r="K38" s="1823"/>
      <c r="L38" s="1341"/>
      <c r="M38" s="1348"/>
      <c r="N38" s="1346"/>
      <c r="O38" s="1823"/>
      <c r="P38" s="1346"/>
      <c r="Q38" s="1823"/>
      <c r="R38" s="1346"/>
      <c r="S38" s="1823"/>
      <c r="T38" s="1346"/>
      <c r="U38" s="1823"/>
      <c r="V38" s="1346"/>
      <c r="W38" s="1823"/>
      <c r="X38" s="1346"/>
      <c r="Y38" s="1823"/>
      <c r="Z38" s="1823"/>
    </row>
    <row r="39" spans="1:28" ht="13.5" customHeight="1">
      <c r="A39" s="834" t="s">
        <v>493</v>
      </c>
      <c r="B39" s="1341">
        <v>0</v>
      </c>
      <c r="C39" s="1353"/>
      <c r="D39" s="1341">
        <v>350000</v>
      </c>
      <c r="E39" s="1346"/>
      <c r="F39" s="1341">
        <v>0</v>
      </c>
      <c r="G39" s="1346"/>
      <c r="H39" s="1341">
        <v>386000</v>
      </c>
      <c r="I39" s="1346"/>
      <c r="J39" s="1341">
        <v>0</v>
      </c>
      <c r="K39" s="1346"/>
      <c r="L39" s="1341">
        <v>0</v>
      </c>
      <c r="M39" s="1348"/>
      <c r="N39" s="1346">
        <v>0</v>
      </c>
      <c r="O39" s="1346"/>
      <c r="P39" s="1346">
        <v>385000</v>
      </c>
      <c r="Q39" s="1346"/>
      <c r="R39" s="1346">
        <v>0</v>
      </c>
      <c r="S39" s="1346"/>
      <c r="T39" s="1346">
        <f t="shared" si="2"/>
        <v>0</v>
      </c>
      <c r="U39" s="1346"/>
      <c r="V39" s="1346"/>
      <c r="W39" s="1346"/>
      <c r="X39" s="1346"/>
      <c r="Y39" s="1346"/>
      <c r="Z39" s="1346">
        <v>1121000</v>
      </c>
    </row>
    <row r="40" spans="1:28" ht="13.5" customHeight="1">
      <c r="A40" s="834" t="s">
        <v>494</v>
      </c>
      <c r="B40" s="1341">
        <v>0</v>
      </c>
      <c r="C40" s="1353"/>
      <c r="D40" s="1341">
        <v>6661750</v>
      </c>
      <c r="E40" s="1346"/>
      <c r="F40" s="1341">
        <v>0</v>
      </c>
      <c r="G40" s="1346"/>
      <c r="H40" s="1341">
        <v>0</v>
      </c>
      <c r="I40" s="1346"/>
      <c r="J40" s="1341">
        <v>6661750</v>
      </c>
      <c r="K40" s="1346"/>
      <c r="L40" s="1341">
        <v>0</v>
      </c>
      <c r="M40" s="1348"/>
      <c r="N40" s="1346">
        <v>0</v>
      </c>
      <c r="O40" s="1346"/>
      <c r="P40" s="1346">
        <v>6661750</v>
      </c>
      <c r="Q40" s="1346"/>
      <c r="R40" s="1346">
        <v>0</v>
      </c>
      <c r="S40" s="1346"/>
      <c r="T40" s="1346">
        <f t="shared" si="2"/>
        <v>0</v>
      </c>
      <c r="U40" s="1346"/>
      <c r="V40" s="1346"/>
      <c r="W40" s="1346"/>
      <c r="X40" s="1346"/>
      <c r="Y40" s="1346"/>
      <c r="Z40" s="1346">
        <v>19985250</v>
      </c>
    </row>
    <row r="41" spans="1:28" ht="15" customHeight="1">
      <c r="A41" s="834" t="s">
        <v>495</v>
      </c>
      <c r="B41" s="1341">
        <v>1068535</v>
      </c>
      <c r="C41" s="1353"/>
      <c r="D41" s="1341">
        <v>746680</v>
      </c>
      <c r="E41" s="1346"/>
      <c r="F41" s="1341">
        <v>1000923</v>
      </c>
      <c r="G41" s="1346"/>
      <c r="H41" s="1341">
        <v>0</v>
      </c>
      <c r="I41" s="1346"/>
      <c r="J41" s="1341">
        <v>958738</v>
      </c>
      <c r="K41" s="1346"/>
      <c r="L41" s="1341">
        <v>815765</v>
      </c>
      <c r="M41" s="1348"/>
      <c r="N41" s="1346">
        <v>815075</v>
      </c>
      <c r="O41" s="1346"/>
      <c r="P41" s="1346">
        <v>846680</v>
      </c>
      <c r="Q41" s="1346"/>
      <c r="R41" s="1346">
        <v>0</v>
      </c>
      <c r="S41" s="1346"/>
      <c r="T41" s="1346">
        <f t="shared" si="2"/>
        <v>427781</v>
      </c>
      <c r="U41" s="1346"/>
      <c r="V41" s="1346"/>
      <c r="W41" s="1346"/>
      <c r="X41" s="1346"/>
      <c r="Y41" s="1346"/>
      <c r="Z41" s="1346">
        <v>6680177</v>
      </c>
    </row>
    <row r="42" spans="1:28" ht="22.5" customHeight="1">
      <c r="A42" s="516" t="s">
        <v>496</v>
      </c>
      <c r="B42" s="1921">
        <f>ROUND(SUM(B35:B41),0)</f>
        <v>1068535</v>
      </c>
      <c r="C42" s="1344"/>
      <c r="D42" s="1921">
        <f>ROUND(SUM(D35:D41),0)</f>
        <v>7758430</v>
      </c>
      <c r="E42" s="1341"/>
      <c r="F42" s="1921">
        <f>ROUND(SUM(F35:F41),0)</f>
        <v>1027891</v>
      </c>
      <c r="G42" s="1341"/>
      <c r="H42" s="1921">
        <f>ROUND(SUM(H35:H41),0)</f>
        <v>386000</v>
      </c>
      <c r="I42" s="1346"/>
      <c r="J42" s="1824">
        <f>ROUND(SUM(J35:J41),0)</f>
        <v>10647513</v>
      </c>
      <c r="K42" s="1346"/>
      <c r="L42" s="1824">
        <f>ROUND(SUM(L35:L41),0)</f>
        <v>4570571</v>
      </c>
      <c r="M42" s="1348"/>
      <c r="N42" s="1824">
        <f>ROUND(SUM(N35:N41),0)</f>
        <v>815075</v>
      </c>
      <c r="O42" s="1346"/>
      <c r="P42" s="1824">
        <f>ROUND(SUM(P35:P41),0)</f>
        <v>7893430</v>
      </c>
      <c r="Q42" s="1346"/>
      <c r="R42" s="1824">
        <f>ROUND(SUM(R35:R41),0)</f>
        <v>233500</v>
      </c>
      <c r="S42" s="1346"/>
      <c r="T42" s="1824">
        <f>ROUND(SUM(T35:T41),0)</f>
        <v>427781</v>
      </c>
      <c r="U42" s="1346"/>
      <c r="V42" s="1824">
        <f>ROUND(SUM(V35:V41),0)</f>
        <v>0</v>
      </c>
      <c r="W42" s="1346"/>
      <c r="X42" s="1824">
        <f>ROUND(SUM(X35:X41),0)</f>
        <v>0</v>
      </c>
      <c r="Y42" s="1346"/>
      <c r="Z42" s="1825">
        <f>ROUND(SUM(Z35:Z41),0)</f>
        <v>34828726</v>
      </c>
    </row>
    <row r="43" spans="1:28" ht="15" customHeight="1">
      <c r="B43" s="1922"/>
      <c r="C43" s="1344"/>
      <c r="D43" s="1922"/>
      <c r="E43" s="1341"/>
      <c r="F43" s="1923"/>
      <c r="G43" s="1341"/>
      <c r="H43" s="1922"/>
      <c r="I43" s="1346"/>
      <c r="J43" s="1826"/>
      <c r="K43" s="1346"/>
      <c r="L43" s="1826"/>
      <c r="M43" s="1348"/>
      <c r="N43" s="1826"/>
      <c r="O43" s="1346"/>
      <c r="P43" s="1826"/>
      <c r="Q43" s="1346"/>
      <c r="R43" s="1826"/>
      <c r="S43" s="1346"/>
      <c r="T43" s="1826"/>
      <c r="U43" s="1346"/>
      <c r="V43" s="1826"/>
      <c r="W43" s="1346"/>
      <c r="X43" s="1826"/>
      <c r="Y43" s="1346"/>
      <c r="Z43" s="1827"/>
    </row>
    <row r="44" spans="1:28" s="1815" customFormat="1" ht="20.25" customHeight="1">
      <c r="A44" s="516" t="s">
        <v>497</v>
      </c>
      <c r="B44" s="1355">
        <f>ROUND(B32+B42,0)</f>
        <v>61091827</v>
      </c>
      <c r="C44" s="512"/>
      <c r="D44" s="1355">
        <f>ROUND(D32+D42,0)</f>
        <v>766698906</v>
      </c>
      <c r="E44" s="513"/>
      <c r="F44" s="1355">
        <f>ROUND(F32+F42,0)</f>
        <v>475810895</v>
      </c>
      <c r="G44" s="513"/>
      <c r="H44" s="1355">
        <f>ROUND(H32+H42,0)</f>
        <v>466457675</v>
      </c>
      <c r="I44" s="1820"/>
      <c r="J44" s="1828">
        <f>ROUND(J32+J42,0)</f>
        <v>788271943</v>
      </c>
      <c r="K44" s="515"/>
      <c r="L44" s="1828">
        <f>ROUND(L32+L42,0)</f>
        <v>589047401</v>
      </c>
      <c r="M44" s="518"/>
      <c r="N44" s="1828">
        <f>ROUND(N32+N42,0)</f>
        <v>460032940</v>
      </c>
      <c r="O44" s="1820"/>
      <c r="P44" s="1828">
        <f>ROUND(P32+P42,0)</f>
        <v>381502241</v>
      </c>
      <c r="Q44" s="1820"/>
      <c r="R44" s="1828">
        <f>ROUND(R32+R42,0)</f>
        <v>536174245</v>
      </c>
      <c r="S44" s="1820"/>
      <c r="T44" s="1828">
        <f>ROUND(T32+T42,0)</f>
        <v>527325516</v>
      </c>
      <c r="U44" s="1820"/>
      <c r="V44" s="1828">
        <f>ROUND(V32+V42,0)</f>
        <v>0</v>
      </c>
      <c r="W44" s="1820"/>
      <c r="X44" s="1828">
        <f>ROUND(X32+X42,0)</f>
        <v>0</v>
      </c>
      <c r="Y44" s="1820"/>
      <c r="Z44" s="1828">
        <f>ROUND(Z32+Z42,0)</f>
        <v>5052413589</v>
      </c>
      <c r="AA44" s="3611"/>
      <c r="AB44" s="1821"/>
    </row>
    <row r="45" spans="1:28" ht="15" customHeight="1">
      <c r="A45" s="1816"/>
      <c r="B45" s="1339"/>
      <c r="C45" s="1339"/>
      <c r="D45" s="1339"/>
      <c r="E45" s="1338"/>
      <c r="F45" s="1339"/>
      <c r="G45" s="1338"/>
      <c r="H45" s="1339"/>
      <c r="I45" s="1348"/>
      <c r="J45" s="1817"/>
      <c r="K45" s="1817"/>
      <c r="L45" s="1817"/>
      <c r="M45" s="1348"/>
      <c r="N45" s="1817"/>
      <c r="O45" s="1348"/>
      <c r="P45" s="1817"/>
      <c r="Q45" s="1348"/>
      <c r="R45" s="1817"/>
      <c r="S45" s="1348"/>
      <c r="T45" s="1817"/>
      <c r="U45" s="1348"/>
      <c r="V45" s="1817"/>
      <c r="W45" s="1348"/>
      <c r="X45" s="1817"/>
      <c r="Y45" s="1348"/>
      <c r="Z45" s="1829"/>
    </row>
    <row r="46" spans="1:28" s="1815" customFormat="1" ht="20.25" customHeight="1" thickBot="1">
      <c r="A46" s="517" t="s">
        <v>498</v>
      </c>
      <c r="B46" s="1612">
        <f>ROUND(B12+B24-B44,0)</f>
        <v>543140525</v>
      </c>
      <c r="C46" s="507"/>
      <c r="D46" s="1612">
        <f>ROUND(D12+D24-D44,0)</f>
        <v>283562198</v>
      </c>
      <c r="E46" s="1336"/>
      <c r="F46" s="1612">
        <f>ROUND(F12+F24-F44,0)</f>
        <v>300393092</v>
      </c>
      <c r="G46" s="1336"/>
      <c r="H46" s="1612">
        <f>ROUND(H12+H24-H44,0)</f>
        <v>420298155</v>
      </c>
      <c r="I46" s="1814"/>
      <c r="J46" s="1830">
        <f>ROUND(J12+J24-J44,0)</f>
        <v>136965831</v>
      </c>
      <c r="K46" s="508"/>
      <c r="L46" s="1830">
        <f>ROUND(L12+L24-L44,0)</f>
        <v>79863323</v>
      </c>
      <c r="M46" s="518"/>
      <c r="N46" s="1830">
        <f>ROUND(N12+N24-N44,0)</f>
        <v>152028064</v>
      </c>
      <c r="O46" s="519"/>
      <c r="P46" s="1830">
        <f>ROUND(P12+P24-P44,0)</f>
        <v>223908390</v>
      </c>
      <c r="Q46" s="519"/>
      <c r="R46" s="1830">
        <f>ROUND(R12+R24-R44,0)</f>
        <v>213101187</v>
      </c>
      <c r="S46" s="519"/>
      <c r="T46" s="1830">
        <f>ROUND(T12+T24-T44,0)</f>
        <v>230456814</v>
      </c>
      <c r="U46" s="519"/>
      <c r="V46" s="1830">
        <f>ROUND(V12+V24-V44,0)</f>
        <v>0</v>
      </c>
      <c r="W46" s="519"/>
      <c r="X46" s="1830">
        <f>ROUND(X12+X24-X44,0)</f>
        <v>0</v>
      </c>
      <c r="Y46" s="519"/>
      <c r="Z46" s="3137">
        <f>ROUND(Z12+Z24-Z44,0)</f>
        <v>230456814</v>
      </c>
      <c r="AA46" s="3611"/>
    </row>
    <row r="47" spans="1:28" ht="15" customHeight="1" thickTop="1">
      <c r="A47" s="1816"/>
      <c r="B47" s="1334"/>
      <c r="C47" s="1334"/>
      <c r="D47" s="1334"/>
      <c r="E47" s="1357"/>
      <c r="F47" s="1334"/>
      <c r="G47" s="1357"/>
      <c r="H47" s="1334"/>
      <c r="I47" s="1831"/>
      <c r="J47" s="1810"/>
      <c r="K47" s="1810"/>
      <c r="L47" s="1810"/>
      <c r="M47" s="1831"/>
      <c r="N47" s="1810"/>
      <c r="O47" s="1831"/>
      <c r="P47" s="1810"/>
      <c r="Q47" s="1831"/>
      <c r="R47" s="1810"/>
      <c r="S47" s="1831"/>
      <c r="T47" s="1810"/>
      <c r="U47" s="1831"/>
      <c r="V47" s="1810"/>
      <c r="W47" s="1831"/>
      <c r="X47" s="1810"/>
      <c r="Y47" s="1831"/>
      <c r="Z47" s="1829"/>
    </row>
    <row r="48" spans="1:28" ht="20.100000000000001" customHeight="1">
      <c r="A48" s="1832"/>
      <c r="B48" s="1358"/>
      <c r="C48" s="1358"/>
      <c r="D48" s="1358"/>
      <c r="E48" s="1335"/>
      <c r="F48" s="1358"/>
      <c r="G48" s="1335"/>
      <c r="H48" s="1358"/>
      <c r="I48" s="1811"/>
      <c r="J48" s="1833"/>
      <c r="K48" s="1833"/>
      <c r="L48" s="1833"/>
      <c r="M48" s="1811"/>
      <c r="N48" s="1833"/>
      <c r="O48" s="1811"/>
      <c r="P48" s="1833"/>
      <c r="Q48" s="1811"/>
      <c r="R48" s="1833"/>
      <c r="S48" s="1811"/>
      <c r="T48" s="1833"/>
      <c r="U48" s="1811"/>
      <c r="V48" s="1833"/>
      <c r="W48" s="1811"/>
      <c r="X48" s="1833"/>
      <c r="Y48" s="1811"/>
      <c r="Z48" s="1815"/>
    </row>
    <row r="50" spans="1:26" ht="18" customHeight="1">
      <c r="A50" s="1834"/>
      <c r="B50" s="1330"/>
      <c r="C50" s="1330"/>
      <c r="D50" s="1330"/>
      <c r="E50" s="488"/>
      <c r="F50" s="1330"/>
      <c r="G50" s="488"/>
      <c r="H50" s="1330"/>
      <c r="I50" s="1789"/>
      <c r="J50" s="1793"/>
      <c r="K50" s="1793"/>
      <c r="L50" s="1793"/>
      <c r="M50" s="1811"/>
      <c r="N50" s="1793"/>
      <c r="O50" s="1789"/>
      <c r="P50" s="1793"/>
      <c r="Q50" s="1789"/>
      <c r="R50" s="1793"/>
      <c r="S50" s="1789"/>
      <c r="T50" s="1793"/>
      <c r="U50" s="1789"/>
      <c r="V50" s="1793"/>
      <c r="W50" s="1789"/>
      <c r="X50" s="1793"/>
      <c r="Y50" s="1789"/>
      <c r="Z50" s="1795"/>
    </row>
    <row r="51" spans="1:26" ht="20.100000000000001" customHeight="1">
      <c r="A51" s="1803"/>
      <c r="B51" s="1358"/>
      <c r="C51" s="1358"/>
      <c r="D51" s="1358"/>
      <c r="E51" s="1335"/>
      <c r="F51" s="1358"/>
      <c r="G51" s="1335"/>
      <c r="H51" s="1358"/>
      <c r="I51" s="1811"/>
      <c r="J51" s="1833"/>
      <c r="K51" s="1833"/>
      <c r="L51" s="1833"/>
      <c r="M51" s="1811"/>
      <c r="N51" s="1833"/>
      <c r="O51" s="1811"/>
      <c r="P51" s="1833"/>
      <c r="Q51" s="1811"/>
      <c r="R51" s="1833"/>
      <c r="S51" s="1811"/>
      <c r="T51" s="1833"/>
      <c r="U51" s="1811"/>
      <c r="V51" s="1833"/>
      <c r="W51" s="1811"/>
      <c r="X51" s="1833"/>
      <c r="Y51" s="1811"/>
      <c r="Z51" s="1818"/>
    </row>
    <row r="52" spans="1:26" ht="20.100000000000001" customHeight="1">
      <c r="A52" s="1803"/>
      <c r="B52" s="1358"/>
      <c r="C52" s="1358"/>
      <c r="D52" s="1358"/>
      <c r="E52" s="1335"/>
      <c r="F52" s="1358"/>
      <c r="G52" s="1335"/>
      <c r="H52" s="1358"/>
      <c r="I52" s="1811"/>
      <c r="J52" s="1833"/>
      <c r="K52" s="1833"/>
      <c r="L52" s="1833"/>
      <c r="M52" s="1811"/>
      <c r="N52" s="1833"/>
      <c r="O52" s="1811"/>
      <c r="P52" s="1833"/>
      <c r="Q52" s="1811"/>
      <c r="R52" s="1833"/>
      <c r="S52" s="1811"/>
      <c r="T52" s="1833"/>
      <c r="U52" s="1811"/>
      <c r="V52" s="1833"/>
      <c r="W52" s="1811"/>
      <c r="X52" s="1833"/>
      <c r="Y52" s="1811"/>
      <c r="Z52" s="1818"/>
    </row>
    <row r="53" spans="1:26" ht="20.100000000000001" customHeight="1">
      <c r="A53" s="1800"/>
      <c r="B53" s="487"/>
      <c r="C53" s="487"/>
      <c r="D53" s="487"/>
      <c r="E53" s="488"/>
      <c r="F53" s="487"/>
      <c r="G53" s="488"/>
      <c r="H53" s="487"/>
      <c r="I53" s="1789"/>
      <c r="J53" s="1788"/>
      <c r="K53" s="1788"/>
      <c r="L53" s="1788"/>
      <c r="M53" s="1789"/>
      <c r="N53" s="1788"/>
      <c r="O53" s="1789"/>
      <c r="P53" s="1788"/>
      <c r="Q53" s="1789"/>
      <c r="R53" s="1788"/>
      <c r="S53" s="1789"/>
      <c r="T53" s="1788"/>
      <c r="U53" s="1789"/>
      <c r="V53" s="1788"/>
      <c r="W53" s="1789"/>
      <c r="X53" s="1788"/>
      <c r="Y53" s="1789"/>
      <c r="Z53" s="1835"/>
    </row>
    <row r="54" spans="1:26" ht="20.100000000000001" customHeight="1">
      <c r="A54" s="1800"/>
      <c r="B54" s="487"/>
      <c r="C54" s="487"/>
      <c r="D54" s="487"/>
      <c r="E54" s="488"/>
      <c r="F54" s="487"/>
      <c r="G54" s="488"/>
      <c r="H54" s="487"/>
      <c r="I54" s="1789"/>
      <c r="J54" s="1788"/>
      <c r="K54" s="1788"/>
      <c r="L54" s="1788"/>
      <c r="M54" s="1789"/>
      <c r="N54" s="1788"/>
      <c r="O54" s="1789"/>
      <c r="P54" s="1788"/>
      <c r="Q54" s="1789"/>
      <c r="R54" s="1788"/>
      <c r="S54" s="1789"/>
      <c r="T54" s="1788"/>
      <c r="U54" s="1789"/>
      <c r="V54" s="1788"/>
      <c r="W54" s="1789"/>
      <c r="X54" s="1788"/>
      <c r="Y54" s="1789"/>
      <c r="Z54" s="1835"/>
    </row>
    <row r="55" spans="1:26" ht="20.100000000000001" customHeight="1">
      <c r="A55" s="1800"/>
      <c r="B55" s="487"/>
      <c r="C55" s="487"/>
      <c r="D55" s="487"/>
      <c r="E55" s="488"/>
      <c r="F55" s="487"/>
      <c r="G55" s="488"/>
      <c r="H55" s="487"/>
      <c r="I55" s="1789"/>
      <c r="J55" s="1788"/>
      <c r="K55" s="1788"/>
      <c r="L55" s="1788"/>
      <c r="M55" s="1789"/>
      <c r="N55" s="1788"/>
      <c r="O55" s="1789"/>
      <c r="P55" s="1788"/>
      <c r="Q55" s="1789"/>
      <c r="R55" s="1788"/>
      <c r="S55" s="1789"/>
      <c r="T55" s="1788"/>
      <c r="U55" s="1789"/>
      <c r="V55" s="1788"/>
      <c r="W55" s="1789"/>
      <c r="X55" s="1788"/>
      <c r="Y55" s="1789"/>
      <c r="Z55" s="1835"/>
    </row>
    <row r="56" spans="1:26" ht="20.100000000000001" customHeight="1">
      <c r="A56" s="1800"/>
      <c r="B56" s="487"/>
      <c r="C56" s="487"/>
      <c r="D56" s="487"/>
      <c r="E56" s="488"/>
      <c r="F56" s="487"/>
      <c r="G56" s="488"/>
      <c r="H56" s="487"/>
      <c r="I56" s="1789"/>
      <c r="J56" s="1788"/>
      <c r="K56" s="1788"/>
      <c r="L56" s="1788"/>
      <c r="M56" s="1789"/>
      <c r="N56" s="1788"/>
      <c r="O56" s="1789"/>
      <c r="P56" s="1788"/>
      <c r="Q56" s="1789"/>
      <c r="R56" s="1788"/>
      <c r="S56" s="1789"/>
      <c r="T56" s="1788"/>
      <c r="U56" s="1789"/>
      <c r="V56" s="1788"/>
      <c r="W56" s="1789"/>
      <c r="X56" s="1788"/>
      <c r="Y56" s="1789"/>
      <c r="Z56" s="1835"/>
    </row>
    <row r="57" spans="1:26" ht="20.100000000000001" customHeight="1">
      <c r="A57" s="1800"/>
      <c r="B57" s="487"/>
      <c r="C57" s="487"/>
      <c r="D57" s="487"/>
      <c r="E57" s="488"/>
      <c r="F57" s="487"/>
      <c r="G57" s="488"/>
      <c r="H57" s="487"/>
      <c r="I57" s="1789"/>
      <c r="J57" s="1788"/>
      <c r="K57" s="1788"/>
      <c r="L57" s="1788"/>
      <c r="M57" s="1789"/>
      <c r="N57" s="1788"/>
      <c r="O57" s="1789"/>
      <c r="P57" s="1788"/>
      <c r="Q57" s="1789"/>
      <c r="R57" s="1788"/>
      <c r="S57" s="1789"/>
      <c r="T57" s="1788"/>
      <c r="U57" s="1789"/>
      <c r="V57" s="1788"/>
      <c r="W57" s="1789"/>
      <c r="X57" s="1788"/>
      <c r="Y57" s="1789"/>
      <c r="Z57" s="1835"/>
    </row>
    <row r="58" spans="1:26">
      <c r="A58" s="1800"/>
      <c r="B58" s="487"/>
      <c r="C58" s="487"/>
      <c r="D58" s="487"/>
      <c r="E58" s="488"/>
      <c r="F58" s="487"/>
      <c r="G58" s="488"/>
      <c r="H58" s="487"/>
      <c r="I58" s="1789"/>
      <c r="J58" s="1788"/>
      <c r="K58" s="1788"/>
      <c r="L58" s="1788"/>
      <c r="M58" s="1789"/>
      <c r="N58" s="1788"/>
      <c r="O58" s="1789"/>
      <c r="P58" s="1788"/>
      <c r="Q58" s="1789"/>
      <c r="R58" s="1788"/>
      <c r="S58" s="1789"/>
      <c r="T58" s="1788"/>
      <c r="U58" s="1789"/>
      <c r="V58" s="1788"/>
      <c r="W58" s="1789"/>
      <c r="X58" s="1788"/>
      <c r="Y58" s="1789"/>
      <c r="Z58" s="1835"/>
    </row>
    <row r="59" spans="1:26">
      <c r="A59" s="1800"/>
      <c r="B59" s="487"/>
      <c r="C59" s="487"/>
      <c r="D59" s="487"/>
      <c r="E59" s="488"/>
      <c r="F59" s="487"/>
      <c r="G59" s="488"/>
      <c r="H59" s="487"/>
      <c r="I59" s="1789"/>
      <c r="J59" s="1788"/>
      <c r="K59" s="1788"/>
      <c r="L59" s="1788"/>
      <c r="M59" s="1789"/>
      <c r="N59" s="1788"/>
      <c r="O59" s="1789"/>
      <c r="P59" s="1788"/>
      <c r="Q59" s="1789"/>
      <c r="R59" s="1788"/>
      <c r="S59" s="1789"/>
      <c r="T59" s="1788"/>
      <c r="U59" s="1789"/>
      <c r="V59" s="1788"/>
      <c r="W59" s="1789"/>
      <c r="X59" s="1788"/>
      <c r="Y59" s="1789"/>
      <c r="Z59" s="1835"/>
    </row>
    <row r="60" spans="1:26">
      <c r="A60" s="1800"/>
      <c r="B60" s="487"/>
      <c r="C60" s="487"/>
      <c r="D60" s="487"/>
      <c r="E60" s="488"/>
      <c r="F60" s="487"/>
      <c r="G60" s="488"/>
      <c r="H60" s="487"/>
      <c r="I60" s="1789"/>
      <c r="J60" s="1788"/>
      <c r="K60" s="1788"/>
      <c r="L60" s="1788"/>
      <c r="M60" s="1789"/>
      <c r="N60" s="1788"/>
      <c r="O60" s="1789"/>
      <c r="P60" s="1788"/>
      <c r="Q60" s="1789"/>
      <c r="R60" s="1788"/>
      <c r="S60" s="1789"/>
      <c r="T60" s="1788"/>
      <c r="U60" s="1789"/>
      <c r="V60" s="1788"/>
      <c r="W60" s="1789"/>
      <c r="X60" s="1788"/>
      <c r="Y60" s="1789"/>
      <c r="Z60" s="1835"/>
    </row>
    <row r="61" spans="1:26">
      <c r="A61" s="1800"/>
      <c r="B61" s="487"/>
      <c r="C61" s="487"/>
      <c r="D61" s="487"/>
      <c r="E61" s="488"/>
      <c r="F61" s="487"/>
      <c r="G61" s="488"/>
      <c r="H61" s="487"/>
      <c r="I61" s="1789"/>
      <c r="J61" s="1788"/>
      <c r="K61" s="1788"/>
      <c r="L61" s="1788"/>
      <c r="M61" s="1789"/>
      <c r="N61" s="1788"/>
      <c r="O61" s="1789"/>
      <c r="P61" s="1788"/>
      <c r="Q61" s="1789"/>
      <c r="R61" s="1788"/>
      <c r="S61" s="1789"/>
      <c r="T61" s="1788"/>
      <c r="U61" s="1789"/>
      <c r="V61" s="1788"/>
      <c r="W61" s="1789"/>
      <c r="X61" s="1788"/>
      <c r="Y61" s="1789"/>
      <c r="Z61" s="1835"/>
    </row>
    <row r="62" spans="1:26">
      <c r="A62" s="1800"/>
      <c r="B62" s="487"/>
      <c r="C62" s="487"/>
      <c r="D62" s="487"/>
      <c r="E62" s="488"/>
      <c r="F62" s="487"/>
      <c r="G62" s="488"/>
      <c r="H62" s="487"/>
      <c r="I62" s="1789"/>
      <c r="J62" s="1788"/>
      <c r="K62" s="1788"/>
      <c r="L62" s="1788"/>
      <c r="M62" s="1789"/>
      <c r="N62" s="1788"/>
      <c r="O62" s="1789"/>
      <c r="P62" s="1788"/>
      <c r="Q62" s="1789"/>
      <c r="R62" s="1788"/>
      <c r="S62" s="1789"/>
      <c r="T62" s="1788"/>
      <c r="U62" s="1789"/>
      <c r="V62" s="1788"/>
      <c r="W62" s="1789"/>
      <c r="X62" s="1788"/>
      <c r="Y62" s="1789"/>
      <c r="Z62" s="1835"/>
    </row>
    <row r="63" spans="1:26">
      <c r="A63" s="1800"/>
      <c r="B63" s="487"/>
      <c r="C63" s="487"/>
      <c r="D63" s="487"/>
      <c r="E63" s="488"/>
      <c r="F63" s="487"/>
      <c r="G63" s="488"/>
      <c r="H63" s="487"/>
      <c r="I63" s="1789"/>
      <c r="J63" s="1788"/>
      <c r="K63" s="1788"/>
      <c r="L63" s="1788"/>
      <c r="M63" s="1789"/>
      <c r="N63" s="1788"/>
      <c r="O63" s="1789"/>
      <c r="P63" s="1788"/>
      <c r="Q63" s="1789"/>
      <c r="R63" s="1788"/>
      <c r="S63" s="1789"/>
      <c r="T63" s="1788"/>
      <c r="U63" s="1789"/>
      <c r="V63" s="1788"/>
      <c r="W63" s="1789"/>
      <c r="X63" s="1788"/>
      <c r="Y63" s="1789"/>
      <c r="Z63" s="1835"/>
    </row>
    <row r="64" spans="1:26">
      <c r="A64" s="1800"/>
      <c r="B64" s="487"/>
      <c r="C64" s="487"/>
      <c r="D64" s="487"/>
      <c r="E64" s="488"/>
      <c r="F64" s="487"/>
      <c r="G64" s="488"/>
      <c r="H64" s="487"/>
      <c r="I64" s="1789"/>
      <c r="J64" s="1788"/>
      <c r="K64" s="1788"/>
      <c r="L64" s="1788"/>
      <c r="M64" s="1789"/>
      <c r="N64" s="1788"/>
      <c r="O64" s="1789"/>
      <c r="P64" s="1788"/>
      <c r="Q64" s="1789"/>
      <c r="R64" s="1788"/>
      <c r="S64" s="1789"/>
      <c r="T64" s="1788"/>
      <c r="U64" s="1789"/>
      <c r="V64" s="1788"/>
      <c r="W64" s="1789"/>
      <c r="X64" s="1788"/>
      <c r="Y64" s="1789"/>
      <c r="Z64" s="1835"/>
    </row>
    <row r="65" spans="1:26">
      <c r="A65" s="1800"/>
      <c r="B65" s="487"/>
      <c r="C65" s="487"/>
      <c r="D65" s="487"/>
      <c r="E65" s="488"/>
      <c r="F65" s="487"/>
      <c r="G65" s="488"/>
      <c r="H65" s="487"/>
      <c r="I65" s="1789"/>
      <c r="J65" s="1788"/>
      <c r="K65" s="1788"/>
      <c r="L65" s="1788"/>
      <c r="M65" s="1789"/>
      <c r="N65" s="1788"/>
      <c r="O65" s="1789"/>
      <c r="P65" s="1788"/>
      <c r="Q65" s="1789"/>
      <c r="R65" s="1788"/>
      <c r="S65" s="1789"/>
      <c r="T65" s="1788"/>
      <c r="U65" s="1789"/>
      <c r="V65" s="1788"/>
      <c r="W65" s="1789"/>
      <c r="X65" s="1788"/>
      <c r="Y65" s="1789"/>
      <c r="Z65" s="1835"/>
    </row>
    <row r="66" spans="1:26">
      <c r="A66" s="1800"/>
      <c r="B66" s="487"/>
      <c r="C66" s="487"/>
      <c r="D66" s="487"/>
      <c r="E66" s="488"/>
      <c r="F66" s="487"/>
      <c r="G66" s="488"/>
      <c r="H66" s="487"/>
      <c r="I66" s="1789"/>
      <c r="J66" s="1788"/>
      <c r="K66" s="1788"/>
      <c r="L66" s="1788"/>
      <c r="M66" s="1789"/>
      <c r="N66" s="1788"/>
      <c r="O66" s="1789"/>
      <c r="P66" s="1788"/>
      <c r="Q66" s="1789"/>
      <c r="R66" s="1788"/>
      <c r="S66" s="1789"/>
      <c r="T66" s="1788"/>
      <c r="U66" s="1789"/>
      <c r="V66" s="1788"/>
      <c r="W66" s="1789"/>
      <c r="X66" s="1788"/>
      <c r="Y66" s="1789"/>
      <c r="Z66" s="1835"/>
    </row>
    <row r="67" spans="1:26">
      <c r="A67" s="1800"/>
      <c r="B67" s="487"/>
      <c r="C67" s="487"/>
      <c r="D67" s="487"/>
      <c r="E67" s="488"/>
      <c r="F67" s="487"/>
      <c r="G67" s="488"/>
      <c r="H67" s="487"/>
      <c r="I67" s="1789"/>
      <c r="J67" s="1788"/>
      <c r="K67" s="1788"/>
      <c r="L67" s="1788"/>
      <c r="M67" s="1789"/>
      <c r="N67" s="1788"/>
      <c r="O67" s="1789"/>
      <c r="P67" s="1788"/>
      <c r="Q67" s="1789"/>
      <c r="R67" s="1788"/>
      <c r="S67" s="1789"/>
      <c r="T67" s="1788"/>
      <c r="U67" s="1789"/>
      <c r="V67" s="1788"/>
      <c r="W67" s="1789"/>
      <c r="X67" s="1788"/>
      <c r="Y67" s="1789"/>
      <c r="Z67" s="1835"/>
    </row>
    <row r="68" spans="1:26">
      <c r="A68" s="1800"/>
      <c r="B68" s="487"/>
      <c r="C68" s="487"/>
      <c r="D68" s="487"/>
      <c r="E68" s="488"/>
      <c r="F68" s="487"/>
      <c r="G68" s="488"/>
      <c r="H68" s="487"/>
      <c r="I68" s="1789"/>
      <c r="J68" s="1788"/>
      <c r="K68" s="1788"/>
      <c r="L68" s="1788"/>
      <c r="M68" s="1789"/>
      <c r="N68" s="1788"/>
      <c r="O68" s="1789"/>
      <c r="P68" s="1788"/>
      <c r="Q68" s="1789"/>
      <c r="R68" s="1788"/>
      <c r="S68" s="1789"/>
      <c r="T68" s="1788"/>
      <c r="U68" s="1789"/>
      <c r="V68" s="1788"/>
      <c r="W68" s="1789"/>
      <c r="X68" s="1788"/>
      <c r="Y68" s="1789"/>
      <c r="Z68" s="1835"/>
    </row>
    <row r="69" spans="1:26">
      <c r="A69" s="1800"/>
      <c r="B69" s="487"/>
      <c r="C69" s="487"/>
      <c r="D69" s="487"/>
      <c r="E69" s="488"/>
      <c r="F69" s="487"/>
      <c r="G69" s="488"/>
      <c r="H69" s="487"/>
      <c r="I69" s="1789"/>
      <c r="J69" s="1788"/>
      <c r="K69" s="1788"/>
      <c r="L69" s="1788"/>
      <c r="M69" s="1789"/>
      <c r="N69" s="1788"/>
      <c r="O69" s="1789"/>
      <c r="P69" s="1788"/>
      <c r="Q69" s="1789"/>
      <c r="R69" s="1788"/>
      <c r="S69" s="1789"/>
      <c r="T69" s="1788"/>
      <c r="U69" s="1789"/>
      <c r="V69" s="1788"/>
      <c r="W69" s="1789"/>
      <c r="X69" s="1788"/>
      <c r="Y69" s="1789"/>
      <c r="Z69" s="1835"/>
    </row>
    <row r="70" spans="1:26">
      <c r="A70" s="1800"/>
      <c r="B70" s="487"/>
      <c r="C70" s="487"/>
      <c r="D70" s="487"/>
      <c r="E70" s="488"/>
      <c r="F70" s="487"/>
      <c r="G70" s="488"/>
      <c r="H70" s="487"/>
      <c r="I70" s="1789"/>
      <c r="J70" s="1788"/>
      <c r="K70" s="1788"/>
      <c r="L70" s="1788"/>
      <c r="M70" s="1789"/>
      <c r="N70" s="1788"/>
      <c r="O70" s="1789"/>
      <c r="P70" s="1788"/>
      <c r="Q70" s="1789"/>
      <c r="R70" s="1788"/>
      <c r="S70" s="1789"/>
      <c r="T70" s="1788"/>
      <c r="U70" s="1789"/>
      <c r="V70" s="1788"/>
      <c r="W70" s="1789"/>
      <c r="X70" s="1788"/>
      <c r="Y70" s="1789"/>
      <c r="Z70" s="1835"/>
    </row>
    <row r="71" spans="1:26">
      <c r="A71" s="1800"/>
      <c r="B71" s="487"/>
      <c r="C71" s="487"/>
      <c r="D71" s="487"/>
      <c r="E71" s="488"/>
      <c r="F71" s="487"/>
      <c r="G71" s="488"/>
      <c r="H71" s="487"/>
      <c r="I71" s="1789"/>
      <c r="J71" s="1788"/>
      <c r="K71" s="1788"/>
      <c r="L71" s="1788"/>
      <c r="M71" s="1789"/>
      <c r="N71" s="1788"/>
      <c r="O71" s="1789"/>
      <c r="P71" s="1788"/>
      <c r="Q71" s="1789"/>
      <c r="R71" s="1788"/>
      <c r="S71" s="1789"/>
      <c r="T71" s="1788"/>
      <c r="U71" s="1789"/>
      <c r="V71" s="1788"/>
      <c r="W71" s="1789"/>
      <c r="X71" s="1788"/>
      <c r="Y71" s="1789"/>
      <c r="Z71" s="1835"/>
    </row>
    <row r="72" spans="1:26">
      <c r="A72" s="1800"/>
      <c r="B72" s="487"/>
      <c r="C72" s="487"/>
      <c r="D72" s="487"/>
      <c r="E72" s="488"/>
      <c r="F72" s="487"/>
      <c r="G72" s="488"/>
      <c r="H72" s="487"/>
      <c r="I72" s="1789"/>
      <c r="J72" s="1788"/>
      <c r="K72" s="1788"/>
      <c r="L72" s="1788"/>
      <c r="M72" s="1789"/>
      <c r="N72" s="1788"/>
      <c r="O72" s="1789"/>
      <c r="P72" s="1788"/>
      <c r="Q72" s="1789"/>
      <c r="R72" s="1788"/>
      <c r="S72" s="1789"/>
      <c r="T72" s="1788"/>
      <c r="U72" s="1789"/>
      <c r="V72" s="1788"/>
      <c r="W72" s="1789"/>
      <c r="X72" s="1788"/>
      <c r="Y72" s="1789"/>
      <c r="Z72" s="1835"/>
    </row>
    <row r="73" spans="1:26">
      <c r="A73" s="1800"/>
      <c r="B73" s="487"/>
      <c r="C73" s="487"/>
      <c r="D73" s="487"/>
      <c r="E73" s="488"/>
      <c r="F73" s="487"/>
      <c r="G73" s="488"/>
      <c r="H73" s="487"/>
      <c r="I73" s="1789"/>
      <c r="J73" s="1788"/>
      <c r="K73" s="1788"/>
      <c r="L73" s="1788"/>
      <c r="M73" s="1789"/>
      <c r="N73" s="1788"/>
      <c r="O73" s="1789"/>
      <c r="P73" s="1788"/>
      <c r="Q73" s="1789"/>
      <c r="R73" s="1788"/>
      <c r="S73" s="1789"/>
      <c r="T73" s="1788"/>
      <c r="U73" s="1789"/>
      <c r="V73" s="1788"/>
      <c r="W73" s="1789"/>
      <c r="X73" s="1788"/>
      <c r="Y73" s="1789"/>
      <c r="Z73" s="1835"/>
    </row>
    <row r="74" spans="1:26">
      <c r="A74" s="1800"/>
      <c r="B74" s="487"/>
      <c r="C74" s="487"/>
      <c r="D74" s="487"/>
      <c r="E74" s="488"/>
      <c r="F74" s="487"/>
      <c r="G74" s="488"/>
      <c r="H74" s="487"/>
      <c r="I74" s="1789"/>
      <c r="J74" s="1788"/>
      <c r="K74" s="1788"/>
      <c r="L74" s="1788"/>
      <c r="M74" s="1789"/>
      <c r="N74" s="1788"/>
      <c r="O74" s="1789"/>
      <c r="P74" s="1788"/>
      <c r="Q74" s="1789"/>
      <c r="R74" s="1788"/>
      <c r="S74" s="1789"/>
      <c r="T74" s="1788"/>
      <c r="U74" s="1789"/>
      <c r="V74" s="1788"/>
      <c r="W74" s="1789"/>
      <c r="X74" s="1788"/>
      <c r="Y74" s="1789"/>
      <c r="Z74" s="1835"/>
    </row>
    <row r="75" spans="1:26">
      <c r="A75" s="1800"/>
      <c r="B75" s="487"/>
      <c r="C75" s="487"/>
      <c r="D75" s="487"/>
      <c r="E75" s="488"/>
      <c r="F75" s="487"/>
      <c r="G75" s="488"/>
      <c r="H75" s="487"/>
      <c r="I75" s="1789"/>
      <c r="J75" s="1788"/>
      <c r="K75" s="1788"/>
      <c r="L75" s="1788"/>
      <c r="M75" s="1789"/>
      <c r="N75" s="1788"/>
      <c r="O75" s="1789"/>
      <c r="P75" s="1788"/>
      <c r="Q75" s="1789"/>
      <c r="R75" s="1788"/>
      <c r="S75" s="1789"/>
      <c r="T75" s="1788"/>
      <c r="U75" s="1789"/>
      <c r="V75" s="1788"/>
      <c r="W75" s="1789"/>
      <c r="X75" s="1788"/>
      <c r="Y75" s="1789"/>
      <c r="Z75" s="1835"/>
    </row>
    <row r="76" spans="1:26">
      <c r="A76" s="1800"/>
      <c r="B76" s="487"/>
      <c r="C76" s="487"/>
      <c r="D76" s="487"/>
      <c r="E76" s="488"/>
      <c r="F76" s="487"/>
      <c r="G76" s="488"/>
      <c r="H76" s="487"/>
      <c r="I76" s="1789"/>
      <c r="J76" s="1788"/>
      <c r="K76" s="1788"/>
      <c r="L76" s="1788"/>
      <c r="M76" s="1789"/>
      <c r="N76" s="1788"/>
      <c r="O76" s="1789"/>
      <c r="P76" s="1788"/>
      <c r="Q76" s="1789"/>
      <c r="R76" s="1788"/>
      <c r="S76" s="1789"/>
      <c r="T76" s="1788"/>
      <c r="U76" s="1789"/>
      <c r="V76" s="1788"/>
      <c r="W76" s="1789"/>
      <c r="X76" s="1788"/>
      <c r="Y76" s="1789"/>
      <c r="Z76" s="1835"/>
    </row>
    <row r="77" spans="1:26">
      <c r="A77" s="1800"/>
      <c r="B77" s="487"/>
      <c r="C77" s="487"/>
      <c r="D77" s="487"/>
      <c r="E77" s="488"/>
      <c r="F77" s="487"/>
      <c r="G77" s="488"/>
      <c r="H77" s="487"/>
      <c r="I77" s="1789"/>
      <c r="J77" s="1788"/>
      <c r="K77" s="1788"/>
      <c r="L77" s="1788"/>
      <c r="M77" s="1789"/>
      <c r="N77" s="1788"/>
      <c r="O77" s="1789"/>
      <c r="P77" s="1788"/>
      <c r="Q77" s="1789"/>
      <c r="R77" s="1788"/>
      <c r="S77" s="1789"/>
      <c r="T77" s="1788"/>
      <c r="U77" s="1789"/>
      <c r="V77" s="1788"/>
      <c r="W77" s="1789"/>
      <c r="X77" s="1788"/>
      <c r="Y77" s="1789"/>
      <c r="Z77" s="1835"/>
    </row>
    <row r="78" spans="1:26">
      <c r="A78" s="1800"/>
      <c r="B78" s="487"/>
      <c r="C78" s="487"/>
      <c r="D78" s="487"/>
      <c r="E78" s="488"/>
      <c r="F78" s="487"/>
      <c r="G78" s="488"/>
      <c r="H78" s="487"/>
      <c r="I78" s="1789"/>
      <c r="J78" s="1788"/>
      <c r="K78" s="1788"/>
      <c r="L78" s="1788"/>
      <c r="M78" s="1789"/>
      <c r="N78" s="1788"/>
      <c r="O78" s="1789"/>
      <c r="P78" s="1788"/>
      <c r="Q78" s="1789"/>
      <c r="R78" s="1788"/>
      <c r="S78" s="1789"/>
      <c r="T78" s="1788"/>
      <c r="U78" s="1789"/>
      <c r="V78" s="1788"/>
      <c r="W78" s="1789"/>
      <c r="X78" s="1788"/>
      <c r="Y78" s="1789"/>
      <c r="Z78" s="1835"/>
    </row>
    <row r="79" spans="1:26">
      <c r="A79" s="1800"/>
      <c r="B79" s="487"/>
      <c r="C79" s="487"/>
      <c r="D79" s="487"/>
      <c r="E79" s="488"/>
      <c r="F79" s="487"/>
      <c r="G79" s="488"/>
      <c r="H79" s="487"/>
      <c r="I79" s="1789"/>
      <c r="J79" s="1788"/>
      <c r="K79" s="1788"/>
      <c r="L79" s="1788"/>
      <c r="M79" s="1789"/>
      <c r="N79" s="1788"/>
      <c r="O79" s="1789"/>
      <c r="P79" s="1788"/>
      <c r="Q79" s="1789"/>
      <c r="R79" s="1788"/>
      <c r="S79" s="1789"/>
      <c r="T79" s="1788"/>
      <c r="U79" s="1789"/>
      <c r="V79" s="1788"/>
      <c r="W79" s="1789"/>
      <c r="X79" s="1788"/>
      <c r="Y79" s="1789"/>
      <c r="Z79" s="1835"/>
    </row>
    <row r="80" spans="1:26">
      <c r="A80" s="1800"/>
      <c r="B80" s="487"/>
      <c r="C80" s="487"/>
      <c r="D80" s="487"/>
      <c r="E80" s="488"/>
      <c r="F80" s="487"/>
      <c r="G80" s="488"/>
      <c r="H80" s="487"/>
      <c r="I80" s="1789"/>
      <c r="J80" s="1788"/>
      <c r="K80" s="1788"/>
      <c r="L80" s="1788"/>
      <c r="M80" s="1789"/>
      <c r="N80" s="1788"/>
      <c r="O80" s="1789"/>
      <c r="P80" s="1788"/>
      <c r="Q80" s="1789"/>
      <c r="R80" s="1788"/>
      <c r="S80" s="1789"/>
      <c r="T80" s="1788"/>
      <c r="U80" s="1789"/>
      <c r="V80" s="1788"/>
      <c r="W80" s="1789"/>
      <c r="X80" s="1788"/>
      <c r="Y80" s="1789"/>
      <c r="Z80" s="1835"/>
    </row>
    <row r="81" spans="1:26">
      <c r="A81" s="1800"/>
      <c r="B81" s="487"/>
      <c r="C81" s="487"/>
      <c r="D81" s="487"/>
      <c r="E81" s="488"/>
      <c r="F81" s="487"/>
      <c r="G81" s="488"/>
      <c r="H81" s="487"/>
      <c r="I81" s="1789"/>
      <c r="J81" s="1788"/>
      <c r="K81" s="1788"/>
      <c r="L81" s="1788"/>
      <c r="M81" s="1789"/>
      <c r="N81" s="1788"/>
      <c r="O81" s="1789"/>
      <c r="P81" s="1788"/>
      <c r="Q81" s="1789"/>
      <c r="R81" s="1788"/>
      <c r="S81" s="1789"/>
      <c r="T81" s="1788"/>
      <c r="U81" s="1789"/>
      <c r="V81" s="1788"/>
      <c r="W81" s="1789"/>
      <c r="X81" s="1788"/>
      <c r="Y81" s="1789"/>
      <c r="Z81" s="1835"/>
    </row>
    <row r="82" spans="1:26">
      <c r="A82" s="1800"/>
      <c r="B82" s="487"/>
      <c r="C82" s="487"/>
      <c r="D82" s="487"/>
      <c r="E82" s="488"/>
      <c r="F82" s="487"/>
      <c r="G82" s="488"/>
      <c r="H82" s="487"/>
      <c r="I82" s="1789"/>
      <c r="J82" s="1788"/>
      <c r="K82" s="1788"/>
      <c r="L82" s="1788"/>
      <c r="M82" s="1789"/>
      <c r="N82" s="1788"/>
      <c r="O82" s="1789"/>
      <c r="P82" s="1788"/>
      <c r="Q82" s="1789"/>
      <c r="R82" s="1788"/>
      <c r="S82" s="1789"/>
      <c r="T82" s="1788"/>
      <c r="U82" s="1789"/>
      <c r="V82" s="1788"/>
      <c r="W82" s="1789"/>
      <c r="X82" s="1788"/>
      <c r="Y82" s="1789"/>
      <c r="Z82" s="1835"/>
    </row>
    <row r="83" spans="1:26">
      <c r="A83" s="1800"/>
      <c r="B83" s="487"/>
      <c r="C83" s="487"/>
      <c r="D83" s="487"/>
      <c r="E83" s="488"/>
      <c r="F83" s="487"/>
      <c r="G83" s="488"/>
      <c r="H83" s="487"/>
      <c r="I83" s="1789"/>
      <c r="J83" s="1788"/>
      <c r="K83" s="1788"/>
      <c r="L83" s="1788"/>
      <c r="M83" s="1789"/>
      <c r="N83" s="1788"/>
      <c r="O83" s="1789"/>
      <c r="P83" s="1788"/>
      <c r="Q83" s="1789"/>
      <c r="R83" s="1788"/>
      <c r="S83" s="1789"/>
      <c r="T83" s="1788"/>
      <c r="U83" s="1789"/>
      <c r="V83" s="1788"/>
      <c r="W83" s="1789"/>
      <c r="X83" s="1788"/>
      <c r="Y83" s="1789"/>
      <c r="Z83" s="1835"/>
    </row>
    <row r="84" spans="1:26">
      <c r="A84" s="1800"/>
      <c r="B84" s="487"/>
      <c r="C84" s="487"/>
      <c r="D84" s="487"/>
      <c r="E84" s="488"/>
      <c r="F84" s="487"/>
      <c r="G84" s="488"/>
      <c r="H84" s="487"/>
      <c r="I84" s="1789"/>
      <c r="J84" s="1788"/>
      <c r="K84" s="1788"/>
      <c r="L84" s="1788"/>
      <c r="M84" s="1789"/>
      <c r="N84" s="1788"/>
      <c r="O84" s="1789"/>
      <c r="P84" s="1788"/>
      <c r="Q84" s="1789"/>
      <c r="R84" s="1788"/>
      <c r="S84" s="1789"/>
      <c r="T84" s="1788"/>
      <c r="U84" s="1789"/>
      <c r="V84" s="1788"/>
      <c r="W84" s="1789"/>
      <c r="X84" s="1788"/>
      <c r="Y84" s="1789"/>
      <c r="Z84" s="1835"/>
    </row>
    <row r="85" spans="1:26">
      <c r="A85" s="1800"/>
      <c r="B85" s="487"/>
      <c r="C85" s="487"/>
      <c r="D85" s="487"/>
      <c r="E85" s="488"/>
      <c r="F85" s="487"/>
      <c r="G85" s="488"/>
      <c r="H85" s="487"/>
      <c r="I85" s="1789"/>
      <c r="J85" s="1788"/>
      <c r="K85" s="1788"/>
      <c r="L85" s="1788"/>
      <c r="M85" s="1789"/>
      <c r="N85" s="1788"/>
      <c r="O85" s="1789"/>
      <c r="P85" s="1788"/>
      <c r="Q85" s="1789"/>
      <c r="R85" s="1788"/>
      <c r="S85" s="1789"/>
      <c r="T85" s="1788"/>
      <c r="U85" s="1789"/>
      <c r="V85" s="1788"/>
      <c r="W85" s="1789"/>
      <c r="X85" s="1788"/>
      <c r="Y85" s="1789"/>
      <c r="Z85" s="1835"/>
    </row>
    <row r="86" spans="1:26">
      <c r="A86" s="1800"/>
      <c r="B86" s="487"/>
      <c r="C86" s="487"/>
      <c r="D86" s="487"/>
      <c r="E86" s="488"/>
      <c r="F86" s="487"/>
      <c r="G86" s="488"/>
      <c r="H86" s="487"/>
      <c r="I86" s="1789"/>
      <c r="J86" s="1788"/>
      <c r="K86" s="1788"/>
      <c r="L86" s="1788"/>
      <c r="M86" s="1789"/>
      <c r="N86" s="1788"/>
      <c r="O86" s="1789"/>
      <c r="P86" s="1788"/>
      <c r="Q86" s="1789"/>
      <c r="R86" s="1788"/>
      <c r="S86" s="1789"/>
      <c r="T86" s="1788"/>
      <c r="U86" s="1789"/>
      <c r="V86" s="1788"/>
      <c r="W86" s="1789"/>
      <c r="X86" s="1788"/>
      <c r="Y86" s="1789"/>
      <c r="Z86" s="1835"/>
    </row>
    <row r="87" spans="1:26">
      <c r="A87" s="1800"/>
      <c r="B87" s="487"/>
      <c r="C87" s="487"/>
      <c r="D87" s="487"/>
      <c r="E87" s="488"/>
      <c r="F87" s="487"/>
      <c r="G87" s="488"/>
      <c r="H87" s="487"/>
      <c r="I87" s="1789"/>
      <c r="J87" s="1788"/>
      <c r="K87" s="1788"/>
      <c r="L87" s="1788"/>
      <c r="M87" s="1789"/>
      <c r="N87" s="1788"/>
      <c r="O87" s="1789"/>
      <c r="P87" s="1788"/>
      <c r="Q87" s="1789"/>
      <c r="R87" s="1788"/>
      <c r="S87" s="1789"/>
      <c r="T87" s="1788"/>
      <c r="U87" s="1789"/>
      <c r="V87" s="1788"/>
      <c r="W87" s="1789"/>
      <c r="X87" s="1788"/>
      <c r="Y87" s="1789"/>
      <c r="Z87" s="1835"/>
    </row>
    <row r="88" spans="1:26">
      <c r="A88" s="1800"/>
      <c r="B88" s="487"/>
      <c r="C88" s="487"/>
      <c r="D88" s="487"/>
      <c r="E88" s="488"/>
      <c r="F88" s="487"/>
      <c r="G88" s="488"/>
      <c r="H88" s="487"/>
      <c r="I88" s="1789"/>
      <c r="J88" s="1788"/>
      <c r="K88" s="1788"/>
      <c r="L88" s="1788"/>
      <c r="M88" s="1789"/>
      <c r="N88" s="1788"/>
      <c r="O88" s="1789"/>
      <c r="P88" s="1788"/>
      <c r="Q88" s="1789"/>
      <c r="R88" s="1788"/>
      <c r="S88" s="1789"/>
      <c r="T88" s="1788"/>
      <c r="U88" s="1789"/>
      <c r="V88" s="1788"/>
      <c r="W88" s="1789"/>
      <c r="X88" s="1788"/>
      <c r="Y88" s="1789"/>
      <c r="Z88" s="1835"/>
    </row>
    <row r="89" spans="1:26">
      <c r="A89" s="1800"/>
      <c r="B89" s="487"/>
      <c r="C89" s="487"/>
      <c r="D89" s="487"/>
      <c r="E89" s="488"/>
      <c r="F89" s="487"/>
      <c r="G89" s="488"/>
      <c r="H89" s="487"/>
      <c r="I89" s="1789"/>
      <c r="J89" s="1788"/>
      <c r="K89" s="1788"/>
      <c r="L89" s="1788"/>
      <c r="M89" s="1789"/>
      <c r="N89" s="1788"/>
      <c r="O89" s="1789"/>
      <c r="P89" s="1788"/>
      <c r="Q89" s="1789"/>
      <c r="R89" s="1788"/>
      <c r="S89" s="1789"/>
      <c r="T89" s="1788"/>
      <c r="U89" s="1789"/>
      <c r="V89" s="1788"/>
      <c r="W89" s="1789"/>
      <c r="X89" s="1788"/>
      <c r="Y89" s="1789"/>
      <c r="Z89" s="1835"/>
    </row>
    <row r="90" spans="1:26">
      <c r="A90" s="1800"/>
      <c r="B90" s="487"/>
      <c r="C90" s="487"/>
      <c r="D90" s="487"/>
      <c r="E90" s="488"/>
      <c r="F90" s="487"/>
      <c r="G90" s="488"/>
      <c r="H90" s="487"/>
      <c r="I90" s="1789"/>
      <c r="J90" s="1788"/>
      <c r="K90" s="1788"/>
      <c r="L90" s="1788"/>
      <c r="M90" s="1789"/>
      <c r="N90" s="1788"/>
      <c r="O90" s="1789"/>
      <c r="P90" s="1788"/>
      <c r="Q90" s="1789"/>
      <c r="R90" s="1788"/>
      <c r="S90" s="1789"/>
      <c r="T90" s="1788"/>
      <c r="U90" s="1789"/>
      <c r="V90" s="1788"/>
      <c r="W90" s="1789"/>
      <c r="X90" s="1788"/>
      <c r="Y90" s="1789"/>
      <c r="Z90" s="1835"/>
    </row>
    <row r="91" spans="1:26">
      <c r="A91" s="1800"/>
      <c r="B91" s="487"/>
      <c r="C91" s="487"/>
      <c r="D91" s="487"/>
      <c r="E91" s="488"/>
      <c r="F91" s="487"/>
      <c r="G91" s="488"/>
      <c r="H91" s="487"/>
      <c r="I91" s="1789"/>
      <c r="J91" s="1788"/>
      <c r="K91" s="1788"/>
      <c r="L91" s="1788"/>
      <c r="M91" s="1789"/>
      <c r="N91" s="1788"/>
      <c r="O91" s="1789"/>
      <c r="P91" s="1788"/>
      <c r="Q91" s="1789"/>
      <c r="R91" s="1788"/>
      <c r="S91" s="1789"/>
      <c r="T91" s="1788"/>
      <c r="U91" s="1789"/>
      <c r="V91" s="1788"/>
      <c r="W91" s="1789"/>
      <c r="X91" s="1788"/>
      <c r="Y91" s="1789"/>
      <c r="Z91" s="1835"/>
    </row>
    <row r="92" spans="1:26">
      <c r="A92" s="1800"/>
      <c r="B92" s="487"/>
      <c r="C92" s="487"/>
      <c r="D92" s="487"/>
      <c r="E92" s="488"/>
      <c r="F92" s="487"/>
      <c r="G92" s="488"/>
      <c r="H92" s="487"/>
      <c r="I92" s="1789"/>
      <c r="J92" s="1788"/>
      <c r="K92" s="1788"/>
      <c r="L92" s="1788"/>
      <c r="M92" s="1789"/>
      <c r="N92" s="1788"/>
      <c r="O92" s="1789"/>
      <c r="P92" s="1788"/>
      <c r="Q92" s="1789"/>
      <c r="R92" s="1788"/>
      <c r="S92" s="1789"/>
      <c r="T92" s="1788"/>
      <c r="U92" s="1789"/>
      <c r="V92" s="1788"/>
      <c r="W92" s="1789"/>
      <c r="X92" s="1788"/>
      <c r="Y92" s="1789"/>
      <c r="Z92" s="1835"/>
    </row>
    <row r="93" spans="1:26">
      <c r="A93" s="1800"/>
      <c r="B93" s="487"/>
      <c r="C93" s="487"/>
      <c r="D93" s="487"/>
      <c r="E93" s="488"/>
      <c r="F93" s="487"/>
      <c r="G93" s="488"/>
      <c r="H93" s="487"/>
      <c r="I93" s="1789"/>
      <c r="J93" s="1788"/>
      <c r="K93" s="1788"/>
      <c r="L93" s="1788"/>
      <c r="M93" s="1789"/>
      <c r="N93" s="1788"/>
      <c r="O93" s="1789"/>
      <c r="P93" s="1788"/>
      <c r="Q93" s="1789"/>
      <c r="R93" s="1788"/>
      <c r="S93" s="1789"/>
      <c r="T93" s="1788"/>
      <c r="U93" s="1789"/>
      <c r="V93" s="1788"/>
      <c r="W93" s="1789"/>
      <c r="X93" s="1788"/>
      <c r="Y93" s="1789"/>
      <c r="Z93" s="1835"/>
    </row>
    <row r="94" spans="1:26">
      <c r="A94" s="1800"/>
      <c r="B94" s="487"/>
      <c r="C94" s="487"/>
      <c r="D94" s="487"/>
      <c r="E94" s="488"/>
      <c r="F94" s="487"/>
      <c r="G94" s="488"/>
      <c r="H94" s="487"/>
      <c r="I94" s="1789"/>
      <c r="J94" s="1788"/>
      <c r="K94" s="1788"/>
      <c r="L94" s="1788"/>
      <c r="M94" s="1789"/>
      <c r="N94" s="1788"/>
      <c r="O94" s="1789"/>
      <c r="P94" s="1788"/>
      <c r="Q94" s="1789"/>
      <c r="R94" s="1788"/>
      <c r="S94" s="1789"/>
      <c r="T94" s="1788"/>
      <c r="U94" s="1789"/>
      <c r="V94" s="1788"/>
      <c r="W94" s="1789"/>
      <c r="X94" s="1788"/>
      <c r="Y94" s="1789"/>
      <c r="Z94" s="1835"/>
    </row>
    <row r="95" spans="1:26">
      <c r="A95" s="1800"/>
      <c r="B95" s="487"/>
      <c r="C95" s="487"/>
      <c r="D95" s="487"/>
      <c r="E95" s="488"/>
      <c r="F95" s="487"/>
      <c r="G95" s="488"/>
      <c r="H95" s="487"/>
      <c r="I95" s="1789"/>
      <c r="J95" s="1788"/>
      <c r="K95" s="1788"/>
      <c r="L95" s="1788"/>
      <c r="M95" s="1789"/>
      <c r="N95" s="1788"/>
      <c r="O95" s="1789"/>
      <c r="P95" s="1788"/>
      <c r="Q95" s="1789"/>
      <c r="R95" s="1788"/>
      <c r="S95" s="1789"/>
      <c r="T95" s="1788"/>
      <c r="U95" s="1789"/>
      <c r="V95" s="1788"/>
      <c r="W95" s="1789"/>
      <c r="X95" s="1788"/>
      <c r="Y95" s="1789"/>
      <c r="Z95" s="1835"/>
    </row>
  </sheetData>
  <pageMargins left="0.25" right="0.25" top="0.5" bottom="0.25" header="0" footer="0.25"/>
  <pageSetup scale="39"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8671875" defaultRowHeight="12.75"/>
  <cols>
    <col min="1" max="1" width="54.88671875" style="927" customWidth="1"/>
    <col min="2" max="2" width="22.109375" style="927" customWidth="1"/>
    <col min="3" max="3" width="24.88671875" style="927" customWidth="1"/>
    <col min="4" max="4" width="29" style="927" customWidth="1"/>
    <col min="5" max="5" width="2" style="929" customWidth="1"/>
    <col min="6" max="6" width="13" style="2000" bestFit="1" customWidth="1"/>
    <col min="7" max="7" width="8.88671875" style="929"/>
    <col min="8" max="16384" width="8.88671875" style="927"/>
  </cols>
  <sheetData>
    <row r="1" spans="1:7">
      <c r="A1" s="3197" t="s">
        <v>979</v>
      </c>
      <c r="B1" s="1630"/>
      <c r="C1" s="1630"/>
      <c r="D1" s="1630"/>
      <c r="E1" s="928"/>
    </row>
    <row r="2" spans="1:7">
      <c r="A2" s="3198"/>
      <c r="B2" s="1630"/>
      <c r="C2" s="1630"/>
      <c r="D2" s="1538"/>
      <c r="E2" s="928"/>
    </row>
    <row r="3" spans="1:7" s="934" customFormat="1" ht="15">
      <c r="A3" s="1589" t="s">
        <v>499</v>
      </c>
      <c r="B3" s="1630"/>
      <c r="C3" s="1630"/>
      <c r="D3" s="3576" t="s">
        <v>500</v>
      </c>
      <c r="E3" s="3163"/>
      <c r="F3" s="2001"/>
      <c r="G3" s="638"/>
    </row>
    <row r="4" spans="1:7" s="934" customFormat="1" ht="15">
      <c r="A4" s="1589" t="s">
        <v>501</v>
      </c>
      <c r="B4" s="1630"/>
      <c r="C4" s="1630"/>
      <c r="D4" s="1630"/>
      <c r="E4" s="3163"/>
      <c r="F4" s="2001"/>
      <c r="G4" s="638"/>
    </row>
    <row r="5" spans="1:7" s="934" customFormat="1" ht="15">
      <c r="A5" s="1589" t="s">
        <v>502</v>
      </c>
      <c r="B5" s="1630"/>
      <c r="C5" s="1630"/>
      <c r="D5" s="1630"/>
      <c r="E5" s="3163"/>
      <c r="F5" s="2001"/>
      <c r="G5" s="638"/>
    </row>
    <row r="6" spans="1:7" s="934" customFormat="1" ht="15">
      <c r="A6" s="1590" t="s">
        <v>1407</v>
      </c>
      <c r="B6" s="1630"/>
      <c r="C6" s="1630"/>
      <c r="D6" s="1630"/>
      <c r="E6" s="3163"/>
      <c r="F6" s="2001"/>
      <c r="G6" s="638"/>
    </row>
    <row r="7" spans="1:7">
      <c r="A7" s="1590"/>
      <c r="B7" s="1630"/>
      <c r="C7" s="1630"/>
      <c r="D7" s="1630"/>
      <c r="E7" s="928"/>
    </row>
    <row r="8" spans="1:7" ht="27" customHeight="1">
      <c r="A8" s="3741" t="s">
        <v>503</v>
      </c>
      <c r="B8" s="3741" t="s">
        <v>1348</v>
      </c>
      <c r="C8" s="3741" t="s">
        <v>1578</v>
      </c>
      <c r="D8" s="3742" t="s">
        <v>1587</v>
      </c>
      <c r="E8" s="3164"/>
    </row>
    <row r="9" spans="1:7" s="934" customFormat="1">
      <c r="A9" s="3750" t="s">
        <v>504</v>
      </c>
      <c r="B9" s="3778">
        <v>8752000</v>
      </c>
      <c r="C9" s="3778">
        <v>265409.39</v>
      </c>
      <c r="D9" s="3778">
        <v>2591496.4299999997</v>
      </c>
      <c r="E9" s="1694"/>
      <c r="F9" s="2001"/>
      <c r="G9" s="638"/>
    </row>
    <row r="10" spans="1:7" s="934" customFormat="1" ht="15">
      <c r="A10" s="3749" t="s">
        <v>1349</v>
      </c>
      <c r="B10" s="3751">
        <v>8752000</v>
      </c>
      <c r="C10" s="3751">
        <v>265409.39</v>
      </c>
      <c r="D10" s="3751">
        <v>2591496.4299999997</v>
      </c>
      <c r="E10" s="3165"/>
      <c r="F10" s="2001"/>
      <c r="G10" s="638"/>
    </row>
    <row r="11" spans="1:7" s="934" customFormat="1">
      <c r="A11" s="3750" t="s">
        <v>505</v>
      </c>
      <c r="B11" s="3752">
        <v>1478644000</v>
      </c>
      <c r="C11" s="3752">
        <v>60877627.270000003</v>
      </c>
      <c r="D11" s="3752">
        <v>336005200.01000005</v>
      </c>
      <c r="E11" s="1694"/>
      <c r="F11" s="2001"/>
      <c r="G11" s="638"/>
    </row>
    <row r="12" spans="1:7" s="934" customFormat="1">
      <c r="A12" s="3749" t="s">
        <v>1350</v>
      </c>
      <c r="B12" s="3751">
        <v>1478644000</v>
      </c>
      <c r="C12" s="3751">
        <v>60877627.270000003</v>
      </c>
      <c r="D12" s="3751">
        <v>336005200.01000005</v>
      </c>
      <c r="E12" s="1694"/>
      <c r="F12" s="2001"/>
      <c r="G12" s="638"/>
    </row>
    <row r="13" spans="1:7" s="934" customFormat="1">
      <c r="A13" s="3750" t="s">
        <v>506</v>
      </c>
      <c r="B13" s="3752">
        <v>180000</v>
      </c>
      <c r="C13" s="3752">
        <v>0</v>
      </c>
      <c r="D13" s="3752">
        <v>45000</v>
      </c>
      <c r="E13" s="1694"/>
      <c r="F13" s="2001"/>
      <c r="G13" s="638"/>
    </row>
    <row r="14" spans="1:7" s="934" customFormat="1">
      <c r="A14" s="3749" t="s">
        <v>1351</v>
      </c>
      <c r="B14" s="3751">
        <v>180000</v>
      </c>
      <c r="C14" s="3751">
        <v>0</v>
      </c>
      <c r="D14" s="3751">
        <v>45000</v>
      </c>
      <c r="E14" s="1694"/>
      <c r="F14" s="2001"/>
      <c r="G14" s="638"/>
    </row>
    <row r="15" spans="1:7" s="934" customFormat="1">
      <c r="A15" s="3750" t="s">
        <v>1231</v>
      </c>
      <c r="B15" s="3752">
        <v>426154811.51999998</v>
      </c>
      <c r="C15" s="3752">
        <v>12342258</v>
      </c>
      <c r="D15" s="3752">
        <v>95595545.88000001</v>
      </c>
      <c r="E15" s="1694"/>
      <c r="F15" s="2001"/>
      <c r="G15" s="638"/>
    </row>
    <row r="16" spans="1:7" s="934" customFormat="1">
      <c r="A16" s="3749" t="s">
        <v>1352</v>
      </c>
      <c r="B16" s="3751">
        <v>426154811.51999998</v>
      </c>
      <c r="C16" s="3751">
        <v>12342258</v>
      </c>
      <c r="D16" s="3751">
        <v>95595545.88000001</v>
      </c>
      <c r="E16" s="1694"/>
      <c r="F16" s="2001"/>
      <c r="G16" s="638"/>
    </row>
    <row r="17" spans="1:7" s="934" customFormat="1">
      <c r="A17" s="3750" t="s">
        <v>507</v>
      </c>
      <c r="B17" s="3752">
        <v>2160773305.0299997</v>
      </c>
      <c r="C17" s="3752">
        <v>31171821.200000003</v>
      </c>
      <c r="D17" s="3752">
        <v>328899799.52000004</v>
      </c>
      <c r="E17" s="1694"/>
      <c r="F17" s="2001"/>
      <c r="G17" s="638"/>
    </row>
    <row r="18" spans="1:7" s="934" customFormat="1">
      <c r="A18" s="3749" t="s">
        <v>1353</v>
      </c>
      <c r="B18" s="3751">
        <v>205250000</v>
      </c>
      <c r="C18" s="3751">
        <v>0</v>
      </c>
      <c r="D18" s="3751">
        <v>20000000</v>
      </c>
      <c r="E18" s="1694"/>
      <c r="F18" s="2001"/>
      <c r="G18" s="638"/>
    </row>
    <row r="19" spans="1:7" s="934" customFormat="1">
      <c r="A19" s="3749" t="s">
        <v>1354</v>
      </c>
      <c r="B19" s="3751">
        <v>13520000</v>
      </c>
      <c r="C19" s="3751">
        <v>0</v>
      </c>
      <c r="D19" s="3751">
        <v>1039703.97</v>
      </c>
      <c r="E19" s="1694"/>
      <c r="F19" s="2001"/>
      <c r="G19" s="638"/>
    </row>
    <row r="20" spans="1:7" s="934" customFormat="1">
      <c r="A20" s="3749" t="s">
        <v>1355</v>
      </c>
      <c r="B20" s="3751">
        <v>7063000</v>
      </c>
      <c r="C20" s="3751">
        <v>0</v>
      </c>
      <c r="D20" s="3751">
        <v>860464.62</v>
      </c>
      <c r="E20" s="1694"/>
      <c r="F20" s="2001"/>
      <c r="G20" s="638"/>
    </row>
    <row r="21" spans="1:7" s="934" customFormat="1">
      <c r="A21" s="3749" t="s">
        <v>1356</v>
      </c>
      <c r="B21" s="3751">
        <v>24700000</v>
      </c>
      <c r="C21" s="3751">
        <v>1492377.98</v>
      </c>
      <c r="D21" s="3751">
        <v>1708475.74</v>
      </c>
      <c r="E21" s="1694"/>
      <c r="F21" s="2001"/>
      <c r="G21" s="638"/>
    </row>
    <row r="22" spans="1:7" s="934" customFormat="1">
      <c r="A22" s="3749" t="s">
        <v>1357</v>
      </c>
      <c r="B22" s="3751">
        <v>272000000</v>
      </c>
      <c r="C22" s="3751">
        <v>13723361</v>
      </c>
      <c r="D22" s="3751">
        <v>41223384</v>
      </c>
      <c r="E22" s="1694"/>
      <c r="F22" s="2001"/>
      <c r="G22" s="638"/>
    </row>
    <row r="23" spans="1:7" s="934" customFormat="1">
      <c r="A23" s="3749" t="s">
        <v>1358</v>
      </c>
      <c r="B23" s="3751">
        <v>5232000</v>
      </c>
      <c r="C23" s="3751">
        <v>299250</v>
      </c>
      <c r="D23" s="3751">
        <v>703289</v>
      </c>
      <c r="E23" s="1694"/>
      <c r="F23" s="2001"/>
      <c r="G23" s="638"/>
    </row>
    <row r="24" spans="1:7" s="934" customFormat="1">
      <c r="A24" s="3749" t="s">
        <v>1359</v>
      </c>
      <c r="B24" s="3751">
        <v>13780000</v>
      </c>
      <c r="C24" s="3751">
        <v>0</v>
      </c>
      <c r="D24" s="3751">
        <v>3444996</v>
      </c>
      <c r="E24" s="1694"/>
      <c r="F24" s="2001"/>
      <c r="G24" s="638"/>
    </row>
    <row r="25" spans="1:7" s="934" customFormat="1">
      <c r="A25" s="3749" t="s">
        <v>1360</v>
      </c>
      <c r="B25" s="3751">
        <v>9440000</v>
      </c>
      <c r="C25" s="3751">
        <v>97500</v>
      </c>
      <c r="D25" s="3751">
        <v>3795701.26</v>
      </c>
      <c r="E25" s="1694"/>
      <c r="F25" s="2001"/>
      <c r="G25" s="638"/>
    </row>
    <row r="26" spans="1:7" s="934" customFormat="1">
      <c r="A26" s="3749" t="s">
        <v>1361</v>
      </c>
      <c r="B26" s="3751">
        <v>39200000</v>
      </c>
      <c r="C26" s="3751">
        <v>0</v>
      </c>
      <c r="D26" s="3751">
        <v>19600000</v>
      </c>
      <c r="E26" s="1694"/>
      <c r="F26" s="2001"/>
      <c r="G26" s="638"/>
    </row>
    <row r="27" spans="1:7" s="934" customFormat="1">
      <c r="A27" s="3749" t="s">
        <v>1362</v>
      </c>
      <c r="B27" s="3751">
        <v>210010300</v>
      </c>
      <c r="C27" s="3751">
        <v>3400.91</v>
      </c>
      <c r="D27" s="3751">
        <v>3983406.61</v>
      </c>
      <c r="E27" s="928"/>
      <c r="F27" s="2001"/>
      <c r="G27" s="638"/>
    </row>
    <row r="28" spans="1:7" s="934" customFormat="1">
      <c r="A28" s="3749" t="s">
        <v>1363</v>
      </c>
      <c r="B28" s="3751">
        <v>24781746</v>
      </c>
      <c r="C28" s="3751">
        <v>24362.6</v>
      </c>
      <c r="D28" s="3751">
        <v>549638.89</v>
      </c>
      <c r="E28" s="928"/>
      <c r="F28" s="2001"/>
      <c r="G28" s="638"/>
    </row>
    <row r="29" spans="1:7">
      <c r="A29" s="3749" t="s">
        <v>1364</v>
      </c>
      <c r="B29" s="3751">
        <v>208000000</v>
      </c>
      <c r="C29" s="3751">
        <v>0</v>
      </c>
      <c r="D29" s="3751">
        <v>52000000</v>
      </c>
      <c r="E29" s="928"/>
    </row>
    <row r="30" spans="1:7">
      <c r="A30" s="3749" t="s">
        <v>1365</v>
      </c>
      <c r="B30" s="3751">
        <v>2200000</v>
      </c>
      <c r="C30" s="3751">
        <v>101206.06</v>
      </c>
      <c r="D30" s="3751">
        <v>549922.21</v>
      </c>
      <c r="E30" s="928"/>
    </row>
    <row r="31" spans="1:7">
      <c r="A31" s="3749" t="s">
        <v>1366</v>
      </c>
      <c r="B31" s="3751">
        <v>382200000</v>
      </c>
      <c r="C31" s="3751">
        <v>0</v>
      </c>
      <c r="D31" s="3751">
        <v>105100000</v>
      </c>
      <c r="E31" s="928"/>
    </row>
    <row r="32" spans="1:7">
      <c r="A32" s="3749" t="s">
        <v>1367</v>
      </c>
      <c r="B32" s="3751">
        <v>34465000</v>
      </c>
      <c r="C32" s="3751">
        <v>1812459.08</v>
      </c>
      <c r="D32" s="3751">
        <v>6495653.8399999999</v>
      </c>
      <c r="E32" s="928"/>
    </row>
    <row r="33" spans="1:5">
      <c r="A33" s="3749" t="s">
        <v>1368</v>
      </c>
      <c r="B33" s="3751">
        <v>1000000</v>
      </c>
      <c r="C33" s="3751">
        <v>0</v>
      </c>
      <c r="D33" s="3751">
        <v>0</v>
      </c>
      <c r="E33" s="3166"/>
    </row>
    <row r="34" spans="1:5">
      <c r="A34" s="3749" t="s">
        <v>1369</v>
      </c>
      <c r="B34" s="3751">
        <v>27825000</v>
      </c>
      <c r="C34" s="3751">
        <v>0</v>
      </c>
      <c r="D34" s="3751">
        <v>0</v>
      </c>
      <c r="E34" s="928"/>
    </row>
    <row r="35" spans="1:5">
      <c r="A35" s="3749" t="s">
        <v>1370</v>
      </c>
      <c r="B35" s="3751">
        <v>3954200</v>
      </c>
      <c r="C35" s="3751">
        <v>0</v>
      </c>
      <c r="D35" s="3751">
        <v>300000</v>
      </c>
      <c r="E35" s="928"/>
    </row>
    <row r="36" spans="1:5">
      <c r="A36" s="3749" t="s">
        <v>1371</v>
      </c>
      <c r="B36" s="3751">
        <v>8440000</v>
      </c>
      <c r="C36" s="3751">
        <v>0</v>
      </c>
      <c r="D36" s="3751">
        <v>1642909.72</v>
      </c>
      <c r="E36" s="928"/>
    </row>
    <row r="37" spans="1:5">
      <c r="A37" s="3749" t="s">
        <v>1372</v>
      </c>
      <c r="B37" s="3751">
        <v>5300000</v>
      </c>
      <c r="C37" s="3751">
        <v>0</v>
      </c>
      <c r="D37" s="3751">
        <v>622498.06000000006</v>
      </c>
      <c r="E37" s="928"/>
    </row>
    <row r="38" spans="1:5">
      <c r="A38" s="3749" t="s">
        <v>1373</v>
      </c>
      <c r="B38" s="3751">
        <v>102606000</v>
      </c>
      <c r="C38" s="3751">
        <v>12825750</v>
      </c>
      <c r="D38" s="3751">
        <v>51303000</v>
      </c>
      <c r="E38" s="928"/>
    </row>
    <row r="39" spans="1:5">
      <c r="A39" s="3749" t="s">
        <v>1440</v>
      </c>
      <c r="B39" s="3751">
        <v>50000</v>
      </c>
      <c r="C39" s="3751">
        <v>0</v>
      </c>
      <c r="D39" s="3751">
        <v>0</v>
      </c>
      <c r="E39" s="928"/>
    </row>
    <row r="40" spans="1:5">
      <c r="A40" s="3749" t="s">
        <v>1374</v>
      </c>
      <c r="B40" s="3751">
        <v>34550000</v>
      </c>
      <c r="C40" s="3751">
        <v>749668.9</v>
      </c>
      <c r="D40" s="3751">
        <v>4397375.62</v>
      </c>
      <c r="E40" s="928"/>
    </row>
    <row r="41" spans="1:5">
      <c r="A41" s="3749" t="s">
        <v>1375</v>
      </c>
      <c r="B41" s="3751">
        <v>22990000</v>
      </c>
      <c r="C41" s="3751">
        <v>42484.67</v>
      </c>
      <c r="D41" s="3751">
        <v>3234379.98</v>
      </c>
      <c r="E41" s="928"/>
    </row>
    <row r="42" spans="1:5">
      <c r="A42" s="3749" t="s">
        <v>1376</v>
      </c>
      <c r="B42" s="3751">
        <v>4230000</v>
      </c>
      <c r="C42" s="3751">
        <v>0</v>
      </c>
      <c r="D42" s="3751">
        <v>2115000</v>
      </c>
      <c r="E42" s="928"/>
    </row>
    <row r="43" spans="1:5">
      <c r="A43" s="3749" t="s">
        <v>1377</v>
      </c>
      <c r="B43" s="3751">
        <v>8460000</v>
      </c>
      <c r="C43" s="3751">
        <v>0</v>
      </c>
      <c r="D43" s="3751">
        <v>4230000</v>
      </c>
      <c r="E43" s="928"/>
    </row>
    <row r="44" spans="1:5">
      <c r="A44" s="3749" t="s">
        <v>1378</v>
      </c>
      <c r="B44" s="3751">
        <v>489526059.02999997</v>
      </c>
      <c r="C44" s="3751">
        <v>0</v>
      </c>
      <c r="D44" s="3751">
        <v>0</v>
      </c>
      <c r="E44" s="928"/>
    </row>
    <row r="45" spans="1:5">
      <c r="A45" s="3750" t="s">
        <v>508</v>
      </c>
      <c r="B45" s="3752">
        <v>28338830000</v>
      </c>
      <c r="C45" s="3752">
        <v>417164226.61000001</v>
      </c>
      <c r="D45" s="3752">
        <v>4223508384.3699999</v>
      </c>
      <c r="E45" s="928"/>
    </row>
    <row r="46" spans="1:5">
      <c r="A46" s="3749" t="s">
        <v>1379</v>
      </c>
      <c r="B46" s="3751">
        <v>300000000</v>
      </c>
      <c r="C46" s="3751">
        <v>0</v>
      </c>
      <c r="D46" s="3751">
        <v>0</v>
      </c>
      <c r="E46" s="928"/>
    </row>
    <row r="47" spans="1:5">
      <c r="A47" s="3749" t="s">
        <v>1380</v>
      </c>
      <c r="B47" s="3751">
        <v>5349000000</v>
      </c>
      <c r="C47" s="3751">
        <v>87164226.609999999</v>
      </c>
      <c r="D47" s="3751">
        <v>792508384.37</v>
      </c>
      <c r="E47" s="928"/>
    </row>
    <row r="48" spans="1:5">
      <c r="A48" s="3749" t="s">
        <v>1381</v>
      </c>
      <c r="B48" s="3751">
        <v>21806630000</v>
      </c>
      <c r="C48" s="3751">
        <v>330000000</v>
      </c>
      <c r="D48" s="3751">
        <v>3431000000</v>
      </c>
      <c r="E48" s="928"/>
    </row>
    <row r="49" spans="1:5">
      <c r="A49" s="3749" t="s">
        <v>1382</v>
      </c>
      <c r="B49" s="3751">
        <v>816000000</v>
      </c>
      <c r="C49" s="3751">
        <v>0</v>
      </c>
      <c r="D49" s="3751">
        <v>0</v>
      </c>
      <c r="E49" s="928"/>
    </row>
    <row r="50" spans="1:5">
      <c r="A50" s="3749" t="s">
        <v>1383</v>
      </c>
      <c r="B50" s="3751">
        <v>67200000</v>
      </c>
      <c r="C50" s="3751">
        <v>0</v>
      </c>
      <c r="D50" s="3751">
        <v>0</v>
      </c>
      <c r="E50" s="928"/>
    </row>
    <row r="51" spans="1:5">
      <c r="A51" s="3750" t="s">
        <v>1409</v>
      </c>
      <c r="B51" s="3752">
        <v>53398000</v>
      </c>
      <c r="C51" s="3752">
        <v>3123017.2</v>
      </c>
      <c r="D51" s="3752">
        <v>21483403.510000002</v>
      </c>
      <c r="E51" s="928"/>
    </row>
    <row r="52" spans="1:5">
      <c r="A52" s="3749" t="s">
        <v>1410</v>
      </c>
      <c r="B52" s="3751">
        <v>53398000</v>
      </c>
      <c r="C52" s="3751">
        <v>3123017.2</v>
      </c>
      <c r="D52" s="3751">
        <v>21483403.510000002</v>
      </c>
      <c r="E52" s="928"/>
    </row>
    <row r="53" spans="1:5">
      <c r="A53" s="3750" t="s">
        <v>509</v>
      </c>
      <c r="B53" s="3752">
        <v>1834000</v>
      </c>
      <c r="C53" s="3752">
        <v>0</v>
      </c>
      <c r="D53" s="3752">
        <v>0</v>
      </c>
      <c r="E53" s="928"/>
    </row>
    <row r="54" spans="1:5">
      <c r="A54" s="3749" t="s">
        <v>1384</v>
      </c>
      <c r="B54" s="3751">
        <v>1834000</v>
      </c>
      <c r="C54" s="3751">
        <v>0</v>
      </c>
      <c r="D54" s="3751">
        <v>0</v>
      </c>
      <c r="E54" s="928"/>
    </row>
    <row r="55" spans="1:5">
      <c r="A55" s="3750" t="s">
        <v>510</v>
      </c>
      <c r="B55" s="3752">
        <v>60490924.850000001</v>
      </c>
      <c r="C55" s="3752">
        <v>1341946.33</v>
      </c>
      <c r="D55" s="3752">
        <v>12392416.100000001</v>
      </c>
      <c r="E55" s="928"/>
    </row>
    <row r="56" spans="1:5">
      <c r="A56" s="3749" t="s">
        <v>1385</v>
      </c>
      <c r="B56" s="3751">
        <v>60490924.850000001</v>
      </c>
      <c r="C56" s="3751">
        <v>1341946.33</v>
      </c>
      <c r="D56" s="3751">
        <v>12392416.100000001</v>
      </c>
      <c r="E56" s="928"/>
    </row>
    <row r="57" spans="1:5">
      <c r="A57" s="3750" t="s">
        <v>511</v>
      </c>
      <c r="B57" s="3752">
        <v>2477800</v>
      </c>
      <c r="C57" s="3752">
        <v>0</v>
      </c>
      <c r="D57" s="3752">
        <v>0</v>
      </c>
      <c r="E57" s="928"/>
    </row>
    <row r="58" spans="1:5">
      <c r="A58" s="3749" t="s">
        <v>1386</v>
      </c>
      <c r="B58" s="3751">
        <v>2477800</v>
      </c>
      <c r="C58" s="3751">
        <v>0</v>
      </c>
      <c r="D58" s="3751">
        <v>0</v>
      </c>
      <c r="E58" s="928"/>
    </row>
    <row r="59" spans="1:5">
      <c r="A59" s="3750" t="s">
        <v>1271</v>
      </c>
      <c r="B59" s="3752">
        <v>8190000</v>
      </c>
      <c r="C59" s="3752">
        <v>1040430.42</v>
      </c>
      <c r="D59" s="3752">
        <v>3745015.87</v>
      </c>
      <c r="E59" s="928"/>
    </row>
    <row r="60" spans="1:5">
      <c r="A60" s="3770" t="s">
        <v>1271</v>
      </c>
      <c r="B60" s="3753">
        <v>8190000</v>
      </c>
      <c r="C60" s="3753">
        <v>1040430.42</v>
      </c>
      <c r="D60" s="3753">
        <v>3745015.87</v>
      </c>
      <c r="E60" s="928"/>
    </row>
    <row r="61" spans="1:5">
      <c r="A61" s="3769" t="s">
        <v>552</v>
      </c>
      <c r="B61" s="3754">
        <f>SUM(B9:B60)/2</f>
        <v>32539724841.399998</v>
      </c>
      <c r="C61" s="3754">
        <f>SUM(C9:C60)/2</f>
        <v>527326736.42000002</v>
      </c>
      <c r="D61" s="3754">
        <f>SUM(D9:D60)/2</f>
        <v>5024266261.6900005</v>
      </c>
      <c r="E61" s="928"/>
    </row>
    <row r="62" spans="1:5">
      <c r="A62" s="3766" t="s">
        <v>512</v>
      </c>
      <c r="B62" s="3777"/>
      <c r="C62" s="3767">
        <v>-427781.08</v>
      </c>
      <c r="D62" s="3767">
        <v>-6680177.4230000004</v>
      </c>
      <c r="E62" s="928"/>
    </row>
    <row r="63" spans="1:5">
      <c r="A63" s="3766" t="s">
        <v>1324</v>
      </c>
      <c r="B63" s="3777"/>
      <c r="C63" s="3767">
        <v>0</v>
      </c>
      <c r="D63" s="3767">
        <v>0</v>
      </c>
      <c r="E63" s="928"/>
    </row>
    <row r="64" spans="1:5" ht="12.75" customHeight="1">
      <c r="A64" s="3766" t="s">
        <v>1325</v>
      </c>
      <c r="B64" s="3767"/>
      <c r="C64" s="3767">
        <v>0</v>
      </c>
      <c r="D64" s="3767">
        <v>0</v>
      </c>
      <c r="E64" s="3167"/>
    </row>
    <row r="65" spans="1:5">
      <c r="A65" s="3766" t="s">
        <v>513</v>
      </c>
      <c r="B65" s="3767"/>
      <c r="C65" s="3767">
        <v>-1220.72</v>
      </c>
      <c r="D65" s="3767">
        <v>-1221.67</v>
      </c>
      <c r="E65" s="928"/>
    </row>
    <row r="66" spans="1:5" ht="13.5" thickBot="1">
      <c r="A66" s="3744" t="s">
        <v>1387</v>
      </c>
      <c r="B66" s="3865">
        <f>SUM(B61:B65)</f>
        <v>32539724841.399998</v>
      </c>
      <c r="C66" s="3865">
        <f>SUM(C61:C65)</f>
        <v>526897734.62</v>
      </c>
      <c r="D66" s="3865">
        <f>SUM(D61:D65)</f>
        <v>5017584862.5970001</v>
      </c>
      <c r="E66" s="928"/>
    </row>
    <row r="67" spans="1:5" ht="13.5" thickTop="1">
      <c r="A67" s="1630"/>
      <c r="B67" s="3743"/>
      <c r="C67" s="3743"/>
      <c r="D67" s="3743"/>
      <c r="E67" s="928"/>
    </row>
    <row r="68" spans="1:5">
      <c r="A68" s="3745" t="s">
        <v>1411</v>
      </c>
      <c r="B68" s="1630"/>
      <c r="C68" s="1630"/>
      <c r="D68" s="1630"/>
      <c r="E68" s="928"/>
    </row>
    <row r="69" spans="1:5">
      <c r="A69" s="3745" t="s">
        <v>978</v>
      </c>
      <c r="B69" s="1630"/>
      <c r="C69" s="1630"/>
      <c r="D69" s="1630"/>
      <c r="E69" s="928"/>
    </row>
    <row r="70" spans="1:5" ht="13.35" customHeight="1">
      <c r="A70" s="3746" t="s">
        <v>947</v>
      </c>
      <c r="B70" s="1630"/>
      <c r="C70" s="1630"/>
      <c r="D70" s="1630"/>
    </row>
    <row r="71" spans="1:5" ht="12.75" customHeight="1">
      <c r="A71" s="3747" t="s">
        <v>948</v>
      </c>
      <c r="B71" s="1630"/>
      <c r="C71" s="1630"/>
      <c r="D71" s="3748"/>
    </row>
    <row r="72" spans="1:5">
      <c r="A72" s="3747" t="s">
        <v>949</v>
      </c>
      <c r="B72" s="1630"/>
      <c r="C72" s="1630"/>
      <c r="D72" s="3743"/>
    </row>
    <row r="73" spans="1:5">
      <c r="B73" s="935"/>
      <c r="C73" s="1634"/>
      <c r="D73" s="932"/>
    </row>
    <row r="74" spans="1:5">
      <c r="A74" s="930"/>
      <c r="B74" s="931"/>
      <c r="C74" s="931"/>
    </row>
    <row r="75" spans="1:5">
      <c r="A75" s="930"/>
      <c r="B75" s="931"/>
      <c r="C75" s="931"/>
    </row>
    <row r="77" spans="1:5">
      <c r="A77" s="931"/>
      <c r="B77" s="933"/>
      <c r="C77" s="933"/>
      <c r="D77" s="933"/>
    </row>
    <row r="78" spans="1:5" ht="12.75" customHeight="1">
      <c r="A78" s="931"/>
      <c r="B78" s="933"/>
      <c r="C78" s="933"/>
      <c r="D78" s="933"/>
    </row>
    <row r="79" spans="1:5" ht="12.75" customHeight="1">
      <c r="A79" s="931"/>
      <c r="B79" s="933"/>
      <c r="C79" s="933"/>
      <c r="D79" s="933"/>
    </row>
    <row r="80" spans="1:5" ht="12.75" customHeight="1">
      <c r="A80" s="931"/>
      <c r="B80" s="933"/>
      <c r="C80" s="933"/>
      <c r="D80" s="933"/>
    </row>
    <row r="81" spans="1:3">
      <c r="A81" s="931"/>
      <c r="B81" s="933"/>
      <c r="C81" s="933"/>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90" workbookViewId="0"/>
  </sheetViews>
  <sheetFormatPr defaultColWidth="8.88671875" defaultRowHeight="15" customHeight="1"/>
  <cols>
    <col min="1" max="1" width="55.109375" style="1292" customWidth="1"/>
    <col min="2" max="2" width="4.88671875" style="1292" customWidth="1"/>
    <col min="3" max="3" width="20.88671875" style="1293" customWidth="1"/>
    <col min="4" max="4" width="2.109375" style="1292" customWidth="1"/>
    <col min="5" max="5" width="20.88671875" style="1293" customWidth="1"/>
    <col min="6" max="6" width="2.109375" style="1292" customWidth="1"/>
    <col min="7" max="7" width="20.88671875" style="1293" customWidth="1"/>
    <col min="8" max="8" width="2.109375" style="1292" customWidth="1"/>
    <col min="9" max="9" width="20.109375" style="1293" customWidth="1"/>
    <col min="10" max="10" width="2.109375" style="1293" customWidth="1"/>
    <col min="11" max="11" width="1.88671875" style="1294" customWidth="1"/>
    <col min="12" max="12" width="20.109375" style="1294" customWidth="1"/>
    <col min="13" max="14" width="8.88671875" style="1293"/>
    <col min="15" max="16384" width="8.88671875" style="1292"/>
  </cols>
  <sheetData>
    <row r="1" spans="1:14" ht="15" customHeight="1">
      <c r="A1" s="657" t="s">
        <v>979</v>
      </c>
    </row>
    <row r="2" spans="1:14" ht="15" customHeight="1">
      <c r="A2" s="1295"/>
    </row>
    <row r="3" spans="1:14" ht="15" customHeight="1">
      <c r="L3" s="1387" t="s">
        <v>514</v>
      </c>
    </row>
    <row r="4" spans="1:14" ht="18" customHeight="1">
      <c r="A4" s="2005" t="s">
        <v>499</v>
      </c>
      <c r="B4" s="1296"/>
      <c r="C4" s="1296"/>
      <c r="D4" s="1296"/>
      <c r="E4" s="1296"/>
      <c r="F4" s="1296"/>
      <c r="G4" s="1296"/>
      <c r="H4" s="1296"/>
      <c r="I4" s="1296"/>
      <c r="J4" s="1296"/>
      <c r="K4" s="1389"/>
      <c r="L4" s="1389"/>
    </row>
    <row r="5" spans="1:14" ht="18" customHeight="1">
      <c r="A5" s="2005" t="s">
        <v>887</v>
      </c>
      <c r="B5" s="2005"/>
      <c r="C5" s="2005"/>
      <c r="D5" s="2005"/>
      <c r="E5" s="2005"/>
      <c r="F5" s="2005"/>
      <c r="G5" s="2005"/>
      <c r="H5" s="2005"/>
      <c r="I5" s="2005"/>
      <c r="J5" s="2005"/>
      <c r="K5" s="1388"/>
      <c r="L5" s="2005"/>
    </row>
    <row r="6" spans="1:14" ht="18" customHeight="1">
      <c r="A6" s="2005" t="s">
        <v>1407</v>
      </c>
      <c r="B6" s="2006"/>
      <c r="C6" s="2006"/>
      <c r="D6" s="2006"/>
      <c r="E6" s="2006"/>
      <c r="F6" s="2006"/>
      <c r="G6" s="2006"/>
      <c r="H6" s="2006"/>
      <c r="I6" s="2006"/>
      <c r="J6" s="2006"/>
      <c r="K6" s="1388"/>
      <c r="L6" s="2005"/>
    </row>
    <row r="7" spans="1:14" ht="15" customHeight="1">
      <c r="A7" s="2007"/>
      <c r="B7" s="2007"/>
      <c r="C7" s="2007"/>
      <c r="D7" s="2007"/>
      <c r="E7" s="2007"/>
      <c r="F7" s="2007"/>
      <c r="G7" s="2007"/>
      <c r="H7" s="2007"/>
      <c r="I7" s="2007"/>
      <c r="J7" s="2007"/>
      <c r="K7" s="1390"/>
      <c r="L7" s="1390"/>
    </row>
    <row r="8" spans="1:14" ht="15" customHeight="1">
      <c r="A8" s="1298"/>
      <c r="B8" s="1299"/>
      <c r="C8" s="1300"/>
      <c r="D8" s="1299"/>
      <c r="E8" s="1300"/>
      <c r="F8" s="1299"/>
      <c r="G8" s="1300"/>
      <c r="H8" s="1299"/>
      <c r="I8" s="1300"/>
      <c r="J8" s="1300"/>
      <c r="K8" s="1391"/>
      <c r="L8" s="1301"/>
    </row>
    <row r="9" spans="1:14" s="1304" customFormat="1" ht="15" customHeight="1">
      <c r="A9" s="1302"/>
      <c r="B9" s="1302"/>
      <c r="C9" s="1684" t="s">
        <v>1443</v>
      </c>
      <c r="D9" s="1302"/>
      <c r="E9" s="1684" t="s">
        <v>1479</v>
      </c>
      <c r="F9" s="1302"/>
      <c r="G9" s="1684" t="s">
        <v>1579</v>
      </c>
      <c r="H9" s="1302"/>
      <c r="I9" s="1684">
        <v>2020</v>
      </c>
      <c r="K9" s="1303"/>
      <c r="L9" s="1303"/>
      <c r="M9" s="1291"/>
      <c r="N9" s="1291"/>
    </row>
    <row r="10" spans="1:14" ht="15" customHeight="1">
      <c r="A10" s="1305"/>
      <c r="B10" s="1305"/>
      <c r="C10" s="2290" t="s">
        <v>1444</v>
      </c>
      <c r="D10" s="1305"/>
      <c r="E10" s="2290" t="s">
        <v>1480</v>
      </c>
      <c r="F10" s="1305"/>
      <c r="G10" s="2290" t="s">
        <v>1580</v>
      </c>
      <c r="H10" s="1305"/>
      <c r="I10" s="2290" t="s">
        <v>134</v>
      </c>
      <c r="K10" s="1297"/>
      <c r="L10" s="1306" t="s">
        <v>1408</v>
      </c>
    </row>
    <row r="11" spans="1:14" ht="15" customHeight="1">
      <c r="A11" s="1305"/>
      <c r="B11" s="1305"/>
      <c r="C11" s="1297"/>
      <c r="D11" s="1305"/>
      <c r="E11" s="1297"/>
      <c r="F11" s="1305"/>
      <c r="G11" s="1297"/>
      <c r="H11" s="1305"/>
      <c r="I11" s="1297"/>
      <c r="J11" s="1297"/>
      <c r="K11" s="1297"/>
      <c r="L11" s="1945"/>
    </row>
    <row r="12" spans="1:14" s="1304" customFormat="1" ht="15" customHeight="1">
      <c r="A12" s="1308" t="s">
        <v>474</v>
      </c>
      <c r="B12" s="1308"/>
      <c r="C12" s="1309">
        <v>284899772.69999999</v>
      </c>
      <c r="D12" s="1308"/>
      <c r="E12" s="1309">
        <f>C52</f>
        <v>217136341.69999999</v>
      </c>
      <c r="F12" s="1308"/>
      <c r="G12" s="1309">
        <f>E52</f>
        <v>349275252.27999997</v>
      </c>
      <c r="H12" s="1308"/>
      <c r="I12" s="1309">
        <f>G52</f>
        <v>362704232.36000001</v>
      </c>
      <c r="J12" s="1309"/>
      <c r="K12" s="1310"/>
      <c r="L12" s="1392">
        <f>C12</f>
        <v>284899772.69999999</v>
      </c>
      <c r="M12" s="1291"/>
      <c r="N12" s="1291"/>
    </row>
    <row r="13" spans="1:14" ht="15" customHeight="1">
      <c r="A13" s="1308"/>
      <c r="B13" s="1305"/>
      <c r="C13" s="1307"/>
      <c r="D13" s="1305"/>
      <c r="E13" s="1307"/>
      <c r="F13" s="1305"/>
      <c r="G13" s="1307"/>
      <c r="H13" s="1305"/>
      <c r="I13" s="1307"/>
      <c r="J13" s="1307"/>
      <c r="K13" s="1311"/>
      <c r="L13" s="1314"/>
    </row>
    <row r="14" spans="1:14" ht="15" customHeight="1">
      <c r="A14" s="1308" t="s">
        <v>14</v>
      </c>
      <c r="B14" s="1305"/>
      <c r="C14" s="1312"/>
      <c r="D14" s="1305"/>
      <c r="E14" s="1312"/>
      <c r="F14" s="1305"/>
      <c r="G14" s="1312"/>
      <c r="H14" s="1305"/>
      <c r="I14" s="1312"/>
      <c r="J14" s="1312"/>
      <c r="K14" s="1313"/>
      <c r="L14" s="1314"/>
    </row>
    <row r="15" spans="1:14" ht="15" customHeight="1">
      <c r="A15" s="1305" t="s">
        <v>516</v>
      </c>
      <c r="B15" s="1305"/>
      <c r="C15" s="1280">
        <v>901482254.93999994</v>
      </c>
      <c r="D15" s="1305"/>
      <c r="E15" s="1280">
        <v>1104136349.72</v>
      </c>
      <c r="F15" s="1305"/>
      <c r="G15" s="1280">
        <v>906738478.92000008</v>
      </c>
      <c r="H15" s="1305"/>
      <c r="I15" s="1280">
        <v>311479097.10000002</v>
      </c>
      <c r="J15" s="1280"/>
      <c r="K15" s="1313"/>
      <c r="L15" s="1314">
        <f>SUM(C15:J15)</f>
        <v>3223836180.6799998</v>
      </c>
    </row>
    <row r="16" spans="1:14" ht="15" customHeight="1">
      <c r="A16" s="1305" t="s">
        <v>517</v>
      </c>
      <c r="B16" s="1305"/>
      <c r="C16" s="1280">
        <v>257819074.40000001</v>
      </c>
      <c r="D16" s="1305"/>
      <c r="E16" s="1280">
        <v>303187529.44999999</v>
      </c>
      <c r="F16" s="1305"/>
      <c r="G16" s="1280">
        <v>261374155.15000001</v>
      </c>
      <c r="H16" s="1305"/>
      <c r="I16" s="1280">
        <v>84047137.429999992</v>
      </c>
      <c r="J16" s="1280"/>
      <c r="K16" s="1313"/>
      <c r="L16" s="1314">
        <f t="shared" ref="L16:L21" si="0">SUM(C16:J16)</f>
        <v>906427896.42999995</v>
      </c>
    </row>
    <row r="17" spans="1:19" ht="15" customHeight="1">
      <c r="A17" s="1305" t="s">
        <v>518</v>
      </c>
      <c r="B17" s="1305"/>
      <c r="C17" s="1280">
        <v>33710660.469999999</v>
      </c>
      <c r="D17" s="1305"/>
      <c r="E17" s="1280">
        <v>38718319.009999998</v>
      </c>
      <c r="F17" s="1305"/>
      <c r="G17" s="1280">
        <v>27667375.620000001</v>
      </c>
      <c r="H17" s="1305"/>
      <c r="I17" s="1280">
        <v>9255798.3200000003</v>
      </c>
      <c r="J17" s="1280"/>
      <c r="K17" s="1313"/>
      <c r="L17" s="1314">
        <f t="shared" si="0"/>
        <v>109352153.41999999</v>
      </c>
    </row>
    <row r="18" spans="1:19" ht="15" customHeight="1">
      <c r="A18" s="1305" t="s">
        <v>519</v>
      </c>
      <c r="B18" s="1305"/>
      <c r="C18" s="1280">
        <v>101375334</v>
      </c>
      <c r="D18" s="1305"/>
      <c r="E18" s="1280">
        <v>108247260</v>
      </c>
      <c r="F18" s="1305"/>
      <c r="G18" s="1280">
        <v>107445313</v>
      </c>
      <c r="H18" s="1305"/>
      <c r="I18" s="1280">
        <v>34115797</v>
      </c>
      <c r="J18" s="1280"/>
      <c r="K18" s="1313"/>
      <c r="L18" s="1314">
        <f t="shared" si="0"/>
        <v>351183704</v>
      </c>
    </row>
    <row r="19" spans="1:19" s="1521" customFormat="1" ht="18" customHeight="1">
      <c r="A19" s="1522" t="s">
        <v>520</v>
      </c>
      <c r="B19" s="1305"/>
      <c r="C19" s="805">
        <v>0</v>
      </c>
      <c r="D19" s="1305"/>
      <c r="E19" s="805">
        <v>0</v>
      </c>
      <c r="F19" s="1305"/>
      <c r="G19" s="805">
        <v>0</v>
      </c>
      <c r="H19" s="1305"/>
      <c r="I19" s="805">
        <v>0</v>
      </c>
      <c r="J19" s="805"/>
      <c r="K19" s="1313"/>
      <c r="L19" s="1314">
        <f t="shared" si="0"/>
        <v>0</v>
      </c>
      <c r="M19" s="1307"/>
      <c r="N19" s="1307"/>
    </row>
    <row r="20" spans="1:19" ht="15" customHeight="1">
      <c r="A20" s="1305" t="s">
        <v>521</v>
      </c>
      <c r="B20" s="1305"/>
      <c r="C20" s="1280">
        <v>214148.16</v>
      </c>
      <c r="D20" s="1305"/>
      <c r="E20" s="1280">
        <v>222300.29</v>
      </c>
      <c r="F20" s="1305"/>
      <c r="G20" s="1280">
        <v>127867.18</v>
      </c>
      <c r="H20" s="1305"/>
      <c r="I20" s="1280">
        <v>38925.17</v>
      </c>
      <c r="J20" s="1280"/>
      <c r="K20" s="1313"/>
      <c r="L20" s="1314">
        <f t="shared" si="0"/>
        <v>603240.80000000005</v>
      </c>
    </row>
    <row r="21" spans="1:19" ht="15" customHeight="1">
      <c r="A21" s="1305" t="s">
        <v>522</v>
      </c>
      <c r="B21" s="1305"/>
      <c r="C21" s="2012">
        <v>25420354</v>
      </c>
      <c r="D21" s="1305"/>
      <c r="E21" s="2012">
        <v>-25438913</v>
      </c>
      <c r="F21" s="1305"/>
      <c r="G21" s="2012">
        <v>2006523</v>
      </c>
      <c r="H21" s="1305"/>
      <c r="I21" s="2012">
        <v>9104156.1199999992</v>
      </c>
      <c r="J21" s="1283"/>
      <c r="K21" s="1315"/>
      <c r="L21" s="1314">
        <f t="shared" si="0"/>
        <v>11092120.119999999</v>
      </c>
      <c r="M21" s="1294"/>
    </row>
    <row r="22" spans="1:19" s="1304" customFormat="1" ht="15.75">
      <c r="A22" s="1308" t="s">
        <v>151</v>
      </c>
      <c r="B22" s="1308"/>
      <c r="C22" s="2013">
        <f>ROUND(SUM(C15:C21),2)</f>
        <v>1320021825.97</v>
      </c>
      <c r="D22" s="1308"/>
      <c r="E22" s="2013">
        <f>ROUND(SUM(E15:E21),2)</f>
        <v>1529072845.47</v>
      </c>
      <c r="F22" s="1308"/>
      <c r="G22" s="2013">
        <f>ROUND(SUM(G15:G21),2)</f>
        <v>1305359712.8699999</v>
      </c>
      <c r="H22" s="1308"/>
      <c r="I22" s="2013">
        <f>ROUND(SUM(I15:I21),2)</f>
        <v>448040911.13999999</v>
      </c>
      <c r="J22" s="2013"/>
      <c r="K22" s="1316"/>
      <c r="L22" s="1946">
        <f>ROUND(SUM(L15:L21),2)</f>
        <v>4602495295.4499998</v>
      </c>
      <c r="M22" s="1318"/>
      <c r="N22" s="1291"/>
    </row>
    <row r="23" spans="1:19" ht="15" customHeight="1">
      <c r="A23" s="1305"/>
      <c r="B23" s="1305"/>
      <c r="C23" s="1312"/>
      <c r="D23" s="1305"/>
      <c r="E23" s="1312"/>
      <c r="F23" s="1305"/>
      <c r="G23" s="1312"/>
      <c r="H23" s="1305"/>
      <c r="I23" s="1312"/>
      <c r="J23" s="1314"/>
      <c r="K23" s="1313"/>
      <c r="L23" s="1314"/>
    </row>
    <row r="24" spans="1:19" ht="15" customHeight="1">
      <c r="A24" s="1308" t="s">
        <v>942</v>
      </c>
      <c r="B24" s="1305"/>
      <c r="C24" s="1319"/>
      <c r="D24" s="1305"/>
      <c r="E24" s="1319"/>
      <c r="F24" s="1305"/>
      <c r="G24" s="1319"/>
      <c r="H24" s="1305"/>
      <c r="I24" s="1319"/>
      <c r="J24" s="1319"/>
      <c r="K24" s="1313"/>
      <c r="L24" s="1314"/>
    </row>
    <row r="25" spans="1:19" ht="15" customHeight="1">
      <c r="A25" s="1320" t="s">
        <v>523</v>
      </c>
      <c r="B25" s="1305"/>
      <c r="C25" s="1312">
        <v>0</v>
      </c>
      <c r="D25" s="1305"/>
      <c r="E25" s="1312">
        <v>0</v>
      </c>
      <c r="F25" s="1305"/>
      <c r="G25" s="1312">
        <v>-2400000</v>
      </c>
      <c r="H25" s="1305"/>
      <c r="I25" s="1312">
        <v>0</v>
      </c>
      <c r="J25" s="1312"/>
      <c r="K25" s="1313"/>
      <c r="L25" s="1314">
        <f>SUM(C25:J25)</f>
        <v>-2400000</v>
      </c>
    </row>
    <row r="26" spans="1:19" ht="15" customHeight="1">
      <c r="A26" s="1320" t="s">
        <v>524</v>
      </c>
      <c r="B26" s="1305"/>
      <c r="C26" s="1312">
        <v>0</v>
      </c>
      <c r="D26" s="1305"/>
      <c r="E26" s="1312">
        <v>0</v>
      </c>
      <c r="F26" s="1305"/>
      <c r="G26" s="1312">
        <v>-4230000</v>
      </c>
      <c r="H26" s="1305"/>
      <c r="I26" s="1312">
        <v>0</v>
      </c>
      <c r="J26" s="1312"/>
      <c r="K26" s="1313"/>
      <c r="L26" s="1314">
        <f>SUM(C26:J26)</f>
        <v>-4230000</v>
      </c>
    </row>
    <row r="27" spans="1:19" ht="15" customHeight="1">
      <c r="A27" s="1320" t="s">
        <v>525</v>
      </c>
      <c r="B27" s="1305"/>
      <c r="C27" s="1312">
        <v>0</v>
      </c>
      <c r="D27" s="1305"/>
      <c r="E27" s="1312">
        <v>0</v>
      </c>
      <c r="F27" s="1305"/>
      <c r="G27" s="1312">
        <v>-3444996</v>
      </c>
      <c r="H27" s="1305"/>
      <c r="I27" s="1312">
        <v>0</v>
      </c>
      <c r="J27" s="1312"/>
      <c r="K27" s="1315"/>
      <c r="L27" s="1314">
        <f>SUM(C27:J27)</f>
        <v>-3444996</v>
      </c>
    </row>
    <row r="28" spans="1:19" ht="15.75">
      <c r="A28" s="1296" t="s">
        <v>985</v>
      </c>
      <c r="B28" s="1308"/>
      <c r="C28" s="1946">
        <f>ROUND(SUM(C25:C27),2)</f>
        <v>0</v>
      </c>
      <c r="D28" s="1308"/>
      <c r="E28" s="1946">
        <f>ROUND(SUM(E25:E27),2)</f>
        <v>0</v>
      </c>
      <c r="F28" s="1308"/>
      <c r="G28" s="1946">
        <f>ROUND(SUM(G25:G27),2)</f>
        <v>-10074996</v>
      </c>
      <c r="H28" s="1308"/>
      <c r="I28" s="1946">
        <f>ROUND(SUM(I25:I27),2)</f>
        <v>0</v>
      </c>
      <c r="J28" s="1317"/>
      <c r="K28" s="1316"/>
      <c r="L28" s="1946">
        <f>ROUND(SUM(L25:L27),2)</f>
        <v>-10074996</v>
      </c>
    </row>
    <row r="29" spans="1:19" ht="15" customHeight="1">
      <c r="A29" s="1305"/>
      <c r="B29" s="1305"/>
      <c r="C29" s="1312"/>
      <c r="D29" s="1305"/>
      <c r="E29" s="1312"/>
      <c r="F29" s="1305"/>
      <c r="G29" s="1312"/>
      <c r="H29" s="1305"/>
      <c r="I29" s="1312"/>
      <c r="J29" s="1312"/>
      <c r="K29" s="1313"/>
      <c r="L29" s="1314"/>
    </row>
    <row r="30" spans="1:19" ht="15" customHeight="1">
      <c r="A30" s="1308" t="s">
        <v>526</v>
      </c>
      <c r="B30" s="1308"/>
      <c r="C30" s="2292">
        <f>ROUND(+C22+C28,2)</f>
        <v>1320021825.97</v>
      </c>
      <c r="D30" s="1308"/>
      <c r="E30" s="2292">
        <f>ROUND(+E22+E28,2)</f>
        <v>1529072845.47</v>
      </c>
      <c r="F30" s="1308"/>
      <c r="G30" s="2292">
        <f>ROUND(+G22+G28,2)</f>
        <v>1295284716.8699999</v>
      </c>
      <c r="H30" s="1308"/>
      <c r="I30" s="2292">
        <f>ROUND(+I22+I28,2)</f>
        <v>448040911.13999999</v>
      </c>
      <c r="J30" s="1317"/>
      <c r="K30" s="1321"/>
      <c r="L30" s="1317">
        <f>ROUND(+L22+L28,2)</f>
        <v>4592420299.4499998</v>
      </c>
    </row>
    <row r="31" spans="1:19" ht="15" customHeight="1">
      <c r="A31" s="1305"/>
      <c r="B31" s="1305"/>
      <c r="C31" s="1314"/>
      <c r="D31" s="1305"/>
      <c r="E31" s="1314"/>
      <c r="F31" s="1305"/>
      <c r="G31" s="1314"/>
      <c r="H31" s="1305"/>
      <c r="I31" s="1314"/>
      <c r="J31" s="1314"/>
      <c r="K31" s="1313"/>
      <c r="L31" s="1947"/>
      <c r="M31" s="1294"/>
      <c r="N31" s="1294"/>
      <c r="O31" s="1322"/>
      <c r="P31" s="1322"/>
      <c r="Q31" s="1322"/>
      <c r="R31" s="1322"/>
      <c r="S31" s="1322"/>
    </row>
    <row r="32" spans="1:19" ht="15" customHeight="1">
      <c r="A32" s="1308" t="s">
        <v>46</v>
      </c>
      <c r="B32" s="1305"/>
      <c r="C32" s="1314"/>
      <c r="D32" s="1305"/>
      <c r="E32" s="1314"/>
      <c r="F32" s="1305"/>
      <c r="G32" s="1314"/>
      <c r="H32" s="1305"/>
      <c r="I32" s="1314"/>
      <c r="J32" s="1314"/>
      <c r="K32" s="1313"/>
      <c r="L32" s="1314"/>
      <c r="M32" s="1294"/>
      <c r="N32" s="1294"/>
      <c r="O32" s="1322"/>
      <c r="P32" s="1322"/>
      <c r="Q32" s="1322"/>
      <c r="R32" s="1322"/>
      <c r="S32" s="1322"/>
    </row>
    <row r="33" spans="1:19" ht="15" customHeight="1">
      <c r="A33" s="1308" t="s">
        <v>888</v>
      </c>
      <c r="B33" s="1305"/>
      <c r="C33" s="1314"/>
      <c r="D33" s="1305"/>
      <c r="E33" s="1314"/>
      <c r="F33" s="1305"/>
      <c r="G33" s="1314"/>
      <c r="H33" s="1305"/>
      <c r="I33" s="1314"/>
      <c r="J33" s="1314"/>
      <c r="K33" s="1313"/>
      <c r="L33" s="1314"/>
      <c r="M33" s="1294"/>
      <c r="N33" s="1294"/>
      <c r="O33" s="1322"/>
      <c r="P33" s="1322"/>
      <c r="Q33" s="1322"/>
      <c r="R33" s="1322"/>
      <c r="S33" s="1322"/>
    </row>
    <row r="34" spans="1:19" ht="15" customHeight="1">
      <c r="A34" s="1305" t="s">
        <v>527</v>
      </c>
      <c r="B34" s="1305"/>
      <c r="C34" s="1280">
        <v>0</v>
      </c>
      <c r="D34" s="1305"/>
      <c r="E34" s="1280">
        <v>0</v>
      </c>
      <c r="F34" s="1305"/>
      <c r="G34" s="1280">
        <v>0</v>
      </c>
      <c r="H34" s="1305"/>
      <c r="I34" s="1280">
        <v>0</v>
      </c>
      <c r="J34" s="1280"/>
      <c r="K34" s="1313"/>
      <c r="L34" s="1314">
        <f>SUM(C34:J34)</f>
        <v>0</v>
      </c>
      <c r="M34" s="1294"/>
      <c r="N34" s="1294"/>
      <c r="O34" s="1322"/>
      <c r="P34" s="1322"/>
      <c r="Q34" s="1322"/>
      <c r="R34" s="1322"/>
      <c r="S34" s="1322"/>
    </row>
    <row r="35" spans="1:19" ht="15" customHeight="1">
      <c r="A35" s="1320" t="s">
        <v>528</v>
      </c>
      <c r="B35" s="1305"/>
      <c r="C35" s="1280">
        <v>12273811</v>
      </c>
      <c r="D35" s="1305"/>
      <c r="E35" s="1280">
        <v>12910960</v>
      </c>
      <c r="F35" s="1305"/>
      <c r="G35" s="1280">
        <v>12842986</v>
      </c>
      <c r="H35" s="1305"/>
      <c r="I35" s="1280">
        <v>4239323</v>
      </c>
      <c r="J35" s="1280"/>
      <c r="K35" s="1313"/>
      <c r="L35" s="1314">
        <f>SUM(C35:J35)</f>
        <v>42267080</v>
      </c>
      <c r="M35" s="1294"/>
      <c r="N35" s="1294"/>
      <c r="O35" s="1322"/>
      <c r="P35" s="1322"/>
      <c r="Q35" s="1322"/>
      <c r="R35" s="1322"/>
      <c r="S35" s="1322"/>
    </row>
    <row r="36" spans="1:19" ht="15" customHeight="1">
      <c r="A36" s="1308" t="s">
        <v>529</v>
      </c>
      <c r="B36" s="1305"/>
      <c r="C36" s="1314"/>
      <c r="D36" s="1305"/>
      <c r="E36" s="1314"/>
      <c r="F36" s="1305"/>
      <c r="G36" s="1314"/>
      <c r="H36" s="1305"/>
      <c r="I36" s="1314"/>
      <c r="J36" s="1314"/>
      <c r="K36" s="1313"/>
      <c r="L36" s="1314"/>
      <c r="M36" s="1294"/>
      <c r="N36" s="1294"/>
      <c r="O36" s="1322"/>
      <c r="P36" s="1322"/>
      <c r="Q36" s="1322"/>
      <c r="R36" s="1322"/>
      <c r="S36" s="1322"/>
    </row>
    <row r="37" spans="1:19" ht="15" customHeight="1">
      <c r="A37" s="1272" t="s">
        <v>530</v>
      </c>
      <c r="B37" s="1305"/>
      <c r="C37" s="1323">
        <v>0</v>
      </c>
      <c r="D37" s="1305"/>
      <c r="E37" s="1323">
        <v>0</v>
      </c>
      <c r="F37" s="1305"/>
      <c r="G37" s="1323">
        <v>10074996</v>
      </c>
      <c r="H37" s="1305"/>
      <c r="I37" s="1323">
        <v>0</v>
      </c>
      <c r="J37" s="1323"/>
      <c r="K37" s="1313"/>
      <c r="L37" s="1314">
        <f>SUM(C37:J37)</f>
        <v>10074996</v>
      </c>
      <c r="M37" s="1294"/>
      <c r="N37" s="1294"/>
      <c r="O37" s="1322"/>
      <c r="P37" s="1322"/>
      <c r="Q37" s="1322"/>
      <c r="R37" s="1322"/>
      <c r="S37" s="1322"/>
    </row>
    <row r="38" spans="1:19" s="1304" customFormat="1" ht="15.75">
      <c r="A38" s="1308" t="s">
        <v>531</v>
      </c>
      <c r="B38" s="1308"/>
      <c r="C38" s="1946">
        <f>ROUND(SUM(C34:C37),2)</f>
        <v>12273811</v>
      </c>
      <c r="D38" s="1308"/>
      <c r="E38" s="1946">
        <f>ROUND(SUM(E34:E37),2)</f>
        <v>12910960</v>
      </c>
      <c r="F38" s="1308"/>
      <c r="G38" s="1946">
        <f>ROUND(SUM(G34:G37),2)</f>
        <v>22917982</v>
      </c>
      <c r="H38" s="1308"/>
      <c r="I38" s="1946">
        <f>ROUND(SUM(I34:I37),2)</f>
        <v>4239323</v>
      </c>
      <c r="J38" s="1317"/>
      <c r="K38" s="1316"/>
      <c r="L38" s="1946">
        <f>ROUND(SUM(L34:L37),2)</f>
        <v>52342076</v>
      </c>
      <c r="M38" s="1318"/>
      <c r="N38" s="1318"/>
      <c r="O38" s="1324"/>
      <c r="P38" s="1324"/>
      <c r="Q38" s="1324"/>
      <c r="R38" s="1324"/>
      <c r="S38" s="1324"/>
    </row>
    <row r="39" spans="1:19" ht="15" customHeight="1">
      <c r="A39" s="1305"/>
      <c r="B39" s="1305"/>
      <c r="C39" s="1312"/>
      <c r="D39" s="1305"/>
      <c r="E39" s="1312"/>
      <c r="F39" s="1305"/>
      <c r="G39" s="1312"/>
      <c r="H39" s="1305"/>
      <c r="I39" s="1312"/>
      <c r="J39" s="1312"/>
      <c r="K39" s="1313"/>
      <c r="L39" s="1314"/>
      <c r="M39" s="1294"/>
      <c r="N39" s="1294"/>
      <c r="O39" s="1322"/>
      <c r="P39" s="1322"/>
      <c r="Q39" s="1322"/>
      <c r="R39" s="1322"/>
      <c r="S39" s="1322"/>
    </row>
    <row r="40" spans="1:19" ht="15" customHeight="1">
      <c r="A40" s="1308" t="s">
        <v>943</v>
      </c>
      <c r="B40" s="1305"/>
      <c r="C40" s="1312"/>
      <c r="D40" s="1305"/>
      <c r="E40" s="1312"/>
      <c r="F40" s="1305"/>
      <c r="G40" s="1312"/>
      <c r="H40" s="1305"/>
      <c r="I40" s="1312"/>
      <c r="J40" s="1312"/>
      <c r="K40" s="1313"/>
      <c r="L40" s="1314"/>
      <c r="M40" s="1294"/>
      <c r="N40" s="1294"/>
      <c r="O40" s="1322"/>
      <c r="P40" s="1322"/>
      <c r="Q40" s="1322"/>
      <c r="R40" s="1322"/>
      <c r="S40" s="1322"/>
    </row>
    <row r="41" spans="1:19" ht="15" customHeight="1">
      <c r="A41" s="1305" t="s">
        <v>527</v>
      </c>
      <c r="B41" s="1305"/>
      <c r="C41" s="1273">
        <v>0</v>
      </c>
      <c r="D41" s="1305"/>
      <c r="E41" s="1273">
        <v>0</v>
      </c>
      <c r="F41" s="1305"/>
      <c r="G41" s="1273">
        <v>0</v>
      </c>
      <c r="H41" s="1305"/>
      <c r="I41" s="1273">
        <v>0</v>
      </c>
      <c r="J41" s="1273"/>
      <c r="K41" s="1313"/>
      <c r="L41" s="1314">
        <f>SUM(C41:J41)</f>
        <v>0</v>
      </c>
      <c r="M41" s="1294"/>
      <c r="N41" s="1294"/>
      <c r="O41" s="1322"/>
      <c r="P41" s="1322"/>
      <c r="Q41" s="1322"/>
      <c r="R41" s="1322"/>
      <c r="S41" s="1322"/>
    </row>
    <row r="42" spans="1:19" ht="15" customHeight="1">
      <c r="A42" s="1305" t="s">
        <v>532</v>
      </c>
      <c r="B42" s="1305"/>
      <c r="C42" s="1312">
        <v>0</v>
      </c>
      <c r="D42" s="1305"/>
      <c r="E42" s="1312">
        <v>0</v>
      </c>
      <c r="F42" s="1305"/>
      <c r="G42" s="1312">
        <v>0</v>
      </c>
      <c r="H42" s="1305"/>
      <c r="I42" s="1312">
        <v>0</v>
      </c>
      <c r="J42" s="1312"/>
      <c r="K42" s="1313"/>
      <c r="L42" s="1314">
        <f>SUM(C42:J42)</f>
        <v>0</v>
      </c>
      <c r="M42" s="1294"/>
      <c r="N42" s="1294"/>
      <c r="O42" s="1322"/>
      <c r="P42" s="1322"/>
      <c r="Q42" s="1322"/>
      <c r="R42" s="1322"/>
      <c r="S42" s="1322"/>
    </row>
    <row r="43" spans="1:19" ht="15" customHeight="1">
      <c r="A43" s="1308" t="s">
        <v>944</v>
      </c>
      <c r="B43" s="1305"/>
      <c r="C43" s="1312"/>
      <c r="D43" s="1305"/>
      <c r="E43" s="1312"/>
      <c r="F43" s="1305"/>
      <c r="G43" s="1312"/>
      <c r="H43" s="1305"/>
      <c r="I43" s="1312"/>
      <c r="J43" s="1312"/>
      <c r="K43" s="1313"/>
      <c r="L43" s="1314"/>
      <c r="M43" s="1294"/>
      <c r="N43" s="1294"/>
      <c r="O43" s="1322"/>
      <c r="P43" s="1322"/>
      <c r="Q43" s="1322"/>
      <c r="R43" s="1322"/>
      <c r="S43" s="1322"/>
    </row>
    <row r="44" spans="1:19" ht="15" customHeight="1">
      <c r="A44" s="1320" t="s">
        <v>530</v>
      </c>
      <c r="B44" s="1305"/>
      <c r="C44" s="1280">
        <v>-1211212716.7199998</v>
      </c>
      <c r="D44" s="1305"/>
      <c r="E44" s="1280">
        <v>-1061871734.4300001</v>
      </c>
      <c r="F44" s="1305"/>
      <c r="G44" s="1280">
        <v>-1136233577.6799998</v>
      </c>
      <c r="H44" s="1305"/>
      <c r="I44" s="1280">
        <v>-394234112.12999994</v>
      </c>
      <c r="J44" s="1280"/>
      <c r="K44" s="1313"/>
      <c r="L44" s="1314">
        <f>SUM(C44:J44)</f>
        <v>-3803552140.9599996</v>
      </c>
      <c r="M44" s="1294"/>
      <c r="N44" s="1294"/>
      <c r="O44" s="1322"/>
      <c r="P44" s="1322"/>
      <c r="Q44" s="1322"/>
      <c r="R44" s="1322"/>
      <c r="S44" s="1322"/>
    </row>
    <row r="45" spans="1:19" ht="15" customHeight="1">
      <c r="A45" s="1305" t="s">
        <v>1314</v>
      </c>
      <c r="B45" s="1305"/>
      <c r="C45" s="1280">
        <v>-189777239.46000004</v>
      </c>
      <c r="D45" s="1305"/>
      <c r="E45" s="1280">
        <v>-325895043.33000004</v>
      </c>
      <c r="F45" s="1305"/>
      <c r="G45" s="1280">
        <v>-168654356.44000003</v>
      </c>
      <c r="H45" s="1305"/>
      <c r="I45" s="1280">
        <v>-82349151.89000003</v>
      </c>
      <c r="J45" s="1280"/>
      <c r="K45" s="1313"/>
      <c r="L45" s="1314">
        <f>SUM(C45:J45)</f>
        <v>-766675791.12000012</v>
      </c>
      <c r="M45" s="1294"/>
      <c r="N45" s="1294"/>
      <c r="O45" s="1322"/>
      <c r="P45" s="1322"/>
      <c r="Q45" s="1322"/>
      <c r="R45" s="1322"/>
      <c r="S45" s="1322"/>
    </row>
    <row r="46" spans="1:19" ht="15" customHeight="1">
      <c r="A46" s="1305" t="s">
        <v>1315</v>
      </c>
      <c r="B46" s="1305"/>
      <c r="C46" s="2014">
        <v>930888.21</v>
      </c>
      <c r="D46" s="1305"/>
      <c r="E46" s="2014">
        <v>-22078117.129999988</v>
      </c>
      <c r="F46" s="1305"/>
      <c r="G46" s="2014">
        <v>114215.32999999999</v>
      </c>
      <c r="H46" s="1305"/>
      <c r="I46" s="2014">
        <v>-4714168.66</v>
      </c>
      <c r="J46" s="1314"/>
      <c r="K46" s="1313"/>
      <c r="L46" s="1314">
        <f>SUM(C46:J46)</f>
        <v>-25747182.249999989</v>
      </c>
      <c r="M46" s="1294"/>
      <c r="N46" s="1294"/>
      <c r="O46" s="1322"/>
      <c r="P46" s="1322"/>
      <c r="Q46" s="1322"/>
      <c r="R46" s="1322"/>
      <c r="S46" s="1322"/>
    </row>
    <row r="47" spans="1:19" ht="15.75">
      <c r="A47" s="1308" t="s">
        <v>533</v>
      </c>
      <c r="B47" s="1308"/>
      <c r="C47" s="1946">
        <f>ROUND(SUM(C41:C46),2)</f>
        <v>-1400059067.97</v>
      </c>
      <c r="D47" s="1308"/>
      <c r="E47" s="1946">
        <f>ROUND(SUM(E41:E46),2)</f>
        <v>-1409844894.8900001</v>
      </c>
      <c r="F47" s="1308"/>
      <c r="G47" s="1946">
        <f>ROUND(SUM(G41:G46),2)</f>
        <v>-1304773718.79</v>
      </c>
      <c r="H47" s="1308"/>
      <c r="I47" s="1946">
        <f>ROUND(SUM(I41:I46),2)</f>
        <v>-481297432.68000001</v>
      </c>
      <c r="J47" s="1317"/>
      <c r="K47" s="1316"/>
      <c r="L47" s="1946">
        <f>ROUND(SUM(L41:L46),2)</f>
        <v>-4595975114.3299999</v>
      </c>
      <c r="M47" s="1294"/>
      <c r="N47" s="1294"/>
      <c r="O47" s="1322"/>
      <c r="P47" s="1322"/>
      <c r="Q47" s="1322"/>
      <c r="R47" s="1322"/>
      <c r="S47" s="1322"/>
    </row>
    <row r="48" spans="1:19" ht="15" customHeight="1">
      <c r="A48" s="1305"/>
      <c r="B48" s="1305"/>
      <c r="C48" s="1312"/>
      <c r="D48" s="1305"/>
      <c r="E48" s="1312"/>
      <c r="F48" s="1305"/>
      <c r="G48" s="1312"/>
      <c r="H48" s="1305"/>
      <c r="I48" s="1312"/>
      <c r="J48" s="1312"/>
      <c r="K48" s="1313"/>
      <c r="L48" s="1314"/>
      <c r="M48" s="1294"/>
      <c r="N48" s="1294"/>
      <c r="O48" s="1322"/>
      <c r="P48" s="1322"/>
      <c r="Q48" s="1322"/>
      <c r="R48" s="1322"/>
      <c r="S48" s="1322"/>
    </row>
    <row r="49" spans="1:19" ht="15" customHeight="1">
      <c r="A49" s="1308" t="s">
        <v>534</v>
      </c>
      <c r="B49" s="1305"/>
      <c r="C49" s="1312"/>
      <c r="D49" s="1305"/>
      <c r="E49" s="1312"/>
      <c r="F49" s="1305"/>
      <c r="G49" s="1312"/>
      <c r="H49" s="1305"/>
      <c r="I49" s="1312"/>
      <c r="J49" s="1312"/>
      <c r="K49" s="1313"/>
      <c r="L49" s="1314"/>
      <c r="M49" s="1294"/>
      <c r="N49" s="1294"/>
      <c r="O49" s="1322"/>
      <c r="P49" s="1322"/>
      <c r="Q49" s="1322"/>
      <c r="R49" s="1322"/>
      <c r="S49" s="1322"/>
    </row>
    <row r="50" spans="1:19" ht="15" customHeight="1">
      <c r="A50" s="1308" t="s">
        <v>535</v>
      </c>
      <c r="B50" s="1305"/>
      <c r="C50" s="2013">
        <f>ROUND(+C30+C38+C47,2)</f>
        <v>-67763431</v>
      </c>
      <c r="D50" s="1305"/>
      <c r="E50" s="2013">
        <f>ROUND(+E30+E38+E47,2)</f>
        <v>132138910.58</v>
      </c>
      <c r="F50" s="1305"/>
      <c r="G50" s="2013">
        <f>ROUND(+G30+G38+G47,2)</f>
        <v>13428980.08</v>
      </c>
      <c r="H50" s="1305"/>
      <c r="I50" s="2013">
        <f>ROUND(+I30+I38+I47,2)</f>
        <v>-29017198.539999999</v>
      </c>
      <c r="J50" s="1317"/>
      <c r="K50" s="1321"/>
      <c r="L50" s="2013">
        <f>ROUND(+L30+L38+L47,2)</f>
        <v>48787261.119999997</v>
      </c>
      <c r="M50" s="1294"/>
      <c r="N50" s="1294"/>
      <c r="O50" s="1322"/>
      <c r="P50" s="1322"/>
      <c r="Q50" s="1322"/>
      <c r="R50" s="1322"/>
      <c r="S50" s="1322"/>
    </row>
    <row r="51" spans="1:19" ht="15" customHeight="1">
      <c r="A51" s="1305"/>
      <c r="B51" s="1305"/>
      <c r="C51" s="1307"/>
      <c r="D51" s="1305"/>
      <c r="E51" s="1307"/>
      <c r="F51" s="1305"/>
      <c r="G51" s="1307"/>
      <c r="H51" s="1305"/>
      <c r="I51" s="1307"/>
      <c r="J51" s="1307"/>
      <c r="K51" s="1325"/>
      <c r="L51" s="1314"/>
      <c r="M51" s="1294"/>
      <c r="N51" s="1294"/>
      <c r="O51" s="1322"/>
      <c r="P51" s="1322"/>
      <c r="Q51" s="1322"/>
      <c r="R51" s="1322"/>
      <c r="S51" s="1322"/>
    </row>
    <row r="52" spans="1:19" s="1304" customFormat="1" ht="21" customHeight="1" thickBot="1">
      <c r="A52" s="1308" t="s">
        <v>536</v>
      </c>
      <c r="B52" s="1308"/>
      <c r="C52" s="2291">
        <f>ROUND(C12+C50,2)</f>
        <v>217136341.69999999</v>
      </c>
      <c r="D52" s="1308"/>
      <c r="E52" s="2291">
        <f>ROUND(E12+E50,2)</f>
        <v>349275252.27999997</v>
      </c>
      <c r="F52" s="1308"/>
      <c r="G52" s="2291">
        <f>ROUND(G12+G50,2)</f>
        <v>362704232.36000001</v>
      </c>
      <c r="H52" s="1308"/>
      <c r="I52" s="2291">
        <f>ROUND(I12+I50,2)</f>
        <v>333687033.81999999</v>
      </c>
      <c r="J52" s="1392"/>
      <c r="K52" s="1326"/>
      <c r="L52" s="1392">
        <f>ROUND(L12+L50,2)</f>
        <v>333687033.81999999</v>
      </c>
      <c r="M52" s="1291"/>
      <c r="N52" s="1291"/>
    </row>
    <row r="53" spans="1:19" ht="15" customHeight="1" thickTop="1">
      <c r="A53" s="1305" t="s">
        <v>15</v>
      </c>
      <c r="B53" s="1305"/>
      <c r="C53" s="1297"/>
      <c r="D53" s="1305"/>
      <c r="E53" s="1297"/>
      <c r="F53" s="1305"/>
      <c r="G53" s="1297"/>
      <c r="H53" s="1305"/>
      <c r="I53" s="1297"/>
      <c r="J53" s="1297"/>
      <c r="K53" s="1297"/>
      <c r="L53" s="1327"/>
    </row>
    <row r="54" spans="1:19" ht="15" customHeight="1">
      <c r="A54" s="1288" t="s">
        <v>537</v>
      </c>
    </row>
    <row r="55" spans="1:19" ht="15" customHeight="1">
      <c r="A55" s="1328"/>
    </row>
  </sheetData>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1"/>
  <sheetViews>
    <sheetView showGridLines="0" zoomScale="90" workbookViewId="0"/>
  </sheetViews>
  <sheetFormatPr defaultColWidth="8.88671875" defaultRowHeight="15"/>
  <cols>
    <col min="1" max="1" width="1.88671875" style="1248" customWidth="1"/>
    <col min="2" max="2" width="48" style="1248" customWidth="1"/>
    <col min="3" max="3" width="4.5546875" style="1249" customWidth="1"/>
    <col min="4" max="4" width="20.5546875" style="1250" customWidth="1"/>
    <col min="5" max="5" width="2.44140625" style="1250" customWidth="1"/>
    <col min="6" max="6" width="20.5546875" style="1250" customWidth="1"/>
    <col min="7" max="7" width="2.44140625" style="1250" customWidth="1"/>
    <col min="8" max="8" width="20.5546875" style="1250" customWidth="1"/>
    <col min="9" max="9" width="2.44140625" style="1250" customWidth="1"/>
    <col min="10" max="10" width="20.5546875" style="1250" customWidth="1"/>
    <col min="11" max="12" width="2.44140625" style="1250" customWidth="1"/>
    <col min="13" max="13" width="19" style="1250" customWidth="1"/>
    <col min="14" max="14" width="8.88671875" style="1249"/>
    <col min="15" max="15" width="24.109375" style="1249" customWidth="1"/>
    <col min="16" max="17" width="8.88671875" style="1249"/>
    <col min="18" max="16384" width="8.88671875" style="1248"/>
  </cols>
  <sheetData>
    <row r="1" spans="1:42">
      <c r="B1" s="657" t="s">
        <v>979</v>
      </c>
    </row>
    <row r="3" spans="1:42" ht="18">
      <c r="M3" s="1393" t="s">
        <v>515</v>
      </c>
    </row>
    <row r="4" spans="1:42" s="1253" customFormat="1" ht="18" customHeight="1">
      <c r="A4" s="1251"/>
      <c r="B4" s="2008" t="s">
        <v>499</v>
      </c>
      <c r="C4" s="1394"/>
      <c r="D4" s="1394"/>
      <c r="E4" s="3716"/>
      <c r="F4" s="1394"/>
      <c r="G4" s="3716"/>
      <c r="H4" s="1394"/>
      <c r="I4" s="3716"/>
      <c r="J4" s="1394"/>
      <c r="K4" s="1394"/>
      <c r="L4" s="1394"/>
      <c r="M4" s="1394"/>
      <c r="N4" s="1252"/>
      <c r="O4" s="1252"/>
      <c r="P4" s="1252"/>
      <c r="Q4" s="1252"/>
    </row>
    <row r="5" spans="1:42" s="1253" customFormat="1" ht="18" customHeight="1">
      <c r="A5" s="1251"/>
      <c r="B5" s="2008" t="s">
        <v>1000</v>
      </c>
      <c r="C5" s="1254"/>
      <c r="D5" s="1254"/>
      <c r="E5" s="1254"/>
      <c r="F5" s="1254"/>
      <c r="G5" s="1254"/>
      <c r="H5" s="1254"/>
      <c r="I5" s="1254"/>
      <c r="J5" s="1254"/>
      <c r="K5" s="1254"/>
      <c r="L5" s="1254"/>
      <c r="M5" s="1272"/>
      <c r="N5" s="1252"/>
      <c r="O5" s="1252"/>
      <c r="P5" s="1252"/>
      <c r="Q5" s="1252"/>
    </row>
    <row r="6" spans="1:42" s="1253" customFormat="1" ht="18" customHeight="1">
      <c r="A6" s="1251"/>
      <c r="B6" s="2008" t="s">
        <v>1407</v>
      </c>
      <c r="C6" s="2009"/>
      <c r="D6" s="2009"/>
      <c r="E6" s="2009"/>
      <c r="F6" s="2009"/>
      <c r="G6" s="2009"/>
      <c r="H6" s="2009"/>
      <c r="I6" s="2009"/>
      <c r="J6" s="2009"/>
      <c r="K6" s="2009"/>
      <c r="L6" s="2009"/>
      <c r="M6" s="1394"/>
      <c r="N6" s="1252"/>
      <c r="O6" s="1252"/>
      <c r="P6" s="1252"/>
      <c r="Q6" s="1252"/>
    </row>
    <row r="7" spans="1:42" s="1253" customFormat="1" ht="18" customHeight="1">
      <c r="A7" s="1251"/>
      <c r="B7" s="2010"/>
      <c r="C7" s="2011"/>
      <c r="D7" s="2011"/>
      <c r="E7" s="2011"/>
      <c r="F7" s="2011"/>
      <c r="G7" s="2011"/>
      <c r="H7" s="2011"/>
      <c r="I7" s="2011"/>
      <c r="J7" s="2011"/>
      <c r="K7" s="2011"/>
      <c r="L7" s="2011"/>
      <c r="M7" s="1395"/>
      <c r="N7" s="1255"/>
      <c r="O7" s="1252"/>
      <c r="P7" s="1252"/>
      <c r="Q7" s="1252"/>
    </row>
    <row r="8" spans="1:42" s="1253" customFormat="1" ht="18" customHeight="1">
      <c r="A8" s="1251"/>
      <c r="B8" s="2010"/>
      <c r="C8" s="1256"/>
      <c r="D8" s="1256"/>
      <c r="E8" s="1256"/>
      <c r="F8" s="1256"/>
      <c r="G8" s="1256"/>
      <c r="H8" s="1256"/>
      <c r="I8" s="1256"/>
      <c r="J8" s="1256"/>
      <c r="K8" s="1256"/>
      <c r="L8" s="1256"/>
      <c r="M8" s="1256"/>
      <c r="N8" s="1255"/>
      <c r="O8" s="1252"/>
      <c r="P8" s="1252"/>
      <c r="Q8" s="1252"/>
    </row>
    <row r="9" spans="1:42" s="1262" customFormat="1" ht="15.75">
      <c r="A9" s="1257"/>
      <c r="B9" s="1257"/>
      <c r="C9" s="1258"/>
      <c r="D9" s="1684" t="s">
        <v>1443</v>
      </c>
      <c r="E9" s="3717"/>
      <c r="F9" s="1684" t="s">
        <v>1479</v>
      </c>
      <c r="G9" s="3717"/>
      <c r="H9" s="1684" t="s">
        <v>1579</v>
      </c>
      <c r="I9" s="3717"/>
      <c r="J9" s="1684">
        <v>2020</v>
      </c>
      <c r="K9" s="1259"/>
      <c r="L9" s="1259"/>
      <c r="M9" s="1260"/>
      <c r="N9" s="1261"/>
      <c r="O9" s="1261"/>
      <c r="P9" s="1261"/>
      <c r="Q9" s="1261"/>
    </row>
    <row r="10" spans="1:42" ht="15.75">
      <c r="A10" s="1263"/>
      <c r="B10" s="1263"/>
      <c r="C10" s="1264"/>
      <c r="D10" s="2015" t="s">
        <v>1444</v>
      </c>
      <c r="E10" s="1599"/>
      <c r="F10" s="2015" t="s">
        <v>1480</v>
      </c>
      <c r="G10" s="1599"/>
      <c r="H10" s="2015" t="s">
        <v>1580</v>
      </c>
      <c r="I10" s="1599"/>
      <c r="J10" s="2015" t="s">
        <v>134</v>
      </c>
      <c r="K10" s="1599"/>
      <c r="L10" s="1599"/>
      <c r="M10" s="1265" t="s">
        <v>1408</v>
      </c>
    </row>
    <row r="11" spans="1:42">
      <c r="A11" s="1263"/>
      <c r="B11" s="1263"/>
      <c r="C11" s="1264"/>
      <c r="D11" s="1264"/>
      <c r="E11" s="1266"/>
      <c r="F11" s="1264"/>
      <c r="G11" s="1266"/>
      <c r="H11" s="1264"/>
      <c r="I11" s="1266"/>
      <c r="J11" s="1264"/>
      <c r="K11" s="1266"/>
      <c r="L11" s="1264"/>
      <c r="M11" s="1939"/>
    </row>
    <row r="12" spans="1:42" s="1262" customFormat="1" ht="15.75">
      <c r="A12" s="1267"/>
      <c r="B12" s="1267" t="s">
        <v>474</v>
      </c>
      <c r="C12" s="1258"/>
      <c r="D12" s="1268">
        <v>2224.4899999999998</v>
      </c>
      <c r="E12" s="1269"/>
      <c r="F12" s="1268">
        <f>D48</f>
        <v>1198.3900000000001</v>
      </c>
      <c r="G12" s="1269"/>
      <c r="H12" s="1268">
        <f>F48</f>
        <v>9008.14</v>
      </c>
      <c r="I12" s="1269"/>
      <c r="J12" s="1268">
        <f>H48</f>
        <v>1493.26</v>
      </c>
      <c r="K12" s="2016"/>
      <c r="L12" s="1268"/>
      <c r="M12" s="1269">
        <f>D12</f>
        <v>2224.4899999999998</v>
      </c>
      <c r="N12" s="1261"/>
      <c r="O12" s="1261"/>
      <c r="P12" s="1261"/>
      <c r="Q12" s="1261"/>
      <c r="R12" s="1270"/>
      <c r="S12" s="1270"/>
      <c r="T12" s="1270"/>
      <c r="U12" s="1270"/>
      <c r="V12" s="1270"/>
      <c r="W12" s="1270"/>
      <c r="X12" s="1270"/>
      <c r="Y12" s="1270"/>
      <c r="Z12" s="1270"/>
      <c r="AA12" s="1270"/>
      <c r="AB12" s="1270"/>
      <c r="AC12" s="1271"/>
      <c r="AD12" s="1271"/>
      <c r="AE12" s="1271"/>
      <c r="AF12" s="1271"/>
      <c r="AG12" s="1271"/>
      <c r="AH12" s="1271"/>
      <c r="AI12" s="1271"/>
      <c r="AJ12" s="1271"/>
      <c r="AK12" s="1271"/>
      <c r="AL12" s="1271"/>
      <c r="AM12" s="1271"/>
      <c r="AN12" s="1271"/>
      <c r="AO12" s="1271"/>
      <c r="AP12" s="1271"/>
    </row>
    <row r="13" spans="1:42" s="1262" customFormat="1" ht="15.75">
      <c r="A13" s="1267"/>
      <c r="B13" s="1267"/>
      <c r="C13" s="1258"/>
      <c r="D13" s="1268"/>
      <c r="E13" s="1269"/>
      <c r="F13" s="1268"/>
      <c r="G13" s="1269"/>
      <c r="H13" s="1268"/>
      <c r="I13" s="1269"/>
      <c r="J13" s="1268"/>
      <c r="K13" s="2016"/>
      <c r="L13" s="1268"/>
      <c r="M13" s="1269"/>
      <c r="N13" s="1261"/>
      <c r="O13" s="1261"/>
      <c r="P13" s="1261"/>
      <c r="Q13" s="1261"/>
      <c r="R13" s="1270"/>
      <c r="S13" s="1270"/>
      <c r="T13" s="1270"/>
      <c r="U13" s="1270"/>
      <c r="V13" s="1270"/>
      <c r="W13" s="1270"/>
      <c r="X13" s="1270"/>
      <c r="Y13" s="1270"/>
      <c r="Z13" s="1270"/>
      <c r="AA13" s="1270"/>
      <c r="AB13" s="1270"/>
      <c r="AC13" s="1271"/>
      <c r="AD13" s="1271"/>
      <c r="AE13" s="1271"/>
      <c r="AF13" s="1271"/>
      <c r="AG13" s="1271"/>
      <c r="AH13" s="1271"/>
      <c r="AI13" s="1271"/>
      <c r="AJ13" s="1271"/>
      <c r="AK13" s="1271"/>
      <c r="AL13" s="1271"/>
      <c r="AM13" s="1271"/>
      <c r="AN13" s="1271"/>
      <c r="AO13" s="1271"/>
      <c r="AP13" s="1271"/>
    </row>
    <row r="14" spans="1:42" ht="15.75">
      <c r="A14" s="1263"/>
      <c r="B14" s="1267" t="s">
        <v>14</v>
      </c>
      <c r="C14" s="1264"/>
      <c r="D14" s="1264"/>
      <c r="E14" s="1266"/>
      <c r="F14" s="1264"/>
      <c r="G14" s="1266"/>
      <c r="H14" s="1264"/>
      <c r="I14" s="1266"/>
      <c r="J14" s="1264"/>
      <c r="K14" s="2017"/>
      <c r="L14" s="1264"/>
      <c r="M14" s="1266"/>
    </row>
    <row r="15" spans="1:42">
      <c r="A15" s="1263"/>
      <c r="B15" s="1272" t="s">
        <v>521</v>
      </c>
      <c r="C15" s="1264"/>
      <c r="D15" s="1273">
        <v>4789.67</v>
      </c>
      <c r="E15" s="1274"/>
      <c r="F15" s="1273">
        <v>11549.279999999999</v>
      </c>
      <c r="G15" s="1274"/>
      <c r="H15" s="1273">
        <v>2275.1799999999998</v>
      </c>
      <c r="I15" s="1274"/>
      <c r="J15" s="1273">
        <v>4063.85</v>
      </c>
      <c r="K15" s="2018"/>
      <c r="L15" s="1273"/>
      <c r="M15" s="1274">
        <f>ROUND(SUM(D15:L15),2)</f>
        <v>22677.98</v>
      </c>
    </row>
    <row r="16" spans="1:42" s="1262" customFormat="1" ht="15.75">
      <c r="A16" s="1267"/>
      <c r="B16" s="1267" t="s">
        <v>151</v>
      </c>
      <c r="C16" s="1258"/>
      <c r="D16" s="1940">
        <f>ROUND(SUM(D15:D15),2)</f>
        <v>4789.67</v>
      </c>
      <c r="E16" s="1275"/>
      <c r="F16" s="1940">
        <f>ROUND(SUM(F15:F15),2)</f>
        <v>11549.28</v>
      </c>
      <c r="G16" s="1275"/>
      <c r="H16" s="1940">
        <f>ROUND(SUM(H15:H15),2)</f>
        <v>2275.1799999999998</v>
      </c>
      <c r="I16" s="1275"/>
      <c r="J16" s="1940">
        <f>ROUND(SUM(J15:J15),2)</f>
        <v>4063.85</v>
      </c>
      <c r="K16" s="2019"/>
      <c r="L16" s="1275"/>
      <c r="M16" s="1940">
        <f>ROUND(SUM(M15:M15),2)</f>
        <v>22677.98</v>
      </c>
      <c r="N16" s="1261"/>
      <c r="O16" s="1261"/>
      <c r="P16" s="1261"/>
      <c r="Q16" s="1261"/>
    </row>
    <row r="17" spans="1:22">
      <c r="A17" s="1263"/>
      <c r="B17" s="1263"/>
      <c r="C17" s="1264"/>
      <c r="D17" s="1273"/>
      <c r="E17" s="1274"/>
      <c r="F17" s="1273"/>
      <c r="G17" s="1274"/>
      <c r="H17" s="1273"/>
      <c r="I17" s="1274"/>
      <c r="J17" s="1273"/>
      <c r="K17" s="2018"/>
      <c r="L17" s="1273"/>
      <c r="M17" s="1941"/>
    </row>
    <row r="18" spans="1:22" ht="15.75">
      <c r="A18" s="1263"/>
      <c r="B18" s="1267" t="s">
        <v>945</v>
      </c>
      <c r="C18" s="1264"/>
      <c r="D18" s="1273"/>
      <c r="E18" s="1274"/>
      <c r="F18" s="1273"/>
      <c r="G18" s="1274"/>
      <c r="H18" s="1273"/>
      <c r="I18" s="1274"/>
      <c r="J18" s="1273"/>
      <c r="K18" s="2018"/>
      <c r="L18" s="1273"/>
      <c r="M18" s="1274"/>
    </row>
    <row r="19" spans="1:22">
      <c r="A19" s="1263"/>
      <c r="B19" s="1272" t="s">
        <v>539</v>
      </c>
      <c r="C19" s="1264"/>
      <c r="D19" s="1273">
        <v>-189777239.46000001</v>
      </c>
      <c r="E19" s="1274"/>
      <c r="F19" s="1273">
        <v>-223008636.27000001</v>
      </c>
      <c r="G19" s="1274"/>
      <c r="H19" s="1273">
        <v>-168828419.44</v>
      </c>
      <c r="I19" s="1274"/>
      <c r="J19" s="1273">
        <v>-85507670.890000001</v>
      </c>
      <c r="K19" s="2018"/>
      <c r="L19" s="1273"/>
      <c r="M19" s="1274">
        <f>ROUND(SUM(D19:L19),2)</f>
        <v>-667121966.05999994</v>
      </c>
    </row>
    <row r="20" spans="1:22">
      <c r="A20" s="1263"/>
      <c r="B20" s="1272" t="s">
        <v>540</v>
      </c>
      <c r="C20" s="1264"/>
      <c r="D20" s="1273">
        <v>0</v>
      </c>
      <c r="E20" s="1274"/>
      <c r="F20" s="1273">
        <v>0</v>
      </c>
      <c r="G20" s="1274"/>
      <c r="H20" s="1273">
        <v>0</v>
      </c>
      <c r="I20" s="1274"/>
      <c r="J20" s="1273">
        <v>0</v>
      </c>
      <c r="K20" s="2018"/>
      <c r="L20" s="1273"/>
      <c r="M20" s="1274">
        <f>ROUND(SUM(D20:L20),2)</f>
        <v>0</v>
      </c>
    </row>
    <row r="21" spans="1:22">
      <c r="A21" s="1263"/>
      <c r="B21" s="1272" t="s">
        <v>541</v>
      </c>
      <c r="C21" s="1264"/>
      <c r="D21" s="1273">
        <v>945583.86</v>
      </c>
      <c r="E21" s="1274"/>
      <c r="F21" s="1273">
        <v>-120704277.72</v>
      </c>
      <c r="G21" s="1274"/>
      <c r="H21" s="1273">
        <v>2596349.33</v>
      </c>
      <c r="I21" s="1274"/>
      <c r="J21" s="1273">
        <v>168868.34</v>
      </c>
      <c r="K21" s="2018"/>
      <c r="L21" s="1273"/>
      <c r="M21" s="1274">
        <f>ROUND(SUM(D21:L21),2)</f>
        <v>-116993476.19</v>
      </c>
    </row>
    <row r="22" spans="1:22" s="1262" customFormat="1" ht="15.75">
      <c r="A22" s="1267"/>
      <c r="B22" s="1276" t="s">
        <v>964</v>
      </c>
      <c r="C22" s="1258"/>
      <c r="D22" s="1942">
        <f>ROUND(SUM(D18:D21),2)</f>
        <v>-188831655.59999999</v>
      </c>
      <c r="E22" s="1275"/>
      <c r="F22" s="1942">
        <f>ROUND(SUM(F18:F21),2)</f>
        <v>-343712913.99000001</v>
      </c>
      <c r="G22" s="1275"/>
      <c r="H22" s="1942">
        <f>ROUND(SUM(H18:H21),2)</f>
        <v>-166232070.11000001</v>
      </c>
      <c r="I22" s="1275"/>
      <c r="J22" s="1942">
        <f>ROUND(SUM(J18:J21),2)</f>
        <v>-85338802.549999997</v>
      </c>
      <c r="K22" s="2019"/>
      <c r="L22" s="1275"/>
      <c r="M22" s="1942">
        <f>ROUND(SUM(M18:M21),2)</f>
        <v>-784115442.25</v>
      </c>
      <c r="N22" s="1261"/>
      <c r="O22" s="1261"/>
      <c r="P22" s="1261"/>
      <c r="Q22" s="1261"/>
    </row>
    <row r="23" spans="1:22">
      <c r="A23" s="1263"/>
      <c r="B23" s="1277"/>
      <c r="C23" s="1264"/>
      <c r="D23" s="1941"/>
      <c r="E23" s="1274"/>
      <c r="F23" s="1941"/>
      <c r="G23" s="1274"/>
      <c r="H23" s="1941"/>
      <c r="I23" s="1274"/>
      <c r="J23" s="1941"/>
      <c r="K23" s="2018"/>
      <c r="L23" s="1274"/>
      <c r="M23" s="1941"/>
    </row>
    <row r="24" spans="1:22" s="1262" customFormat="1" ht="15.75">
      <c r="A24" s="1267"/>
      <c r="B24" s="1267" t="s">
        <v>1227</v>
      </c>
      <c r="C24" s="1258"/>
      <c r="D24" s="1278">
        <f>ROUND(+D16+D22,2)</f>
        <v>-188826865.93000001</v>
      </c>
      <c r="E24" s="1278"/>
      <c r="F24" s="1278">
        <f>ROUND(+F16+F22,2)</f>
        <v>-343701364.70999998</v>
      </c>
      <c r="G24" s="1278"/>
      <c r="H24" s="1278">
        <f>ROUND(+H16+H22,2)</f>
        <v>-166229794.93000001</v>
      </c>
      <c r="I24" s="1278"/>
      <c r="J24" s="1278">
        <f>ROUND(+J16+J22,2)</f>
        <v>-85334738.700000003</v>
      </c>
      <c r="K24" s="2021"/>
      <c r="L24" s="1278"/>
      <c r="M24" s="1278">
        <f>ROUND(+M16+M22,2)</f>
        <v>-784092764.26999998</v>
      </c>
      <c r="N24" s="1261"/>
      <c r="O24" s="1261"/>
      <c r="P24" s="1261"/>
      <c r="Q24" s="1261"/>
    </row>
    <row r="25" spans="1:22">
      <c r="A25" s="1263"/>
      <c r="B25" s="1263"/>
      <c r="C25" s="1264"/>
      <c r="D25" s="1941"/>
      <c r="E25" s="1274"/>
      <c r="F25" s="1941"/>
      <c r="G25" s="1274"/>
      <c r="H25" s="1941"/>
      <c r="I25" s="1274"/>
      <c r="J25" s="1941"/>
      <c r="K25" s="2018"/>
      <c r="L25" s="1274"/>
      <c r="M25" s="1941"/>
      <c r="N25" s="1250"/>
      <c r="O25" s="1250"/>
      <c r="P25" s="1250"/>
      <c r="Q25" s="1250"/>
      <c r="R25" s="1279"/>
      <c r="S25" s="1279"/>
      <c r="T25" s="1279"/>
      <c r="U25" s="1279"/>
      <c r="V25" s="1279"/>
    </row>
    <row r="26" spans="1:22" ht="15.75">
      <c r="A26" s="1263"/>
      <c r="B26" s="1267" t="s">
        <v>46</v>
      </c>
      <c r="C26" s="1264"/>
      <c r="D26" s="1273"/>
      <c r="E26" s="1274"/>
      <c r="F26" s="1273"/>
      <c r="G26" s="1274"/>
      <c r="H26" s="1273"/>
      <c r="I26" s="1274"/>
      <c r="J26" s="1273"/>
      <c r="K26" s="2018"/>
      <c r="L26" s="1273"/>
      <c r="M26" s="1274"/>
      <c r="N26" s="1250"/>
      <c r="O26" s="1250"/>
      <c r="P26" s="1250"/>
      <c r="Q26" s="1250"/>
      <c r="R26" s="1279"/>
      <c r="S26" s="1279"/>
      <c r="T26" s="1279"/>
      <c r="U26" s="1279"/>
      <c r="V26" s="1279"/>
    </row>
    <row r="27" spans="1:22" ht="15.75">
      <c r="A27" s="1263"/>
      <c r="B27" s="1267" t="s">
        <v>888</v>
      </c>
      <c r="C27" s="1264"/>
      <c r="D27" s="1273"/>
      <c r="E27" s="1274"/>
      <c r="F27" s="1273"/>
      <c r="G27" s="1274"/>
      <c r="H27" s="1273"/>
      <c r="I27" s="1274"/>
      <c r="J27" s="1273"/>
      <c r="K27" s="2018"/>
      <c r="L27" s="1273"/>
      <c r="M27" s="1274"/>
      <c r="N27" s="1250"/>
      <c r="O27" s="1250"/>
      <c r="P27" s="1250"/>
      <c r="Q27" s="1250"/>
      <c r="R27" s="1279"/>
      <c r="S27" s="1279"/>
      <c r="T27" s="1279"/>
      <c r="U27" s="1279"/>
      <c r="V27" s="1279"/>
    </row>
    <row r="28" spans="1:22">
      <c r="A28" s="1263"/>
      <c r="B28" s="1272" t="s">
        <v>542</v>
      </c>
      <c r="C28" s="1264"/>
      <c r="D28" s="1273">
        <v>0</v>
      </c>
      <c r="E28" s="1274"/>
      <c r="F28" s="1273">
        <v>0</v>
      </c>
      <c r="G28" s="1274"/>
      <c r="H28" s="1273">
        <v>0</v>
      </c>
      <c r="I28" s="1274"/>
      <c r="J28" s="1273">
        <v>0</v>
      </c>
      <c r="K28" s="2018"/>
      <c r="L28" s="1273"/>
      <c r="M28" s="1274">
        <f>ROUND(SUM(D28:L28),2)</f>
        <v>0</v>
      </c>
      <c r="N28" s="1250"/>
      <c r="O28" s="1250"/>
      <c r="P28" s="1250"/>
      <c r="Q28" s="1250"/>
      <c r="R28" s="1279"/>
      <c r="S28" s="1279"/>
      <c r="T28" s="1279"/>
      <c r="U28" s="1279"/>
      <c r="V28" s="1279"/>
    </row>
    <row r="29" spans="1:22">
      <c r="A29" s="1263"/>
      <c r="B29" s="1272" t="s">
        <v>532</v>
      </c>
      <c r="C29" s="1264"/>
      <c r="D29" s="1273">
        <v>0</v>
      </c>
      <c r="E29" s="1274"/>
      <c r="F29" s="1273">
        <v>0</v>
      </c>
      <c r="G29" s="1274"/>
      <c r="H29" s="1273">
        <v>0</v>
      </c>
      <c r="I29" s="1274"/>
      <c r="J29" s="1273">
        <v>0</v>
      </c>
      <c r="K29" s="2018"/>
      <c r="L29" s="1273"/>
      <c r="M29" s="1274">
        <f>ROUND(SUM(D29:L29),2)</f>
        <v>0</v>
      </c>
      <c r="N29" s="1250"/>
      <c r="O29" s="1250"/>
      <c r="P29" s="1250"/>
      <c r="Q29" s="1250"/>
      <c r="R29" s="1279"/>
      <c r="S29" s="1279"/>
      <c r="T29" s="1279"/>
      <c r="U29" s="1279"/>
      <c r="V29" s="1279"/>
    </row>
    <row r="30" spans="1:22" ht="15.75">
      <c r="A30" s="1263"/>
      <c r="B30" s="1267" t="s">
        <v>529</v>
      </c>
      <c r="C30" s="1264"/>
      <c r="D30" s="1273"/>
      <c r="E30" s="1274"/>
      <c r="F30" s="1273"/>
      <c r="G30" s="1274"/>
      <c r="H30" s="1273"/>
      <c r="I30" s="1274"/>
      <c r="J30" s="1273"/>
      <c r="K30" s="2018"/>
      <c r="L30" s="1273"/>
      <c r="M30" s="1274"/>
      <c r="N30" s="1250"/>
      <c r="O30" s="1250"/>
      <c r="P30" s="1250"/>
      <c r="Q30" s="1250"/>
      <c r="R30" s="1279"/>
      <c r="S30" s="1279"/>
      <c r="T30" s="1279"/>
      <c r="U30" s="1279"/>
      <c r="V30" s="1279"/>
    </row>
    <row r="31" spans="1:22">
      <c r="A31" s="1263"/>
      <c r="B31" s="1272" t="s">
        <v>543</v>
      </c>
      <c r="C31" s="1264"/>
      <c r="D31" s="1280">
        <v>94888619.730000004</v>
      </c>
      <c r="E31" s="1280"/>
      <c r="F31" s="1280">
        <v>162947521.68000001</v>
      </c>
      <c r="G31" s="1280"/>
      <c r="H31" s="1280">
        <v>84327178.219999999</v>
      </c>
      <c r="I31" s="1280"/>
      <c r="J31" s="1280">
        <v>41174575.950000003</v>
      </c>
      <c r="K31" s="2022"/>
      <c r="L31" s="1273"/>
      <c r="M31" s="1274">
        <f t="shared" ref="M31:M35" si="0">ROUND(SUM(D31:L31),2)</f>
        <v>383337895.57999998</v>
      </c>
      <c r="N31" s="1250"/>
      <c r="O31" s="1250"/>
      <c r="P31" s="1250"/>
      <c r="Q31" s="1250"/>
      <c r="R31" s="1279"/>
      <c r="S31" s="1279"/>
      <c r="T31" s="1279"/>
      <c r="U31" s="1279"/>
      <c r="V31" s="1279"/>
    </row>
    <row r="32" spans="1:22">
      <c r="A32" s="1263"/>
      <c r="B32" s="1272" t="s">
        <v>544</v>
      </c>
      <c r="C32" s="1264"/>
      <c r="D32" s="1280">
        <v>-930888.21</v>
      </c>
      <c r="E32" s="1280"/>
      <c r="F32" s="1280">
        <v>20125941.659999989</v>
      </c>
      <c r="G32" s="1280"/>
      <c r="H32" s="1280">
        <v>-114215.32999999999</v>
      </c>
      <c r="I32" s="1280"/>
      <c r="J32" s="1280">
        <v>2989650.66</v>
      </c>
      <c r="K32" s="2022"/>
      <c r="L32" s="1273"/>
      <c r="M32" s="1274">
        <f t="shared" si="0"/>
        <v>22070488.780000001</v>
      </c>
      <c r="N32" s="1250"/>
      <c r="O32" s="1250"/>
      <c r="P32" s="1250"/>
      <c r="Q32" s="1250"/>
      <c r="R32" s="1279"/>
      <c r="S32" s="1279"/>
      <c r="T32" s="1279"/>
      <c r="U32" s="1279"/>
      <c r="V32" s="1279"/>
    </row>
    <row r="33" spans="1:47">
      <c r="A33" s="1263"/>
      <c r="B33" s="1272" t="s">
        <v>545</v>
      </c>
      <c r="C33" s="1264"/>
      <c r="D33" s="1280">
        <v>0</v>
      </c>
      <c r="E33" s="1280"/>
      <c r="F33" s="1280">
        <v>0</v>
      </c>
      <c r="G33" s="1280"/>
      <c r="H33" s="1280">
        <v>0</v>
      </c>
      <c r="I33" s="1280"/>
      <c r="J33" s="1280">
        <v>0</v>
      </c>
      <c r="K33" s="2022"/>
      <c r="L33" s="1273"/>
      <c r="M33" s="1274">
        <f t="shared" si="0"/>
        <v>0</v>
      </c>
      <c r="N33" s="1250"/>
      <c r="O33" s="1250"/>
      <c r="P33" s="1250"/>
      <c r="Q33" s="1250"/>
      <c r="R33" s="1279"/>
      <c r="S33" s="1279"/>
      <c r="T33" s="1279"/>
      <c r="U33" s="1279"/>
      <c r="V33" s="1279"/>
    </row>
    <row r="34" spans="1:47">
      <c r="A34" s="1263"/>
      <c r="B34" s="1272" t="s">
        <v>546</v>
      </c>
      <c r="C34" s="1264"/>
      <c r="D34" s="1280">
        <v>94888619.730000004</v>
      </c>
      <c r="E34" s="1280"/>
      <c r="F34" s="1280">
        <v>162947521.65000007</v>
      </c>
      <c r="G34" s="1280"/>
      <c r="H34" s="1280">
        <v>84327178.219999999</v>
      </c>
      <c r="I34" s="1280"/>
      <c r="J34" s="1280">
        <v>41174575.940000027</v>
      </c>
      <c r="K34" s="2022"/>
      <c r="L34" s="1273"/>
      <c r="M34" s="1274">
        <f t="shared" si="0"/>
        <v>383337895.54000002</v>
      </c>
      <c r="N34" s="1250"/>
      <c r="O34" s="1250"/>
      <c r="P34" s="1250"/>
      <c r="Q34" s="1250"/>
      <c r="R34" s="1279"/>
      <c r="S34" s="1279"/>
      <c r="T34" s="1279"/>
      <c r="U34" s="1279"/>
      <c r="V34" s="1279"/>
    </row>
    <row r="35" spans="1:47">
      <c r="A35" s="1263"/>
      <c r="B35" s="1272" t="s">
        <v>541</v>
      </c>
      <c r="C35" s="1264"/>
      <c r="D35" s="2023">
        <v>0</v>
      </c>
      <c r="E35" s="1280"/>
      <c r="F35" s="2023">
        <v>0</v>
      </c>
      <c r="G35" s="1280"/>
      <c r="H35" s="2023">
        <v>0</v>
      </c>
      <c r="I35" s="1280"/>
      <c r="J35" s="2023">
        <v>0</v>
      </c>
      <c r="K35" s="2022"/>
      <c r="L35" s="1280"/>
      <c r="M35" s="1274">
        <f t="shared" si="0"/>
        <v>0</v>
      </c>
      <c r="N35" s="1250"/>
      <c r="O35" s="1250"/>
      <c r="P35" s="1250"/>
      <c r="Q35" s="1250"/>
      <c r="R35" s="1279"/>
      <c r="S35" s="1279"/>
      <c r="T35" s="1279"/>
      <c r="U35" s="1279"/>
      <c r="V35" s="1279"/>
    </row>
    <row r="36" spans="1:47" s="1262" customFormat="1" ht="15.75">
      <c r="A36" s="1267"/>
      <c r="B36" s="1267" t="s">
        <v>531</v>
      </c>
      <c r="C36" s="1258"/>
      <c r="D36" s="1943">
        <f>ROUND(SUM(D28:D35),2)</f>
        <v>188846351.25</v>
      </c>
      <c r="E36" s="1275"/>
      <c r="F36" s="1943">
        <f>ROUND(SUM(F28:F35),2)</f>
        <v>346020984.99000001</v>
      </c>
      <c r="G36" s="1275"/>
      <c r="H36" s="1943">
        <f>ROUND(SUM(H28:H35),2)</f>
        <v>168540141.11000001</v>
      </c>
      <c r="I36" s="1275"/>
      <c r="J36" s="1943">
        <f>ROUND(SUM(J28:J35),2)</f>
        <v>85338802.549999997</v>
      </c>
      <c r="K36" s="2019"/>
      <c r="L36" s="1275"/>
      <c r="M36" s="1943">
        <f>ROUND(SUM(M28:M35),2)</f>
        <v>788746279.89999998</v>
      </c>
      <c r="N36" s="1281"/>
      <c r="O36" s="1281"/>
      <c r="P36" s="1281"/>
      <c r="Q36" s="1281"/>
      <c r="R36" s="1282"/>
      <c r="S36" s="1282"/>
      <c r="T36" s="1282"/>
      <c r="U36" s="1282"/>
      <c r="V36" s="1282"/>
    </row>
    <row r="37" spans="1:47">
      <c r="A37" s="1263"/>
      <c r="B37" s="1263"/>
      <c r="C37" s="1264"/>
      <c r="D37" s="1273"/>
      <c r="E37" s="1274"/>
      <c r="F37" s="1273"/>
      <c r="G37" s="1274"/>
      <c r="H37" s="1273"/>
      <c r="I37" s="1274"/>
      <c r="J37" s="1273"/>
      <c r="K37" s="2018"/>
      <c r="L37" s="1273"/>
      <c r="M37" s="1274"/>
      <c r="N37" s="1250"/>
      <c r="O37" s="1250"/>
      <c r="P37" s="1250"/>
      <c r="Q37" s="1250"/>
      <c r="R37" s="1279"/>
      <c r="S37" s="1279"/>
      <c r="T37" s="1279"/>
      <c r="U37" s="1279"/>
      <c r="V37" s="1279"/>
    </row>
    <row r="38" spans="1:47" ht="15.75">
      <c r="A38" s="1263"/>
      <c r="B38" s="1267" t="s">
        <v>943</v>
      </c>
      <c r="C38" s="1264"/>
      <c r="D38" s="1273"/>
      <c r="E38" s="1274"/>
      <c r="F38" s="1273"/>
      <c r="G38" s="1274"/>
      <c r="H38" s="1273"/>
      <c r="I38" s="1274"/>
      <c r="J38" s="1273"/>
      <c r="K38" s="2018"/>
      <c r="L38" s="1273"/>
      <c r="M38" s="1274"/>
      <c r="N38" s="1250"/>
      <c r="O38" s="1250"/>
      <c r="P38" s="1250"/>
      <c r="Q38" s="1250"/>
      <c r="R38" s="1279"/>
      <c r="S38" s="1279"/>
      <c r="T38" s="1279"/>
      <c r="U38" s="1279"/>
      <c r="V38" s="1279"/>
    </row>
    <row r="39" spans="1:47">
      <c r="A39" s="1263"/>
      <c r="B39" s="1263" t="s">
        <v>542</v>
      </c>
      <c r="C39" s="1264"/>
      <c r="D39" s="1283">
        <v>0</v>
      </c>
      <c r="E39" s="1283"/>
      <c r="F39" s="1283">
        <v>0</v>
      </c>
      <c r="G39" s="1283"/>
      <c r="H39" s="1283">
        <v>0</v>
      </c>
      <c r="I39" s="1283"/>
      <c r="J39" s="1283">
        <v>0</v>
      </c>
      <c r="K39" s="2024"/>
      <c r="L39" s="1283"/>
      <c r="M39" s="1274">
        <f>ROUND(SUM(D39:L39),2)</f>
        <v>0</v>
      </c>
      <c r="N39" s="1250"/>
      <c r="O39" s="1250"/>
      <c r="P39" s="1250"/>
      <c r="Q39" s="1250"/>
      <c r="R39" s="1279"/>
      <c r="S39" s="1279"/>
      <c r="T39" s="1279"/>
      <c r="U39" s="1279"/>
      <c r="V39" s="1279"/>
    </row>
    <row r="40" spans="1:47">
      <c r="A40" s="1263"/>
      <c r="B40" s="1263" t="s">
        <v>532</v>
      </c>
      <c r="C40" s="1264"/>
      <c r="D40" s="1274">
        <v>0</v>
      </c>
      <c r="E40" s="1274"/>
      <c r="F40" s="1274">
        <v>0</v>
      </c>
      <c r="G40" s="1274"/>
      <c r="H40" s="1274">
        <v>0</v>
      </c>
      <c r="I40" s="1274"/>
      <c r="J40" s="1274">
        <v>0</v>
      </c>
      <c r="K40" s="2018"/>
      <c r="L40" s="1274"/>
      <c r="M40" s="1274">
        <f>ROUND(SUM(D40:L40),2)</f>
        <v>0</v>
      </c>
      <c r="N40" s="1250"/>
      <c r="O40" s="1250"/>
      <c r="P40" s="1250"/>
      <c r="Q40" s="1250"/>
      <c r="R40" s="1279"/>
      <c r="S40" s="1279"/>
      <c r="T40" s="1279"/>
      <c r="U40" s="1279"/>
      <c r="V40" s="1279"/>
    </row>
    <row r="41" spans="1:47" ht="15.75">
      <c r="A41" s="1263"/>
      <c r="B41" s="1267" t="s">
        <v>944</v>
      </c>
      <c r="C41" s="1264"/>
      <c r="D41" s="1273"/>
      <c r="E41" s="1274"/>
      <c r="F41" s="1273"/>
      <c r="G41" s="1274"/>
      <c r="H41" s="1273"/>
      <c r="I41" s="1274"/>
      <c r="J41" s="1273"/>
      <c r="K41" s="2018"/>
      <c r="L41" s="1273"/>
      <c r="M41" s="1274"/>
      <c r="N41" s="1250"/>
      <c r="O41" s="1250"/>
      <c r="P41" s="1250"/>
      <c r="Q41" s="1250"/>
      <c r="R41" s="1279"/>
      <c r="S41" s="1279"/>
      <c r="T41" s="1279"/>
      <c r="U41" s="1279"/>
      <c r="V41" s="1279"/>
    </row>
    <row r="42" spans="1:47">
      <c r="A42" s="1263"/>
      <c r="B42" s="1272" t="s">
        <v>547</v>
      </c>
      <c r="C42" s="1264"/>
      <c r="D42" s="2025">
        <v>-20511.419999999998</v>
      </c>
      <c r="E42" s="1274"/>
      <c r="F42" s="2025">
        <v>-2311810.5299999998</v>
      </c>
      <c r="G42" s="1274"/>
      <c r="H42" s="2025">
        <v>-2317861.06</v>
      </c>
      <c r="I42" s="1274"/>
      <c r="J42" s="2025">
        <v>-1493.26</v>
      </c>
      <c r="K42" s="2018"/>
      <c r="L42" s="1273"/>
      <c r="M42" s="1274">
        <f>ROUND(SUM(D42:L42),2)</f>
        <v>-4651676.2699999996</v>
      </c>
      <c r="N42" s="1250"/>
      <c r="O42" s="1250"/>
      <c r="P42" s="1250"/>
      <c r="Q42" s="1250"/>
      <c r="R42" s="1279"/>
      <c r="S42" s="1279"/>
      <c r="T42" s="1279"/>
      <c r="U42" s="1279"/>
      <c r="V42" s="1279"/>
    </row>
    <row r="43" spans="1:47" s="1262" customFormat="1" ht="15.75">
      <c r="A43" s="1267"/>
      <c r="B43" s="1267" t="s">
        <v>533</v>
      </c>
      <c r="C43" s="1258"/>
      <c r="D43" s="1943">
        <f>ROUND(SUM(D39:D42),2)</f>
        <v>-20511.419999999998</v>
      </c>
      <c r="E43" s="1275"/>
      <c r="F43" s="1943">
        <f>ROUND(SUM(F39:F42),2)</f>
        <v>-2311810.5299999998</v>
      </c>
      <c r="G43" s="1275"/>
      <c r="H43" s="1943">
        <f>ROUND(SUM(H39:H42),2)</f>
        <v>-2317861.06</v>
      </c>
      <c r="I43" s="1275"/>
      <c r="J43" s="1943">
        <f>ROUND(SUM(J39:J42),2)</f>
        <v>-1493.26</v>
      </c>
      <c r="K43" s="2019"/>
      <c r="L43" s="1275"/>
      <c r="M43" s="1943">
        <f>ROUND(SUM(M39:M42),2)</f>
        <v>-4651676.2699999996</v>
      </c>
      <c r="N43" s="1281"/>
      <c r="O43" s="1281"/>
      <c r="P43" s="1281"/>
      <c r="Q43" s="1281"/>
      <c r="R43" s="1282"/>
      <c r="S43" s="1282"/>
      <c r="T43" s="1282"/>
      <c r="U43" s="1282"/>
      <c r="V43" s="1282"/>
    </row>
    <row r="44" spans="1:47">
      <c r="A44" s="1263"/>
      <c r="B44" s="1263"/>
      <c r="C44" s="1264"/>
      <c r="D44" s="1273"/>
      <c r="E44" s="1274"/>
      <c r="F44" s="1273"/>
      <c r="G44" s="1274"/>
      <c r="H44" s="1273"/>
      <c r="I44" s="1274"/>
      <c r="J44" s="1273"/>
      <c r="K44" s="2018"/>
      <c r="L44" s="1273"/>
      <c r="M44" s="1274"/>
      <c r="N44" s="1250"/>
      <c r="O44" s="1250"/>
      <c r="P44" s="1250"/>
      <c r="Q44" s="1250"/>
      <c r="R44" s="1279"/>
      <c r="S44" s="1279"/>
      <c r="T44" s="1279"/>
      <c r="U44" s="1279"/>
      <c r="V44" s="1279"/>
    </row>
    <row r="45" spans="1:47" ht="15.75">
      <c r="A45" s="1263"/>
      <c r="B45" s="1267" t="s">
        <v>548</v>
      </c>
      <c r="C45" s="1264"/>
      <c r="D45" s="1273"/>
      <c r="E45" s="1274"/>
      <c r="F45" s="1273"/>
      <c r="G45" s="1274"/>
      <c r="H45" s="1273"/>
      <c r="I45" s="1274"/>
      <c r="J45" s="1273"/>
      <c r="K45" s="2018"/>
      <c r="L45" s="1273"/>
      <c r="M45" s="1274"/>
      <c r="N45" s="1250"/>
      <c r="O45" s="1250"/>
      <c r="P45" s="1250"/>
      <c r="Q45" s="1250"/>
      <c r="R45" s="1279"/>
      <c r="S45" s="1279"/>
      <c r="T45" s="1279"/>
      <c r="U45" s="1279"/>
      <c r="V45" s="1279"/>
    </row>
    <row r="46" spans="1:47" ht="15.75">
      <c r="A46" s="1263"/>
      <c r="B46" s="1267" t="s">
        <v>549</v>
      </c>
      <c r="C46" s="1264"/>
      <c r="D46" s="2020">
        <f>ROUND(+D24+D36+D43,2)</f>
        <v>-1026.0999999999999</v>
      </c>
      <c r="E46" s="1278"/>
      <c r="F46" s="2020">
        <f>ROUND(+F24+F36+F43,2)</f>
        <v>7809.75</v>
      </c>
      <c r="G46" s="1278"/>
      <c r="H46" s="2020">
        <f>ROUND(+H24+H36+H43,2)</f>
        <v>-7514.88</v>
      </c>
      <c r="I46" s="1278"/>
      <c r="J46" s="2020">
        <f>ROUND(+J24+J36+J43,2)</f>
        <v>2570.59</v>
      </c>
      <c r="K46" s="2021"/>
      <c r="L46" s="1278"/>
      <c r="M46" s="2020">
        <f>ROUND(+M24+M36+M43,2)</f>
        <v>1839.36</v>
      </c>
      <c r="N46" s="1250"/>
      <c r="O46" s="1250"/>
      <c r="P46" s="1250"/>
      <c r="Q46" s="1250"/>
      <c r="R46" s="1279"/>
      <c r="S46" s="1279"/>
      <c r="T46" s="1279"/>
      <c r="U46" s="1279"/>
      <c r="V46" s="1279"/>
    </row>
    <row r="47" spans="1:47">
      <c r="A47" s="1263"/>
      <c r="B47" s="1263"/>
      <c r="C47" s="1264"/>
      <c r="D47" s="1264"/>
      <c r="E47" s="1266"/>
      <c r="F47" s="1264"/>
      <c r="G47" s="1266"/>
      <c r="H47" s="1264"/>
      <c r="I47" s="1266"/>
      <c r="J47" s="1264"/>
      <c r="K47" s="2017"/>
      <c r="L47" s="1264"/>
      <c r="M47" s="1284"/>
      <c r="N47" s="1250"/>
      <c r="O47" s="1250"/>
      <c r="P47" s="1250"/>
      <c r="Q47" s="1250"/>
      <c r="R47" s="1279"/>
      <c r="S47" s="1279"/>
      <c r="T47" s="1279"/>
      <c r="U47" s="1279"/>
      <c r="V47" s="1279"/>
    </row>
    <row r="48" spans="1:47" s="1262" customFormat="1" ht="16.5" thickBot="1">
      <c r="A48" s="1267"/>
      <c r="B48" s="1267" t="s">
        <v>536</v>
      </c>
      <c r="C48" s="1285"/>
      <c r="D48" s="1944">
        <f>ROUND(D12+D46,2)</f>
        <v>1198.3900000000001</v>
      </c>
      <c r="E48" s="1286"/>
      <c r="F48" s="1944">
        <f>ROUND(F12+F46,2)</f>
        <v>9008.14</v>
      </c>
      <c r="G48" s="1286"/>
      <c r="H48" s="1944">
        <f>ROUND(H12+H46,2)</f>
        <v>1493.26</v>
      </c>
      <c r="I48" s="1286"/>
      <c r="J48" s="1944">
        <f>ROUND(J12+J46,2)</f>
        <v>4063.85</v>
      </c>
      <c r="K48" s="2026"/>
      <c r="L48" s="1286"/>
      <c r="M48" s="1944">
        <f>ROUND(M12+M46,2)</f>
        <v>4063.85</v>
      </c>
      <c r="N48" s="1261"/>
      <c r="O48" s="1261"/>
      <c r="P48" s="1261"/>
      <c r="Q48" s="1261"/>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287"/>
    </row>
    <row r="49" spans="1:13" ht="15.75" thickTop="1">
      <c r="A49" s="1263"/>
      <c r="B49" s="1263" t="s">
        <v>15</v>
      </c>
      <c r="C49" s="1264"/>
      <c r="D49" s="1264"/>
      <c r="E49" s="1266"/>
      <c r="F49" s="1264"/>
      <c r="G49" s="1266"/>
      <c r="H49" s="1264"/>
      <c r="I49" s="1266"/>
      <c r="J49" s="1264"/>
      <c r="K49" s="1264"/>
      <c r="L49" s="1264"/>
      <c r="M49" s="1264"/>
    </row>
    <row r="50" spans="1:13">
      <c r="B50" s="1288" t="s">
        <v>537</v>
      </c>
    </row>
    <row r="51" spans="1:13">
      <c r="B51" s="1289"/>
    </row>
    <row r="59" spans="1:13" ht="15.75">
      <c r="B59" s="1290"/>
      <c r="C59" s="1291"/>
      <c r="D59" s="1291"/>
      <c r="E59" s="1318"/>
      <c r="F59" s="1291"/>
      <c r="G59" s="1318"/>
      <c r="H59" s="1291"/>
      <c r="I59" s="1318"/>
      <c r="J59" s="1291"/>
      <c r="K59" s="1291"/>
      <c r="L59" s="1291"/>
    </row>
    <row r="61" spans="1:13" ht="15.75">
      <c r="B61" s="1292"/>
      <c r="C61" s="1261"/>
    </row>
  </sheetData>
  <pageMargins left="0.24" right="0.24" top="0.5" bottom="0.5" header="0.18" footer="0.25"/>
  <pageSetup scale="67"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8671875" defaultRowHeight="12.75"/>
  <cols>
    <col min="1" max="1" width="54.88671875" style="420" customWidth="1"/>
    <col min="2" max="2" width="1.88671875" style="420" customWidth="1"/>
    <col min="3" max="3" width="10.88671875" style="420" customWidth="1"/>
    <col min="4" max="4" width="1.88671875" style="420" customWidth="1"/>
    <col min="5" max="5" width="10.88671875" style="420" customWidth="1"/>
    <col min="6" max="6" width="1.88671875" style="420" customWidth="1"/>
    <col min="7" max="7" width="10.88671875" style="420" customWidth="1"/>
    <col min="8" max="8" width="1.88671875" style="420" customWidth="1"/>
    <col min="9" max="9" width="10.88671875" style="420" customWidth="1"/>
    <col min="10" max="10" width="1.88671875" style="420" customWidth="1"/>
    <col min="11" max="11" width="10.88671875" style="420" customWidth="1"/>
    <col min="12" max="12" width="1.88671875" style="420" customWidth="1"/>
    <col min="13" max="13" width="14.88671875" style="420" bestFit="1" customWidth="1"/>
    <col min="14" max="14" width="1.88671875" style="420" customWidth="1"/>
    <col min="15" max="15" width="10.88671875" style="420" customWidth="1"/>
    <col min="16" max="16" width="1.88671875" style="420" customWidth="1"/>
    <col min="17" max="17" width="13.5546875" style="420" bestFit="1" customWidth="1"/>
    <col min="18" max="18" width="1.88671875" style="420" customWidth="1"/>
    <col min="19" max="19" width="13.5546875" style="420" bestFit="1" customWidth="1"/>
    <col min="20" max="20" width="1.88671875" style="420" customWidth="1"/>
    <col min="21" max="21" width="11" style="420" customWidth="1"/>
    <col min="22" max="22" width="1.88671875" style="420" customWidth="1"/>
    <col min="23" max="23" width="10.88671875" style="420" customWidth="1"/>
    <col min="24" max="24" width="1.88671875" style="420" customWidth="1"/>
    <col min="25" max="25" width="10.88671875" style="420" customWidth="1"/>
    <col min="26" max="26" width="1.88671875" style="420" customWidth="1"/>
    <col min="27" max="27" width="14.109375" style="424" customWidth="1"/>
    <col min="28" max="28" width="3.88671875" style="420" customWidth="1"/>
    <col min="29" max="29" width="5.88671875" style="420" customWidth="1"/>
    <col min="30" max="30" width="10.109375" style="420" customWidth="1"/>
    <col min="31" max="31" width="2.88671875" style="420" customWidth="1"/>
    <col min="32" max="16384" width="8.88671875" style="420"/>
  </cols>
  <sheetData>
    <row r="1" spans="1:29" ht="15">
      <c r="A1" s="657" t="s">
        <v>979</v>
      </c>
    </row>
    <row r="2" spans="1:29" ht="20.25">
      <c r="A2" s="417"/>
      <c r="B2" s="1241"/>
      <c r="C2" s="1241"/>
      <c r="D2" s="1241"/>
      <c r="E2" s="1241"/>
      <c r="F2" s="1241"/>
      <c r="G2" s="1241"/>
      <c r="H2" s="1241"/>
      <c r="I2" s="1241"/>
      <c r="J2" s="1241"/>
      <c r="K2" s="1241"/>
      <c r="L2" s="418"/>
      <c r="M2" s="418"/>
      <c r="N2" s="1241"/>
      <c r="O2" s="1241"/>
      <c r="P2" s="1241"/>
      <c r="Q2" s="1241"/>
      <c r="R2" s="1241"/>
      <c r="S2" s="1241"/>
      <c r="T2" s="1241"/>
      <c r="U2" s="1241"/>
      <c r="V2" s="1241"/>
      <c r="W2" s="1241"/>
      <c r="X2" s="1241"/>
      <c r="Y2" s="1241"/>
      <c r="Z2" s="1241"/>
      <c r="AA2" s="1242"/>
      <c r="AB2" s="1241"/>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1"/>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3" t="s">
        <v>538</v>
      </c>
      <c r="AB4" s="1241"/>
      <c r="AC4" s="419"/>
    </row>
    <row r="5" spans="1:29" s="419" customFormat="1" ht="18">
      <c r="A5" s="664" t="s">
        <v>551</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1"/>
    </row>
    <row r="6" spans="1:29" s="419" customFormat="1" ht="18">
      <c r="A6" s="227" t="s">
        <v>1397</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1"/>
    </row>
    <row r="7" spans="1:29" s="419" customFormat="1" ht="18">
      <c r="A7" s="664" t="s">
        <v>1421</v>
      </c>
      <c r="B7" s="660"/>
      <c r="C7" s="660"/>
      <c r="D7" s="660"/>
      <c r="E7" s="660"/>
      <c r="F7" s="660"/>
      <c r="G7" s="660"/>
      <c r="H7" s="660"/>
      <c r="I7" s="660"/>
      <c r="J7"/>
      <c r="K7"/>
      <c r="L7"/>
      <c r="M7"/>
      <c r="N7"/>
      <c r="O7"/>
      <c r="P7"/>
      <c r="Q7"/>
      <c r="R7" s="658"/>
      <c r="S7" s="658"/>
      <c r="T7" s="658"/>
      <c r="U7" s="658"/>
      <c r="V7" s="658"/>
      <c r="W7" s="658"/>
      <c r="X7" s="658"/>
      <c r="Y7" s="658"/>
      <c r="Z7" s="658"/>
      <c r="AA7"/>
      <c r="AB7" s="1241"/>
    </row>
    <row r="8" spans="1:29" s="419" customFormat="1" ht="15.75">
      <c r="A8" s="661"/>
      <c r="B8" s="660"/>
      <c r="C8" s="781"/>
      <c r="D8" s="781"/>
      <c r="E8" s="781"/>
      <c r="F8" s="781"/>
      <c r="G8" s="781"/>
      <c r="H8" s="781"/>
      <c r="I8" s="781"/>
      <c r="J8" s="680"/>
      <c r="K8" s="680"/>
      <c r="L8" s="680"/>
      <c r="M8" s="680"/>
      <c r="N8" s="680"/>
      <c r="O8" s="680"/>
      <c r="P8" s="680"/>
      <c r="Q8" s="680"/>
      <c r="R8" s="680"/>
      <c r="S8" s="680"/>
      <c r="T8" s="680"/>
      <c r="U8" s="680"/>
      <c r="V8" s="680"/>
      <c r="W8" s="680"/>
      <c r="X8" s="680"/>
      <c r="Y8" s="680"/>
      <c r="Z8" s="680"/>
      <c r="AA8" s="680"/>
      <c r="AB8" s="1241"/>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1"/>
    </row>
    <row r="10" spans="1:29" s="419" customFormat="1" ht="18">
      <c r="A10" s="658"/>
      <c r="B10" s="679"/>
      <c r="C10" s="782">
        <v>2019</v>
      </c>
      <c r="D10" s="782" t="s">
        <v>15</v>
      </c>
      <c r="E10" s="782">
        <v>2019</v>
      </c>
      <c r="F10" s="782" t="s">
        <v>15</v>
      </c>
      <c r="G10" s="782">
        <v>2019</v>
      </c>
      <c r="H10" s="782" t="s">
        <v>15</v>
      </c>
      <c r="I10" s="782">
        <v>2019</v>
      </c>
      <c r="J10" s="782" t="s">
        <v>15</v>
      </c>
      <c r="K10" s="782">
        <v>2019</v>
      </c>
      <c r="L10" s="782" t="s">
        <v>15</v>
      </c>
      <c r="M10" s="782">
        <v>2019</v>
      </c>
      <c r="N10" s="782" t="s">
        <v>15</v>
      </c>
      <c r="O10" s="782">
        <v>2019</v>
      </c>
      <c r="P10" s="782" t="s">
        <v>15</v>
      </c>
      <c r="Q10" s="782">
        <v>2019</v>
      </c>
      <c r="R10" s="782" t="s">
        <v>15</v>
      </c>
      <c r="S10" s="782">
        <v>2019</v>
      </c>
      <c r="T10" s="782"/>
      <c r="U10" s="782">
        <v>2020</v>
      </c>
      <c r="V10" s="782"/>
      <c r="W10" s="782">
        <v>2020</v>
      </c>
      <c r="X10" s="782"/>
      <c r="Y10" s="782">
        <v>2020</v>
      </c>
      <c r="Z10" s="664"/>
      <c r="AA10" s="783" t="s">
        <v>1406</v>
      </c>
      <c r="AB10" s="1244"/>
    </row>
    <row r="11" spans="1:29" s="419" customFormat="1" ht="18">
      <c r="A11" s="658"/>
      <c r="B11" s="679"/>
      <c r="C11" s="2210" t="s">
        <v>125</v>
      </c>
      <c r="D11" s="783"/>
      <c r="E11" s="2210" t="s">
        <v>126</v>
      </c>
      <c r="F11" s="783"/>
      <c r="G11" s="2210" t="s">
        <v>127</v>
      </c>
      <c r="H11" s="783"/>
      <c r="I11" s="2210" t="s">
        <v>128</v>
      </c>
      <c r="J11" s="783"/>
      <c r="K11" s="2210" t="s">
        <v>129</v>
      </c>
      <c r="L11" s="783"/>
      <c r="M11" s="2210" t="s">
        <v>144</v>
      </c>
      <c r="N11" s="783"/>
      <c r="O11" s="2210" t="s">
        <v>145</v>
      </c>
      <c r="P11" s="783"/>
      <c r="Q11" s="2210" t="s">
        <v>132</v>
      </c>
      <c r="R11" s="783"/>
      <c r="S11" s="2210" t="s">
        <v>133</v>
      </c>
      <c r="T11" s="783"/>
      <c r="U11" s="2210" t="s">
        <v>134</v>
      </c>
      <c r="V11" s="783"/>
      <c r="W11" s="2210" t="s">
        <v>135</v>
      </c>
      <c r="X11" s="783"/>
      <c r="Y11" s="2210" t="s">
        <v>186</v>
      </c>
      <c r="Z11" s="664"/>
      <c r="AA11" s="2210" t="s">
        <v>552</v>
      </c>
      <c r="AB11" s="1241"/>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33"/>
      <c r="AC12" s="1934"/>
    </row>
    <row r="13" spans="1:29" s="421" customFormat="1" ht="18">
      <c r="A13" s="680" t="s">
        <v>553</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33"/>
      <c r="AC13" s="1935"/>
    </row>
    <row r="14" spans="1:29" s="421" customFormat="1" ht="18">
      <c r="A14" s="658" t="s">
        <v>554</v>
      </c>
      <c r="B14" s="679"/>
      <c r="C14" s="806">
        <v>0</v>
      </c>
      <c r="D14" s="806"/>
      <c r="E14" s="806">
        <v>21</v>
      </c>
      <c r="F14" s="806"/>
      <c r="G14" s="2224">
        <v>0</v>
      </c>
      <c r="H14" s="806"/>
      <c r="I14" s="2224">
        <v>25</v>
      </c>
      <c r="J14" s="807"/>
      <c r="K14" s="2224">
        <v>1</v>
      </c>
      <c r="L14" s="806"/>
      <c r="M14" s="2224">
        <v>0</v>
      </c>
      <c r="N14" s="807"/>
      <c r="O14" s="2224">
        <v>12</v>
      </c>
      <c r="P14" s="807"/>
      <c r="Q14" s="2224">
        <v>0</v>
      </c>
      <c r="R14" s="807"/>
      <c r="S14" s="2224">
        <v>10</v>
      </c>
      <c r="T14" s="807"/>
      <c r="U14" s="2224">
        <v>3</v>
      </c>
      <c r="V14" s="807"/>
      <c r="W14" s="2224"/>
      <c r="X14" s="807"/>
      <c r="Y14" s="2224"/>
      <c r="Z14" s="679"/>
      <c r="AA14" s="3135">
        <f>ROUND(SUM(C14:Z14),0)</f>
        <v>72</v>
      </c>
      <c r="AB14" s="1933"/>
      <c r="AC14" s="1935"/>
    </row>
    <row r="15" spans="1:29" s="421" customFormat="1" ht="18">
      <c r="A15" s="658" t="s">
        <v>555</v>
      </c>
      <c r="B15" s="679"/>
      <c r="C15" s="808">
        <v>0</v>
      </c>
      <c r="D15" s="809"/>
      <c r="E15" s="809">
        <v>2109</v>
      </c>
      <c r="F15" s="809"/>
      <c r="G15" s="812">
        <v>221</v>
      </c>
      <c r="H15" s="809"/>
      <c r="I15" s="812">
        <v>2703</v>
      </c>
      <c r="J15" s="810"/>
      <c r="K15" s="812">
        <v>2354</v>
      </c>
      <c r="L15" s="809"/>
      <c r="M15" s="812">
        <v>1566</v>
      </c>
      <c r="N15" s="810"/>
      <c r="O15" s="812">
        <v>789</v>
      </c>
      <c r="P15" s="810"/>
      <c r="Q15" s="812">
        <v>0</v>
      </c>
      <c r="R15" s="810"/>
      <c r="S15" s="812">
        <v>202</v>
      </c>
      <c r="T15" s="810"/>
      <c r="U15" s="812">
        <v>0</v>
      </c>
      <c r="V15" s="810"/>
      <c r="W15" s="812"/>
      <c r="X15" s="810"/>
      <c r="Y15" s="812"/>
      <c r="Z15" s="679"/>
      <c r="AA15" s="1514">
        <f t="shared" ref="AA15:AA29" si="0">ROUND(SUM(C15:Z15),0)</f>
        <v>9944</v>
      </c>
      <c r="AB15" s="1933"/>
      <c r="AC15" s="1935"/>
    </row>
    <row r="16" spans="1:29" s="421" customFormat="1" ht="18">
      <c r="A16" s="658" t="s">
        <v>556</v>
      </c>
      <c r="B16" s="679"/>
      <c r="C16" s="808">
        <v>0</v>
      </c>
      <c r="D16" s="809"/>
      <c r="E16" s="809">
        <v>0</v>
      </c>
      <c r="F16" s="809"/>
      <c r="G16" s="812">
        <v>0</v>
      </c>
      <c r="H16" s="809"/>
      <c r="I16" s="812">
        <v>0</v>
      </c>
      <c r="J16" s="810"/>
      <c r="K16" s="812">
        <v>51</v>
      </c>
      <c r="L16" s="809"/>
      <c r="M16" s="812">
        <v>3</v>
      </c>
      <c r="N16" s="810"/>
      <c r="O16" s="812">
        <v>0</v>
      </c>
      <c r="P16" s="810"/>
      <c r="Q16" s="812">
        <v>0</v>
      </c>
      <c r="R16" s="810"/>
      <c r="S16" s="812">
        <v>0</v>
      </c>
      <c r="T16" s="810"/>
      <c r="U16" s="812">
        <v>1</v>
      </c>
      <c r="V16" s="810"/>
      <c r="W16" s="812"/>
      <c r="X16" s="810"/>
      <c r="Y16" s="812"/>
      <c r="Z16" s="679"/>
      <c r="AA16" s="1514">
        <f t="shared" si="0"/>
        <v>55</v>
      </c>
      <c r="AB16" s="1245"/>
      <c r="AC16" s="1935"/>
    </row>
    <row r="17" spans="1:29" s="421" customFormat="1" ht="18">
      <c r="A17" s="658" t="s">
        <v>1005</v>
      </c>
      <c r="B17" s="679"/>
      <c r="C17" s="812">
        <v>0</v>
      </c>
      <c r="D17" s="809"/>
      <c r="E17" s="811">
        <v>0</v>
      </c>
      <c r="F17" s="809"/>
      <c r="G17" s="811">
        <v>0</v>
      </c>
      <c r="H17" s="809"/>
      <c r="I17" s="811">
        <v>0</v>
      </c>
      <c r="J17" s="810"/>
      <c r="K17" s="811">
        <v>0</v>
      </c>
      <c r="L17" s="809"/>
      <c r="M17" s="811">
        <v>0</v>
      </c>
      <c r="N17" s="810"/>
      <c r="O17" s="811">
        <v>0</v>
      </c>
      <c r="P17" s="810"/>
      <c r="Q17" s="811">
        <v>0</v>
      </c>
      <c r="R17" s="810"/>
      <c r="S17" s="811">
        <v>0</v>
      </c>
      <c r="T17" s="810"/>
      <c r="U17" s="811">
        <v>0</v>
      </c>
      <c r="V17" s="810"/>
      <c r="W17" s="811"/>
      <c r="X17" s="810"/>
      <c r="Y17" s="811"/>
      <c r="Z17" s="679"/>
      <c r="AA17" s="1514">
        <f t="shared" si="0"/>
        <v>0</v>
      </c>
      <c r="AB17" s="1245"/>
      <c r="AC17" s="1935"/>
    </row>
    <row r="18" spans="1:29" s="421" customFormat="1" ht="18">
      <c r="A18" s="658" t="s">
        <v>557</v>
      </c>
      <c r="B18" s="679"/>
      <c r="C18" s="809"/>
      <c r="D18" s="809"/>
      <c r="E18" s="813"/>
      <c r="F18" s="809"/>
      <c r="G18" s="813"/>
      <c r="H18" s="809"/>
      <c r="I18" s="813"/>
      <c r="J18" s="810"/>
      <c r="K18" s="813"/>
      <c r="L18" s="809"/>
      <c r="M18" s="813"/>
      <c r="N18" s="810"/>
      <c r="O18" s="813"/>
      <c r="P18" s="810"/>
      <c r="Q18" s="813"/>
      <c r="R18" s="810"/>
      <c r="S18" s="813"/>
      <c r="T18" s="810"/>
      <c r="U18" s="813"/>
      <c r="V18" s="810"/>
      <c r="W18" s="813"/>
      <c r="X18" s="810"/>
      <c r="Y18" s="813"/>
      <c r="Z18" s="679"/>
      <c r="AA18" s="1514"/>
      <c r="AB18" s="1245"/>
      <c r="AC18" s="1935"/>
    </row>
    <row r="19" spans="1:29" s="421" customFormat="1" ht="18">
      <c r="A19" s="658" t="s">
        <v>1011</v>
      </c>
      <c r="B19" s="679"/>
      <c r="C19" s="808">
        <v>647</v>
      </c>
      <c r="D19" s="809"/>
      <c r="E19" s="809">
        <v>1183</v>
      </c>
      <c r="F19" s="809"/>
      <c r="G19" s="812">
        <v>11</v>
      </c>
      <c r="H19" s="809"/>
      <c r="I19" s="812">
        <v>788</v>
      </c>
      <c r="J19" s="810"/>
      <c r="K19" s="812">
        <v>309</v>
      </c>
      <c r="L19" s="809"/>
      <c r="M19" s="812">
        <v>590</v>
      </c>
      <c r="N19" s="810"/>
      <c r="O19" s="812">
        <v>242</v>
      </c>
      <c r="P19" s="810"/>
      <c r="Q19" s="812">
        <v>368</v>
      </c>
      <c r="R19" s="810"/>
      <c r="S19" s="812">
        <v>677</v>
      </c>
      <c r="T19" s="810"/>
      <c r="U19" s="812">
        <v>387</v>
      </c>
      <c r="V19" s="810"/>
      <c r="W19" s="812"/>
      <c r="X19" s="810"/>
      <c r="Y19" s="812"/>
      <c r="Z19" s="679"/>
      <c r="AA19" s="1514">
        <f t="shared" si="0"/>
        <v>5202</v>
      </c>
      <c r="AB19" s="1245"/>
      <c r="AC19" s="1935"/>
    </row>
    <row r="20" spans="1:29" s="421" customFormat="1" ht="18">
      <c r="A20" s="658" t="s">
        <v>558</v>
      </c>
      <c r="B20" s="679"/>
      <c r="C20" s="808">
        <v>37</v>
      </c>
      <c r="D20" s="809"/>
      <c r="E20" s="809">
        <v>0</v>
      </c>
      <c r="F20" s="809"/>
      <c r="G20" s="812">
        <v>0</v>
      </c>
      <c r="H20" s="809"/>
      <c r="I20" s="812">
        <v>0</v>
      </c>
      <c r="J20" s="810"/>
      <c r="K20" s="812">
        <v>0</v>
      </c>
      <c r="L20" s="809"/>
      <c r="M20" s="812">
        <v>0</v>
      </c>
      <c r="N20" s="810"/>
      <c r="O20" s="812">
        <v>0</v>
      </c>
      <c r="P20" s="810"/>
      <c r="Q20" s="812">
        <v>0</v>
      </c>
      <c r="R20" s="810"/>
      <c r="S20" s="812">
        <v>0</v>
      </c>
      <c r="T20" s="810"/>
      <c r="U20" s="812">
        <v>0</v>
      </c>
      <c r="V20" s="810"/>
      <c r="W20" s="812"/>
      <c r="X20" s="810"/>
      <c r="Y20" s="812"/>
      <c r="Z20" s="679"/>
      <c r="AA20" s="1514">
        <f t="shared" si="0"/>
        <v>37</v>
      </c>
      <c r="AB20" s="1245"/>
      <c r="AC20" s="1935"/>
    </row>
    <row r="21" spans="1:29" s="421" customFormat="1" ht="18">
      <c r="A21" s="658" t="s">
        <v>559</v>
      </c>
      <c r="B21" s="679"/>
      <c r="C21" s="808">
        <v>0</v>
      </c>
      <c r="D21" s="809"/>
      <c r="E21" s="809">
        <v>0</v>
      </c>
      <c r="F21" s="809"/>
      <c r="G21" s="812">
        <v>0</v>
      </c>
      <c r="H21" s="809"/>
      <c r="I21" s="812">
        <v>0</v>
      </c>
      <c r="J21" s="810"/>
      <c r="K21" s="812">
        <v>0</v>
      </c>
      <c r="L21" s="809"/>
      <c r="M21" s="812">
        <v>0</v>
      </c>
      <c r="N21" s="810"/>
      <c r="O21" s="812">
        <v>0</v>
      </c>
      <c r="P21" s="810"/>
      <c r="Q21" s="812">
        <v>0</v>
      </c>
      <c r="R21" s="810"/>
      <c r="S21" s="812">
        <v>0</v>
      </c>
      <c r="T21" s="810"/>
      <c r="U21" s="812">
        <v>0</v>
      </c>
      <c r="V21" s="810"/>
      <c r="W21" s="812"/>
      <c r="X21" s="810"/>
      <c r="Y21" s="812"/>
      <c r="Z21" s="679"/>
      <c r="AA21" s="1514">
        <f t="shared" si="0"/>
        <v>0</v>
      </c>
      <c r="AB21" s="1245"/>
      <c r="AC21" s="1935"/>
    </row>
    <row r="22" spans="1:29" s="421" customFormat="1" ht="18">
      <c r="A22" s="658" t="s">
        <v>560</v>
      </c>
      <c r="B22" s="679"/>
      <c r="C22" s="808">
        <v>19134</v>
      </c>
      <c r="D22" s="809"/>
      <c r="E22" s="809">
        <v>18022</v>
      </c>
      <c r="F22" s="809"/>
      <c r="G22" s="812">
        <v>14341</v>
      </c>
      <c r="H22" s="809"/>
      <c r="I22" s="812">
        <v>23762</v>
      </c>
      <c r="J22" s="810"/>
      <c r="K22" s="812">
        <v>10916</v>
      </c>
      <c r="L22" s="809"/>
      <c r="M22" s="812">
        <v>28143</v>
      </c>
      <c r="N22" s="810"/>
      <c r="O22" s="812">
        <v>20932</v>
      </c>
      <c r="P22" s="810"/>
      <c r="Q22" s="812">
        <v>9312</v>
      </c>
      <c r="R22" s="810"/>
      <c r="S22" s="812">
        <v>27400</v>
      </c>
      <c r="T22" s="810"/>
      <c r="U22" s="812">
        <v>36283</v>
      </c>
      <c r="V22" s="810"/>
      <c r="W22" s="812"/>
      <c r="X22" s="810"/>
      <c r="Y22" s="812"/>
      <c r="Z22" s="679"/>
      <c r="AA22" s="1514">
        <f t="shared" si="0"/>
        <v>208245</v>
      </c>
      <c r="AB22" s="1245"/>
      <c r="AC22" s="1935"/>
    </row>
    <row r="23" spans="1:29" s="421" customFormat="1" ht="18">
      <c r="A23" s="658" t="s">
        <v>561</v>
      </c>
      <c r="B23" s="679"/>
      <c r="C23" s="808">
        <v>2965</v>
      </c>
      <c r="D23" s="809"/>
      <c r="E23" s="809">
        <v>2554</v>
      </c>
      <c r="F23" s="809"/>
      <c r="G23" s="812">
        <v>975</v>
      </c>
      <c r="H23" s="809"/>
      <c r="I23" s="812">
        <v>5101</v>
      </c>
      <c r="J23" s="810"/>
      <c r="K23" s="812">
        <v>780</v>
      </c>
      <c r="L23" s="809"/>
      <c r="M23" s="812">
        <v>5980</v>
      </c>
      <c r="N23" s="810"/>
      <c r="O23" s="812">
        <v>4606</v>
      </c>
      <c r="P23" s="810"/>
      <c r="Q23" s="812">
        <v>3607</v>
      </c>
      <c r="R23" s="810"/>
      <c r="S23" s="812">
        <v>5800</v>
      </c>
      <c r="T23" s="810"/>
      <c r="U23" s="812">
        <v>3449</v>
      </c>
      <c r="V23" s="810"/>
      <c r="W23" s="812"/>
      <c r="X23" s="810"/>
      <c r="Y23" s="812"/>
      <c r="Z23" s="679"/>
      <c r="AA23" s="1514">
        <f>ROUND(SUM(C23:Z23),0)</f>
        <v>35817</v>
      </c>
      <c r="AB23" s="1245"/>
      <c r="AC23" s="1935"/>
    </row>
    <row r="24" spans="1:29" s="421" customFormat="1" ht="18">
      <c r="A24" s="658" t="s">
        <v>562</v>
      </c>
      <c r="B24" s="679"/>
      <c r="C24" s="814">
        <v>0</v>
      </c>
      <c r="D24" s="809"/>
      <c r="E24" s="809">
        <v>0</v>
      </c>
      <c r="F24" s="809"/>
      <c r="G24" s="812">
        <v>0</v>
      </c>
      <c r="H24" s="809"/>
      <c r="I24" s="812">
        <v>0</v>
      </c>
      <c r="J24" s="810"/>
      <c r="K24" s="812">
        <v>0</v>
      </c>
      <c r="L24" s="809"/>
      <c r="M24" s="812">
        <v>0</v>
      </c>
      <c r="N24" s="810"/>
      <c r="O24" s="812">
        <v>0</v>
      </c>
      <c r="P24" s="810"/>
      <c r="Q24" s="812">
        <v>0</v>
      </c>
      <c r="R24" s="810"/>
      <c r="S24" s="812">
        <v>0</v>
      </c>
      <c r="T24" s="810"/>
      <c r="U24" s="812">
        <v>0</v>
      </c>
      <c r="V24" s="810"/>
      <c r="W24" s="812"/>
      <c r="X24" s="810"/>
      <c r="Y24" s="812"/>
      <c r="Z24" s="679"/>
      <c r="AA24" s="1514">
        <f t="shared" si="0"/>
        <v>0</v>
      </c>
      <c r="AB24" s="1245"/>
      <c r="AC24" s="1935"/>
    </row>
    <row r="25" spans="1:29" s="421" customFormat="1" ht="18">
      <c r="A25" s="658" t="s">
        <v>563</v>
      </c>
      <c r="B25" s="679"/>
      <c r="C25" s="809">
        <v>0</v>
      </c>
      <c r="D25" s="809"/>
      <c r="E25" s="809">
        <v>0</v>
      </c>
      <c r="F25" s="809"/>
      <c r="G25" s="812">
        <v>0</v>
      </c>
      <c r="H25" s="809"/>
      <c r="I25" s="812">
        <v>0</v>
      </c>
      <c r="J25" s="810"/>
      <c r="K25" s="812">
        <v>0</v>
      </c>
      <c r="L25" s="809"/>
      <c r="M25" s="812">
        <v>0</v>
      </c>
      <c r="N25" s="810"/>
      <c r="O25" s="812">
        <v>0</v>
      </c>
      <c r="P25" s="810"/>
      <c r="Q25" s="812">
        <v>0</v>
      </c>
      <c r="R25" s="810"/>
      <c r="S25" s="812">
        <v>0</v>
      </c>
      <c r="T25" s="810"/>
      <c r="U25" s="812">
        <v>0</v>
      </c>
      <c r="V25" s="810"/>
      <c r="W25" s="812"/>
      <c r="X25" s="810"/>
      <c r="Y25" s="812"/>
      <c r="Z25" s="679"/>
      <c r="AA25" s="1514">
        <f t="shared" si="0"/>
        <v>0</v>
      </c>
      <c r="AB25" s="1245"/>
      <c r="AC25" s="1935"/>
    </row>
    <row r="26" spans="1:29" s="421" customFormat="1" ht="18">
      <c r="A26" s="658" t="s">
        <v>564</v>
      </c>
      <c r="B26" s="679"/>
      <c r="C26" s="808">
        <v>9238</v>
      </c>
      <c r="D26" s="809"/>
      <c r="E26" s="809">
        <v>13563</v>
      </c>
      <c r="F26" s="809"/>
      <c r="G26" s="812">
        <v>4697</v>
      </c>
      <c r="H26" s="809"/>
      <c r="I26" s="812">
        <v>25605</v>
      </c>
      <c r="J26" s="810"/>
      <c r="K26" s="812">
        <v>5907</v>
      </c>
      <c r="L26" s="809"/>
      <c r="M26" s="812">
        <v>28243</v>
      </c>
      <c r="N26" s="810"/>
      <c r="O26" s="812">
        <v>14194</v>
      </c>
      <c r="P26" s="810"/>
      <c r="Q26" s="812">
        <v>4498</v>
      </c>
      <c r="R26" s="810"/>
      <c r="S26" s="812">
        <v>18956</v>
      </c>
      <c r="T26" s="810"/>
      <c r="U26" s="812">
        <v>7468</v>
      </c>
      <c r="V26" s="810"/>
      <c r="W26" s="812"/>
      <c r="X26" s="810"/>
      <c r="Y26" s="812"/>
      <c r="Z26" s="679"/>
      <c r="AA26" s="1514">
        <f t="shared" si="0"/>
        <v>132369</v>
      </c>
      <c r="AB26" s="1245"/>
      <c r="AC26" s="1935"/>
    </row>
    <row r="27" spans="1:29" s="421" customFormat="1" ht="18">
      <c r="A27" s="658" t="s">
        <v>565</v>
      </c>
      <c r="B27" s="679"/>
      <c r="C27" s="814">
        <v>1109</v>
      </c>
      <c r="D27" s="809"/>
      <c r="E27" s="809">
        <v>1614</v>
      </c>
      <c r="F27" s="809"/>
      <c r="G27" s="812">
        <v>462</v>
      </c>
      <c r="H27" s="809"/>
      <c r="I27" s="812">
        <v>2044</v>
      </c>
      <c r="J27" s="810"/>
      <c r="K27" s="812">
        <v>682</v>
      </c>
      <c r="L27" s="809"/>
      <c r="M27" s="812">
        <v>2065</v>
      </c>
      <c r="N27" s="810"/>
      <c r="O27" s="812">
        <v>1870</v>
      </c>
      <c r="P27" s="810"/>
      <c r="Q27" s="812">
        <v>1865</v>
      </c>
      <c r="R27" s="810"/>
      <c r="S27" s="812">
        <v>2315</v>
      </c>
      <c r="T27" s="810"/>
      <c r="U27" s="812">
        <v>2173</v>
      </c>
      <c r="V27" s="810"/>
      <c r="W27" s="812"/>
      <c r="X27" s="810"/>
      <c r="Y27" s="812"/>
      <c r="Z27" s="679"/>
      <c r="AA27" s="1514">
        <f t="shared" si="0"/>
        <v>16199</v>
      </c>
      <c r="AB27" s="1245"/>
      <c r="AC27" s="1935"/>
    </row>
    <row r="28" spans="1:29" s="421" customFormat="1" ht="18">
      <c r="A28" s="658" t="s">
        <v>892</v>
      </c>
      <c r="B28" s="679"/>
      <c r="C28" s="812">
        <v>158</v>
      </c>
      <c r="D28" s="809"/>
      <c r="E28" s="812">
        <v>274</v>
      </c>
      <c r="F28" s="809"/>
      <c r="G28" s="812">
        <v>190</v>
      </c>
      <c r="H28" s="809"/>
      <c r="I28" s="812">
        <v>302</v>
      </c>
      <c r="J28" s="810"/>
      <c r="K28" s="812">
        <v>304</v>
      </c>
      <c r="L28" s="809"/>
      <c r="M28" s="812">
        <v>671</v>
      </c>
      <c r="N28" s="810"/>
      <c r="O28" s="812">
        <v>162</v>
      </c>
      <c r="P28" s="810"/>
      <c r="Q28" s="812">
        <v>233</v>
      </c>
      <c r="R28" s="810"/>
      <c r="S28" s="812">
        <v>429</v>
      </c>
      <c r="T28" s="810"/>
      <c r="U28" s="812">
        <v>215</v>
      </c>
      <c r="V28" s="810"/>
      <c r="W28" s="812"/>
      <c r="X28" s="810"/>
      <c r="Y28" s="812"/>
      <c r="Z28" s="679"/>
      <c r="AA28" s="1514">
        <f>ROUND(SUM(C28:Z28),0)</f>
        <v>2938</v>
      </c>
      <c r="AB28" s="1245"/>
      <c r="AC28" s="1935"/>
    </row>
    <row r="29" spans="1:29" s="421" customFormat="1" ht="18">
      <c r="A29" s="658" t="s">
        <v>566</v>
      </c>
      <c r="B29" s="679"/>
      <c r="C29" s="809">
        <v>23</v>
      </c>
      <c r="D29" s="809"/>
      <c r="E29" s="809">
        <v>36</v>
      </c>
      <c r="F29" s="809"/>
      <c r="G29" s="812">
        <v>0</v>
      </c>
      <c r="H29" s="809"/>
      <c r="I29" s="812">
        <v>192</v>
      </c>
      <c r="J29" s="810"/>
      <c r="K29" s="812">
        <v>0</v>
      </c>
      <c r="L29" s="809"/>
      <c r="M29" s="812">
        <v>780</v>
      </c>
      <c r="N29" s="810"/>
      <c r="O29" s="812">
        <v>39</v>
      </c>
      <c r="P29" s="810"/>
      <c r="Q29" s="812">
        <v>2</v>
      </c>
      <c r="R29" s="810"/>
      <c r="S29" s="812">
        <v>1</v>
      </c>
      <c r="T29" s="810"/>
      <c r="U29" s="812">
        <v>0</v>
      </c>
      <c r="V29" s="810"/>
      <c r="W29" s="812"/>
      <c r="X29" s="810"/>
      <c r="Y29" s="812"/>
      <c r="Z29" s="679"/>
      <c r="AA29" s="1514">
        <f t="shared" si="0"/>
        <v>1073</v>
      </c>
      <c r="AB29" s="1245"/>
      <c r="AC29" s="1935"/>
    </row>
    <row r="30" spans="1:29" s="421" customFormat="1" ht="18">
      <c r="A30" s="680" t="s">
        <v>891</v>
      </c>
      <c r="B30" s="679"/>
      <c r="C30" s="2212">
        <f>ROUND(SUM(C14:C29),0)</f>
        <v>33311</v>
      </c>
      <c r="D30" s="658"/>
      <c r="E30" s="2212">
        <v>39376</v>
      </c>
      <c r="F30" s="658"/>
      <c r="G30" s="2212">
        <f>ROUND(SUM(G14:G29),0)</f>
        <v>20897</v>
      </c>
      <c r="H30" s="658"/>
      <c r="I30" s="2212">
        <f>ROUND(SUM(I14:I29),0)</f>
        <v>60522</v>
      </c>
      <c r="J30" s="658"/>
      <c r="K30" s="2212">
        <f>ROUND(SUM(K14:K29),0)</f>
        <v>21304</v>
      </c>
      <c r="L30" s="658"/>
      <c r="M30" s="2212">
        <f>ROUND(SUM(M14:M29),0)</f>
        <v>68041</v>
      </c>
      <c r="N30" s="658"/>
      <c r="O30" s="2212">
        <f>ROUND(SUM(O14:O29),0)</f>
        <v>42846</v>
      </c>
      <c r="P30" s="658"/>
      <c r="Q30" s="2212">
        <f>ROUND(SUM(Q14:Q29),0)</f>
        <v>19885</v>
      </c>
      <c r="R30" s="658"/>
      <c r="S30" s="2212">
        <f>ROUND(SUM(S14:S29),0)</f>
        <v>55790</v>
      </c>
      <c r="T30" s="658"/>
      <c r="U30" s="2212">
        <f>ROUND(SUM(U14:U29),0)</f>
        <v>49979</v>
      </c>
      <c r="V30" s="658"/>
      <c r="W30" s="2212">
        <f>ROUND(SUM(W14:W29),0)</f>
        <v>0</v>
      </c>
      <c r="X30" s="658"/>
      <c r="Y30" s="2212">
        <f>ROUND(SUM(Y14:Y29),0)</f>
        <v>0</v>
      </c>
      <c r="Z30" s="658"/>
      <c r="AA30" s="3136">
        <f>ROUND(SUM(AA14:AA29),0)</f>
        <v>411951</v>
      </c>
      <c r="AB30" s="1245"/>
      <c r="AC30" s="1935"/>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4"/>
      <c r="AB31" s="1245"/>
      <c r="AC31" s="1935"/>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4"/>
      <c r="AB32" s="1245"/>
      <c r="AC32" s="1935"/>
    </row>
    <row r="33" spans="1:29" s="421" customFormat="1" ht="18">
      <c r="A33" s="680" t="s">
        <v>567</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4"/>
      <c r="AB33" s="1245"/>
      <c r="AC33" s="1935"/>
    </row>
    <row r="34" spans="1:29" s="421" customFormat="1" ht="18">
      <c r="A34" s="658" t="s">
        <v>557</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4"/>
      <c r="AB34" s="1245"/>
      <c r="AC34" s="1935"/>
    </row>
    <row r="35" spans="1:29" s="421" customFormat="1" ht="18">
      <c r="A35" s="658" t="s">
        <v>568</v>
      </c>
      <c r="B35" s="679"/>
      <c r="C35" s="811">
        <v>0</v>
      </c>
      <c r="D35" s="809"/>
      <c r="E35" s="811">
        <v>0</v>
      </c>
      <c r="F35" s="809"/>
      <c r="G35" s="811">
        <v>0</v>
      </c>
      <c r="H35" s="809"/>
      <c r="I35" s="811">
        <v>0</v>
      </c>
      <c r="J35" s="810"/>
      <c r="K35" s="811">
        <v>0</v>
      </c>
      <c r="L35" s="809"/>
      <c r="M35" s="811">
        <v>0</v>
      </c>
      <c r="N35" s="810"/>
      <c r="O35" s="811">
        <v>0</v>
      </c>
      <c r="P35" s="810"/>
      <c r="Q35" s="811">
        <v>0</v>
      </c>
      <c r="R35" s="810"/>
      <c r="S35" s="811">
        <v>0</v>
      </c>
      <c r="T35" s="810"/>
      <c r="U35" s="811">
        <v>0</v>
      </c>
      <c r="V35" s="810"/>
      <c r="W35" s="811"/>
      <c r="X35" s="810"/>
      <c r="Y35" s="811"/>
      <c r="Z35" s="679"/>
      <c r="AA35" s="1514">
        <f>ROUND(SUM(C35:Z35),0)</f>
        <v>0</v>
      </c>
      <c r="AB35" s="1245"/>
      <c r="AC35" s="1935"/>
    </row>
    <row r="36" spans="1:29" s="421" customFormat="1" ht="18">
      <c r="A36" s="658" t="s">
        <v>1216</v>
      </c>
      <c r="B36" s="679"/>
      <c r="C36" s="809">
        <v>0</v>
      </c>
      <c r="D36" s="809"/>
      <c r="E36" s="811">
        <v>0</v>
      </c>
      <c r="F36" s="809"/>
      <c r="G36" s="811">
        <v>0</v>
      </c>
      <c r="H36" s="809"/>
      <c r="I36" s="811">
        <v>0</v>
      </c>
      <c r="J36" s="810"/>
      <c r="K36" s="811">
        <v>0</v>
      </c>
      <c r="L36" s="809"/>
      <c r="M36" s="811">
        <v>0</v>
      </c>
      <c r="N36" s="810"/>
      <c r="O36" s="811">
        <v>0</v>
      </c>
      <c r="P36" s="810"/>
      <c r="Q36" s="811">
        <v>0</v>
      </c>
      <c r="R36" s="810"/>
      <c r="S36" s="811">
        <v>0</v>
      </c>
      <c r="T36" s="810"/>
      <c r="U36" s="811">
        <v>0</v>
      </c>
      <c r="V36" s="810"/>
      <c r="W36" s="811"/>
      <c r="X36" s="810"/>
      <c r="Y36" s="811"/>
      <c r="Z36" s="679"/>
      <c r="AA36" s="1514">
        <f>ROUND(SUM(C36:Z36),0)</f>
        <v>0</v>
      </c>
      <c r="AB36" s="1245"/>
      <c r="AC36" s="1935"/>
    </row>
    <row r="37" spans="1:29" s="421" customFormat="1" ht="18">
      <c r="A37" s="658" t="s">
        <v>569</v>
      </c>
      <c r="B37" s="679"/>
      <c r="C37" s="811">
        <v>0</v>
      </c>
      <c r="D37" s="809"/>
      <c r="E37" s="811">
        <v>0</v>
      </c>
      <c r="F37" s="809"/>
      <c r="G37" s="811">
        <v>0</v>
      </c>
      <c r="H37" s="809"/>
      <c r="I37" s="811">
        <v>0</v>
      </c>
      <c r="J37" s="810"/>
      <c r="K37" s="811">
        <v>0</v>
      </c>
      <c r="L37" s="809"/>
      <c r="M37" s="811">
        <v>0</v>
      </c>
      <c r="N37" s="810"/>
      <c r="O37" s="811">
        <v>0</v>
      </c>
      <c r="P37" s="810"/>
      <c r="Q37" s="811">
        <v>0</v>
      </c>
      <c r="R37" s="810"/>
      <c r="S37" s="811">
        <v>0</v>
      </c>
      <c r="T37" s="810"/>
      <c r="U37" s="811">
        <v>0</v>
      </c>
      <c r="V37" s="810"/>
      <c r="W37" s="811"/>
      <c r="X37" s="810"/>
      <c r="Y37" s="811"/>
      <c r="Z37" s="679"/>
      <c r="AA37" s="1514">
        <f>ROUND(SUM(C37:Z37),0)</f>
        <v>0</v>
      </c>
      <c r="AB37" s="1245"/>
      <c r="AC37" s="1935"/>
    </row>
    <row r="38" spans="1:29" s="421" customFormat="1" ht="18">
      <c r="A38" s="658" t="s">
        <v>1005</v>
      </c>
      <c r="B38" s="679"/>
      <c r="C38" s="811">
        <v>0</v>
      </c>
      <c r="D38" s="809"/>
      <c r="E38" s="811">
        <v>0</v>
      </c>
      <c r="F38" s="814"/>
      <c r="G38" s="811">
        <v>0</v>
      </c>
      <c r="H38" s="814"/>
      <c r="I38" s="811">
        <v>0</v>
      </c>
      <c r="J38" s="815"/>
      <c r="K38" s="811">
        <v>0</v>
      </c>
      <c r="L38" s="814"/>
      <c r="M38" s="811">
        <v>0</v>
      </c>
      <c r="N38" s="815"/>
      <c r="O38" s="811">
        <v>0</v>
      </c>
      <c r="P38" s="815"/>
      <c r="Q38" s="811">
        <v>0</v>
      </c>
      <c r="R38" s="815"/>
      <c r="S38" s="811">
        <v>0</v>
      </c>
      <c r="T38" s="815"/>
      <c r="U38" s="811">
        <v>0</v>
      </c>
      <c r="V38" s="815"/>
      <c r="W38" s="811"/>
      <c r="X38" s="815"/>
      <c r="Y38" s="811"/>
      <c r="Z38" s="679"/>
      <c r="AA38" s="1514">
        <f>ROUND(SUM(C38:Z38),0)</f>
        <v>0</v>
      </c>
      <c r="AB38" s="1245"/>
      <c r="AC38" s="1935"/>
    </row>
    <row r="39" spans="1:29" s="419" customFormat="1" ht="18">
      <c r="A39" s="658" t="s">
        <v>570</v>
      </c>
      <c r="B39" s="679"/>
      <c r="C39" s="2211">
        <v>0</v>
      </c>
      <c r="D39" s="809"/>
      <c r="E39" s="2211">
        <v>0</v>
      </c>
      <c r="F39" s="809"/>
      <c r="G39" s="2211">
        <v>0</v>
      </c>
      <c r="H39" s="809"/>
      <c r="I39" s="2211">
        <v>0</v>
      </c>
      <c r="J39" s="810"/>
      <c r="K39" s="2211">
        <v>0</v>
      </c>
      <c r="L39" s="809"/>
      <c r="M39" s="2211">
        <v>0</v>
      </c>
      <c r="N39" s="810"/>
      <c r="O39" s="2211">
        <v>0</v>
      </c>
      <c r="P39" s="810"/>
      <c r="Q39" s="2211">
        <v>0</v>
      </c>
      <c r="R39" s="810"/>
      <c r="S39" s="2211">
        <v>0</v>
      </c>
      <c r="T39" s="810"/>
      <c r="U39" s="2211">
        <v>0</v>
      </c>
      <c r="V39" s="810"/>
      <c r="W39" s="2211"/>
      <c r="X39" s="810"/>
      <c r="Y39" s="2211"/>
      <c r="Z39" s="679"/>
      <c r="AA39" s="1514">
        <f>ROUND(SUM(C39:Z39),0)</f>
        <v>0</v>
      </c>
      <c r="AB39" s="1246"/>
      <c r="AC39" s="1936"/>
    </row>
    <row r="40" spans="1:29" s="419" customFormat="1" ht="18">
      <c r="A40" s="680" t="s">
        <v>890</v>
      </c>
      <c r="B40" s="679"/>
      <c r="C40" s="2212">
        <f>ROUND(SUM(C35:C39),0)</f>
        <v>0</v>
      </c>
      <c r="D40" s="658"/>
      <c r="E40" s="2212">
        <f>ROUND(SUM(E35:E39),0)</f>
        <v>0</v>
      </c>
      <c r="F40" s="658"/>
      <c r="G40" s="2212">
        <f>ROUND(SUM(G35:G39),0)</f>
        <v>0</v>
      </c>
      <c r="H40" s="658"/>
      <c r="I40" s="2212">
        <f>ROUND(SUM(I35:I39),0)</f>
        <v>0</v>
      </c>
      <c r="J40" s="658"/>
      <c r="K40" s="2212">
        <f>ROUND(SUM(K35:K39),0)</f>
        <v>0</v>
      </c>
      <c r="L40" s="658"/>
      <c r="M40" s="2212">
        <f>ROUND(SUM(M35:M39),0)</f>
        <v>0</v>
      </c>
      <c r="N40" s="658"/>
      <c r="O40" s="2212">
        <f>ROUND(SUM(O35:O39),0)</f>
        <v>0</v>
      </c>
      <c r="P40" s="658"/>
      <c r="Q40" s="2212">
        <f>ROUND(SUM(Q35:Q39),0)</f>
        <v>0</v>
      </c>
      <c r="R40" s="658"/>
      <c r="S40" s="2212">
        <f>ROUND(SUM(S35:S39),0)</f>
        <v>0</v>
      </c>
      <c r="T40" s="658"/>
      <c r="U40" s="2212">
        <f>ROUND(SUM(U35:U39),0)</f>
        <v>0</v>
      </c>
      <c r="V40" s="658"/>
      <c r="W40" s="2212">
        <f>ROUND(SUM(W35:W39),0)</f>
        <v>0</v>
      </c>
      <c r="X40" s="658"/>
      <c r="Y40" s="2212">
        <f>ROUND(SUM(Y35:Y39),0)</f>
        <v>0</v>
      </c>
      <c r="Z40" s="658"/>
      <c r="AA40" s="2212">
        <f>ROUND(SUM(AA35:AA39),0)</f>
        <v>0</v>
      </c>
      <c r="AB40" s="1246"/>
      <c r="AC40" s="1936"/>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6"/>
      <c r="AC41" s="1937"/>
    </row>
    <row r="42" spans="1:29" ht="18">
      <c r="A42" s="658"/>
      <c r="B42" s="679"/>
      <c r="C42" s="679"/>
      <c r="D42" s="679"/>
      <c r="E42" s="679"/>
      <c r="F42" s="679"/>
      <c r="G42" s="679"/>
      <c r="H42" s="679"/>
      <c r="I42" s="679"/>
      <c r="J42" s="679"/>
      <c r="K42" s="679"/>
      <c r="L42" s="679"/>
      <c r="M42" s="679"/>
      <c r="N42" s="679"/>
      <c r="O42" s="679"/>
      <c r="P42" s="679"/>
      <c r="Q42" s="679"/>
      <c r="R42" s="679"/>
      <c r="S42" s="2225"/>
      <c r="T42" s="679"/>
      <c r="U42" s="679"/>
      <c r="V42" s="679"/>
      <c r="W42" s="679"/>
      <c r="X42" s="679"/>
      <c r="Y42" s="679"/>
      <c r="Z42" s="679"/>
      <c r="AA42" s="658"/>
    </row>
    <row r="43" spans="1:29" s="423" customFormat="1" ht="18.75" thickBot="1">
      <c r="A43" s="680" t="s">
        <v>889</v>
      </c>
      <c r="B43" s="679"/>
      <c r="C43" s="1938">
        <f>ROUND(C30+C40,0)</f>
        <v>33311</v>
      </c>
      <c r="D43" s="658"/>
      <c r="E43" s="1938">
        <f>ROUND(E30+E40,0)</f>
        <v>39376</v>
      </c>
      <c r="F43" s="658"/>
      <c r="G43" s="1938">
        <f>ROUND(G30+G40,0)</f>
        <v>20897</v>
      </c>
      <c r="H43" s="658"/>
      <c r="I43" s="1938">
        <f>ROUND(I30+I40,0)</f>
        <v>60522</v>
      </c>
      <c r="J43" s="658"/>
      <c r="K43" s="1938">
        <f>ROUND(K30+K40,0)</f>
        <v>21304</v>
      </c>
      <c r="L43" s="658"/>
      <c r="M43" s="1938">
        <f>ROUND(M30+M40,0)</f>
        <v>68041</v>
      </c>
      <c r="N43" s="658"/>
      <c r="O43" s="1938">
        <f>ROUND(O30+O40,0)</f>
        <v>42846</v>
      </c>
      <c r="P43" s="658"/>
      <c r="Q43" s="1938">
        <f>ROUND(Q30+Q40,0)</f>
        <v>19885</v>
      </c>
      <c r="R43" s="658"/>
      <c r="S43" s="1938">
        <f>ROUND(S30+S40,0)</f>
        <v>55790</v>
      </c>
      <c r="T43" s="658"/>
      <c r="U43" s="1938">
        <f>ROUND(U30+U40,0)</f>
        <v>49979</v>
      </c>
      <c r="V43" s="658"/>
      <c r="W43" s="1938">
        <f>ROUND(W30+W40,0)</f>
        <v>0</v>
      </c>
      <c r="X43" s="658"/>
      <c r="Y43" s="1938">
        <f>ROUND(Y30+Y40,0)</f>
        <v>0</v>
      </c>
      <c r="Z43" s="658"/>
      <c r="AA43" s="1938">
        <f>ROUND(AA30+AA40,0)</f>
        <v>411951</v>
      </c>
    </row>
    <row r="44" spans="1:29" ht="15.75" thickTop="1">
      <c r="A44" s="1247"/>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934" t="s">
        <v>571</v>
      </c>
      <c r="B46" s="3935"/>
      <c r="C46" s="3935"/>
      <c r="D46" s="3935"/>
      <c r="E46" s="3935"/>
      <c r="F46" s="3935"/>
      <c r="G46" s="3935"/>
      <c r="H46" s="3935"/>
      <c r="I46" s="3935"/>
      <c r="J46" s="3935"/>
      <c r="K46" s="3935"/>
      <c r="L46" s="3935"/>
      <c r="M46" s="3935"/>
      <c r="N46" s="3935"/>
      <c r="O46" s="3935"/>
      <c r="P46" s="3935"/>
      <c r="Q46" s="3935"/>
      <c r="R46" s="3935"/>
      <c r="S46" s="3935"/>
      <c r="T46" s="3935"/>
      <c r="U46" s="3935"/>
      <c r="V46" s="3935"/>
      <c r="W46" s="3935"/>
      <c r="X46" s="3935"/>
      <c r="Y46" s="3935"/>
      <c r="Z46" s="3935"/>
      <c r="AA46" s="3936"/>
    </row>
    <row r="47" spans="1:29" ht="20.100000000000001" customHeight="1">
      <c r="A47" s="3937"/>
      <c r="B47" s="3938"/>
      <c r="C47" s="3938"/>
      <c r="D47" s="3938"/>
      <c r="E47" s="3938"/>
      <c r="F47" s="3938"/>
      <c r="G47" s="3938"/>
      <c r="H47" s="3938"/>
      <c r="I47" s="3938"/>
      <c r="J47" s="3938"/>
      <c r="K47" s="3938"/>
      <c r="L47" s="3938"/>
      <c r="M47" s="3938"/>
      <c r="N47" s="3938"/>
      <c r="O47" s="3938"/>
      <c r="P47" s="3938"/>
      <c r="Q47" s="3938"/>
      <c r="R47" s="3938"/>
      <c r="S47" s="3938"/>
      <c r="T47" s="3938"/>
      <c r="U47" s="3938"/>
      <c r="V47" s="3938"/>
      <c r="W47" s="3938"/>
      <c r="X47" s="3938"/>
      <c r="Y47" s="3938"/>
      <c r="Z47" s="3938"/>
      <c r="AA47" s="3939"/>
    </row>
    <row r="48" spans="1:29" ht="20.100000000000001" customHeight="1">
      <c r="A48" s="3937"/>
      <c r="B48" s="3938"/>
      <c r="C48" s="3938"/>
      <c r="D48" s="3938"/>
      <c r="E48" s="3938"/>
      <c r="F48" s="3938"/>
      <c r="G48" s="3938"/>
      <c r="H48" s="3938"/>
      <c r="I48" s="3938"/>
      <c r="J48" s="3938"/>
      <c r="K48" s="3938"/>
      <c r="L48" s="3938"/>
      <c r="M48" s="3938"/>
      <c r="N48" s="3938"/>
      <c r="O48" s="3938"/>
      <c r="P48" s="3938"/>
      <c r="Q48" s="3938"/>
      <c r="R48" s="3938"/>
      <c r="S48" s="3938"/>
      <c r="T48" s="3938"/>
      <c r="U48" s="3938"/>
      <c r="V48" s="3938"/>
      <c r="W48" s="3938"/>
      <c r="X48" s="3938"/>
      <c r="Y48" s="3938"/>
      <c r="Z48" s="3938"/>
      <c r="AA48" s="3939"/>
    </row>
    <row r="49" spans="1:27" ht="22.5" customHeight="1" thickBot="1">
      <c r="A49" s="3940"/>
      <c r="B49" s="3941"/>
      <c r="C49" s="3941"/>
      <c r="D49" s="3941"/>
      <c r="E49" s="3941"/>
      <c r="F49" s="3941"/>
      <c r="G49" s="3941"/>
      <c r="H49" s="3941"/>
      <c r="I49" s="3941"/>
      <c r="J49" s="3941"/>
      <c r="K49" s="3941"/>
      <c r="L49" s="3941"/>
      <c r="M49" s="3941"/>
      <c r="N49" s="3941"/>
      <c r="O49" s="3941"/>
      <c r="P49" s="3941"/>
      <c r="Q49" s="3941"/>
      <c r="R49" s="3941"/>
      <c r="S49" s="3941"/>
      <c r="T49" s="3941"/>
      <c r="U49" s="3941"/>
      <c r="V49" s="3941"/>
      <c r="W49" s="3941"/>
      <c r="X49" s="3941"/>
      <c r="Y49" s="3941"/>
      <c r="Z49" s="3941"/>
      <c r="AA49" s="3942"/>
    </row>
    <row r="51" spans="1:27" ht="14.85" customHeight="1"/>
    <row r="54" spans="1:27" ht="14.1" customHeight="1"/>
  </sheetData>
  <mergeCells count="1">
    <mergeCell ref="A46:AA49"/>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6"/>
  <sheetViews>
    <sheetView showGridLines="0" zoomScale="80" zoomScaleNormal="50" workbookViewId="0"/>
  </sheetViews>
  <sheetFormatPr defaultRowHeight="15"/>
  <cols>
    <col min="1" max="1" width="2.109375" style="2992" customWidth="1"/>
    <col min="2" max="2" width="10.109375" style="2992" customWidth="1"/>
    <col min="3" max="3" width="2.109375" style="3130" customWidth="1"/>
    <col min="4" max="4" width="50.44140625" style="2992" customWidth="1"/>
    <col min="5" max="5" width="8.88671875" style="3130" customWidth="1"/>
    <col min="6" max="6" width="2.109375" style="3131" customWidth="1"/>
    <col min="7" max="7" width="20.109375" style="3132" customWidth="1"/>
    <col min="8" max="8" width="2.109375" style="3130" customWidth="1"/>
    <col min="9" max="9" width="20.109375" style="2992" customWidth="1"/>
    <col min="10" max="10" width="2.109375" style="3130" customWidth="1"/>
    <col min="11" max="11" width="27.6640625" style="2992" customWidth="1"/>
    <col min="12" max="12" width="2.109375" style="3130" customWidth="1"/>
    <col min="13" max="13" width="20.109375" style="2992" customWidth="1"/>
    <col min="14" max="14" width="2.109375" style="3130" customWidth="1"/>
    <col min="15" max="15" width="27.5546875" style="2992" customWidth="1"/>
    <col min="16" max="16" width="6.109375" style="2992" bestFit="1" customWidth="1"/>
    <col min="17" max="17" width="13.109375" style="2992" bestFit="1" customWidth="1"/>
    <col min="18" max="255" width="8.88671875" style="2992"/>
    <col min="256" max="257" width="8.88671875" style="2992" customWidth="1"/>
    <col min="258" max="258" width="10.109375" style="2992" customWidth="1"/>
    <col min="259" max="259" width="2.109375" style="2992" customWidth="1"/>
    <col min="260" max="260" width="50.44140625" style="2992" customWidth="1"/>
    <col min="261" max="261" width="8.88671875" style="2992"/>
    <col min="262" max="262" width="2.109375" style="2992" customWidth="1"/>
    <col min="263" max="263" width="23.88671875" style="2992" customWidth="1"/>
    <col min="264" max="264" width="2.109375" style="2992" customWidth="1"/>
    <col min="265" max="265" width="23.88671875" style="2992" customWidth="1"/>
    <col min="266" max="266" width="2.109375" style="2992" customWidth="1"/>
    <col min="267" max="267" width="23.88671875" style="2992" customWidth="1"/>
    <col min="268" max="268" width="2.109375" style="2992" customWidth="1"/>
    <col min="269" max="269" width="23.88671875" style="2992" customWidth="1"/>
    <col min="270" max="270" width="2.109375" style="2992" customWidth="1"/>
    <col min="271" max="271" width="23.88671875" style="2992" customWidth="1"/>
    <col min="272" max="272" width="2.88671875" style="2992" bestFit="1" customWidth="1"/>
    <col min="273" max="511" width="8.88671875" style="2992"/>
    <col min="512" max="513" width="8.88671875" style="2992" customWidth="1"/>
    <col min="514" max="514" width="10.109375" style="2992" customWidth="1"/>
    <col min="515" max="515" width="2.109375" style="2992" customWidth="1"/>
    <col min="516" max="516" width="50.44140625" style="2992" customWidth="1"/>
    <col min="517" max="517" width="8.88671875" style="2992"/>
    <col min="518" max="518" width="2.109375" style="2992" customWidth="1"/>
    <col min="519" max="519" width="23.88671875" style="2992" customWidth="1"/>
    <col min="520" max="520" width="2.109375" style="2992" customWidth="1"/>
    <col min="521" max="521" width="23.88671875" style="2992" customWidth="1"/>
    <col min="522" max="522" width="2.109375" style="2992" customWidth="1"/>
    <col min="523" max="523" width="23.88671875" style="2992" customWidth="1"/>
    <col min="524" max="524" width="2.109375" style="2992" customWidth="1"/>
    <col min="525" max="525" width="23.88671875" style="2992" customWidth="1"/>
    <col min="526" max="526" width="2.109375" style="2992" customWidth="1"/>
    <col min="527" max="527" width="23.88671875" style="2992" customWidth="1"/>
    <col min="528" max="528" width="2.88671875" style="2992" bestFit="1" customWidth="1"/>
    <col min="529" max="767" width="8.88671875" style="2992"/>
    <col min="768" max="769" width="8.88671875" style="2992" customWidth="1"/>
    <col min="770" max="770" width="10.109375" style="2992" customWidth="1"/>
    <col min="771" max="771" width="2.109375" style="2992" customWidth="1"/>
    <col min="772" max="772" width="50.44140625" style="2992" customWidth="1"/>
    <col min="773" max="773" width="8.88671875" style="2992"/>
    <col min="774" max="774" width="2.109375" style="2992" customWidth="1"/>
    <col min="775" max="775" width="23.88671875" style="2992" customWidth="1"/>
    <col min="776" max="776" width="2.109375" style="2992" customWidth="1"/>
    <col min="777" max="777" width="23.88671875" style="2992" customWidth="1"/>
    <col min="778" max="778" width="2.109375" style="2992" customWidth="1"/>
    <col min="779" max="779" width="23.88671875" style="2992" customWidth="1"/>
    <col min="780" max="780" width="2.109375" style="2992" customWidth="1"/>
    <col min="781" max="781" width="23.88671875" style="2992" customWidth="1"/>
    <col min="782" max="782" width="2.109375" style="2992" customWidth="1"/>
    <col min="783" max="783" width="23.88671875" style="2992" customWidth="1"/>
    <col min="784" max="784" width="2.88671875" style="2992" bestFit="1" customWidth="1"/>
    <col min="785" max="1023" width="8.88671875" style="2992"/>
    <col min="1024" max="1025" width="8.88671875" style="2992" customWidth="1"/>
    <col min="1026" max="1026" width="10.109375" style="2992" customWidth="1"/>
    <col min="1027" max="1027" width="2.109375" style="2992" customWidth="1"/>
    <col min="1028" max="1028" width="50.44140625" style="2992" customWidth="1"/>
    <col min="1029" max="1029" width="8.88671875" style="2992"/>
    <col min="1030" max="1030" width="2.109375" style="2992" customWidth="1"/>
    <col min="1031" max="1031" width="23.88671875" style="2992" customWidth="1"/>
    <col min="1032" max="1032" width="2.109375" style="2992" customWidth="1"/>
    <col min="1033" max="1033" width="23.88671875" style="2992" customWidth="1"/>
    <col min="1034" max="1034" width="2.109375" style="2992" customWidth="1"/>
    <col min="1035" max="1035" width="23.88671875" style="2992" customWidth="1"/>
    <col min="1036" max="1036" width="2.109375" style="2992" customWidth="1"/>
    <col min="1037" max="1037" width="23.88671875" style="2992" customWidth="1"/>
    <col min="1038" max="1038" width="2.109375" style="2992" customWidth="1"/>
    <col min="1039" max="1039" width="23.88671875" style="2992" customWidth="1"/>
    <col min="1040" max="1040" width="2.88671875" style="2992" bestFit="1" customWidth="1"/>
    <col min="1041" max="1279" width="8.88671875" style="2992"/>
    <col min="1280" max="1281" width="8.88671875" style="2992" customWidth="1"/>
    <col min="1282" max="1282" width="10.109375" style="2992" customWidth="1"/>
    <col min="1283" max="1283" width="2.109375" style="2992" customWidth="1"/>
    <col min="1284" max="1284" width="50.44140625" style="2992" customWidth="1"/>
    <col min="1285" max="1285" width="8.88671875" style="2992"/>
    <col min="1286" max="1286" width="2.109375" style="2992" customWidth="1"/>
    <col min="1287" max="1287" width="23.88671875" style="2992" customWidth="1"/>
    <col min="1288" max="1288" width="2.109375" style="2992" customWidth="1"/>
    <col min="1289" max="1289" width="23.88671875" style="2992" customWidth="1"/>
    <col min="1290" max="1290" width="2.109375" style="2992" customWidth="1"/>
    <col min="1291" max="1291" width="23.88671875" style="2992" customWidth="1"/>
    <col min="1292" max="1292" width="2.109375" style="2992" customWidth="1"/>
    <col min="1293" max="1293" width="23.88671875" style="2992" customWidth="1"/>
    <col min="1294" max="1294" width="2.109375" style="2992" customWidth="1"/>
    <col min="1295" max="1295" width="23.88671875" style="2992" customWidth="1"/>
    <col min="1296" max="1296" width="2.88671875" style="2992" bestFit="1" customWidth="1"/>
    <col min="1297" max="1535" width="8.88671875" style="2992"/>
    <col min="1536" max="1537" width="8.88671875" style="2992" customWidth="1"/>
    <col min="1538" max="1538" width="10.109375" style="2992" customWidth="1"/>
    <col min="1539" max="1539" width="2.109375" style="2992" customWidth="1"/>
    <col min="1540" max="1540" width="50.44140625" style="2992" customWidth="1"/>
    <col min="1541" max="1541" width="8.88671875" style="2992"/>
    <col min="1542" max="1542" width="2.109375" style="2992" customWidth="1"/>
    <col min="1543" max="1543" width="23.88671875" style="2992" customWidth="1"/>
    <col min="1544" max="1544" width="2.109375" style="2992" customWidth="1"/>
    <col min="1545" max="1545" width="23.88671875" style="2992" customWidth="1"/>
    <col min="1546" max="1546" width="2.109375" style="2992" customWidth="1"/>
    <col min="1547" max="1547" width="23.88671875" style="2992" customWidth="1"/>
    <col min="1548" max="1548" width="2.109375" style="2992" customWidth="1"/>
    <col min="1549" max="1549" width="23.88671875" style="2992" customWidth="1"/>
    <col min="1550" max="1550" width="2.109375" style="2992" customWidth="1"/>
    <col min="1551" max="1551" width="23.88671875" style="2992" customWidth="1"/>
    <col min="1552" max="1552" width="2.88671875" style="2992" bestFit="1" customWidth="1"/>
    <col min="1553" max="1791" width="8.88671875" style="2992"/>
    <col min="1792" max="1793" width="8.88671875" style="2992" customWidth="1"/>
    <col min="1794" max="1794" width="10.109375" style="2992" customWidth="1"/>
    <col min="1795" max="1795" width="2.109375" style="2992" customWidth="1"/>
    <col min="1796" max="1796" width="50.44140625" style="2992" customWidth="1"/>
    <col min="1797" max="1797" width="8.88671875" style="2992"/>
    <col min="1798" max="1798" width="2.109375" style="2992" customWidth="1"/>
    <col min="1799" max="1799" width="23.88671875" style="2992" customWidth="1"/>
    <col min="1800" max="1800" width="2.109375" style="2992" customWidth="1"/>
    <col min="1801" max="1801" width="23.88671875" style="2992" customWidth="1"/>
    <col min="1802" max="1802" width="2.109375" style="2992" customWidth="1"/>
    <col min="1803" max="1803" width="23.88671875" style="2992" customWidth="1"/>
    <col min="1804" max="1804" width="2.109375" style="2992" customWidth="1"/>
    <col min="1805" max="1805" width="23.88671875" style="2992" customWidth="1"/>
    <col min="1806" max="1806" width="2.109375" style="2992" customWidth="1"/>
    <col min="1807" max="1807" width="23.88671875" style="2992" customWidth="1"/>
    <col min="1808" max="1808" width="2.88671875" style="2992" bestFit="1" customWidth="1"/>
    <col min="1809" max="2047" width="8.88671875" style="2992"/>
    <col min="2048" max="2049" width="8.88671875" style="2992" customWidth="1"/>
    <col min="2050" max="2050" width="10.109375" style="2992" customWidth="1"/>
    <col min="2051" max="2051" width="2.109375" style="2992" customWidth="1"/>
    <col min="2052" max="2052" width="50.44140625" style="2992" customWidth="1"/>
    <col min="2053" max="2053" width="8.88671875" style="2992"/>
    <col min="2054" max="2054" width="2.109375" style="2992" customWidth="1"/>
    <col min="2055" max="2055" width="23.88671875" style="2992" customWidth="1"/>
    <col min="2056" max="2056" width="2.109375" style="2992" customWidth="1"/>
    <col min="2057" max="2057" width="23.88671875" style="2992" customWidth="1"/>
    <col min="2058" max="2058" width="2.109375" style="2992" customWidth="1"/>
    <col min="2059" max="2059" width="23.88671875" style="2992" customWidth="1"/>
    <col min="2060" max="2060" width="2.109375" style="2992" customWidth="1"/>
    <col min="2061" max="2061" width="23.88671875" style="2992" customWidth="1"/>
    <col min="2062" max="2062" width="2.109375" style="2992" customWidth="1"/>
    <col min="2063" max="2063" width="23.88671875" style="2992" customWidth="1"/>
    <col min="2064" max="2064" width="2.88671875" style="2992" bestFit="1" customWidth="1"/>
    <col min="2065" max="2303" width="8.88671875" style="2992"/>
    <col min="2304" max="2305" width="8.88671875" style="2992" customWidth="1"/>
    <col min="2306" max="2306" width="10.109375" style="2992" customWidth="1"/>
    <col min="2307" max="2307" width="2.109375" style="2992" customWidth="1"/>
    <col min="2308" max="2308" width="50.44140625" style="2992" customWidth="1"/>
    <col min="2309" max="2309" width="8.88671875" style="2992"/>
    <col min="2310" max="2310" width="2.109375" style="2992" customWidth="1"/>
    <col min="2311" max="2311" width="23.88671875" style="2992" customWidth="1"/>
    <col min="2312" max="2312" width="2.109375" style="2992" customWidth="1"/>
    <col min="2313" max="2313" width="23.88671875" style="2992" customWidth="1"/>
    <col min="2314" max="2314" width="2.109375" style="2992" customWidth="1"/>
    <col min="2315" max="2315" width="23.88671875" style="2992" customWidth="1"/>
    <col min="2316" max="2316" width="2.109375" style="2992" customWidth="1"/>
    <col min="2317" max="2317" width="23.88671875" style="2992" customWidth="1"/>
    <col min="2318" max="2318" width="2.109375" style="2992" customWidth="1"/>
    <col min="2319" max="2319" width="23.88671875" style="2992" customWidth="1"/>
    <col min="2320" max="2320" width="2.88671875" style="2992" bestFit="1" customWidth="1"/>
    <col min="2321" max="2559" width="8.88671875" style="2992"/>
    <col min="2560" max="2561" width="8.88671875" style="2992" customWidth="1"/>
    <col min="2562" max="2562" width="10.109375" style="2992" customWidth="1"/>
    <col min="2563" max="2563" width="2.109375" style="2992" customWidth="1"/>
    <col min="2564" max="2564" width="50.44140625" style="2992" customWidth="1"/>
    <col min="2565" max="2565" width="8.88671875" style="2992"/>
    <col min="2566" max="2566" width="2.109375" style="2992" customWidth="1"/>
    <col min="2567" max="2567" width="23.88671875" style="2992" customWidth="1"/>
    <col min="2568" max="2568" width="2.109375" style="2992" customWidth="1"/>
    <col min="2569" max="2569" width="23.88671875" style="2992" customWidth="1"/>
    <col min="2570" max="2570" width="2.109375" style="2992" customWidth="1"/>
    <col min="2571" max="2571" width="23.88671875" style="2992" customWidth="1"/>
    <col min="2572" max="2572" width="2.109375" style="2992" customWidth="1"/>
    <col min="2573" max="2573" width="23.88671875" style="2992" customWidth="1"/>
    <col min="2574" max="2574" width="2.109375" style="2992" customWidth="1"/>
    <col min="2575" max="2575" width="23.88671875" style="2992" customWidth="1"/>
    <col min="2576" max="2576" width="2.88671875" style="2992" bestFit="1" customWidth="1"/>
    <col min="2577" max="2815" width="8.88671875" style="2992"/>
    <col min="2816" max="2817" width="8.88671875" style="2992" customWidth="1"/>
    <col min="2818" max="2818" width="10.109375" style="2992" customWidth="1"/>
    <col min="2819" max="2819" width="2.109375" style="2992" customWidth="1"/>
    <col min="2820" max="2820" width="50.44140625" style="2992" customWidth="1"/>
    <col min="2821" max="2821" width="8.88671875" style="2992"/>
    <col min="2822" max="2822" width="2.109375" style="2992" customWidth="1"/>
    <col min="2823" max="2823" width="23.88671875" style="2992" customWidth="1"/>
    <col min="2824" max="2824" width="2.109375" style="2992" customWidth="1"/>
    <col min="2825" max="2825" width="23.88671875" style="2992" customWidth="1"/>
    <col min="2826" max="2826" width="2.109375" style="2992" customWidth="1"/>
    <col min="2827" max="2827" width="23.88671875" style="2992" customWidth="1"/>
    <col min="2828" max="2828" width="2.109375" style="2992" customWidth="1"/>
    <col min="2829" max="2829" width="23.88671875" style="2992" customWidth="1"/>
    <col min="2830" max="2830" width="2.109375" style="2992" customWidth="1"/>
    <col min="2831" max="2831" width="23.88671875" style="2992" customWidth="1"/>
    <col min="2832" max="2832" width="2.88671875" style="2992" bestFit="1" customWidth="1"/>
    <col min="2833" max="3071" width="8.88671875" style="2992"/>
    <col min="3072" max="3073" width="8.88671875" style="2992" customWidth="1"/>
    <col min="3074" max="3074" width="10.109375" style="2992" customWidth="1"/>
    <col min="3075" max="3075" width="2.109375" style="2992" customWidth="1"/>
    <col min="3076" max="3076" width="50.44140625" style="2992" customWidth="1"/>
    <col min="3077" max="3077" width="8.88671875" style="2992"/>
    <col min="3078" max="3078" width="2.109375" style="2992" customWidth="1"/>
    <col min="3079" max="3079" width="23.88671875" style="2992" customWidth="1"/>
    <col min="3080" max="3080" width="2.109375" style="2992" customWidth="1"/>
    <col min="3081" max="3081" width="23.88671875" style="2992" customWidth="1"/>
    <col min="3082" max="3082" width="2.109375" style="2992" customWidth="1"/>
    <col min="3083" max="3083" width="23.88671875" style="2992" customWidth="1"/>
    <col min="3084" max="3084" width="2.109375" style="2992" customWidth="1"/>
    <col min="3085" max="3085" width="23.88671875" style="2992" customWidth="1"/>
    <col min="3086" max="3086" width="2.109375" style="2992" customWidth="1"/>
    <col min="3087" max="3087" width="23.88671875" style="2992" customWidth="1"/>
    <col min="3088" max="3088" width="2.88671875" style="2992" bestFit="1" customWidth="1"/>
    <col min="3089" max="3327" width="8.88671875" style="2992"/>
    <col min="3328" max="3329" width="8.88671875" style="2992" customWidth="1"/>
    <col min="3330" max="3330" width="10.109375" style="2992" customWidth="1"/>
    <col min="3331" max="3331" width="2.109375" style="2992" customWidth="1"/>
    <col min="3332" max="3332" width="50.44140625" style="2992" customWidth="1"/>
    <col min="3333" max="3333" width="8.88671875" style="2992"/>
    <col min="3334" max="3334" width="2.109375" style="2992" customWidth="1"/>
    <col min="3335" max="3335" width="23.88671875" style="2992" customWidth="1"/>
    <col min="3336" max="3336" width="2.109375" style="2992" customWidth="1"/>
    <col min="3337" max="3337" width="23.88671875" style="2992" customWidth="1"/>
    <col min="3338" max="3338" width="2.109375" style="2992" customWidth="1"/>
    <col min="3339" max="3339" width="23.88671875" style="2992" customWidth="1"/>
    <col min="3340" max="3340" width="2.109375" style="2992" customWidth="1"/>
    <col min="3341" max="3341" width="23.88671875" style="2992" customWidth="1"/>
    <col min="3342" max="3342" width="2.109375" style="2992" customWidth="1"/>
    <col min="3343" max="3343" width="23.88671875" style="2992" customWidth="1"/>
    <col min="3344" max="3344" width="2.88671875" style="2992" bestFit="1" customWidth="1"/>
    <col min="3345" max="3583" width="8.88671875" style="2992"/>
    <col min="3584" max="3585" width="8.88671875" style="2992" customWidth="1"/>
    <col min="3586" max="3586" width="10.109375" style="2992" customWidth="1"/>
    <col min="3587" max="3587" width="2.109375" style="2992" customWidth="1"/>
    <col min="3588" max="3588" width="50.44140625" style="2992" customWidth="1"/>
    <col min="3589" max="3589" width="8.88671875" style="2992"/>
    <col min="3590" max="3590" width="2.109375" style="2992" customWidth="1"/>
    <col min="3591" max="3591" width="23.88671875" style="2992" customWidth="1"/>
    <col min="3592" max="3592" width="2.109375" style="2992" customWidth="1"/>
    <col min="3593" max="3593" width="23.88671875" style="2992" customWidth="1"/>
    <col min="3594" max="3594" width="2.109375" style="2992" customWidth="1"/>
    <col min="3595" max="3595" width="23.88671875" style="2992" customWidth="1"/>
    <col min="3596" max="3596" width="2.109375" style="2992" customWidth="1"/>
    <col min="3597" max="3597" width="23.88671875" style="2992" customWidth="1"/>
    <col min="3598" max="3598" width="2.109375" style="2992" customWidth="1"/>
    <col min="3599" max="3599" width="23.88671875" style="2992" customWidth="1"/>
    <col min="3600" max="3600" width="2.88671875" style="2992" bestFit="1" customWidth="1"/>
    <col min="3601" max="3839" width="8.88671875" style="2992"/>
    <col min="3840" max="3841" width="8.88671875" style="2992" customWidth="1"/>
    <col min="3842" max="3842" width="10.109375" style="2992" customWidth="1"/>
    <col min="3843" max="3843" width="2.109375" style="2992" customWidth="1"/>
    <col min="3844" max="3844" width="50.44140625" style="2992" customWidth="1"/>
    <col min="3845" max="3845" width="8.88671875" style="2992"/>
    <col min="3846" max="3846" width="2.109375" style="2992" customWidth="1"/>
    <col min="3847" max="3847" width="23.88671875" style="2992" customWidth="1"/>
    <col min="3848" max="3848" width="2.109375" style="2992" customWidth="1"/>
    <col min="3849" max="3849" width="23.88671875" style="2992" customWidth="1"/>
    <col min="3850" max="3850" width="2.109375" style="2992" customWidth="1"/>
    <col min="3851" max="3851" width="23.88671875" style="2992" customWidth="1"/>
    <col min="3852" max="3852" width="2.109375" style="2992" customWidth="1"/>
    <col min="3853" max="3853" width="23.88671875" style="2992" customWidth="1"/>
    <col min="3854" max="3854" width="2.109375" style="2992" customWidth="1"/>
    <col min="3855" max="3855" width="23.88671875" style="2992" customWidth="1"/>
    <col min="3856" max="3856" width="2.88671875" style="2992" bestFit="1" customWidth="1"/>
    <col min="3857" max="4095" width="8.88671875" style="2992"/>
    <col min="4096" max="4097" width="8.88671875" style="2992" customWidth="1"/>
    <col min="4098" max="4098" width="10.109375" style="2992" customWidth="1"/>
    <col min="4099" max="4099" width="2.109375" style="2992" customWidth="1"/>
    <col min="4100" max="4100" width="50.44140625" style="2992" customWidth="1"/>
    <col min="4101" max="4101" width="8.88671875" style="2992"/>
    <col min="4102" max="4102" width="2.109375" style="2992" customWidth="1"/>
    <col min="4103" max="4103" width="23.88671875" style="2992" customWidth="1"/>
    <col min="4104" max="4104" width="2.109375" style="2992" customWidth="1"/>
    <col min="4105" max="4105" width="23.88671875" style="2992" customWidth="1"/>
    <col min="4106" max="4106" width="2.109375" style="2992" customWidth="1"/>
    <col min="4107" max="4107" width="23.88671875" style="2992" customWidth="1"/>
    <col min="4108" max="4108" width="2.109375" style="2992" customWidth="1"/>
    <col min="4109" max="4109" width="23.88671875" style="2992" customWidth="1"/>
    <col min="4110" max="4110" width="2.109375" style="2992" customWidth="1"/>
    <col min="4111" max="4111" width="23.88671875" style="2992" customWidth="1"/>
    <col min="4112" max="4112" width="2.88671875" style="2992" bestFit="1" customWidth="1"/>
    <col min="4113" max="4351" width="8.88671875" style="2992"/>
    <col min="4352" max="4353" width="8.88671875" style="2992" customWidth="1"/>
    <col min="4354" max="4354" width="10.109375" style="2992" customWidth="1"/>
    <col min="4355" max="4355" width="2.109375" style="2992" customWidth="1"/>
    <col min="4356" max="4356" width="50.44140625" style="2992" customWidth="1"/>
    <col min="4357" max="4357" width="8.88671875" style="2992"/>
    <col min="4358" max="4358" width="2.109375" style="2992" customWidth="1"/>
    <col min="4359" max="4359" width="23.88671875" style="2992" customWidth="1"/>
    <col min="4360" max="4360" width="2.109375" style="2992" customWidth="1"/>
    <col min="4361" max="4361" width="23.88671875" style="2992" customWidth="1"/>
    <col min="4362" max="4362" width="2.109375" style="2992" customWidth="1"/>
    <col min="4363" max="4363" width="23.88671875" style="2992" customWidth="1"/>
    <col min="4364" max="4364" width="2.109375" style="2992" customWidth="1"/>
    <col min="4365" max="4365" width="23.88671875" style="2992" customWidth="1"/>
    <col min="4366" max="4366" width="2.109375" style="2992" customWidth="1"/>
    <col min="4367" max="4367" width="23.88671875" style="2992" customWidth="1"/>
    <col min="4368" max="4368" width="2.88671875" style="2992" bestFit="1" customWidth="1"/>
    <col min="4369" max="4607" width="8.88671875" style="2992"/>
    <col min="4608" max="4609" width="8.88671875" style="2992" customWidth="1"/>
    <col min="4610" max="4610" width="10.109375" style="2992" customWidth="1"/>
    <col min="4611" max="4611" width="2.109375" style="2992" customWidth="1"/>
    <col min="4612" max="4612" width="50.44140625" style="2992" customWidth="1"/>
    <col min="4613" max="4613" width="8.88671875" style="2992"/>
    <col min="4614" max="4614" width="2.109375" style="2992" customWidth="1"/>
    <col min="4615" max="4615" width="23.88671875" style="2992" customWidth="1"/>
    <col min="4616" max="4616" width="2.109375" style="2992" customWidth="1"/>
    <col min="4617" max="4617" width="23.88671875" style="2992" customWidth="1"/>
    <col min="4618" max="4618" width="2.109375" style="2992" customWidth="1"/>
    <col min="4619" max="4619" width="23.88671875" style="2992" customWidth="1"/>
    <col min="4620" max="4620" width="2.109375" style="2992" customWidth="1"/>
    <col min="4621" max="4621" width="23.88671875" style="2992" customWidth="1"/>
    <col min="4622" max="4622" width="2.109375" style="2992" customWidth="1"/>
    <col min="4623" max="4623" width="23.88671875" style="2992" customWidth="1"/>
    <col min="4624" max="4624" width="2.88671875" style="2992" bestFit="1" customWidth="1"/>
    <col min="4625" max="4863" width="8.88671875" style="2992"/>
    <col min="4864" max="4865" width="8.88671875" style="2992" customWidth="1"/>
    <col min="4866" max="4866" width="10.109375" style="2992" customWidth="1"/>
    <col min="4867" max="4867" width="2.109375" style="2992" customWidth="1"/>
    <col min="4868" max="4868" width="50.44140625" style="2992" customWidth="1"/>
    <col min="4869" max="4869" width="8.88671875" style="2992"/>
    <col min="4870" max="4870" width="2.109375" style="2992" customWidth="1"/>
    <col min="4871" max="4871" width="23.88671875" style="2992" customWidth="1"/>
    <col min="4872" max="4872" width="2.109375" style="2992" customWidth="1"/>
    <col min="4873" max="4873" width="23.88671875" style="2992" customWidth="1"/>
    <col min="4874" max="4874" width="2.109375" style="2992" customWidth="1"/>
    <col min="4875" max="4875" width="23.88671875" style="2992" customWidth="1"/>
    <col min="4876" max="4876" width="2.109375" style="2992" customWidth="1"/>
    <col min="4877" max="4877" width="23.88671875" style="2992" customWidth="1"/>
    <col min="4878" max="4878" width="2.109375" style="2992" customWidth="1"/>
    <col min="4879" max="4879" width="23.88671875" style="2992" customWidth="1"/>
    <col min="4880" max="4880" width="2.88671875" style="2992" bestFit="1" customWidth="1"/>
    <col min="4881" max="5119" width="8.88671875" style="2992"/>
    <col min="5120" max="5121" width="8.88671875" style="2992" customWidth="1"/>
    <col min="5122" max="5122" width="10.109375" style="2992" customWidth="1"/>
    <col min="5123" max="5123" width="2.109375" style="2992" customWidth="1"/>
    <col min="5124" max="5124" width="50.44140625" style="2992" customWidth="1"/>
    <col min="5125" max="5125" width="8.88671875" style="2992"/>
    <col min="5126" max="5126" width="2.109375" style="2992" customWidth="1"/>
    <col min="5127" max="5127" width="23.88671875" style="2992" customWidth="1"/>
    <col min="5128" max="5128" width="2.109375" style="2992" customWidth="1"/>
    <col min="5129" max="5129" width="23.88671875" style="2992" customWidth="1"/>
    <col min="5130" max="5130" width="2.109375" style="2992" customWidth="1"/>
    <col min="5131" max="5131" width="23.88671875" style="2992" customWidth="1"/>
    <col min="5132" max="5132" width="2.109375" style="2992" customWidth="1"/>
    <col min="5133" max="5133" width="23.88671875" style="2992" customWidth="1"/>
    <col min="5134" max="5134" width="2.109375" style="2992" customWidth="1"/>
    <col min="5135" max="5135" width="23.88671875" style="2992" customWidth="1"/>
    <col min="5136" max="5136" width="2.88671875" style="2992" bestFit="1" customWidth="1"/>
    <col min="5137" max="5375" width="8.88671875" style="2992"/>
    <col min="5376" max="5377" width="8.88671875" style="2992" customWidth="1"/>
    <col min="5378" max="5378" width="10.109375" style="2992" customWidth="1"/>
    <col min="5379" max="5379" width="2.109375" style="2992" customWidth="1"/>
    <col min="5380" max="5380" width="50.44140625" style="2992" customWidth="1"/>
    <col min="5381" max="5381" width="8.88671875" style="2992"/>
    <col min="5382" max="5382" width="2.109375" style="2992" customWidth="1"/>
    <col min="5383" max="5383" width="23.88671875" style="2992" customWidth="1"/>
    <col min="5384" max="5384" width="2.109375" style="2992" customWidth="1"/>
    <col min="5385" max="5385" width="23.88671875" style="2992" customWidth="1"/>
    <col min="5386" max="5386" width="2.109375" style="2992" customWidth="1"/>
    <col min="5387" max="5387" width="23.88671875" style="2992" customWidth="1"/>
    <col min="5388" max="5388" width="2.109375" style="2992" customWidth="1"/>
    <col min="5389" max="5389" width="23.88671875" style="2992" customWidth="1"/>
    <col min="5390" max="5390" width="2.109375" style="2992" customWidth="1"/>
    <col min="5391" max="5391" width="23.88671875" style="2992" customWidth="1"/>
    <col min="5392" max="5392" width="2.88671875" style="2992" bestFit="1" customWidth="1"/>
    <col min="5393" max="5631" width="8.88671875" style="2992"/>
    <col min="5632" max="5633" width="8.88671875" style="2992" customWidth="1"/>
    <col min="5634" max="5634" width="10.109375" style="2992" customWidth="1"/>
    <col min="5635" max="5635" width="2.109375" style="2992" customWidth="1"/>
    <col min="5636" max="5636" width="50.44140625" style="2992" customWidth="1"/>
    <col min="5637" max="5637" width="8.88671875" style="2992"/>
    <col min="5638" max="5638" width="2.109375" style="2992" customWidth="1"/>
    <col min="5639" max="5639" width="23.88671875" style="2992" customWidth="1"/>
    <col min="5640" max="5640" width="2.109375" style="2992" customWidth="1"/>
    <col min="5641" max="5641" width="23.88671875" style="2992" customWidth="1"/>
    <col min="5642" max="5642" width="2.109375" style="2992" customWidth="1"/>
    <col min="5643" max="5643" width="23.88671875" style="2992" customWidth="1"/>
    <col min="5644" max="5644" width="2.109375" style="2992" customWidth="1"/>
    <col min="5645" max="5645" width="23.88671875" style="2992" customWidth="1"/>
    <col min="5646" max="5646" width="2.109375" style="2992" customWidth="1"/>
    <col min="5647" max="5647" width="23.88671875" style="2992" customWidth="1"/>
    <col min="5648" max="5648" width="2.88671875" style="2992" bestFit="1" customWidth="1"/>
    <col min="5649" max="5887" width="8.88671875" style="2992"/>
    <col min="5888" max="5889" width="8.88671875" style="2992" customWidth="1"/>
    <col min="5890" max="5890" width="10.109375" style="2992" customWidth="1"/>
    <col min="5891" max="5891" width="2.109375" style="2992" customWidth="1"/>
    <col min="5892" max="5892" width="50.44140625" style="2992" customWidth="1"/>
    <col min="5893" max="5893" width="8.88671875" style="2992"/>
    <col min="5894" max="5894" width="2.109375" style="2992" customWidth="1"/>
    <col min="5895" max="5895" width="23.88671875" style="2992" customWidth="1"/>
    <col min="5896" max="5896" width="2.109375" style="2992" customWidth="1"/>
    <col min="5897" max="5897" width="23.88671875" style="2992" customWidth="1"/>
    <col min="5898" max="5898" width="2.109375" style="2992" customWidth="1"/>
    <col min="5899" max="5899" width="23.88671875" style="2992" customWidth="1"/>
    <col min="5900" max="5900" width="2.109375" style="2992" customWidth="1"/>
    <col min="5901" max="5901" width="23.88671875" style="2992" customWidth="1"/>
    <col min="5902" max="5902" width="2.109375" style="2992" customWidth="1"/>
    <col min="5903" max="5903" width="23.88671875" style="2992" customWidth="1"/>
    <col min="5904" max="5904" width="2.88671875" style="2992" bestFit="1" customWidth="1"/>
    <col min="5905" max="6143" width="8.88671875" style="2992"/>
    <col min="6144" max="6145" width="8.88671875" style="2992" customWidth="1"/>
    <col min="6146" max="6146" width="10.109375" style="2992" customWidth="1"/>
    <col min="6147" max="6147" width="2.109375" style="2992" customWidth="1"/>
    <col min="6148" max="6148" width="50.44140625" style="2992" customWidth="1"/>
    <col min="6149" max="6149" width="8.88671875" style="2992"/>
    <col min="6150" max="6150" width="2.109375" style="2992" customWidth="1"/>
    <col min="6151" max="6151" width="23.88671875" style="2992" customWidth="1"/>
    <col min="6152" max="6152" width="2.109375" style="2992" customWidth="1"/>
    <col min="6153" max="6153" width="23.88671875" style="2992" customWidth="1"/>
    <col min="6154" max="6154" width="2.109375" style="2992" customWidth="1"/>
    <col min="6155" max="6155" width="23.88671875" style="2992" customWidth="1"/>
    <col min="6156" max="6156" width="2.109375" style="2992" customWidth="1"/>
    <col min="6157" max="6157" width="23.88671875" style="2992" customWidth="1"/>
    <col min="6158" max="6158" width="2.109375" style="2992" customWidth="1"/>
    <col min="6159" max="6159" width="23.88671875" style="2992" customWidth="1"/>
    <col min="6160" max="6160" width="2.88671875" style="2992" bestFit="1" customWidth="1"/>
    <col min="6161" max="6399" width="8.88671875" style="2992"/>
    <col min="6400" max="6401" width="8.88671875" style="2992" customWidth="1"/>
    <col min="6402" max="6402" width="10.109375" style="2992" customWidth="1"/>
    <col min="6403" max="6403" width="2.109375" style="2992" customWidth="1"/>
    <col min="6404" max="6404" width="50.44140625" style="2992" customWidth="1"/>
    <col min="6405" max="6405" width="8.88671875" style="2992"/>
    <col min="6406" max="6406" width="2.109375" style="2992" customWidth="1"/>
    <col min="6407" max="6407" width="23.88671875" style="2992" customWidth="1"/>
    <col min="6408" max="6408" width="2.109375" style="2992" customWidth="1"/>
    <col min="6409" max="6409" width="23.88671875" style="2992" customWidth="1"/>
    <col min="6410" max="6410" width="2.109375" style="2992" customWidth="1"/>
    <col min="6411" max="6411" width="23.88671875" style="2992" customWidth="1"/>
    <col min="6412" max="6412" width="2.109375" style="2992" customWidth="1"/>
    <col min="6413" max="6413" width="23.88671875" style="2992" customWidth="1"/>
    <col min="6414" max="6414" width="2.109375" style="2992" customWidth="1"/>
    <col min="6415" max="6415" width="23.88671875" style="2992" customWidth="1"/>
    <col min="6416" max="6416" width="2.88671875" style="2992" bestFit="1" customWidth="1"/>
    <col min="6417" max="6655" width="8.88671875" style="2992"/>
    <col min="6656" max="6657" width="8.88671875" style="2992" customWidth="1"/>
    <col min="6658" max="6658" width="10.109375" style="2992" customWidth="1"/>
    <col min="6659" max="6659" width="2.109375" style="2992" customWidth="1"/>
    <col min="6660" max="6660" width="50.44140625" style="2992" customWidth="1"/>
    <col min="6661" max="6661" width="8.88671875" style="2992"/>
    <col min="6662" max="6662" width="2.109375" style="2992" customWidth="1"/>
    <col min="6663" max="6663" width="23.88671875" style="2992" customWidth="1"/>
    <col min="6664" max="6664" width="2.109375" style="2992" customWidth="1"/>
    <col min="6665" max="6665" width="23.88671875" style="2992" customWidth="1"/>
    <col min="6666" max="6666" width="2.109375" style="2992" customWidth="1"/>
    <col min="6667" max="6667" width="23.88671875" style="2992" customWidth="1"/>
    <col min="6668" max="6668" width="2.109375" style="2992" customWidth="1"/>
    <col min="6669" max="6669" width="23.88671875" style="2992" customWidth="1"/>
    <col min="6670" max="6670" width="2.109375" style="2992" customWidth="1"/>
    <col min="6671" max="6671" width="23.88671875" style="2992" customWidth="1"/>
    <col min="6672" max="6672" width="2.88671875" style="2992" bestFit="1" customWidth="1"/>
    <col min="6673" max="6911" width="8.88671875" style="2992"/>
    <col min="6912" max="6913" width="8.88671875" style="2992" customWidth="1"/>
    <col min="6914" max="6914" width="10.109375" style="2992" customWidth="1"/>
    <col min="6915" max="6915" width="2.109375" style="2992" customWidth="1"/>
    <col min="6916" max="6916" width="50.44140625" style="2992" customWidth="1"/>
    <col min="6917" max="6917" width="8.88671875" style="2992"/>
    <col min="6918" max="6918" width="2.109375" style="2992" customWidth="1"/>
    <col min="6919" max="6919" width="23.88671875" style="2992" customWidth="1"/>
    <col min="6920" max="6920" width="2.109375" style="2992" customWidth="1"/>
    <col min="6921" max="6921" width="23.88671875" style="2992" customWidth="1"/>
    <col min="6922" max="6922" width="2.109375" style="2992" customWidth="1"/>
    <col min="6923" max="6923" width="23.88671875" style="2992" customWidth="1"/>
    <col min="6924" max="6924" width="2.109375" style="2992" customWidth="1"/>
    <col min="6925" max="6925" width="23.88671875" style="2992" customWidth="1"/>
    <col min="6926" max="6926" width="2.109375" style="2992" customWidth="1"/>
    <col min="6927" max="6927" width="23.88671875" style="2992" customWidth="1"/>
    <col min="6928" max="6928" width="2.88671875" style="2992" bestFit="1" customWidth="1"/>
    <col min="6929" max="7167" width="8.88671875" style="2992"/>
    <col min="7168" max="7169" width="8.88671875" style="2992" customWidth="1"/>
    <col min="7170" max="7170" width="10.109375" style="2992" customWidth="1"/>
    <col min="7171" max="7171" width="2.109375" style="2992" customWidth="1"/>
    <col min="7172" max="7172" width="50.44140625" style="2992" customWidth="1"/>
    <col min="7173" max="7173" width="8.88671875" style="2992"/>
    <col min="7174" max="7174" width="2.109375" style="2992" customWidth="1"/>
    <col min="7175" max="7175" width="23.88671875" style="2992" customWidth="1"/>
    <col min="7176" max="7176" width="2.109375" style="2992" customWidth="1"/>
    <col min="7177" max="7177" width="23.88671875" style="2992" customWidth="1"/>
    <col min="7178" max="7178" width="2.109375" style="2992" customWidth="1"/>
    <col min="7179" max="7179" width="23.88671875" style="2992" customWidth="1"/>
    <col min="7180" max="7180" width="2.109375" style="2992" customWidth="1"/>
    <col min="7181" max="7181" width="23.88671875" style="2992" customWidth="1"/>
    <col min="7182" max="7182" width="2.109375" style="2992" customWidth="1"/>
    <col min="7183" max="7183" width="23.88671875" style="2992" customWidth="1"/>
    <col min="7184" max="7184" width="2.88671875" style="2992" bestFit="1" customWidth="1"/>
    <col min="7185" max="7423" width="8.88671875" style="2992"/>
    <col min="7424" max="7425" width="8.88671875" style="2992" customWidth="1"/>
    <col min="7426" max="7426" width="10.109375" style="2992" customWidth="1"/>
    <col min="7427" max="7427" width="2.109375" style="2992" customWidth="1"/>
    <col min="7428" max="7428" width="50.44140625" style="2992" customWidth="1"/>
    <col min="7429" max="7429" width="8.88671875" style="2992"/>
    <col min="7430" max="7430" width="2.109375" style="2992" customWidth="1"/>
    <col min="7431" max="7431" width="23.88671875" style="2992" customWidth="1"/>
    <col min="7432" max="7432" width="2.109375" style="2992" customWidth="1"/>
    <col min="7433" max="7433" width="23.88671875" style="2992" customWidth="1"/>
    <col min="7434" max="7434" width="2.109375" style="2992" customWidth="1"/>
    <col min="7435" max="7435" width="23.88671875" style="2992" customWidth="1"/>
    <col min="7436" max="7436" width="2.109375" style="2992" customWidth="1"/>
    <col min="7437" max="7437" width="23.88671875" style="2992" customWidth="1"/>
    <col min="7438" max="7438" width="2.109375" style="2992" customWidth="1"/>
    <col min="7439" max="7439" width="23.88671875" style="2992" customWidth="1"/>
    <col min="7440" max="7440" width="2.88671875" style="2992" bestFit="1" customWidth="1"/>
    <col min="7441" max="7679" width="8.88671875" style="2992"/>
    <col min="7680" max="7681" width="8.88671875" style="2992" customWidth="1"/>
    <col min="7682" max="7682" width="10.109375" style="2992" customWidth="1"/>
    <col min="7683" max="7683" width="2.109375" style="2992" customWidth="1"/>
    <col min="7684" max="7684" width="50.44140625" style="2992" customWidth="1"/>
    <col min="7685" max="7685" width="8.88671875" style="2992"/>
    <col min="7686" max="7686" width="2.109375" style="2992" customWidth="1"/>
    <col min="7687" max="7687" width="23.88671875" style="2992" customWidth="1"/>
    <col min="7688" max="7688" width="2.109375" style="2992" customWidth="1"/>
    <col min="7689" max="7689" width="23.88671875" style="2992" customWidth="1"/>
    <col min="7690" max="7690" width="2.109375" style="2992" customWidth="1"/>
    <col min="7691" max="7691" width="23.88671875" style="2992" customWidth="1"/>
    <col min="7692" max="7692" width="2.109375" style="2992" customWidth="1"/>
    <col min="7693" max="7693" width="23.88671875" style="2992" customWidth="1"/>
    <col min="7694" max="7694" width="2.109375" style="2992" customWidth="1"/>
    <col min="7695" max="7695" width="23.88671875" style="2992" customWidth="1"/>
    <col min="7696" max="7696" width="2.88671875" style="2992" bestFit="1" customWidth="1"/>
    <col min="7697" max="7935" width="8.88671875" style="2992"/>
    <col min="7936" max="7937" width="8.88671875" style="2992" customWidth="1"/>
    <col min="7938" max="7938" width="10.109375" style="2992" customWidth="1"/>
    <col min="7939" max="7939" width="2.109375" style="2992" customWidth="1"/>
    <col min="7940" max="7940" width="50.44140625" style="2992" customWidth="1"/>
    <col min="7941" max="7941" width="8.88671875" style="2992"/>
    <col min="7942" max="7942" width="2.109375" style="2992" customWidth="1"/>
    <col min="7943" max="7943" width="23.88671875" style="2992" customWidth="1"/>
    <col min="7944" max="7944" width="2.109375" style="2992" customWidth="1"/>
    <col min="7945" max="7945" width="23.88671875" style="2992" customWidth="1"/>
    <col min="7946" max="7946" width="2.109375" style="2992" customWidth="1"/>
    <col min="7947" max="7947" width="23.88671875" style="2992" customWidth="1"/>
    <col min="7948" max="7948" width="2.109375" style="2992" customWidth="1"/>
    <col min="7949" max="7949" width="23.88671875" style="2992" customWidth="1"/>
    <col min="7950" max="7950" width="2.109375" style="2992" customWidth="1"/>
    <col min="7951" max="7951" width="23.88671875" style="2992" customWidth="1"/>
    <col min="7952" max="7952" width="2.88671875" style="2992" bestFit="1" customWidth="1"/>
    <col min="7953" max="8191" width="8.88671875" style="2992"/>
    <col min="8192" max="8193" width="8.88671875" style="2992" customWidth="1"/>
    <col min="8194" max="8194" width="10.109375" style="2992" customWidth="1"/>
    <col min="8195" max="8195" width="2.109375" style="2992" customWidth="1"/>
    <col min="8196" max="8196" width="50.44140625" style="2992" customWidth="1"/>
    <col min="8197" max="8197" width="8.88671875" style="2992"/>
    <col min="8198" max="8198" width="2.109375" style="2992" customWidth="1"/>
    <col min="8199" max="8199" width="23.88671875" style="2992" customWidth="1"/>
    <col min="8200" max="8200" width="2.109375" style="2992" customWidth="1"/>
    <col min="8201" max="8201" width="23.88671875" style="2992" customWidth="1"/>
    <col min="8202" max="8202" width="2.109375" style="2992" customWidth="1"/>
    <col min="8203" max="8203" width="23.88671875" style="2992" customWidth="1"/>
    <col min="8204" max="8204" width="2.109375" style="2992" customWidth="1"/>
    <col min="8205" max="8205" width="23.88671875" style="2992" customWidth="1"/>
    <col min="8206" max="8206" width="2.109375" style="2992" customWidth="1"/>
    <col min="8207" max="8207" width="23.88671875" style="2992" customWidth="1"/>
    <col min="8208" max="8208" width="2.88671875" style="2992" bestFit="1" customWidth="1"/>
    <col min="8209" max="8447" width="8.88671875" style="2992"/>
    <col min="8448" max="8449" width="8.88671875" style="2992" customWidth="1"/>
    <col min="8450" max="8450" width="10.109375" style="2992" customWidth="1"/>
    <col min="8451" max="8451" width="2.109375" style="2992" customWidth="1"/>
    <col min="8452" max="8452" width="50.44140625" style="2992" customWidth="1"/>
    <col min="8453" max="8453" width="8.88671875" style="2992"/>
    <col min="8454" max="8454" width="2.109375" style="2992" customWidth="1"/>
    <col min="8455" max="8455" width="23.88671875" style="2992" customWidth="1"/>
    <col min="8456" max="8456" width="2.109375" style="2992" customWidth="1"/>
    <col min="8457" max="8457" width="23.88671875" style="2992" customWidth="1"/>
    <col min="8458" max="8458" width="2.109375" style="2992" customWidth="1"/>
    <col min="8459" max="8459" width="23.88671875" style="2992" customWidth="1"/>
    <col min="8460" max="8460" width="2.109375" style="2992" customWidth="1"/>
    <col min="8461" max="8461" width="23.88671875" style="2992" customWidth="1"/>
    <col min="8462" max="8462" width="2.109375" style="2992" customWidth="1"/>
    <col min="8463" max="8463" width="23.88671875" style="2992" customWidth="1"/>
    <col min="8464" max="8464" width="2.88671875" style="2992" bestFit="1" customWidth="1"/>
    <col min="8465" max="8703" width="8.88671875" style="2992"/>
    <col min="8704" max="8705" width="8.88671875" style="2992" customWidth="1"/>
    <col min="8706" max="8706" width="10.109375" style="2992" customWidth="1"/>
    <col min="8707" max="8707" width="2.109375" style="2992" customWidth="1"/>
    <col min="8708" max="8708" width="50.44140625" style="2992" customWidth="1"/>
    <col min="8709" max="8709" width="8.88671875" style="2992"/>
    <col min="8710" max="8710" width="2.109375" style="2992" customWidth="1"/>
    <col min="8711" max="8711" width="23.88671875" style="2992" customWidth="1"/>
    <col min="8712" max="8712" width="2.109375" style="2992" customWidth="1"/>
    <col min="8713" max="8713" width="23.88671875" style="2992" customWidth="1"/>
    <col min="8714" max="8714" width="2.109375" style="2992" customWidth="1"/>
    <col min="8715" max="8715" width="23.88671875" style="2992" customWidth="1"/>
    <col min="8716" max="8716" width="2.109375" style="2992" customWidth="1"/>
    <col min="8717" max="8717" width="23.88671875" style="2992" customWidth="1"/>
    <col min="8718" max="8718" width="2.109375" style="2992" customWidth="1"/>
    <col min="8719" max="8719" width="23.88671875" style="2992" customWidth="1"/>
    <col min="8720" max="8720" width="2.88671875" style="2992" bestFit="1" customWidth="1"/>
    <col min="8721" max="8959" width="8.88671875" style="2992"/>
    <col min="8960" max="8961" width="8.88671875" style="2992" customWidth="1"/>
    <col min="8962" max="8962" width="10.109375" style="2992" customWidth="1"/>
    <col min="8963" max="8963" width="2.109375" style="2992" customWidth="1"/>
    <col min="8964" max="8964" width="50.44140625" style="2992" customWidth="1"/>
    <col min="8965" max="8965" width="8.88671875" style="2992"/>
    <col min="8966" max="8966" width="2.109375" style="2992" customWidth="1"/>
    <col min="8967" max="8967" width="23.88671875" style="2992" customWidth="1"/>
    <col min="8968" max="8968" width="2.109375" style="2992" customWidth="1"/>
    <col min="8969" max="8969" width="23.88671875" style="2992" customWidth="1"/>
    <col min="8970" max="8970" width="2.109375" style="2992" customWidth="1"/>
    <col min="8971" max="8971" width="23.88671875" style="2992" customWidth="1"/>
    <col min="8972" max="8972" width="2.109375" style="2992" customWidth="1"/>
    <col min="8973" max="8973" width="23.88671875" style="2992" customWidth="1"/>
    <col min="8974" max="8974" width="2.109375" style="2992" customWidth="1"/>
    <col min="8975" max="8975" width="23.88671875" style="2992" customWidth="1"/>
    <col min="8976" max="8976" width="2.88671875" style="2992" bestFit="1" customWidth="1"/>
    <col min="8977" max="9215" width="8.88671875" style="2992"/>
    <col min="9216" max="9217" width="8.88671875" style="2992" customWidth="1"/>
    <col min="9218" max="9218" width="10.109375" style="2992" customWidth="1"/>
    <col min="9219" max="9219" width="2.109375" style="2992" customWidth="1"/>
    <col min="9220" max="9220" width="50.44140625" style="2992" customWidth="1"/>
    <col min="9221" max="9221" width="8.88671875" style="2992"/>
    <col min="9222" max="9222" width="2.109375" style="2992" customWidth="1"/>
    <col min="9223" max="9223" width="23.88671875" style="2992" customWidth="1"/>
    <col min="9224" max="9224" width="2.109375" style="2992" customWidth="1"/>
    <col min="9225" max="9225" width="23.88671875" style="2992" customWidth="1"/>
    <col min="9226" max="9226" width="2.109375" style="2992" customWidth="1"/>
    <col min="9227" max="9227" width="23.88671875" style="2992" customWidth="1"/>
    <col min="9228" max="9228" width="2.109375" style="2992" customWidth="1"/>
    <col min="9229" max="9229" width="23.88671875" style="2992" customWidth="1"/>
    <col min="9230" max="9230" width="2.109375" style="2992" customWidth="1"/>
    <col min="9231" max="9231" width="23.88671875" style="2992" customWidth="1"/>
    <col min="9232" max="9232" width="2.88671875" style="2992" bestFit="1" customWidth="1"/>
    <col min="9233" max="9471" width="8.88671875" style="2992"/>
    <col min="9472" max="9473" width="8.88671875" style="2992" customWidth="1"/>
    <col min="9474" max="9474" width="10.109375" style="2992" customWidth="1"/>
    <col min="9475" max="9475" width="2.109375" style="2992" customWidth="1"/>
    <col min="9476" max="9476" width="50.44140625" style="2992" customWidth="1"/>
    <col min="9477" max="9477" width="8.88671875" style="2992"/>
    <col min="9478" max="9478" width="2.109375" style="2992" customWidth="1"/>
    <col min="9479" max="9479" width="23.88671875" style="2992" customWidth="1"/>
    <col min="9480" max="9480" width="2.109375" style="2992" customWidth="1"/>
    <col min="9481" max="9481" width="23.88671875" style="2992" customWidth="1"/>
    <col min="9482" max="9482" width="2.109375" style="2992" customWidth="1"/>
    <col min="9483" max="9483" width="23.88671875" style="2992" customWidth="1"/>
    <col min="9484" max="9484" width="2.109375" style="2992" customWidth="1"/>
    <col min="9485" max="9485" width="23.88671875" style="2992" customWidth="1"/>
    <col min="9486" max="9486" width="2.109375" style="2992" customWidth="1"/>
    <col min="9487" max="9487" width="23.88671875" style="2992" customWidth="1"/>
    <col min="9488" max="9488" width="2.88671875" style="2992" bestFit="1" customWidth="1"/>
    <col min="9489" max="9727" width="8.88671875" style="2992"/>
    <col min="9728" max="9729" width="8.88671875" style="2992" customWidth="1"/>
    <col min="9730" max="9730" width="10.109375" style="2992" customWidth="1"/>
    <col min="9731" max="9731" width="2.109375" style="2992" customWidth="1"/>
    <col min="9732" max="9732" width="50.44140625" style="2992" customWidth="1"/>
    <col min="9733" max="9733" width="8.88671875" style="2992"/>
    <col min="9734" max="9734" width="2.109375" style="2992" customWidth="1"/>
    <col min="9735" max="9735" width="23.88671875" style="2992" customWidth="1"/>
    <col min="9736" max="9736" width="2.109375" style="2992" customWidth="1"/>
    <col min="9737" max="9737" width="23.88671875" style="2992" customWidth="1"/>
    <col min="9738" max="9738" width="2.109375" style="2992" customWidth="1"/>
    <col min="9739" max="9739" width="23.88671875" style="2992" customWidth="1"/>
    <col min="9740" max="9740" width="2.109375" style="2992" customWidth="1"/>
    <col min="9741" max="9741" width="23.88671875" style="2992" customWidth="1"/>
    <col min="9742" max="9742" width="2.109375" style="2992" customWidth="1"/>
    <col min="9743" max="9743" width="23.88671875" style="2992" customWidth="1"/>
    <col min="9744" max="9744" width="2.88671875" style="2992" bestFit="1" customWidth="1"/>
    <col min="9745" max="9983" width="8.88671875" style="2992"/>
    <col min="9984" max="9985" width="8.88671875" style="2992" customWidth="1"/>
    <col min="9986" max="9986" width="10.109375" style="2992" customWidth="1"/>
    <col min="9987" max="9987" width="2.109375" style="2992" customWidth="1"/>
    <col min="9988" max="9988" width="50.44140625" style="2992" customWidth="1"/>
    <col min="9989" max="9989" width="8.88671875" style="2992"/>
    <col min="9990" max="9990" width="2.109375" style="2992" customWidth="1"/>
    <col min="9991" max="9991" width="23.88671875" style="2992" customWidth="1"/>
    <col min="9992" max="9992" width="2.109375" style="2992" customWidth="1"/>
    <col min="9993" max="9993" width="23.88671875" style="2992" customWidth="1"/>
    <col min="9994" max="9994" width="2.109375" style="2992" customWidth="1"/>
    <col min="9995" max="9995" width="23.88671875" style="2992" customWidth="1"/>
    <col min="9996" max="9996" width="2.109375" style="2992" customWidth="1"/>
    <col min="9997" max="9997" width="23.88671875" style="2992" customWidth="1"/>
    <col min="9998" max="9998" width="2.109375" style="2992" customWidth="1"/>
    <col min="9999" max="9999" width="23.88671875" style="2992" customWidth="1"/>
    <col min="10000" max="10000" width="2.88671875" style="2992" bestFit="1" customWidth="1"/>
    <col min="10001" max="10239" width="8.88671875" style="2992"/>
    <col min="10240" max="10241" width="8.88671875" style="2992" customWidth="1"/>
    <col min="10242" max="10242" width="10.109375" style="2992" customWidth="1"/>
    <col min="10243" max="10243" width="2.109375" style="2992" customWidth="1"/>
    <col min="10244" max="10244" width="50.44140625" style="2992" customWidth="1"/>
    <col min="10245" max="10245" width="8.88671875" style="2992"/>
    <col min="10246" max="10246" width="2.109375" style="2992" customWidth="1"/>
    <col min="10247" max="10247" width="23.88671875" style="2992" customWidth="1"/>
    <col min="10248" max="10248" width="2.109375" style="2992" customWidth="1"/>
    <col min="10249" max="10249" width="23.88671875" style="2992" customWidth="1"/>
    <col min="10250" max="10250" width="2.109375" style="2992" customWidth="1"/>
    <col min="10251" max="10251" width="23.88671875" style="2992" customWidth="1"/>
    <col min="10252" max="10252" width="2.109375" style="2992" customWidth="1"/>
    <col min="10253" max="10253" width="23.88671875" style="2992" customWidth="1"/>
    <col min="10254" max="10254" width="2.109375" style="2992" customWidth="1"/>
    <col min="10255" max="10255" width="23.88671875" style="2992" customWidth="1"/>
    <col min="10256" max="10256" width="2.88671875" style="2992" bestFit="1" customWidth="1"/>
    <col min="10257" max="10495" width="8.88671875" style="2992"/>
    <col min="10496" max="10497" width="8.88671875" style="2992" customWidth="1"/>
    <col min="10498" max="10498" width="10.109375" style="2992" customWidth="1"/>
    <col min="10499" max="10499" width="2.109375" style="2992" customWidth="1"/>
    <col min="10500" max="10500" width="50.44140625" style="2992" customWidth="1"/>
    <col min="10501" max="10501" width="8.88671875" style="2992"/>
    <col min="10502" max="10502" width="2.109375" style="2992" customWidth="1"/>
    <col min="10503" max="10503" width="23.88671875" style="2992" customWidth="1"/>
    <col min="10504" max="10504" width="2.109375" style="2992" customWidth="1"/>
    <col min="10505" max="10505" width="23.88671875" style="2992" customWidth="1"/>
    <col min="10506" max="10506" width="2.109375" style="2992" customWidth="1"/>
    <col min="10507" max="10507" width="23.88671875" style="2992" customWidth="1"/>
    <col min="10508" max="10508" width="2.109375" style="2992" customWidth="1"/>
    <col min="10509" max="10509" width="23.88671875" style="2992" customWidth="1"/>
    <col min="10510" max="10510" width="2.109375" style="2992" customWidth="1"/>
    <col min="10511" max="10511" width="23.88671875" style="2992" customWidth="1"/>
    <col min="10512" max="10512" width="2.88671875" style="2992" bestFit="1" customWidth="1"/>
    <col min="10513" max="10751" width="8.88671875" style="2992"/>
    <col min="10752" max="10753" width="8.88671875" style="2992" customWidth="1"/>
    <col min="10754" max="10754" width="10.109375" style="2992" customWidth="1"/>
    <col min="10755" max="10755" width="2.109375" style="2992" customWidth="1"/>
    <col min="10756" max="10756" width="50.44140625" style="2992" customWidth="1"/>
    <col min="10757" max="10757" width="8.88671875" style="2992"/>
    <col min="10758" max="10758" width="2.109375" style="2992" customWidth="1"/>
    <col min="10759" max="10759" width="23.88671875" style="2992" customWidth="1"/>
    <col min="10760" max="10760" width="2.109375" style="2992" customWidth="1"/>
    <col min="10761" max="10761" width="23.88671875" style="2992" customWidth="1"/>
    <col min="10762" max="10762" width="2.109375" style="2992" customWidth="1"/>
    <col min="10763" max="10763" width="23.88671875" style="2992" customWidth="1"/>
    <col min="10764" max="10764" width="2.109375" style="2992" customWidth="1"/>
    <col min="10765" max="10765" width="23.88671875" style="2992" customWidth="1"/>
    <col min="10766" max="10766" width="2.109375" style="2992" customWidth="1"/>
    <col min="10767" max="10767" width="23.88671875" style="2992" customWidth="1"/>
    <col min="10768" max="10768" width="2.88671875" style="2992" bestFit="1" customWidth="1"/>
    <col min="10769" max="11007" width="8.88671875" style="2992"/>
    <col min="11008" max="11009" width="8.88671875" style="2992" customWidth="1"/>
    <col min="11010" max="11010" width="10.109375" style="2992" customWidth="1"/>
    <col min="11011" max="11011" width="2.109375" style="2992" customWidth="1"/>
    <col min="11012" max="11012" width="50.44140625" style="2992" customWidth="1"/>
    <col min="11013" max="11013" width="8.88671875" style="2992"/>
    <col min="11014" max="11014" width="2.109375" style="2992" customWidth="1"/>
    <col min="11015" max="11015" width="23.88671875" style="2992" customWidth="1"/>
    <col min="11016" max="11016" width="2.109375" style="2992" customWidth="1"/>
    <col min="11017" max="11017" width="23.88671875" style="2992" customWidth="1"/>
    <col min="11018" max="11018" width="2.109375" style="2992" customWidth="1"/>
    <col min="11019" max="11019" width="23.88671875" style="2992" customWidth="1"/>
    <col min="11020" max="11020" width="2.109375" style="2992" customWidth="1"/>
    <col min="11021" max="11021" width="23.88671875" style="2992" customWidth="1"/>
    <col min="11022" max="11022" width="2.109375" style="2992" customWidth="1"/>
    <col min="11023" max="11023" width="23.88671875" style="2992" customWidth="1"/>
    <col min="11024" max="11024" width="2.88671875" style="2992" bestFit="1" customWidth="1"/>
    <col min="11025" max="11263" width="8.88671875" style="2992"/>
    <col min="11264" max="11265" width="8.88671875" style="2992" customWidth="1"/>
    <col min="11266" max="11266" width="10.109375" style="2992" customWidth="1"/>
    <col min="11267" max="11267" width="2.109375" style="2992" customWidth="1"/>
    <col min="11268" max="11268" width="50.44140625" style="2992" customWidth="1"/>
    <col min="11269" max="11269" width="8.88671875" style="2992"/>
    <col min="11270" max="11270" width="2.109375" style="2992" customWidth="1"/>
    <col min="11271" max="11271" width="23.88671875" style="2992" customWidth="1"/>
    <col min="11272" max="11272" width="2.109375" style="2992" customWidth="1"/>
    <col min="11273" max="11273" width="23.88671875" style="2992" customWidth="1"/>
    <col min="11274" max="11274" width="2.109375" style="2992" customWidth="1"/>
    <col min="11275" max="11275" width="23.88671875" style="2992" customWidth="1"/>
    <col min="11276" max="11276" width="2.109375" style="2992" customWidth="1"/>
    <col min="11277" max="11277" width="23.88671875" style="2992" customWidth="1"/>
    <col min="11278" max="11278" width="2.109375" style="2992" customWidth="1"/>
    <col min="11279" max="11279" width="23.88671875" style="2992" customWidth="1"/>
    <col min="11280" max="11280" width="2.88671875" style="2992" bestFit="1" customWidth="1"/>
    <col min="11281" max="11519" width="8.88671875" style="2992"/>
    <col min="11520" max="11521" width="8.88671875" style="2992" customWidth="1"/>
    <col min="11522" max="11522" width="10.109375" style="2992" customWidth="1"/>
    <col min="11523" max="11523" width="2.109375" style="2992" customWidth="1"/>
    <col min="11524" max="11524" width="50.44140625" style="2992" customWidth="1"/>
    <col min="11525" max="11525" width="8.88671875" style="2992"/>
    <col min="11526" max="11526" width="2.109375" style="2992" customWidth="1"/>
    <col min="11527" max="11527" width="23.88671875" style="2992" customWidth="1"/>
    <col min="11528" max="11528" width="2.109375" style="2992" customWidth="1"/>
    <col min="11529" max="11529" width="23.88671875" style="2992" customWidth="1"/>
    <col min="11530" max="11530" width="2.109375" style="2992" customWidth="1"/>
    <col min="11531" max="11531" width="23.88671875" style="2992" customWidth="1"/>
    <col min="11532" max="11532" width="2.109375" style="2992" customWidth="1"/>
    <col min="11533" max="11533" width="23.88671875" style="2992" customWidth="1"/>
    <col min="11534" max="11534" width="2.109375" style="2992" customWidth="1"/>
    <col min="11535" max="11535" width="23.88671875" style="2992" customWidth="1"/>
    <col min="11536" max="11536" width="2.88671875" style="2992" bestFit="1" customWidth="1"/>
    <col min="11537" max="11775" width="8.88671875" style="2992"/>
    <col min="11776" max="11777" width="8.88671875" style="2992" customWidth="1"/>
    <col min="11778" max="11778" width="10.109375" style="2992" customWidth="1"/>
    <col min="11779" max="11779" width="2.109375" style="2992" customWidth="1"/>
    <col min="11780" max="11780" width="50.44140625" style="2992" customWidth="1"/>
    <col min="11781" max="11781" width="8.88671875" style="2992"/>
    <col min="11782" max="11782" width="2.109375" style="2992" customWidth="1"/>
    <col min="11783" max="11783" width="23.88671875" style="2992" customWidth="1"/>
    <col min="11784" max="11784" width="2.109375" style="2992" customWidth="1"/>
    <col min="11785" max="11785" width="23.88671875" style="2992" customWidth="1"/>
    <col min="11786" max="11786" width="2.109375" style="2992" customWidth="1"/>
    <col min="11787" max="11787" width="23.88671875" style="2992" customWidth="1"/>
    <col min="11788" max="11788" width="2.109375" style="2992" customWidth="1"/>
    <col min="11789" max="11789" width="23.88671875" style="2992" customWidth="1"/>
    <col min="11790" max="11790" width="2.109375" style="2992" customWidth="1"/>
    <col min="11791" max="11791" width="23.88671875" style="2992" customWidth="1"/>
    <col min="11792" max="11792" width="2.88671875" style="2992" bestFit="1" customWidth="1"/>
    <col min="11793" max="12031" width="8.88671875" style="2992"/>
    <col min="12032" max="12033" width="8.88671875" style="2992" customWidth="1"/>
    <col min="12034" max="12034" width="10.109375" style="2992" customWidth="1"/>
    <col min="12035" max="12035" width="2.109375" style="2992" customWidth="1"/>
    <col min="12036" max="12036" width="50.44140625" style="2992" customWidth="1"/>
    <col min="12037" max="12037" width="8.88671875" style="2992"/>
    <col min="12038" max="12038" width="2.109375" style="2992" customWidth="1"/>
    <col min="12039" max="12039" width="23.88671875" style="2992" customWidth="1"/>
    <col min="12040" max="12040" width="2.109375" style="2992" customWidth="1"/>
    <col min="12041" max="12041" width="23.88671875" style="2992" customWidth="1"/>
    <col min="12042" max="12042" width="2.109375" style="2992" customWidth="1"/>
    <col min="12043" max="12043" width="23.88671875" style="2992" customWidth="1"/>
    <col min="12044" max="12044" width="2.109375" style="2992" customWidth="1"/>
    <col min="12045" max="12045" width="23.88671875" style="2992" customWidth="1"/>
    <col min="12046" max="12046" width="2.109375" style="2992" customWidth="1"/>
    <col min="12047" max="12047" width="23.88671875" style="2992" customWidth="1"/>
    <col min="12048" max="12048" width="2.88671875" style="2992" bestFit="1" customWidth="1"/>
    <col min="12049" max="12287" width="8.88671875" style="2992"/>
    <col min="12288" max="12289" width="8.88671875" style="2992" customWidth="1"/>
    <col min="12290" max="12290" width="10.109375" style="2992" customWidth="1"/>
    <col min="12291" max="12291" width="2.109375" style="2992" customWidth="1"/>
    <col min="12292" max="12292" width="50.44140625" style="2992" customWidth="1"/>
    <col min="12293" max="12293" width="8.88671875" style="2992"/>
    <col min="12294" max="12294" width="2.109375" style="2992" customWidth="1"/>
    <col min="12295" max="12295" width="23.88671875" style="2992" customWidth="1"/>
    <col min="12296" max="12296" width="2.109375" style="2992" customWidth="1"/>
    <col min="12297" max="12297" width="23.88671875" style="2992" customWidth="1"/>
    <col min="12298" max="12298" width="2.109375" style="2992" customWidth="1"/>
    <col min="12299" max="12299" width="23.88671875" style="2992" customWidth="1"/>
    <col min="12300" max="12300" width="2.109375" style="2992" customWidth="1"/>
    <col min="12301" max="12301" width="23.88671875" style="2992" customWidth="1"/>
    <col min="12302" max="12302" width="2.109375" style="2992" customWidth="1"/>
    <col min="12303" max="12303" width="23.88671875" style="2992" customWidth="1"/>
    <col min="12304" max="12304" width="2.88671875" style="2992" bestFit="1" customWidth="1"/>
    <col min="12305" max="12543" width="8.88671875" style="2992"/>
    <col min="12544" max="12545" width="8.88671875" style="2992" customWidth="1"/>
    <col min="12546" max="12546" width="10.109375" style="2992" customWidth="1"/>
    <col min="12547" max="12547" width="2.109375" style="2992" customWidth="1"/>
    <col min="12548" max="12548" width="50.44140625" style="2992" customWidth="1"/>
    <col min="12549" max="12549" width="8.88671875" style="2992"/>
    <col min="12550" max="12550" width="2.109375" style="2992" customWidth="1"/>
    <col min="12551" max="12551" width="23.88671875" style="2992" customWidth="1"/>
    <col min="12552" max="12552" width="2.109375" style="2992" customWidth="1"/>
    <col min="12553" max="12553" width="23.88671875" style="2992" customWidth="1"/>
    <col min="12554" max="12554" width="2.109375" style="2992" customWidth="1"/>
    <col min="12555" max="12555" width="23.88671875" style="2992" customWidth="1"/>
    <col min="12556" max="12556" width="2.109375" style="2992" customWidth="1"/>
    <col min="12557" max="12557" width="23.88671875" style="2992" customWidth="1"/>
    <col min="12558" max="12558" width="2.109375" style="2992" customWidth="1"/>
    <col min="12559" max="12559" width="23.88671875" style="2992" customWidth="1"/>
    <col min="12560" max="12560" width="2.88671875" style="2992" bestFit="1" customWidth="1"/>
    <col min="12561" max="12799" width="8.88671875" style="2992"/>
    <col min="12800" max="12801" width="8.88671875" style="2992" customWidth="1"/>
    <col min="12802" max="12802" width="10.109375" style="2992" customWidth="1"/>
    <col min="12803" max="12803" width="2.109375" style="2992" customWidth="1"/>
    <col min="12804" max="12804" width="50.44140625" style="2992" customWidth="1"/>
    <col min="12805" max="12805" width="8.88671875" style="2992"/>
    <col min="12806" max="12806" width="2.109375" style="2992" customWidth="1"/>
    <col min="12807" max="12807" width="23.88671875" style="2992" customWidth="1"/>
    <col min="12808" max="12808" width="2.109375" style="2992" customWidth="1"/>
    <col min="12809" max="12809" width="23.88671875" style="2992" customWidth="1"/>
    <col min="12810" max="12810" width="2.109375" style="2992" customWidth="1"/>
    <col min="12811" max="12811" width="23.88671875" style="2992" customWidth="1"/>
    <col min="12812" max="12812" width="2.109375" style="2992" customWidth="1"/>
    <col min="12813" max="12813" width="23.88671875" style="2992" customWidth="1"/>
    <col min="12814" max="12814" width="2.109375" style="2992" customWidth="1"/>
    <col min="12815" max="12815" width="23.88671875" style="2992" customWidth="1"/>
    <col min="12816" max="12816" width="2.88671875" style="2992" bestFit="1" customWidth="1"/>
    <col min="12817" max="13055" width="8.88671875" style="2992"/>
    <col min="13056" max="13057" width="8.88671875" style="2992" customWidth="1"/>
    <col min="13058" max="13058" width="10.109375" style="2992" customWidth="1"/>
    <col min="13059" max="13059" width="2.109375" style="2992" customWidth="1"/>
    <col min="13060" max="13060" width="50.44140625" style="2992" customWidth="1"/>
    <col min="13061" max="13061" width="8.88671875" style="2992"/>
    <col min="13062" max="13062" width="2.109375" style="2992" customWidth="1"/>
    <col min="13063" max="13063" width="23.88671875" style="2992" customWidth="1"/>
    <col min="13064" max="13064" width="2.109375" style="2992" customWidth="1"/>
    <col min="13065" max="13065" width="23.88671875" style="2992" customWidth="1"/>
    <col min="13066" max="13066" width="2.109375" style="2992" customWidth="1"/>
    <col min="13067" max="13067" width="23.88671875" style="2992" customWidth="1"/>
    <col min="13068" max="13068" width="2.109375" style="2992" customWidth="1"/>
    <col min="13069" max="13069" width="23.88671875" style="2992" customWidth="1"/>
    <col min="13070" max="13070" width="2.109375" style="2992" customWidth="1"/>
    <col min="13071" max="13071" width="23.88671875" style="2992" customWidth="1"/>
    <col min="13072" max="13072" width="2.88671875" style="2992" bestFit="1" customWidth="1"/>
    <col min="13073" max="13311" width="8.88671875" style="2992"/>
    <col min="13312" max="13313" width="8.88671875" style="2992" customWidth="1"/>
    <col min="13314" max="13314" width="10.109375" style="2992" customWidth="1"/>
    <col min="13315" max="13315" width="2.109375" style="2992" customWidth="1"/>
    <col min="13316" max="13316" width="50.44140625" style="2992" customWidth="1"/>
    <col min="13317" max="13317" width="8.88671875" style="2992"/>
    <col min="13318" max="13318" width="2.109375" style="2992" customWidth="1"/>
    <col min="13319" max="13319" width="23.88671875" style="2992" customWidth="1"/>
    <col min="13320" max="13320" width="2.109375" style="2992" customWidth="1"/>
    <col min="13321" max="13321" width="23.88671875" style="2992" customWidth="1"/>
    <col min="13322" max="13322" width="2.109375" style="2992" customWidth="1"/>
    <col min="13323" max="13323" width="23.88671875" style="2992" customWidth="1"/>
    <col min="13324" max="13324" width="2.109375" style="2992" customWidth="1"/>
    <col min="13325" max="13325" width="23.88671875" style="2992" customWidth="1"/>
    <col min="13326" max="13326" width="2.109375" style="2992" customWidth="1"/>
    <col min="13327" max="13327" width="23.88671875" style="2992" customWidth="1"/>
    <col min="13328" max="13328" width="2.88671875" style="2992" bestFit="1" customWidth="1"/>
    <col min="13329" max="13567" width="8.88671875" style="2992"/>
    <col min="13568" max="13569" width="8.88671875" style="2992" customWidth="1"/>
    <col min="13570" max="13570" width="10.109375" style="2992" customWidth="1"/>
    <col min="13571" max="13571" width="2.109375" style="2992" customWidth="1"/>
    <col min="13572" max="13572" width="50.44140625" style="2992" customWidth="1"/>
    <col min="13573" max="13573" width="8.88671875" style="2992"/>
    <col min="13574" max="13574" width="2.109375" style="2992" customWidth="1"/>
    <col min="13575" max="13575" width="23.88671875" style="2992" customWidth="1"/>
    <col min="13576" max="13576" width="2.109375" style="2992" customWidth="1"/>
    <col min="13577" max="13577" width="23.88671875" style="2992" customWidth="1"/>
    <col min="13578" max="13578" width="2.109375" style="2992" customWidth="1"/>
    <col min="13579" max="13579" width="23.88671875" style="2992" customWidth="1"/>
    <col min="13580" max="13580" width="2.109375" style="2992" customWidth="1"/>
    <col min="13581" max="13581" width="23.88671875" style="2992" customWidth="1"/>
    <col min="13582" max="13582" width="2.109375" style="2992" customWidth="1"/>
    <col min="13583" max="13583" width="23.88671875" style="2992" customWidth="1"/>
    <col min="13584" max="13584" width="2.88671875" style="2992" bestFit="1" customWidth="1"/>
    <col min="13585" max="13823" width="8.88671875" style="2992"/>
    <col min="13824" max="13825" width="8.88671875" style="2992" customWidth="1"/>
    <col min="13826" max="13826" width="10.109375" style="2992" customWidth="1"/>
    <col min="13827" max="13827" width="2.109375" style="2992" customWidth="1"/>
    <col min="13828" max="13828" width="50.44140625" style="2992" customWidth="1"/>
    <col min="13829" max="13829" width="8.88671875" style="2992"/>
    <col min="13830" max="13830" width="2.109375" style="2992" customWidth="1"/>
    <col min="13831" max="13831" width="23.88671875" style="2992" customWidth="1"/>
    <col min="13832" max="13832" width="2.109375" style="2992" customWidth="1"/>
    <col min="13833" max="13833" width="23.88671875" style="2992" customWidth="1"/>
    <col min="13834" max="13834" width="2.109375" style="2992" customWidth="1"/>
    <col min="13835" max="13835" width="23.88671875" style="2992" customWidth="1"/>
    <col min="13836" max="13836" width="2.109375" style="2992" customWidth="1"/>
    <col min="13837" max="13837" width="23.88671875" style="2992" customWidth="1"/>
    <col min="13838" max="13838" width="2.109375" style="2992" customWidth="1"/>
    <col min="13839" max="13839" width="23.88671875" style="2992" customWidth="1"/>
    <col min="13840" max="13840" width="2.88671875" style="2992" bestFit="1" customWidth="1"/>
    <col min="13841" max="14079" width="8.88671875" style="2992"/>
    <col min="14080" max="14081" width="8.88671875" style="2992" customWidth="1"/>
    <col min="14082" max="14082" width="10.109375" style="2992" customWidth="1"/>
    <col min="14083" max="14083" width="2.109375" style="2992" customWidth="1"/>
    <col min="14084" max="14084" width="50.44140625" style="2992" customWidth="1"/>
    <col min="14085" max="14085" width="8.88671875" style="2992"/>
    <col min="14086" max="14086" width="2.109375" style="2992" customWidth="1"/>
    <col min="14087" max="14087" width="23.88671875" style="2992" customWidth="1"/>
    <col min="14088" max="14088" width="2.109375" style="2992" customWidth="1"/>
    <col min="14089" max="14089" width="23.88671875" style="2992" customWidth="1"/>
    <col min="14090" max="14090" width="2.109375" style="2992" customWidth="1"/>
    <col min="14091" max="14091" width="23.88671875" style="2992" customWidth="1"/>
    <col min="14092" max="14092" width="2.109375" style="2992" customWidth="1"/>
    <col min="14093" max="14093" width="23.88671875" style="2992" customWidth="1"/>
    <col min="14094" max="14094" width="2.109375" style="2992" customWidth="1"/>
    <col min="14095" max="14095" width="23.88671875" style="2992" customWidth="1"/>
    <col min="14096" max="14096" width="2.88671875" style="2992" bestFit="1" customWidth="1"/>
    <col min="14097" max="14335" width="8.88671875" style="2992"/>
    <col min="14336" max="14337" width="8.88671875" style="2992" customWidth="1"/>
    <col min="14338" max="14338" width="10.109375" style="2992" customWidth="1"/>
    <col min="14339" max="14339" width="2.109375" style="2992" customWidth="1"/>
    <col min="14340" max="14340" width="50.44140625" style="2992" customWidth="1"/>
    <col min="14341" max="14341" width="8.88671875" style="2992"/>
    <col min="14342" max="14342" width="2.109375" style="2992" customWidth="1"/>
    <col min="14343" max="14343" width="23.88671875" style="2992" customWidth="1"/>
    <col min="14344" max="14344" width="2.109375" style="2992" customWidth="1"/>
    <col min="14345" max="14345" width="23.88671875" style="2992" customWidth="1"/>
    <col min="14346" max="14346" width="2.109375" style="2992" customWidth="1"/>
    <col min="14347" max="14347" width="23.88671875" style="2992" customWidth="1"/>
    <col min="14348" max="14348" width="2.109375" style="2992" customWidth="1"/>
    <col min="14349" max="14349" width="23.88671875" style="2992" customWidth="1"/>
    <col min="14350" max="14350" width="2.109375" style="2992" customWidth="1"/>
    <col min="14351" max="14351" width="23.88671875" style="2992" customWidth="1"/>
    <col min="14352" max="14352" width="2.88671875" style="2992" bestFit="1" customWidth="1"/>
    <col min="14353" max="14591" width="8.88671875" style="2992"/>
    <col min="14592" max="14593" width="8.88671875" style="2992" customWidth="1"/>
    <col min="14594" max="14594" width="10.109375" style="2992" customWidth="1"/>
    <col min="14595" max="14595" width="2.109375" style="2992" customWidth="1"/>
    <col min="14596" max="14596" width="50.44140625" style="2992" customWidth="1"/>
    <col min="14597" max="14597" width="8.88671875" style="2992"/>
    <col min="14598" max="14598" width="2.109375" style="2992" customWidth="1"/>
    <col min="14599" max="14599" width="23.88671875" style="2992" customWidth="1"/>
    <col min="14600" max="14600" width="2.109375" style="2992" customWidth="1"/>
    <col min="14601" max="14601" width="23.88671875" style="2992" customWidth="1"/>
    <col min="14602" max="14602" width="2.109375" style="2992" customWidth="1"/>
    <col min="14603" max="14603" width="23.88671875" style="2992" customWidth="1"/>
    <col min="14604" max="14604" width="2.109375" style="2992" customWidth="1"/>
    <col min="14605" max="14605" width="23.88671875" style="2992" customWidth="1"/>
    <col min="14606" max="14606" width="2.109375" style="2992" customWidth="1"/>
    <col min="14607" max="14607" width="23.88671875" style="2992" customWidth="1"/>
    <col min="14608" max="14608" width="2.88671875" style="2992" bestFit="1" customWidth="1"/>
    <col min="14609" max="14847" width="8.88671875" style="2992"/>
    <col min="14848" max="14849" width="8.88671875" style="2992" customWidth="1"/>
    <col min="14850" max="14850" width="10.109375" style="2992" customWidth="1"/>
    <col min="14851" max="14851" width="2.109375" style="2992" customWidth="1"/>
    <col min="14852" max="14852" width="50.44140625" style="2992" customWidth="1"/>
    <col min="14853" max="14853" width="8.88671875" style="2992"/>
    <col min="14854" max="14854" width="2.109375" style="2992" customWidth="1"/>
    <col min="14855" max="14855" width="23.88671875" style="2992" customWidth="1"/>
    <col min="14856" max="14856" width="2.109375" style="2992" customWidth="1"/>
    <col min="14857" max="14857" width="23.88671875" style="2992" customWidth="1"/>
    <col min="14858" max="14858" width="2.109375" style="2992" customWidth="1"/>
    <col min="14859" max="14859" width="23.88671875" style="2992" customWidth="1"/>
    <col min="14860" max="14860" width="2.109375" style="2992" customWidth="1"/>
    <col min="14861" max="14861" width="23.88671875" style="2992" customWidth="1"/>
    <col min="14862" max="14862" width="2.109375" style="2992" customWidth="1"/>
    <col min="14863" max="14863" width="23.88671875" style="2992" customWidth="1"/>
    <col min="14864" max="14864" width="2.88671875" style="2992" bestFit="1" customWidth="1"/>
    <col min="14865" max="15103" width="8.88671875" style="2992"/>
    <col min="15104" max="15105" width="8.88671875" style="2992" customWidth="1"/>
    <col min="15106" max="15106" width="10.109375" style="2992" customWidth="1"/>
    <col min="15107" max="15107" width="2.109375" style="2992" customWidth="1"/>
    <col min="15108" max="15108" width="50.44140625" style="2992" customWidth="1"/>
    <col min="15109" max="15109" width="8.88671875" style="2992"/>
    <col min="15110" max="15110" width="2.109375" style="2992" customWidth="1"/>
    <col min="15111" max="15111" width="23.88671875" style="2992" customWidth="1"/>
    <col min="15112" max="15112" width="2.109375" style="2992" customWidth="1"/>
    <col min="15113" max="15113" width="23.88671875" style="2992" customWidth="1"/>
    <col min="15114" max="15114" width="2.109375" style="2992" customWidth="1"/>
    <col min="15115" max="15115" width="23.88671875" style="2992" customWidth="1"/>
    <col min="15116" max="15116" width="2.109375" style="2992" customWidth="1"/>
    <col min="15117" max="15117" width="23.88671875" style="2992" customWidth="1"/>
    <col min="15118" max="15118" width="2.109375" style="2992" customWidth="1"/>
    <col min="15119" max="15119" width="23.88671875" style="2992" customWidth="1"/>
    <col min="15120" max="15120" width="2.88671875" style="2992" bestFit="1" customWidth="1"/>
    <col min="15121" max="15359" width="8.88671875" style="2992"/>
    <col min="15360" max="15361" width="8.88671875" style="2992" customWidth="1"/>
    <col min="15362" max="15362" width="10.109375" style="2992" customWidth="1"/>
    <col min="15363" max="15363" width="2.109375" style="2992" customWidth="1"/>
    <col min="15364" max="15364" width="50.44140625" style="2992" customWidth="1"/>
    <col min="15365" max="15365" width="8.88671875" style="2992"/>
    <col min="15366" max="15366" width="2.109375" style="2992" customWidth="1"/>
    <col min="15367" max="15367" width="23.88671875" style="2992" customWidth="1"/>
    <col min="15368" max="15368" width="2.109375" style="2992" customWidth="1"/>
    <col min="15369" max="15369" width="23.88671875" style="2992" customWidth="1"/>
    <col min="15370" max="15370" width="2.109375" style="2992" customWidth="1"/>
    <col min="15371" max="15371" width="23.88671875" style="2992" customWidth="1"/>
    <col min="15372" max="15372" width="2.109375" style="2992" customWidth="1"/>
    <col min="15373" max="15373" width="23.88671875" style="2992" customWidth="1"/>
    <col min="15374" max="15374" width="2.109375" style="2992" customWidth="1"/>
    <col min="15375" max="15375" width="23.88671875" style="2992" customWidth="1"/>
    <col min="15376" max="15376" width="2.88671875" style="2992" bestFit="1" customWidth="1"/>
    <col min="15377" max="15615" width="8.88671875" style="2992"/>
    <col min="15616" max="15617" width="8.88671875" style="2992" customWidth="1"/>
    <col min="15618" max="15618" width="10.109375" style="2992" customWidth="1"/>
    <col min="15619" max="15619" width="2.109375" style="2992" customWidth="1"/>
    <col min="15620" max="15620" width="50.44140625" style="2992" customWidth="1"/>
    <col min="15621" max="15621" width="8.88671875" style="2992"/>
    <col min="15622" max="15622" width="2.109375" style="2992" customWidth="1"/>
    <col min="15623" max="15623" width="23.88671875" style="2992" customWidth="1"/>
    <col min="15624" max="15624" width="2.109375" style="2992" customWidth="1"/>
    <col min="15625" max="15625" width="23.88671875" style="2992" customWidth="1"/>
    <col min="15626" max="15626" width="2.109375" style="2992" customWidth="1"/>
    <col min="15627" max="15627" width="23.88671875" style="2992" customWidth="1"/>
    <col min="15628" max="15628" width="2.109375" style="2992" customWidth="1"/>
    <col min="15629" max="15629" width="23.88671875" style="2992" customWidth="1"/>
    <col min="15630" max="15630" width="2.109375" style="2992" customWidth="1"/>
    <col min="15631" max="15631" width="23.88671875" style="2992" customWidth="1"/>
    <col min="15632" max="15632" width="2.88671875" style="2992" bestFit="1" customWidth="1"/>
    <col min="15633" max="15871" width="8.88671875" style="2992"/>
    <col min="15872" max="15873" width="8.88671875" style="2992" customWidth="1"/>
    <col min="15874" max="15874" width="10.109375" style="2992" customWidth="1"/>
    <col min="15875" max="15875" width="2.109375" style="2992" customWidth="1"/>
    <col min="15876" max="15876" width="50.44140625" style="2992" customWidth="1"/>
    <col min="15877" max="15877" width="8.88671875" style="2992"/>
    <col min="15878" max="15878" width="2.109375" style="2992" customWidth="1"/>
    <col min="15879" max="15879" width="23.88671875" style="2992" customWidth="1"/>
    <col min="15880" max="15880" width="2.109375" style="2992" customWidth="1"/>
    <col min="15881" max="15881" width="23.88671875" style="2992" customWidth="1"/>
    <col min="15882" max="15882" width="2.109375" style="2992" customWidth="1"/>
    <col min="15883" max="15883" width="23.88671875" style="2992" customWidth="1"/>
    <col min="15884" max="15884" width="2.109375" style="2992" customWidth="1"/>
    <col min="15885" max="15885" width="23.88671875" style="2992" customWidth="1"/>
    <col min="15886" max="15886" width="2.109375" style="2992" customWidth="1"/>
    <col min="15887" max="15887" width="23.88671875" style="2992" customWidth="1"/>
    <col min="15888" max="15888" width="2.88671875" style="2992" bestFit="1" customWidth="1"/>
    <col min="15889" max="16127" width="8.88671875" style="2992"/>
    <col min="16128" max="16129" width="8.88671875" style="2992" customWidth="1"/>
    <col min="16130" max="16130" width="10.109375" style="2992" customWidth="1"/>
    <col min="16131" max="16131" width="2.109375" style="2992" customWidth="1"/>
    <col min="16132" max="16132" width="50.44140625" style="2992" customWidth="1"/>
    <col min="16133" max="16133" width="8.88671875" style="2992"/>
    <col min="16134" max="16134" width="2.109375" style="2992" customWidth="1"/>
    <col min="16135" max="16135" width="23.88671875" style="2992" customWidth="1"/>
    <col min="16136" max="16136" width="2.109375" style="2992" customWidth="1"/>
    <col min="16137" max="16137" width="23.88671875" style="2992" customWidth="1"/>
    <col min="16138" max="16138" width="2.109375" style="2992" customWidth="1"/>
    <col min="16139" max="16139" width="23.88671875" style="2992" customWidth="1"/>
    <col min="16140" max="16140" width="2.109375" style="2992" customWidth="1"/>
    <col min="16141" max="16141" width="23.88671875" style="2992" customWidth="1"/>
    <col min="16142" max="16142" width="2.109375" style="2992" customWidth="1"/>
    <col min="16143" max="16143" width="23.88671875" style="2992" customWidth="1"/>
    <col min="16144" max="16144" width="2.88671875" style="2992" bestFit="1" customWidth="1"/>
    <col min="16145" max="16384" width="8.88671875" style="2992"/>
  </cols>
  <sheetData>
    <row r="1" spans="2:17" ht="15.75">
      <c r="B1" s="2989"/>
      <c r="C1" s="2990"/>
      <c r="D1" s="2294" t="s">
        <v>979</v>
      </c>
      <c r="E1" s="2990"/>
      <c r="F1" s="2991"/>
      <c r="G1" s="2989"/>
      <c r="H1" s="2990"/>
      <c r="I1" s="2989"/>
      <c r="J1" s="2990"/>
      <c r="K1" s="2989"/>
      <c r="L1" s="2990"/>
      <c r="M1" s="2989"/>
      <c r="N1" s="2990"/>
      <c r="P1" s="2993"/>
    </row>
    <row r="2" spans="2:17" ht="15.75">
      <c r="B2" s="2989"/>
      <c r="C2" s="2990"/>
      <c r="D2" s="2989"/>
      <c r="E2" s="2990"/>
      <c r="F2" s="2991"/>
      <c r="G2" s="2989"/>
      <c r="H2" s="2990"/>
      <c r="I2" s="2989"/>
      <c r="J2" s="2990"/>
      <c r="K2" s="2989"/>
      <c r="L2" s="2990"/>
      <c r="M2" s="2989"/>
      <c r="N2" s="2990"/>
      <c r="O2" s="2994" t="s">
        <v>550</v>
      </c>
      <c r="P2" s="2993"/>
    </row>
    <row r="3" spans="2:17" ht="15.75">
      <c r="B3" s="2989"/>
      <c r="C3" s="2990"/>
      <c r="D3" s="2989"/>
      <c r="E3" s="2990"/>
      <c r="F3" s="2991"/>
      <c r="G3" s="2989"/>
      <c r="H3" s="2990"/>
      <c r="I3" s="2989"/>
      <c r="J3" s="2990"/>
      <c r="K3" s="2989"/>
      <c r="L3" s="2990"/>
      <c r="M3" s="2989"/>
      <c r="N3" s="2990"/>
      <c r="O3" s="2995"/>
      <c r="P3" s="2996"/>
    </row>
    <row r="4" spans="2:17" ht="18">
      <c r="B4" s="2997"/>
      <c r="C4" s="2998"/>
      <c r="D4" s="2999" t="s">
        <v>0</v>
      </c>
      <c r="E4" s="2998"/>
      <c r="F4" s="2998"/>
      <c r="G4" s="2592"/>
      <c r="H4" s="3000"/>
      <c r="I4" s="2592"/>
      <c r="J4" s="3000"/>
      <c r="K4" s="2592"/>
      <c r="L4" s="3000"/>
      <c r="M4" s="3001"/>
      <c r="N4" s="3001"/>
      <c r="O4" s="3002"/>
      <c r="P4" s="3003"/>
    </row>
    <row r="5" spans="2:17" ht="18">
      <c r="B5" s="2997"/>
      <c r="C5" s="2998"/>
      <c r="D5" s="2999" t="s">
        <v>867</v>
      </c>
      <c r="E5" s="2998"/>
      <c r="F5" s="2998"/>
      <c r="G5" s="2592"/>
      <c r="H5" s="3000"/>
      <c r="I5" s="2592"/>
      <c r="J5" s="3000"/>
      <c r="K5" s="2592"/>
      <c r="L5" s="3000"/>
      <c r="M5" s="3004"/>
      <c r="N5" s="3004"/>
      <c r="O5" s="3004"/>
      <c r="P5" s="3005"/>
    </row>
    <row r="6" spans="2:17" ht="15.75">
      <c r="B6" s="2997"/>
      <c r="C6" s="2998"/>
      <c r="D6" s="3006"/>
      <c r="E6" s="2998"/>
      <c r="F6" s="2998"/>
      <c r="G6" s="2592"/>
      <c r="H6" s="3000"/>
      <c r="I6" s="2592"/>
      <c r="J6" s="3000"/>
      <c r="K6" s="2592"/>
      <c r="L6" s="3000"/>
      <c r="M6" s="3007"/>
      <c r="N6" s="3007"/>
      <c r="O6" s="3007"/>
      <c r="P6" s="3008"/>
    </row>
    <row r="7" spans="2:17" ht="15.75">
      <c r="B7" s="2997"/>
      <c r="C7" s="3009"/>
      <c r="D7" s="3010"/>
      <c r="E7" s="3011"/>
      <c r="F7" s="3011"/>
      <c r="G7" s="2592"/>
      <c r="H7" s="3000"/>
      <c r="I7" s="2592"/>
      <c r="J7" s="3000"/>
      <c r="K7" s="2592"/>
      <c r="L7" s="3000"/>
      <c r="M7" s="3012"/>
      <c r="N7" s="3012"/>
      <c r="O7" s="3012"/>
      <c r="P7" s="3013"/>
    </row>
    <row r="8" spans="2:17" s="3021" customFormat="1" ht="16.5" thickBot="1">
      <c r="B8" s="3014" t="s">
        <v>573</v>
      </c>
      <c r="C8" s="3015"/>
      <c r="D8" s="3016" t="s">
        <v>574</v>
      </c>
      <c r="E8" s="3016"/>
      <c r="F8" s="3016"/>
      <c r="G8" s="3017" t="s">
        <v>1478</v>
      </c>
      <c r="H8" s="3018"/>
      <c r="I8" s="3017" t="s">
        <v>1484</v>
      </c>
      <c r="J8" s="3018"/>
      <c r="K8" s="3017" t="s">
        <v>1491</v>
      </c>
      <c r="L8" s="3018"/>
      <c r="M8" s="3018" t="s">
        <v>575</v>
      </c>
      <c r="N8" s="3019"/>
      <c r="O8" s="3017" t="s">
        <v>1557</v>
      </c>
      <c r="P8" s="3020"/>
    </row>
    <row r="9" spans="2:17" s="3021" customFormat="1" ht="15.75">
      <c r="B9" s="3022"/>
      <c r="C9" s="3023"/>
      <c r="D9" s="3024" t="s">
        <v>147</v>
      </c>
      <c r="E9" s="3025"/>
      <c r="F9" s="3025"/>
      <c r="G9" s="3026"/>
      <c r="H9" s="3027"/>
      <c r="I9" s="3026"/>
      <c r="J9" s="3027"/>
      <c r="K9" s="3026"/>
      <c r="L9" s="3027"/>
      <c r="M9" s="3026"/>
      <c r="N9" s="3026"/>
      <c r="O9" s="3026"/>
      <c r="P9" s="3028"/>
    </row>
    <row r="10" spans="2:17" s="3021" customFormat="1" ht="15.75">
      <c r="B10" s="3029">
        <v>10050</v>
      </c>
      <c r="C10" s="3022"/>
      <c r="D10" s="3030" t="s">
        <v>980</v>
      </c>
      <c r="E10" s="2592"/>
      <c r="F10" s="3031"/>
      <c r="G10" s="3032">
        <v>0</v>
      </c>
      <c r="H10" s="3032"/>
      <c r="I10" s="3032">
        <v>0</v>
      </c>
      <c r="J10" s="3032"/>
      <c r="K10" s="3032">
        <v>0</v>
      </c>
      <c r="L10" s="3032"/>
      <c r="M10" s="3032">
        <f>ROUND(SUM(O10)-SUM(K10),2)</f>
        <v>0</v>
      </c>
      <c r="N10" s="3032"/>
      <c r="O10" s="3032">
        <v>0</v>
      </c>
      <c r="P10" s="3033" t="s">
        <v>864</v>
      </c>
      <c r="Q10" s="3034"/>
    </row>
    <row r="11" spans="2:17" s="3021" customFormat="1" ht="16.5" thickBot="1">
      <c r="B11" s="3035"/>
      <c r="C11" s="3023"/>
      <c r="D11" s="3036" t="s">
        <v>576</v>
      </c>
      <c r="E11" s="3025"/>
      <c r="F11" s="3025"/>
      <c r="G11" s="1507">
        <f>ROUND(SUM(G10),2)</f>
        <v>0</v>
      </c>
      <c r="H11" s="1508"/>
      <c r="I11" s="1507">
        <f>ROUND(SUM(I10),2)</f>
        <v>0</v>
      </c>
      <c r="J11" s="1508"/>
      <c r="K11" s="1507">
        <f>ROUND(SUM(K10),2)</f>
        <v>0</v>
      </c>
      <c r="L11" s="1508"/>
      <c r="M11" s="1507">
        <f>ROUND(SUM(M10),2)</f>
        <v>0</v>
      </c>
      <c r="N11" s="1508"/>
      <c r="O11" s="1507">
        <f>ROUND(SUM(O10),2)</f>
        <v>0</v>
      </c>
      <c r="P11" s="3033"/>
      <c r="Q11" s="3034"/>
    </row>
    <row r="12" spans="2:17" s="3021" customFormat="1" ht="16.5" thickTop="1">
      <c r="B12" s="3035"/>
      <c r="C12" s="3037"/>
      <c r="D12" s="3038"/>
      <c r="E12" s="3039"/>
      <c r="F12" s="3039"/>
      <c r="G12" s="1508"/>
      <c r="H12" s="3040"/>
      <c r="I12" s="1508"/>
      <c r="J12" s="3040"/>
      <c r="K12" s="1508"/>
      <c r="L12" s="3040"/>
      <c r="M12" s="1508"/>
      <c r="N12" s="1508"/>
      <c r="O12" s="1508"/>
      <c r="P12" s="3041"/>
      <c r="Q12" s="3034"/>
    </row>
    <row r="13" spans="2:17" s="3021" customFormat="1" ht="15.75">
      <c r="B13" s="3035"/>
      <c r="C13" s="3023"/>
      <c r="D13" s="3024" t="s">
        <v>577</v>
      </c>
      <c r="E13" s="3025"/>
      <c r="F13" s="3025"/>
      <c r="G13" s="3040"/>
      <c r="H13" s="2592"/>
      <c r="I13" s="3040"/>
      <c r="J13" s="2592"/>
      <c r="K13" s="3040"/>
      <c r="L13" s="2592"/>
      <c r="M13" s="3040"/>
      <c r="N13" s="3040"/>
      <c r="O13" s="3040"/>
      <c r="P13" s="3041"/>
      <c r="Q13" s="3034"/>
    </row>
    <row r="14" spans="2:17" s="3021" customFormat="1" ht="15.75">
      <c r="B14" s="3029">
        <v>30051</v>
      </c>
      <c r="C14" s="2989"/>
      <c r="D14" s="3030" t="s">
        <v>578</v>
      </c>
      <c r="E14" s="2989"/>
      <c r="F14" s="1234">
        <v>227042324.13</v>
      </c>
      <c r="G14" s="1234">
        <v>96164503.219999999</v>
      </c>
      <c r="H14" s="1234"/>
      <c r="I14" s="1234">
        <v>116902614.06999999</v>
      </c>
      <c r="J14" s="1234"/>
      <c r="K14" s="1234">
        <v>160459011.65000001</v>
      </c>
      <c r="L14" s="1234"/>
      <c r="M14" s="1234">
        <f>ROUND(SUM(O14)-SUM(K14),2)</f>
        <v>-59102134.25</v>
      </c>
      <c r="N14" s="1234"/>
      <c r="O14" s="1234">
        <v>101356877.40000001</v>
      </c>
      <c r="P14" s="3033"/>
      <c r="Q14" s="3034"/>
    </row>
    <row r="15" spans="2:17" s="3021" customFormat="1" ht="15.75">
      <c r="B15" s="3029">
        <v>30053</v>
      </c>
      <c r="C15" s="2989"/>
      <c r="D15" s="3030" t="s">
        <v>1292</v>
      </c>
      <c r="E15" s="2989"/>
      <c r="F15" s="1234"/>
      <c r="G15" s="1234">
        <v>0</v>
      </c>
      <c r="H15" s="1234"/>
      <c r="I15" s="1234">
        <v>0</v>
      </c>
      <c r="J15" s="1234"/>
      <c r="K15" s="1234">
        <v>0</v>
      </c>
      <c r="L15" s="1234"/>
      <c r="M15" s="1234">
        <f>ROUND(SUM(O15)-SUM(K15),2)</f>
        <v>0</v>
      </c>
      <c r="N15" s="1234"/>
      <c r="O15" s="1234">
        <v>0</v>
      </c>
      <c r="P15" s="3033"/>
      <c r="Q15" s="3034"/>
    </row>
    <row r="16" spans="2:17" s="3021" customFormat="1" ht="15.75">
      <c r="B16" s="3029">
        <v>30101</v>
      </c>
      <c r="C16" s="2989"/>
      <c r="D16" s="3030" t="s">
        <v>579</v>
      </c>
      <c r="E16" s="2989"/>
      <c r="F16" s="1234">
        <v>0</v>
      </c>
      <c r="G16" s="1234">
        <v>0</v>
      </c>
      <c r="H16" s="1234"/>
      <c r="I16" s="1234">
        <v>0</v>
      </c>
      <c r="J16" s="1234"/>
      <c r="K16" s="1234">
        <v>0</v>
      </c>
      <c r="L16" s="1234"/>
      <c r="M16" s="1234">
        <f>ROUND(SUM(O16)-SUM(K16),2)</f>
        <v>0</v>
      </c>
      <c r="N16" s="1234"/>
      <c r="O16" s="1234">
        <v>0</v>
      </c>
      <c r="P16" s="3041"/>
      <c r="Q16" s="3034"/>
    </row>
    <row r="17" spans="2:17" s="3021" customFormat="1" ht="15.75">
      <c r="B17" s="3029">
        <v>30102</v>
      </c>
      <c r="C17" s="2989"/>
      <c r="D17" s="3030" t="s">
        <v>580</v>
      </c>
      <c r="E17" s="2989"/>
      <c r="F17" s="1234">
        <v>0</v>
      </c>
      <c r="G17" s="1234">
        <v>0</v>
      </c>
      <c r="H17" s="1234"/>
      <c r="I17" s="1234">
        <v>0</v>
      </c>
      <c r="J17" s="1234"/>
      <c r="K17" s="1234">
        <v>0</v>
      </c>
      <c r="L17" s="1234"/>
      <c r="M17" s="1234">
        <f t="shared" ref="M17:M52" si="0">ROUND(SUM(O17)-SUM(K17),2)</f>
        <v>0</v>
      </c>
      <c r="N17" s="1234"/>
      <c r="O17" s="1234">
        <v>0</v>
      </c>
      <c r="P17" s="3041"/>
      <c r="Q17" s="3034"/>
    </row>
    <row r="18" spans="2:17" s="3021" customFormat="1" ht="15.75">
      <c r="B18" s="3029">
        <v>30103</v>
      </c>
      <c r="C18" s="2989"/>
      <c r="D18" s="3030" t="s">
        <v>581</v>
      </c>
      <c r="E18" s="2989"/>
      <c r="F18" s="1234">
        <v>0</v>
      </c>
      <c r="G18" s="1234">
        <v>0</v>
      </c>
      <c r="H18" s="1234"/>
      <c r="I18" s="1234">
        <v>0</v>
      </c>
      <c r="J18" s="1234"/>
      <c r="K18" s="1234">
        <v>0</v>
      </c>
      <c r="L18" s="1234"/>
      <c r="M18" s="1234">
        <f t="shared" si="0"/>
        <v>0</v>
      </c>
      <c r="N18" s="1234"/>
      <c r="O18" s="1234">
        <v>0</v>
      </c>
      <c r="P18" s="3041"/>
      <c r="Q18" s="3034"/>
    </row>
    <row r="19" spans="2:17" s="3021" customFormat="1" ht="15.75">
      <c r="B19" s="3029">
        <v>30104</v>
      </c>
      <c r="C19" s="2989"/>
      <c r="D19" s="3030" t="s">
        <v>582</v>
      </c>
      <c r="E19" s="2989"/>
      <c r="F19" s="1234">
        <v>140390.18</v>
      </c>
      <c r="G19" s="1234">
        <v>0</v>
      </c>
      <c r="H19" s="1234"/>
      <c r="I19" s="1234">
        <v>0</v>
      </c>
      <c r="J19" s="1234"/>
      <c r="K19" s="1234">
        <v>0</v>
      </c>
      <c r="L19" s="1234"/>
      <c r="M19" s="1234">
        <f t="shared" si="0"/>
        <v>0</v>
      </c>
      <c r="N19" s="1234"/>
      <c r="O19" s="1234">
        <v>0</v>
      </c>
      <c r="P19" s="3041"/>
      <c r="Q19" s="3034"/>
    </row>
    <row r="20" spans="2:17" s="3021" customFormat="1" ht="15.75">
      <c r="B20" s="3029">
        <v>30105</v>
      </c>
      <c r="C20" s="2989"/>
      <c r="D20" s="3030" t="s">
        <v>583</v>
      </c>
      <c r="E20" s="2989"/>
      <c r="F20" s="1234">
        <v>0</v>
      </c>
      <c r="G20" s="1234">
        <v>0</v>
      </c>
      <c r="H20" s="1234"/>
      <c r="I20" s="1234">
        <v>0</v>
      </c>
      <c r="J20" s="1234"/>
      <c r="K20" s="1234">
        <v>0</v>
      </c>
      <c r="L20" s="1234"/>
      <c r="M20" s="1234">
        <f t="shared" si="0"/>
        <v>0</v>
      </c>
      <c r="N20" s="1234"/>
      <c r="O20" s="1234">
        <v>0</v>
      </c>
      <c r="P20" s="3041"/>
      <c r="Q20" s="3034"/>
    </row>
    <row r="21" spans="2:17" s="3021" customFormat="1" ht="15.75">
      <c r="B21" s="3029">
        <v>30106</v>
      </c>
      <c r="C21" s="2989"/>
      <c r="D21" s="3030" t="s">
        <v>1024</v>
      </c>
      <c r="E21" s="2989"/>
      <c r="F21" s="1234">
        <v>0</v>
      </c>
      <c r="G21" s="1234">
        <v>0</v>
      </c>
      <c r="H21" s="1234"/>
      <c r="I21" s="1234">
        <v>0</v>
      </c>
      <c r="J21" s="1234"/>
      <c r="K21" s="1234">
        <v>0</v>
      </c>
      <c r="L21" s="1234"/>
      <c r="M21" s="1234">
        <f t="shared" si="0"/>
        <v>0</v>
      </c>
      <c r="N21" s="1234"/>
      <c r="O21" s="1234">
        <v>0</v>
      </c>
      <c r="P21" s="3041"/>
      <c r="Q21" s="3034"/>
    </row>
    <row r="22" spans="2:17" s="3021" customFormat="1" ht="15.75">
      <c r="B22" s="3029">
        <v>30107</v>
      </c>
      <c r="C22" s="2989"/>
      <c r="D22" s="3030" t="s">
        <v>584</v>
      </c>
      <c r="E22" s="2989"/>
      <c r="F22" s="1234">
        <v>0</v>
      </c>
      <c r="G22" s="1234">
        <v>0</v>
      </c>
      <c r="H22" s="1234"/>
      <c r="I22" s="1234">
        <v>0</v>
      </c>
      <c r="J22" s="1234"/>
      <c r="K22" s="1234">
        <v>0</v>
      </c>
      <c r="L22" s="1234"/>
      <c r="M22" s="1234">
        <f t="shared" si="0"/>
        <v>0</v>
      </c>
      <c r="N22" s="1234"/>
      <c r="O22" s="1234">
        <v>0</v>
      </c>
      <c r="P22" s="3041"/>
      <c r="Q22" s="3034"/>
    </row>
    <row r="23" spans="2:17" s="3021" customFormat="1" ht="15.75">
      <c r="B23" s="3029">
        <v>30108</v>
      </c>
      <c r="C23" s="2989"/>
      <c r="D23" s="3030" t="s">
        <v>1025</v>
      </c>
      <c r="E23" s="2989"/>
      <c r="F23" s="1234">
        <v>0</v>
      </c>
      <c r="G23" s="1234">
        <v>0</v>
      </c>
      <c r="H23" s="1234"/>
      <c r="I23" s="1234">
        <v>0</v>
      </c>
      <c r="J23" s="1234"/>
      <c r="K23" s="1234">
        <v>0</v>
      </c>
      <c r="L23" s="1234"/>
      <c r="M23" s="1234">
        <f t="shared" si="0"/>
        <v>0</v>
      </c>
      <c r="N23" s="1234"/>
      <c r="O23" s="1234">
        <v>0</v>
      </c>
      <c r="P23" s="3041"/>
      <c r="Q23" s="3034"/>
    </row>
    <row r="24" spans="2:17" s="3021" customFormat="1" ht="15.75">
      <c r="B24" s="3029">
        <v>30109</v>
      </c>
      <c r="C24" s="2989"/>
      <c r="D24" s="3030" t="s">
        <v>585</v>
      </c>
      <c r="E24" s="2989"/>
      <c r="F24" s="1234">
        <v>0</v>
      </c>
      <c r="G24" s="1234">
        <v>0</v>
      </c>
      <c r="H24" s="1234"/>
      <c r="I24" s="1234">
        <v>0</v>
      </c>
      <c r="J24" s="1234"/>
      <c r="K24" s="1234">
        <v>0</v>
      </c>
      <c r="L24" s="1234"/>
      <c r="M24" s="1234">
        <f t="shared" si="0"/>
        <v>0</v>
      </c>
      <c r="N24" s="1234"/>
      <c r="O24" s="1234">
        <v>0</v>
      </c>
      <c r="P24" s="3041"/>
      <c r="Q24" s="3034"/>
    </row>
    <row r="25" spans="2:17" s="3021" customFormat="1" ht="15.75">
      <c r="B25" s="3029">
        <v>30110</v>
      </c>
      <c r="C25" s="2989"/>
      <c r="D25" s="3030" t="s">
        <v>586</v>
      </c>
      <c r="E25" s="2989"/>
      <c r="F25" s="1234">
        <v>0</v>
      </c>
      <c r="G25" s="1234">
        <v>0</v>
      </c>
      <c r="H25" s="1234"/>
      <c r="I25" s="1234">
        <v>0</v>
      </c>
      <c r="J25" s="1234"/>
      <c r="K25" s="1234">
        <v>0</v>
      </c>
      <c r="L25" s="1234"/>
      <c r="M25" s="1234">
        <f t="shared" si="0"/>
        <v>0</v>
      </c>
      <c r="N25" s="1234"/>
      <c r="O25" s="1234">
        <v>0</v>
      </c>
      <c r="P25" s="3041"/>
      <c r="Q25" s="3034"/>
    </row>
    <row r="26" spans="2:17" s="3021" customFormat="1" ht="15.75">
      <c r="B26" s="3029">
        <v>30111</v>
      </c>
      <c r="C26" s="2989"/>
      <c r="D26" s="3030" t="s">
        <v>587</v>
      </c>
      <c r="E26" s="2989"/>
      <c r="F26" s="1234">
        <v>0</v>
      </c>
      <c r="G26" s="1234">
        <v>0</v>
      </c>
      <c r="H26" s="1234"/>
      <c r="I26" s="1234">
        <v>0</v>
      </c>
      <c r="J26" s="1234"/>
      <c r="K26" s="1234">
        <v>0</v>
      </c>
      <c r="L26" s="1234"/>
      <c r="M26" s="1234">
        <f t="shared" si="0"/>
        <v>0</v>
      </c>
      <c r="N26" s="1234"/>
      <c r="O26" s="1234">
        <v>0</v>
      </c>
      <c r="P26" s="3041"/>
      <c r="Q26" s="3034"/>
    </row>
    <row r="27" spans="2:17" s="3021" customFormat="1" ht="15.75">
      <c r="B27" s="3029">
        <v>30112</v>
      </c>
      <c r="C27" s="2989"/>
      <c r="D27" s="3030" t="s">
        <v>588</v>
      </c>
      <c r="E27" s="2989"/>
      <c r="F27" s="1234">
        <v>0</v>
      </c>
      <c r="G27" s="1234">
        <v>0</v>
      </c>
      <c r="H27" s="1234"/>
      <c r="I27" s="1234">
        <v>0</v>
      </c>
      <c r="J27" s="1234"/>
      <c r="K27" s="1234">
        <v>0</v>
      </c>
      <c r="L27" s="1234"/>
      <c r="M27" s="1234">
        <f t="shared" si="0"/>
        <v>0</v>
      </c>
      <c r="N27" s="1234"/>
      <c r="O27" s="1234">
        <v>0</v>
      </c>
      <c r="P27" s="3041"/>
      <c r="Q27" s="3034"/>
    </row>
    <row r="28" spans="2:17" s="3021" customFormat="1" ht="15.75">
      <c r="B28" s="3029">
        <v>30113</v>
      </c>
      <c r="C28" s="2989"/>
      <c r="D28" s="3030" t="s">
        <v>589</v>
      </c>
      <c r="E28" s="2989"/>
      <c r="F28" s="1234">
        <v>0</v>
      </c>
      <c r="G28" s="1234">
        <v>0</v>
      </c>
      <c r="H28" s="1234"/>
      <c r="I28" s="1234">
        <v>0</v>
      </c>
      <c r="J28" s="1234"/>
      <c r="K28" s="1234">
        <v>0</v>
      </c>
      <c r="L28" s="1234"/>
      <c r="M28" s="1234">
        <f t="shared" si="0"/>
        <v>0</v>
      </c>
      <c r="N28" s="1234"/>
      <c r="O28" s="1234">
        <v>0</v>
      </c>
      <c r="P28" s="3041"/>
      <c r="Q28" s="3034"/>
    </row>
    <row r="29" spans="2:17" s="3021" customFormat="1" ht="15.75">
      <c r="B29" s="3029">
        <v>30114</v>
      </c>
      <c r="C29" s="2989"/>
      <c r="D29" s="3030" t="s">
        <v>590</v>
      </c>
      <c r="E29" s="2989"/>
      <c r="F29" s="1234">
        <v>0</v>
      </c>
      <c r="G29" s="1234">
        <v>0</v>
      </c>
      <c r="H29" s="1234"/>
      <c r="I29" s="1234">
        <v>0</v>
      </c>
      <c r="J29" s="1234"/>
      <c r="K29" s="1234">
        <v>0</v>
      </c>
      <c r="L29" s="1234"/>
      <c r="M29" s="1234">
        <f t="shared" si="0"/>
        <v>0</v>
      </c>
      <c r="N29" s="1234"/>
      <c r="O29" s="1234">
        <v>0</v>
      </c>
      <c r="P29" s="3041"/>
      <c r="Q29" s="3034"/>
    </row>
    <row r="30" spans="2:17" s="3021" customFormat="1" ht="15.75">
      <c r="B30" s="3029">
        <v>30115</v>
      </c>
      <c r="C30" s="2989"/>
      <c r="D30" s="3030" t="s">
        <v>591</v>
      </c>
      <c r="E30" s="2989"/>
      <c r="F30" s="1234">
        <v>0</v>
      </c>
      <c r="G30" s="1234">
        <v>0</v>
      </c>
      <c r="H30" s="1234"/>
      <c r="I30" s="1234">
        <v>0</v>
      </c>
      <c r="J30" s="1234"/>
      <c r="K30" s="1234">
        <v>0</v>
      </c>
      <c r="L30" s="1234"/>
      <c r="M30" s="1234">
        <f t="shared" si="0"/>
        <v>0</v>
      </c>
      <c r="N30" s="1234"/>
      <c r="O30" s="1234">
        <v>0</v>
      </c>
      <c r="P30" s="3041"/>
      <c r="Q30" s="3034"/>
    </row>
    <row r="31" spans="2:17" s="3021" customFormat="1" ht="15.75">
      <c r="B31" s="3029">
        <v>30116</v>
      </c>
      <c r="C31" s="2989"/>
      <c r="D31" s="3030" t="s">
        <v>592</v>
      </c>
      <c r="E31" s="2989"/>
      <c r="F31" s="1234">
        <v>0</v>
      </c>
      <c r="G31" s="1234">
        <v>0</v>
      </c>
      <c r="H31" s="1234"/>
      <c r="I31" s="1234">
        <v>0</v>
      </c>
      <c r="J31" s="1234"/>
      <c r="K31" s="1234">
        <v>0</v>
      </c>
      <c r="L31" s="1234"/>
      <c r="M31" s="1234">
        <f t="shared" si="0"/>
        <v>0</v>
      </c>
      <c r="N31" s="1234"/>
      <c r="O31" s="1234">
        <v>0</v>
      </c>
      <c r="P31" s="3041"/>
      <c r="Q31" s="3034"/>
    </row>
    <row r="32" spans="2:17" s="3021" customFormat="1" ht="15.75">
      <c r="B32" s="3029">
        <v>30117</v>
      </c>
      <c r="C32" s="2989"/>
      <c r="D32" s="3030" t="s">
        <v>593</v>
      </c>
      <c r="E32" s="2989"/>
      <c r="F32" s="1234">
        <v>0</v>
      </c>
      <c r="G32" s="1234">
        <v>0</v>
      </c>
      <c r="H32" s="1234"/>
      <c r="I32" s="1234">
        <v>0</v>
      </c>
      <c r="J32" s="1234"/>
      <c r="K32" s="1234">
        <v>0</v>
      </c>
      <c r="L32" s="1234"/>
      <c r="M32" s="1234">
        <f t="shared" si="0"/>
        <v>0</v>
      </c>
      <c r="N32" s="1234"/>
      <c r="O32" s="1234">
        <v>0</v>
      </c>
      <c r="P32" s="3041"/>
      <c r="Q32" s="3034"/>
    </row>
    <row r="33" spans="2:17" s="3021" customFormat="1" ht="15.75">
      <c r="B33" s="3029">
        <v>30118</v>
      </c>
      <c r="C33" s="2989"/>
      <c r="D33" s="3030" t="s">
        <v>594</v>
      </c>
      <c r="E33" s="2989"/>
      <c r="F33" s="1234">
        <v>0</v>
      </c>
      <c r="G33" s="1234">
        <v>0</v>
      </c>
      <c r="H33" s="1234"/>
      <c r="I33" s="1234">
        <v>0</v>
      </c>
      <c r="J33" s="1234"/>
      <c r="K33" s="1234">
        <v>0</v>
      </c>
      <c r="L33" s="1234"/>
      <c r="M33" s="1234">
        <f t="shared" si="0"/>
        <v>0</v>
      </c>
      <c r="N33" s="1234"/>
      <c r="O33" s="1234">
        <v>0</v>
      </c>
      <c r="P33" s="3041"/>
      <c r="Q33" s="3034"/>
    </row>
    <row r="34" spans="2:17" s="3021" customFormat="1" ht="15.75">
      <c r="B34" s="3029">
        <v>30119</v>
      </c>
      <c r="C34" s="2989"/>
      <c r="D34" s="3030" t="s">
        <v>595</v>
      </c>
      <c r="E34" s="2989"/>
      <c r="F34" s="1234">
        <v>0</v>
      </c>
      <c r="G34" s="1234">
        <v>0</v>
      </c>
      <c r="H34" s="1234"/>
      <c r="I34" s="1234">
        <v>0</v>
      </c>
      <c r="J34" s="1234"/>
      <c r="K34" s="1234">
        <v>0</v>
      </c>
      <c r="L34" s="1234"/>
      <c r="M34" s="1234">
        <f t="shared" si="0"/>
        <v>0</v>
      </c>
      <c r="N34" s="1234"/>
      <c r="O34" s="1234">
        <v>0</v>
      </c>
      <c r="P34" s="3041"/>
      <c r="Q34" s="3034"/>
    </row>
    <row r="35" spans="2:17" s="3021" customFormat="1" ht="15.75">
      <c r="B35" s="3029">
        <v>30120</v>
      </c>
      <c r="C35" s="2989"/>
      <c r="D35" s="3030" t="s">
        <v>596</v>
      </c>
      <c r="E35" s="2989"/>
      <c r="F35" s="1234">
        <v>0</v>
      </c>
      <c r="G35" s="1234">
        <v>0</v>
      </c>
      <c r="H35" s="1234"/>
      <c r="I35" s="1234">
        <v>0</v>
      </c>
      <c r="J35" s="1234"/>
      <c r="K35" s="1234">
        <v>0</v>
      </c>
      <c r="L35" s="1234"/>
      <c r="M35" s="1234">
        <f t="shared" si="0"/>
        <v>0</v>
      </c>
      <c r="N35" s="1234"/>
      <c r="O35" s="1234">
        <v>0</v>
      </c>
      <c r="P35" s="3041"/>
      <c r="Q35" s="3034"/>
    </row>
    <row r="36" spans="2:17" s="3021" customFormat="1" ht="15.75">
      <c r="B36" s="3029">
        <v>30121</v>
      </c>
      <c r="C36" s="2989"/>
      <c r="D36" s="3030" t="s">
        <v>597</v>
      </c>
      <c r="E36" s="2989"/>
      <c r="F36" s="1234">
        <v>0</v>
      </c>
      <c r="G36" s="1234">
        <v>0</v>
      </c>
      <c r="H36" s="1234"/>
      <c r="I36" s="1234">
        <v>0</v>
      </c>
      <c r="J36" s="1234"/>
      <c r="K36" s="1234">
        <v>0</v>
      </c>
      <c r="L36" s="1234"/>
      <c r="M36" s="1234">
        <f t="shared" si="0"/>
        <v>0</v>
      </c>
      <c r="N36" s="1234"/>
      <c r="O36" s="1234">
        <v>0</v>
      </c>
      <c r="P36" s="3041"/>
      <c r="Q36" s="3034"/>
    </row>
    <row r="37" spans="2:17" s="3021" customFormat="1" ht="15.75">
      <c r="B37" s="3029">
        <v>30122</v>
      </c>
      <c r="C37" s="2989"/>
      <c r="D37" s="3030" t="s">
        <v>598</v>
      </c>
      <c r="E37" s="2989"/>
      <c r="F37" s="1234">
        <v>0</v>
      </c>
      <c r="G37" s="1234">
        <v>0</v>
      </c>
      <c r="H37" s="1234"/>
      <c r="I37" s="1234">
        <v>0</v>
      </c>
      <c r="J37" s="1234"/>
      <c r="K37" s="1234">
        <v>0</v>
      </c>
      <c r="L37" s="1234"/>
      <c r="M37" s="1234">
        <f t="shared" si="0"/>
        <v>0</v>
      </c>
      <c r="N37" s="1234"/>
      <c r="O37" s="1234">
        <v>0</v>
      </c>
      <c r="P37" s="3041"/>
      <c r="Q37" s="3034"/>
    </row>
    <row r="38" spans="2:17" s="3021" customFormat="1" ht="15.75">
      <c r="B38" s="3029">
        <v>30123</v>
      </c>
      <c r="C38" s="2989"/>
      <c r="D38" s="3030" t="s">
        <v>599</v>
      </c>
      <c r="E38" s="2989"/>
      <c r="F38" s="1234">
        <v>0</v>
      </c>
      <c r="G38" s="1234">
        <v>0</v>
      </c>
      <c r="H38" s="1234"/>
      <c r="I38" s="1234">
        <v>0</v>
      </c>
      <c r="J38" s="1234"/>
      <c r="K38" s="1234">
        <v>0</v>
      </c>
      <c r="L38" s="1234"/>
      <c r="M38" s="1234">
        <f t="shared" si="0"/>
        <v>0</v>
      </c>
      <c r="N38" s="1234"/>
      <c r="O38" s="1234">
        <v>0</v>
      </c>
      <c r="P38" s="3041"/>
      <c r="Q38" s="3034"/>
    </row>
    <row r="39" spans="2:17" s="3021" customFormat="1" ht="15.75">
      <c r="B39" s="3029">
        <v>30124</v>
      </c>
      <c r="C39" s="2989"/>
      <c r="D39" s="3030" t="s">
        <v>600</v>
      </c>
      <c r="E39" s="2989"/>
      <c r="F39" s="1234">
        <v>0</v>
      </c>
      <c r="G39" s="1234">
        <v>0</v>
      </c>
      <c r="H39" s="1234"/>
      <c r="I39" s="1234">
        <v>0</v>
      </c>
      <c r="J39" s="1234"/>
      <c r="K39" s="1234">
        <v>0</v>
      </c>
      <c r="L39" s="1234"/>
      <c r="M39" s="1234">
        <f t="shared" si="0"/>
        <v>0</v>
      </c>
      <c r="N39" s="1234"/>
      <c r="O39" s="1234">
        <v>0</v>
      </c>
      <c r="P39" s="3041"/>
      <c r="Q39" s="3034"/>
    </row>
    <row r="40" spans="2:17" s="3021" customFormat="1" ht="15.75">
      <c r="B40" s="3029">
        <v>30125</v>
      </c>
      <c r="C40" s="2989"/>
      <c r="D40" s="3030" t="s">
        <v>601</v>
      </c>
      <c r="E40" s="2989"/>
      <c r="F40" s="1234">
        <v>0</v>
      </c>
      <c r="G40" s="1234">
        <v>0</v>
      </c>
      <c r="H40" s="1234"/>
      <c r="I40" s="1234">
        <v>0</v>
      </c>
      <c r="J40" s="1234"/>
      <c r="K40" s="1234">
        <v>0</v>
      </c>
      <c r="L40" s="1234"/>
      <c r="M40" s="1234">
        <f t="shared" si="0"/>
        <v>0</v>
      </c>
      <c r="N40" s="1234"/>
      <c r="O40" s="1234">
        <v>0</v>
      </c>
      <c r="P40" s="3041"/>
      <c r="Q40" s="3034"/>
    </row>
    <row r="41" spans="2:17" s="3021" customFormat="1" ht="15.75">
      <c r="B41" s="3029">
        <v>30126</v>
      </c>
      <c r="C41" s="2989"/>
      <c r="D41" s="3030" t="s">
        <v>602</v>
      </c>
      <c r="E41" s="2989"/>
      <c r="F41" s="1234">
        <v>0</v>
      </c>
      <c r="G41" s="1234">
        <v>0</v>
      </c>
      <c r="H41" s="1234"/>
      <c r="I41" s="1234">
        <v>0</v>
      </c>
      <c r="J41" s="1234"/>
      <c r="K41" s="1234">
        <v>0</v>
      </c>
      <c r="L41" s="1234"/>
      <c r="M41" s="1234">
        <f t="shared" si="0"/>
        <v>0</v>
      </c>
      <c r="N41" s="1234"/>
      <c r="O41" s="1234">
        <v>0</v>
      </c>
      <c r="P41" s="3041"/>
      <c r="Q41" s="3034"/>
    </row>
    <row r="42" spans="2:17" s="3021" customFormat="1" ht="15.75">
      <c r="B42" s="3029">
        <v>30127</v>
      </c>
      <c r="C42" s="2989"/>
      <c r="D42" s="3030" t="s">
        <v>603</v>
      </c>
      <c r="E42" s="2989"/>
      <c r="F42" s="1234">
        <v>0</v>
      </c>
      <c r="G42" s="1234">
        <v>0</v>
      </c>
      <c r="H42" s="1234"/>
      <c r="I42" s="1234">
        <v>0</v>
      </c>
      <c r="J42" s="1234"/>
      <c r="K42" s="1234">
        <v>0</v>
      </c>
      <c r="L42" s="1234"/>
      <c r="M42" s="1234">
        <f t="shared" si="0"/>
        <v>0</v>
      </c>
      <c r="N42" s="1234"/>
      <c r="O42" s="1234">
        <v>0</v>
      </c>
      <c r="P42" s="3041"/>
      <c r="Q42" s="3034"/>
    </row>
    <row r="43" spans="2:17" s="3021" customFormat="1" ht="15.75">
      <c r="B43" s="3029">
        <v>30128</v>
      </c>
      <c r="C43" s="2989"/>
      <c r="D43" s="3030" t="s">
        <v>604</v>
      </c>
      <c r="E43" s="2989"/>
      <c r="F43" s="1234">
        <v>0</v>
      </c>
      <c r="G43" s="1234">
        <v>0</v>
      </c>
      <c r="H43" s="1234"/>
      <c r="I43" s="1234">
        <v>0</v>
      </c>
      <c r="J43" s="1234"/>
      <c r="K43" s="1234">
        <v>0</v>
      </c>
      <c r="L43" s="1234"/>
      <c r="M43" s="1234">
        <f t="shared" si="0"/>
        <v>0</v>
      </c>
      <c r="N43" s="1234"/>
      <c r="O43" s="1234">
        <v>0</v>
      </c>
      <c r="P43" s="3041"/>
      <c r="Q43" s="3034"/>
    </row>
    <row r="44" spans="2:17" s="3021" customFormat="1" ht="15.75">
      <c r="B44" s="3029">
        <v>30129</v>
      </c>
      <c r="C44" s="2989"/>
      <c r="D44" s="3030" t="s">
        <v>605</v>
      </c>
      <c r="E44" s="2989"/>
      <c r="F44" s="1234">
        <v>0</v>
      </c>
      <c r="G44" s="1234">
        <v>0</v>
      </c>
      <c r="H44" s="1234"/>
      <c r="I44" s="1234">
        <v>0</v>
      </c>
      <c r="J44" s="1234"/>
      <c r="K44" s="1234">
        <v>0</v>
      </c>
      <c r="L44" s="1234"/>
      <c r="M44" s="1234">
        <f t="shared" si="0"/>
        <v>0</v>
      </c>
      <c r="N44" s="1234"/>
      <c r="O44" s="1234">
        <v>0</v>
      </c>
      <c r="P44" s="3041"/>
      <c r="Q44" s="3034"/>
    </row>
    <row r="45" spans="2:17" s="3021" customFormat="1" ht="15.75">
      <c r="B45" s="3029">
        <v>30130</v>
      </c>
      <c r="C45" s="2989"/>
      <c r="D45" s="3030" t="s">
        <v>606</v>
      </c>
      <c r="E45" s="2989"/>
      <c r="F45" s="1234">
        <v>0</v>
      </c>
      <c r="G45" s="1234">
        <v>0</v>
      </c>
      <c r="H45" s="1234"/>
      <c r="I45" s="1234">
        <v>0</v>
      </c>
      <c r="J45" s="1234"/>
      <c r="K45" s="1234">
        <v>0</v>
      </c>
      <c r="L45" s="1234"/>
      <c r="M45" s="1234">
        <f t="shared" si="0"/>
        <v>0</v>
      </c>
      <c r="N45" s="1234"/>
      <c r="O45" s="1234">
        <v>0</v>
      </c>
      <c r="P45" s="3041"/>
      <c r="Q45" s="3034"/>
    </row>
    <row r="46" spans="2:17" s="3021" customFormat="1" ht="15.75">
      <c r="B46" s="3029">
        <v>30131</v>
      </c>
      <c r="C46" s="2989"/>
      <c r="D46" s="3030" t="s">
        <v>607</v>
      </c>
      <c r="E46" s="2989"/>
      <c r="F46" s="1234">
        <v>0</v>
      </c>
      <c r="G46" s="1234">
        <v>0</v>
      </c>
      <c r="H46" s="1234"/>
      <c r="I46" s="1234">
        <v>0</v>
      </c>
      <c r="J46" s="1234"/>
      <c r="K46" s="1234">
        <v>0</v>
      </c>
      <c r="L46" s="1234"/>
      <c r="M46" s="1234">
        <f t="shared" si="0"/>
        <v>0</v>
      </c>
      <c r="N46" s="1234"/>
      <c r="O46" s="1234">
        <v>0</v>
      </c>
      <c r="P46" s="3041"/>
      <c r="Q46" s="3034"/>
    </row>
    <row r="47" spans="2:17" s="3021" customFormat="1" ht="15.75">
      <c r="B47" s="3029">
        <v>30132</v>
      </c>
      <c r="C47" s="2989"/>
      <c r="D47" s="3030" t="s">
        <v>608</v>
      </c>
      <c r="E47" s="2989"/>
      <c r="F47" s="1234">
        <v>0</v>
      </c>
      <c r="G47" s="1234">
        <v>0</v>
      </c>
      <c r="H47" s="1234"/>
      <c r="I47" s="1234">
        <v>0</v>
      </c>
      <c r="J47" s="1234"/>
      <c r="K47" s="1234">
        <v>0</v>
      </c>
      <c r="L47" s="1234"/>
      <c r="M47" s="1234">
        <f t="shared" si="0"/>
        <v>0</v>
      </c>
      <c r="N47" s="1234"/>
      <c r="O47" s="1234">
        <v>0</v>
      </c>
      <c r="P47" s="3041"/>
      <c r="Q47" s="3034"/>
    </row>
    <row r="48" spans="2:17" s="3021" customFormat="1" ht="15.75">
      <c r="B48" s="3029">
        <v>30133</v>
      </c>
      <c r="C48" s="2989"/>
      <c r="D48" s="3030" t="s">
        <v>609</v>
      </c>
      <c r="E48" s="2989"/>
      <c r="F48" s="1234">
        <v>0</v>
      </c>
      <c r="G48" s="1234">
        <v>0</v>
      </c>
      <c r="H48" s="1234"/>
      <c r="I48" s="1234">
        <v>145547.19</v>
      </c>
      <c r="J48" s="1234"/>
      <c r="K48" s="1234">
        <v>145370.66</v>
      </c>
      <c r="L48" s="1234"/>
      <c r="M48" s="1234">
        <f t="shared" si="0"/>
        <v>-28382.82</v>
      </c>
      <c r="N48" s="1234"/>
      <c r="O48" s="1234">
        <v>116987.84</v>
      </c>
      <c r="P48" s="3041"/>
      <c r="Q48" s="3034"/>
    </row>
    <row r="49" spans="2:17" s="3021" customFormat="1" ht="15.75">
      <c r="B49" s="3029">
        <v>30134</v>
      </c>
      <c r="C49" s="2989"/>
      <c r="D49" s="3030" t="s">
        <v>610</v>
      </c>
      <c r="E49" s="2989"/>
      <c r="F49" s="1234">
        <v>0</v>
      </c>
      <c r="G49" s="1234">
        <v>0</v>
      </c>
      <c r="H49" s="1234"/>
      <c r="I49" s="1234">
        <v>0</v>
      </c>
      <c r="J49" s="1234"/>
      <c r="K49" s="1234">
        <v>0</v>
      </c>
      <c r="L49" s="1234"/>
      <c r="M49" s="1234">
        <f t="shared" si="0"/>
        <v>0</v>
      </c>
      <c r="N49" s="1234"/>
      <c r="O49" s="1234">
        <v>0</v>
      </c>
      <c r="P49" s="3041"/>
      <c r="Q49" s="3034"/>
    </row>
    <row r="50" spans="2:17" s="3021" customFormat="1" ht="15.75">
      <c r="B50" s="3029">
        <v>30135</v>
      </c>
      <c r="C50" s="2989"/>
      <c r="D50" s="3030" t="s">
        <v>611</v>
      </c>
      <c r="E50" s="2989"/>
      <c r="F50" s="1234">
        <v>0</v>
      </c>
      <c r="G50" s="1234">
        <v>0</v>
      </c>
      <c r="H50" s="1234"/>
      <c r="I50" s="1234">
        <v>0</v>
      </c>
      <c r="J50" s="1234"/>
      <c r="K50" s="1234">
        <v>0</v>
      </c>
      <c r="L50" s="1234"/>
      <c r="M50" s="1234">
        <f t="shared" si="0"/>
        <v>0</v>
      </c>
      <c r="N50" s="1234"/>
      <c r="O50" s="1234">
        <v>0</v>
      </c>
      <c r="P50" s="3041"/>
      <c r="Q50" s="3034"/>
    </row>
    <row r="51" spans="2:17" s="3021" customFormat="1" ht="15.75">
      <c r="B51" s="3029">
        <v>30136</v>
      </c>
      <c r="C51" s="2989"/>
      <c r="D51" s="3030" t="s">
        <v>612</v>
      </c>
      <c r="E51" s="2989"/>
      <c r="F51" s="1234">
        <v>0</v>
      </c>
      <c r="G51" s="1234">
        <v>0</v>
      </c>
      <c r="H51" s="1234"/>
      <c r="I51" s="1234">
        <v>0</v>
      </c>
      <c r="J51" s="1234"/>
      <c r="K51" s="1234">
        <v>0</v>
      </c>
      <c r="L51" s="1234"/>
      <c r="M51" s="1234">
        <f t="shared" si="0"/>
        <v>0</v>
      </c>
      <c r="N51" s="1234"/>
      <c r="O51" s="1234">
        <v>0</v>
      </c>
      <c r="P51" s="3041"/>
      <c r="Q51" s="3034"/>
    </row>
    <row r="52" spans="2:17" s="3021" customFormat="1" ht="15.75">
      <c r="B52" s="3029">
        <v>30137</v>
      </c>
      <c r="C52" s="2989"/>
      <c r="D52" s="3030" t="s">
        <v>613</v>
      </c>
      <c r="E52" s="2989"/>
      <c r="F52" s="1234">
        <v>2867.69</v>
      </c>
      <c r="G52" s="1234">
        <v>0</v>
      </c>
      <c r="H52" s="1234"/>
      <c r="I52" s="1234">
        <v>0</v>
      </c>
      <c r="J52" s="1234"/>
      <c r="K52" s="1234">
        <v>0</v>
      </c>
      <c r="L52" s="1234"/>
      <c r="M52" s="1234">
        <f t="shared" si="0"/>
        <v>0</v>
      </c>
      <c r="N52" s="1234"/>
      <c r="O52" s="1234">
        <v>0</v>
      </c>
      <c r="P52" s="3041"/>
      <c r="Q52" s="3034"/>
    </row>
    <row r="53" spans="2:17" s="3021" customFormat="1" ht="15.75">
      <c r="B53" s="3029">
        <v>30138</v>
      </c>
      <c r="C53" s="2989"/>
      <c r="D53" s="3030" t="s">
        <v>614</v>
      </c>
      <c r="E53" s="2989"/>
      <c r="F53" s="1234">
        <v>0</v>
      </c>
      <c r="G53" s="1234">
        <v>0</v>
      </c>
      <c r="H53" s="1234"/>
      <c r="I53" s="1234">
        <v>0</v>
      </c>
      <c r="J53" s="1234"/>
      <c r="K53" s="1234">
        <v>0</v>
      </c>
      <c r="L53" s="1234"/>
      <c r="M53" s="1234">
        <f t="shared" ref="M53:M75" si="1">ROUND(SUM(O53)-SUM(K53),2)</f>
        <v>0</v>
      </c>
      <c r="N53" s="1234"/>
      <c r="O53" s="1234">
        <v>0</v>
      </c>
      <c r="P53" s="3041"/>
      <c r="Q53" s="3034"/>
    </row>
    <row r="54" spans="2:17" s="3021" customFormat="1" ht="15.75">
      <c r="B54" s="3029">
        <v>30139</v>
      </c>
      <c r="C54" s="2989"/>
      <c r="D54" s="3030" t="s">
        <v>615</v>
      </c>
      <c r="E54" s="2989"/>
      <c r="F54" s="1234">
        <v>0</v>
      </c>
      <c r="G54" s="1234">
        <v>0</v>
      </c>
      <c r="H54" s="1234"/>
      <c r="I54" s="1234">
        <v>0</v>
      </c>
      <c r="J54" s="1234"/>
      <c r="K54" s="1234">
        <v>0</v>
      </c>
      <c r="L54" s="1234"/>
      <c r="M54" s="1234">
        <f t="shared" si="1"/>
        <v>0</v>
      </c>
      <c r="N54" s="1234"/>
      <c r="O54" s="1234">
        <v>0</v>
      </c>
      <c r="P54" s="3041"/>
      <c r="Q54" s="3034"/>
    </row>
    <row r="55" spans="2:17" s="3021" customFormat="1" ht="15.75">
      <c r="B55" s="3029">
        <v>30140</v>
      </c>
      <c r="C55" s="2989"/>
      <c r="D55" s="3030" t="s">
        <v>616</v>
      </c>
      <c r="E55" s="2989"/>
      <c r="F55" s="1234">
        <v>0</v>
      </c>
      <c r="G55" s="1234">
        <v>0</v>
      </c>
      <c r="H55" s="1234"/>
      <c r="I55" s="1234">
        <v>0</v>
      </c>
      <c r="J55" s="1234"/>
      <c r="K55" s="1234">
        <v>0</v>
      </c>
      <c r="L55" s="1234"/>
      <c r="M55" s="1234">
        <f t="shared" si="1"/>
        <v>0</v>
      </c>
      <c r="N55" s="1234"/>
      <c r="O55" s="1234">
        <v>0</v>
      </c>
      <c r="P55" s="3041"/>
      <c r="Q55" s="3034"/>
    </row>
    <row r="56" spans="2:17" s="3021" customFormat="1" ht="15.75">
      <c r="B56" s="3029">
        <v>30141</v>
      </c>
      <c r="C56" s="2989"/>
      <c r="D56" s="3030" t="s">
        <v>617</v>
      </c>
      <c r="E56" s="2989"/>
      <c r="F56" s="1234">
        <v>0</v>
      </c>
      <c r="G56" s="1234">
        <v>0</v>
      </c>
      <c r="H56" s="1234"/>
      <c r="I56" s="1234">
        <v>0</v>
      </c>
      <c r="J56" s="1234"/>
      <c r="K56" s="1234">
        <v>0</v>
      </c>
      <c r="L56" s="1234"/>
      <c r="M56" s="1234">
        <f t="shared" si="1"/>
        <v>0</v>
      </c>
      <c r="N56" s="1234"/>
      <c r="O56" s="1234">
        <v>0</v>
      </c>
      <c r="P56" s="3041"/>
      <c r="Q56" s="3034"/>
    </row>
    <row r="57" spans="2:17" s="3021" customFormat="1" ht="15.75">
      <c r="B57" s="3029">
        <v>30142</v>
      </c>
      <c r="C57" s="2989"/>
      <c r="D57" s="3030" t="s">
        <v>618</v>
      </c>
      <c r="E57" s="2989"/>
      <c r="F57" s="1234">
        <v>0</v>
      </c>
      <c r="G57" s="1234">
        <v>0</v>
      </c>
      <c r="H57" s="1234"/>
      <c r="I57" s="1234">
        <v>0</v>
      </c>
      <c r="J57" s="1234"/>
      <c r="K57" s="1234">
        <v>0</v>
      </c>
      <c r="L57" s="1234"/>
      <c r="M57" s="1234">
        <f t="shared" si="1"/>
        <v>0</v>
      </c>
      <c r="N57" s="1234"/>
      <c r="O57" s="1234">
        <v>0</v>
      </c>
      <c r="P57" s="3041"/>
      <c r="Q57" s="3034"/>
    </row>
    <row r="58" spans="2:17" s="3021" customFormat="1" ht="15.75">
      <c r="B58" s="3029">
        <v>30143</v>
      </c>
      <c r="C58" s="2989"/>
      <c r="D58" s="3030" t="s">
        <v>619</v>
      </c>
      <c r="E58" s="2989"/>
      <c r="F58" s="1234">
        <v>0</v>
      </c>
      <c r="G58" s="1234">
        <v>0</v>
      </c>
      <c r="H58" s="1234"/>
      <c r="I58" s="1234">
        <v>0</v>
      </c>
      <c r="J58" s="1234"/>
      <c r="K58" s="1234">
        <v>0</v>
      </c>
      <c r="L58" s="1234"/>
      <c r="M58" s="1234">
        <f t="shared" si="1"/>
        <v>0</v>
      </c>
      <c r="N58" s="1234"/>
      <c r="O58" s="1234">
        <v>0</v>
      </c>
      <c r="P58" s="3041"/>
      <c r="Q58" s="3034"/>
    </row>
    <row r="59" spans="2:17" s="3021" customFormat="1" ht="15.75">
      <c r="B59" s="3029">
        <v>30144</v>
      </c>
      <c r="C59" s="2989"/>
      <c r="D59" s="3030" t="s">
        <v>620</v>
      </c>
      <c r="E59" s="2989"/>
      <c r="F59" s="1234">
        <v>0</v>
      </c>
      <c r="G59" s="1234">
        <v>0</v>
      </c>
      <c r="H59" s="1234"/>
      <c r="I59" s="1234">
        <v>0</v>
      </c>
      <c r="J59" s="1234"/>
      <c r="K59" s="1234">
        <v>0</v>
      </c>
      <c r="L59" s="1234"/>
      <c r="M59" s="1234">
        <f t="shared" si="1"/>
        <v>0</v>
      </c>
      <c r="N59" s="1234"/>
      <c r="O59" s="1234">
        <v>0</v>
      </c>
      <c r="P59" s="3041"/>
      <c r="Q59" s="3034"/>
    </row>
    <row r="60" spans="2:17" s="3021" customFormat="1" ht="15.75">
      <c r="B60" s="3029">
        <v>30145</v>
      </c>
      <c r="C60" s="2989"/>
      <c r="D60" s="3030" t="s">
        <v>621</v>
      </c>
      <c r="E60" s="2989"/>
      <c r="F60" s="1234">
        <v>0</v>
      </c>
      <c r="G60" s="1234">
        <v>0</v>
      </c>
      <c r="H60" s="1234"/>
      <c r="I60" s="1234">
        <v>0</v>
      </c>
      <c r="J60" s="1234"/>
      <c r="K60" s="1234">
        <v>0</v>
      </c>
      <c r="L60" s="1234"/>
      <c r="M60" s="1234">
        <f t="shared" si="1"/>
        <v>0</v>
      </c>
      <c r="N60" s="1234"/>
      <c r="O60" s="1234">
        <v>0</v>
      </c>
      <c r="P60" s="3041"/>
      <c r="Q60" s="3034"/>
    </row>
    <row r="61" spans="2:17" s="3021" customFormat="1" ht="15.75">
      <c r="B61" s="3029">
        <v>30146</v>
      </c>
      <c r="C61" s="2989"/>
      <c r="D61" s="3030" t="s">
        <v>622</v>
      </c>
      <c r="E61" s="2989"/>
      <c r="F61" s="1234">
        <v>0</v>
      </c>
      <c r="G61" s="1234">
        <v>0</v>
      </c>
      <c r="H61" s="1234"/>
      <c r="I61" s="1234">
        <v>0</v>
      </c>
      <c r="J61" s="1234"/>
      <c r="K61" s="1234">
        <v>0</v>
      </c>
      <c r="L61" s="1234"/>
      <c r="M61" s="1234">
        <f t="shared" si="1"/>
        <v>0</v>
      </c>
      <c r="N61" s="1234"/>
      <c r="O61" s="1234">
        <v>0</v>
      </c>
      <c r="P61" s="3041"/>
      <c r="Q61" s="3034"/>
    </row>
    <row r="62" spans="2:17" s="3021" customFormat="1" ht="15.75">
      <c r="B62" s="3029">
        <v>30147</v>
      </c>
      <c r="C62" s="2989"/>
      <c r="D62" s="3030" t="s">
        <v>623</v>
      </c>
      <c r="E62" s="2989"/>
      <c r="F62" s="1234">
        <v>0</v>
      </c>
      <c r="G62" s="1234">
        <v>0</v>
      </c>
      <c r="H62" s="1234"/>
      <c r="I62" s="1234">
        <v>0</v>
      </c>
      <c r="J62" s="1234"/>
      <c r="K62" s="1234">
        <v>0</v>
      </c>
      <c r="L62" s="1234"/>
      <c r="M62" s="1234">
        <f t="shared" si="1"/>
        <v>0</v>
      </c>
      <c r="N62" s="1234"/>
      <c r="O62" s="1234">
        <v>0</v>
      </c>
      <c r="P62" s="3041"/>
      <c r="Q62" s="3034"/>
    </row>
    <row r="63" spans="2:17" s="3021" customFormat="1" ht="15.75">
      <c r="B63" s="3029">
        <v>30148</v>
      </c>
      <c r="C63" s="2989"/>
      <c r="D63" s="3030" t="s">
        <v>624</v>
      </c>
      <c r="E63" s="2989"/>
      <c r="F63" s="1234">
        <v>0</v>
      </c>
      <c r="G63" s="1234">
        <v>0</v>
      </c>
      <c r="H63" s="1234"/>
      <c r="I63" s="1234">
        <v>0</v>
      </c>
      <c r="J63" s="1234"/>
      <c r="K63" s="1234">
        <v>0</v>
      </c>
      <c r="L63" s="1234"/>
      <c r="M63" s="1234">
        <f t="shared" si="1"/>
        <v>0</v>
      </c>
      <c r="N63" s="1234"/>
      <c r="O63" s="1234">
        <v>0</v>
      </c>
      <c r="P63" s="3041"/>
      <c r="Q63" s="3034"/>
    </row>
    <row r="64" spans="2:17" s="3021" customFormat="1" ht="15.75">
      <c r="B64" s="3029">
        <v>30149</v>
      </c>
      <c r="C64" s="2989"/>
      <c r="D64" s="3030" t="s">
        <v>625</v>
      </c>
      <c r="E64" s="2989"/>
      <c r="F64" s="1234">
        <v>0</v>
      </c>
      <c r="G64" s="1234">
        <v>0</v>
      </c>
      <c r="H64" s="1234"/>
      <c r="I64" s="1234">
        <v>0</v>
      </c>
      <c r="J64" s="1234"/>
      <c r="K64" s="1234">
        <v>0</v>
      </c>
      <c r="L64" s="1234"/>
      <c r="M64" s="1234">
        <f t="shared" si="1"/>
        <v>0</v>
      </c>
      <c r="N64" s="1234"/>
      <c r="O64" s="1234">
        <v>0</v>
      </c>
      <c r="P64" s="3041"/>
      <c r="Q64" s="3034"/>
    </row>
    <row r="65" spans="2:17" s="3021" customFormat="1" ht="15.75">
      <c r="B65" s="3029">
        <v>30150</v>
      </c>
      <c r="C65" s="2989"/>
      <c r="D65" s="3030" t="s">
        <v>626</v>
      </c>
      <c r="E65" s="2989"/>
      <c r="F65" s="1234">
        <v>0</v>
      </c>
      <c r="G65" s="1234">
        <v>0</v>
      </c>
      <c r="H65" s="1234"/>
      <c r="I65" s="1234">
        <v>0</v>
      </c>
      <c r="J65" s="1234"/>
      <c r="K65" s="1234">
        <v>0</v>
      </c>
      <c r="L65" s="1234"/>
      <c r="M65" s="1234">
        <f t="shared" si="1"/>
        <v>0</v>
      </c>
      <c r="N65" s="1234"/>
      <c r="O65" s="1234">
        <v>0</v>
      </c>
      <c r="P65" s="3041"/>
      <c r="Q65" s="3034"/>
    </row>
    <row r="66" spans="2:17" s="3021" customFormat="1" ht="15.75">
      <c r="B66" s="3029">
        <v>30151</v>
      </c>
      <c r="C66" s="2989"/>
      <c r="D66" s="3030" t="s">
        <v>627</v>
      </c>
      <c r="E66" s="2989"/>
      <c r="F66" s="1234">
        <v>0</v>
      </c>
      <c r="G66" s="1234">
        <v>0</v>
      </c>
      <c r="H66" s="1234"/>
      <c r="I66" s="1234">
        <v>0</v>
      </c>
      <c r="J66" s="1234"/>
      <c r="K66" s="1234">
        <v>0</v>
      </c>
      <c r="L66" s="1234"/>
      <c r="M66" s="1234">
        <f t="shared" si="1"/>
        <v>0</v>
      </c>
      <c r="N66" s="1234"/>
      <c r="O66" s="1234">
        <v>0</v>
      </c>
      <c r="P66" s="3041"/>
      <c r="Q66" s="3034"/>
    </row>
    <row r="67" spans="2:17" s="3021" customFormat="1" ht="15.75">
      <c r="B67" s="3029">
        <v>30152</v>
      </c>
      <c r="C67" s="2989"/>
      <c r="D67" s="3030" t="s">
        <v>628</v>
      </c>
      <c r="E67" s="2989"/>
      <c r="F67" s="1234">
        <v>0</v>
      </c>
      <c r="G67" s="1234">
        <v>0</v>
      </c>
      <c r="H67" s="1234"/>
      <c r="I67" s="1234">
        <v>0</v>
      </c>
      <c r="J67" s="1234"/>
      <c r="K67" s="1234">
        <v>0</v>
      </c>
      <c r="L67" s="1234"/>
      <c r="M67" s="1234">
        <f t="shared" si="1"/>
        <v>0</v>
      </c>
      <c r="N67" s="1234"/>
      <c r="O67" s="1234">
        <v>0</v>
      </c>
      <c r="P67" s="3041"/>
      <c r="Q67" s="3034"/>
    </row>
    <row r="68" spans="2:17" s="3021" customFormat="1" ht="15.75">
      <c r="B68" s="3029">
        <v>30153</v>
      </c>
      <c r="C68" s="2989"/>
      <c r="D68" s="3030" t="s">
        <v>629</v>
      </c>
      <c r="E68" s="2989"/>
      <c r="F68" s="1234">
        <v>0</v>
      </c>
      <c r="G68" s="1234">
        <v>0</v>
      </c>
      <c r="H68" s="1234"/>
      <c r="I68" s="1234">
        <v>0</v>
      </c>
      <c r="J68" s="1234"/>
      <c r="K68" s="1234">
        <v>0</v>
      </c>
      <c r="L68" s="1234"/>
      <c r="M68" s="1234">
        <f t="shared" si="1"/>
        <v>0</v>
      </c>
      <c r="N68" s="1234"/>
      <c r="O68" s="1234">
        <v>0</v>
      </c>
      <c r="P68" s="3041"/>
      <c r="Q68" s="3034"/>
    </row>
    <row r="69" spans="2:17" s="3021" customFormat="1" ht="15.75">
      <c r="B69" s="3029">
        <v>30154</v>
      </c>
      <c r="C69" s="2989"/>
      <c r="D69" s="3030" t="s">
        <v>630</v>
      </c>
      <c r="E69" s="2989"/>
      <c r="F69" s="1234">
        <v>0</v>
      </c>
      <c r="G69" s="1234">
        <v>0</v>
      </c>
      <c r="H69" s="1234"/>
      <c r="I69" s="1234">
        <v>0</v>
      </c>
      <c r="J69" s="1234"/>
      <c r="K69" s="1234">
        <v>0</v>
      </c>
      <c r="L69" s="1234"/>
      <c r="M69" s="1234">
        <f t="shared" si="1"/>
        <v>0</v>
      </c>
      <c r="N69" s="1234"/>
      <c r="O69" s="1234">
        <v>0</v>
      </c>
      <c r="P69" s="3041"/>
      <c r="Q69" s="3034"/>
    </row>
    <row r="70" spans="2:17" s="3021" customFormat="1" ht="15.75">
      <c r="B70" s="3029">
        <v>30351</v>
      </c>
      <c r="C70" s="2989"/>
      <c r="D70" s="3030" t="s">
        <v>631</v>
      </c>
      <c r="E70" s="2989"/>
      <c r="F70" s="1234">
        <v>72792259.140000001</v>
      </c>
      <c r="G70" s="1234">
        <v>83931487.200000003</v>
      </c>
      <c r="H70" s="1234"/>
      <c r="I70" s="1234">
        <v>94023371.069999993</v>
      </c>
      <c r="J70" s="1234"/>
      <c r="K70" s="1234">
        <v>102762251.53</v>
      </c>
      <c r="L70" s="1234"/>
      <c r="M70" s="1234">
        <f t="shared" si="1"/>
        <v>-83929914.980000004</v>
      </c>
      <c r="N70" s="1234"/>
      <c r="O70" s="1234">
        <v>18832336.550000001</v>
      </c>
      <c r="P70" s="3041"/>
      <c r="Q70" s="3034"/>
    </row>
    <row r="71" spans="2:17" s="3021" customFormat="1" ht="15.75">
      <c r="B71" s="3029">
        <v>30501</v>
      </c>
      <c r="C71" s="2989"/>
      <c r="D71" s="3030" t="s">
        <v>632</v>
      </c>
      <c r="E71" s="2989"/>
      <c r="F71" s="1234">
        <v>169.29</v>
      </c>
      <c r="G71" s="1234">
        <v>0</v>
      </c>
      <c r="H71" s="1234"/>
      <c r="I71" s="1234">
        <v>0</v>
      </c>
      <c r="J71" s="1234"/>
      <c r="K71" s="1234">
        <v>0</v>
      </c>
      <c r="L71" s="1234"/>
      <c r="M71" s="1234">
        <f t="shared" si="1"/>
        <v>0</v>
      </c>
      <c r="N71" s="1234"/>
      <c r="O71" s="1234">
        <v>0</v>
      </c>
      <c r="P71" s="3041"/>
      <c r="Q71" s="3034"/>
    </row>
    <row r="72" spans="2:17" s="3021" customFormat="1" ht="15.75">
      <c r="B72" s="3029">
        <v>30502</v>
      </c>
      <c r="C72" s="2989"/>
      <c r="D72" s="3030" t="s">
        <v>633</v>
      </c>
      <c r="E72" s="2989"/>
      <c r="F72" s="1234">
        <v>0</v>
      </c>
      <c r="G72" s="1234">
        <v>0</v>
      </c>
      <c r="H72" s="1234"/>
      <c r="I72" s="1234">
        <v>0</v>
      </c>
      <c r="J72" s="1234"/>
      <c r="K72" s="1234">
        <v>0</v>
      </c>
      <c r="L72" s="1234"/>
      <c r="M72" s="1234">
        <f t="shared" si="1"/>
        <v>0</v>
      </c>
      <c r="N72" s="1234"/>
      <c r="O72" s="1234">
        <v>0</v>
      </c>
      <c r="P72" s="3041"/>
      <c r="Q72" s="3034"/>
    </row>
    <row r="73" spans="2:17" s="3021" customFormat="1" ht="15.75">
      <c r="B73" s="3029">
        <v>30503</v>
      </c>
      <c r="C73" s="2989"/>
      <c r="D73" s="3030" t="s">
        <v>634</v>
      </c>
      <c r="E73" s="2989"/>
      <c r="F73" s="1234">
        <v>0</v>
      </c>
      <c r="G73" s="1234">
        <v>0</v>
      </c>
      <c r="H73" s="1234"/>
      <c r="I73" s="1234">
        <v>0</v>
      </c>
      <c r="J73" s="1234"/>
      <c r="K73" s="1234">
        <v>0</v>
      </c>
      <c r="L73" s="1234"/>
      <c r="M73" s="1234">
        <f t="shared" si="1"/>
        <v>0</v>
      </c>
      <c r="N73" s="1234"/>
      <c r="O73" s="1234">
        <v>0</v>
      </c>
      <c r="P73" s="3041"/>
      <c r="Q73" s="3034"/>
    </row>
    <row r="74" spans="2:17" s="3021" customFormat="1" ht="15.75">
      <c r="B74" s="3029">
        <v>30504</v>
      </c>
      <c r="C74" s="2989"/>
      <c r="D74" s="3042" t="s">
        <v>635</v>
      </c>
      <c r="E74" s="2989"/>
      <c r="F74" s="1234">
        <v>0</v>
      </c>
      <c r="G74" s="1234">
        <v>0</v>
      </c>
      <c r="H74" s="1234"/>
      <c r="I74" s="1234">
        <v>0</v>
      </c>
      <c r="J74" s="1234"/>
      <c r="K74" s="1234">
        <v>0</v>
      </c>
      <c r="L74" s="1234"/>
      <c r="M74" s="1234">
        <f t="shared" si="1"/>
        <v>0</v>
      </c>
      <c r="N74" s="1234"/>
      <c r="O74" s="1234">
        <v>0</v>
      </c>
      <c r="P74" s="3041"/>
      <c r="Q74" s="3034"/>
    </row>
    <row r="75" spans="2:17" s="3021" customFormat="1" ht="15.75">
      <c r="B75" s="3029">
        <v>31506</v>
      </c>
      <c r="C75" s="3043"/>
      <c r="D75" s="3044" t="s">
        <v>636</v>
      </c>
      <c r="E75" s="3045"/>
      <c r="F75" s="1234">
        <v>109849194.79000001</v>
      </c>
      <c r="G75" s="1234">
        <v>160394840.12</v>
      </c>
      <c r="H75" s="1234"/>
      <c r="I75" s="1234">
        <v>164798490.97999999</v>
      </c>
      <c r="J75" s="1234"/>
      <c r="K75" s="1234">
        <v>170744464.19</v>
      </c>
      <c r="L75" s="1234"/>
      <c r="M75" s="1234">
        <f t="shared" si="1"/>
        <v>-65678165.270000003</v>
      </c>
      <c r="N75" s="1234"/>
      <c r="O75" s="1234">
        <v>105066298.92</v>
      </c>
      <c r="P75" s="3041"/>
      <c r="Q75" s="3034"/>
    </row>
    <row r="76" spans="2:17" s="3021" customFormat="1" ht="15.75">
      <c r="B76" s="3029">
        <v>31701</v>
      </c>
      <c r="C76" s="2989"/>
      <c r="D76" s="3030" t="s">
        <v>637</v>
      </c>
      <c r="E76" s="2989"/>
      <c r="F76" s="1234">
        <v>7423246.6200000001</v>
      </c>
      <c r="G76" s="1234">
        <v>13789727.98</v>
      </c>
      <c r="H76" s="1234"/>
      <c r="I76" s="1234">
        <v>14536893.34</v>
      </c>
      <c r="J76" s="1234"/>
      <c r="K76" s="1234">
        <v>16625871.310000001</v>
      </c>
      <c r="L76" s="1234"/>
      <c r="M76" s="1234">
        <f t="shared" ref="M76:M83" si="2">ROUND(SUM(O76)-SUM(K76),2)</f>
        <v>1819477.91</v>
      </c>
      <c r="N76" s="1234"/>
      <c r="O76" s="1234">
        <v>18445349.219999999</v>
      </c>
      <c r="P76" s="3041"/>
      <c r="Q76" s="3034"/>
    </row>
    <row r="77" spans="2:17" s="3021" customFormat="1" ht="15.75">
      <c r="B77" s="3029">
        <v>31801</v>
      </c>
      <c r="C77" s="2989"/>
      <c r="D77" s="3030" t="s">
        <v>638</v>
      </c>
      <c r="E77" s="2989"/>
      <c r="F77" s="1234">
        <v>13150846.050000001</v>
      </c>
      <c r="G77" s="1234">
        <v>12941967.060000001</v>
      </c>
      <c r="H77" s="1234"/>
      <c r="I77" s="1234">
        <v>12941967.060000001</v>
      </c>
      <c r="J77" s="1234"/>
      <c r="K77" s="1234">
        <v>12941967.060000001</v>
      </c>
      <c r="L77" s="1234"/>
      <c r="M77" s="1234">
        <f t="shared" si="2"/>
        <v>0</v>
      </c>
      <c r="N77" s="1234"/>
      <c r="O77" s="1234">
        <v>12941967.060000001</v>
      </c>
      <c r="P77" s="3041"/>
      <c r="Q77" s="3034"/>
    </row>
    <row r="78" spans="2:17" s="3021" customFormat="1" ht="15.75">
      <c r="B78" s="3029">
        <v>31851</v>
      </c>
      <c r="C78" s="2989"/>
      <c r="D78" s="3042" t="s">
        <v>639</v>
      </c>
      <c r="E78" s="2989"/>
      <c r="F78" s="1234">
        <v>0</v>
      </c>
      <c r="G78" s="1234">
        <v>0</v>
      </c>
      <c r="H78" s="1234"/>
      <c r="I78" s="1234">
        <v>0</v>
      </c>
      <c r="J78" s="1234"/>
      <c r="K78" s="1234">
        <v>0</v>
      </c>
      <c r="L78" s="1234"/>
      <c r="M78" s="1234">
        <f t="shared" si="2"/>
        <v>0</v>
      </c>
      <c r="N78" s="1234"/>
      <c r="O78" s="1234">
        <v>0</v>
      </c>
      <c r="P78" s="3041"/>
      <c r="Q78" s="3034"/>
    </row>
    <row r="79" spans="2:17" s="3021" customFormat="1" ht="15.75">
      <c r="B79" s="3029">
        <v>31852</v>
      </c>
      <c r="C79" s="2989"/>
      <c r="D79" s="3030" t="s">
        <v>640</v>
      </c>
      <c r="E79" s="2989"/>
      <c r="F79" s="1234">
        <v>40679225.310000002</v>
      </c>
      <c r="G79" s="1234">
        <v>56780924.149999999</v>
      </c>
      <c r="H79" s="1234"/>
      <c r="I79" s="1234">
        <v>56780924.149999999</v>
      </c>
      <c r="J79" s="1234"/>
      <c r="K79" s="1234">
        <v>62246340.149999999</v>
      </c>
      <c r="L79" s="1234"/>
      <c r="M79" s="1234">
        <f t="shared" si="2"/>
        <v>0</v>
      </c>
      <c r="N79" s="1234"/>
      <c r="O79" s="1234">
        <v>62246340.149999999</v>
      </c>
      <c r="P79" s="3041"/>
      <c r="Q79" s="3034"/>
    </row>
    <row r="80" spans="2:17" s="3021" customFormat="1" ht="15.75">
      <c r="B80" s="3029">
        <v>31853</v>
      </c>
      <c r="C80" s="2989"/>
      <c r="D80" s="3042" t="s">
        <v>641</v>
      </c>
      <c r="E80" s="2989"/>
      <c r="F80" s="1234">
        <v>76297899.909999996</v>
      </c>
      <c r="G80" s="1234">
        <v>135658911.97999999</v>
      </c>
      <c r="H80" s="1234"/>
      <c r="I80" s="1234">
        <v>135658911.97999999</v>
      </c>
      <c r="J80" s="1234"/>
      <c r="K80" s="1234">
        <v>135658911.97999999</v>
      </c>
      <c r="L80" s="1234"/>
      <c r="M80" s="1234">
        <f t="shared" si="2"/>
        <v>15750000</v>
      </c>
      <c r="N80" s="1234"/>
      <c r="O80" s="1234">
        <v>151408911.97999999</v>
      </c>
      <c r="P80" s="3041"/>
      <c r="Q80" s="3034"/>
    </row>
    <row r="81" spans="2:17" s="3021" customFormat="1" ht="15.75">
      <c r="B81" s="3029">
        <v>31854</v>
      </c>
      <c r="C81" s="2989"/>
      <c r="D81" s="3030" t="s">
        <v>642</v>
      </c>
      <c r="E81" s="2989"/>
      <c r="F81" s="1234">
        <v>0</v>
      </c>
      <c r="G81" s="1234">
        <v>0</v>
      </c>
      <c r="H81" s="1234"/>
      <c r="I81" s="1234">
        <v>0</v>
      </c>
      <c r="J81" s="1234"/>
      <c r="K81" s="1234">
        <v>0</v>
      </c>
      <c r="L81" s="1234"/>
      <c r="M81" s="1234">
        <f t="shared" si="2"/>
        <v>0</v>
      </c>
      <c r="N81" s="1234"/>
      <c r="O81" s="1234">
        <v>0</v>
      </c>
      <c r="P81" s="3041"/>
      <c r="Q81" s="3034"/>
    </row>
    <row r="82" spans="2:17" s="3021" customFormat="1" ht="15.75">
      <c r="B82" s="3029">
        <v>31951</v>
      </c>
      <c r="C82" s="2989"/>
      <c r="D82" s="3042" t="s">
        <v>643</v>
      </c>
      <c r="E82" s="2989"/>
      <c r="F82" s="1234">
        <v>12348115.710000001</v>
      </c>
      <c r="G82" s="1234">
        <v>12290173.24</v>
      </c>
      <c r="H82" s="1234"/>
      <c r="I82" s="1234">
        <v>12262315.99</v>
      </c>
      <c r="J82" s="1234"/>
      <c r="K82" s="1234">
        <v>11969463.99</v>
      </c>
      <c r="L82" s="1234"/>
      <c r="M82" s="1234">
        <f t="shared" si="2"/>
        <v>0</v>
      </c>
      <c r="N82" s="1234"/>
      <c r="O82" s="1234">
        <v>11969463.99</v>
      </c>
      <c r="P82" s="3041"/>
      <c r="Q82" s="3034"/>
    </row>
    <row r="83" spans="2:17" s="3021" customFormat="1" ht="15.75">
      <c r="B83" s="3029">
        <v>32213</v>
      </c>
      <c r="C83" s="2989"/>
      <c r="D83" s="3030" t="s">
        <v>644</v>
      </c>
      <c r="E83" s="2989"/>
      <c r="F83" s="1234">
        <v>153750</v>
      </c>
      <c r="G83" s="1234">
        <v>153750</v>
      </c>
      <c r="H83" s="1234"/>
      <c r="I83" s="1234">
        <v>153750</v>
      </c>
      <c r="J83" s="1234"/>
      <c r="K83" s="1234">
        <v>153750</v>
      </c>
      <c r="L83" s="1234"/>
      <c r="M83" s="1234">
        <f t="shared" si="2"/>
        <v>0</v>
      </c>
      <c r="N83" s="1234"/>
      <c r="O83" s="1234">
        <v>153750</v>
      </c>
      <c r="P83" s="3041"/>
      <c r="Q83" s="3034"/>
    </row>
    <row r="84" spans="2:17" s="3021" customFormat="1" ht="15.75">
      <c r="B84" s="3029">
        <v>32214</v>
      </c>
      <c r="C84" s="2989"/>
      <c r="D84" s="3030" t="s">
        <v>1293</v>
      </c>
      <c r="E84" s="2989"/>
      <c r="F84" s="1234"/>
      <c r="G84" s="1234">
        <v>0</v>
      </c>
      <c r="H84" s="1234"/>
      <c r="I84" s="1234">
        <v>0</v>
      </c>
      <c r="J84" s="1234"/>
      <c r="K84" s="1234">
        <v>0</v>
      </c>
      <c r="L84" s="1234"/>
      <c r="M84" s="1234">
        <f t="shared" ref="M84" si="3">ROUND(SUM(O84)-SUM(K84),2)</f>
        <v>0</v>
      </c>
      <c r="N84" s="1234"/>
      <c r="O84" s="1234">
        <v>0</v>
      </c>
      <c r="P84" s="3041"/>
      <c r="Q84" s="3034"/>
    </row>
    <row r="85" spans="2:17" s="3021" customFormat="1" ht="15.75">
      <c r="B85" s="3029">
        <v>32215</v>
      </c>
      <c r="C85" s="2989"/>
      <c r="D85" s="3030" t="s">
        <v>1265</v>
      </c>
      <c r="E85" s="2989"/>
      <c r="F85" s="1234"/>
      <c r="G85" s="1234">
        <v>0</v>
      </c>
      <c r="H85" s="1234"/>
      <c r="I85" s="1234">
        <v>0</v>
      </c>
      <c r="J85" s="1234"/>
      <c r="K85" s="1234">
        <v>160034.23999999999</v>
      </c>
      <c r="L85" s="1234"/>
      <c r="M85" s="1234">
        <f>ROUND(SUM(O85)-SUM(K85),2)</f>
        <v>434950.11</v>
      </c>
      <c r="N85" s="1234"/>
      <c r="O85" s="1234">
        <v>594984.35</v>
      </c>
      <c r="P85" s="3041"/>
      <c r="Q85" s="3034"/>
    </row>
    <row r="86" spans="2:17" s="3021" customFormat="1" ht="15.75">
      <c r="B86" s="3029">
        <v>32219</v>
      </c>
      <c r="C86" s="2989"/>
      <c r="D86" s="3030" t="s">
        <v>1327</v>
      </c>
      <c r="E86" s="2989"/>
      <c r="F86" s="1234"/>
      <c r="G86" s="1234">
        <v>0</v>
      </c>
      <c r="H86" s="1234"/>
      <c r="I86" s="1234">
        <v>0</v>
      </c>
      <c r="J86" s="1234"/>
      <c r="K86" s="1234">
        <v>0</v>
      </c>
      <c r="L86" s="1234"/>
      <c r="M86" s="1234">
        <f>ROUND(SUM(O86)-SUM(K86),2)</f>
        <v>0</v>
      </c>
      <c r="N86" s="1234"/>
      <c r="O86" s="1234">
        <v>0</v>
      </c>
      <c r="P86" s="3041"/>
      <c r="Q86" s="3034"/>
    </row>
    <row r="87" spans="2:17" s="3021" customFormat="1" ht="15.75">
      <c r="B87" s="3029">
        <v>32301</v>
      </c>
      <c r="C87" s="2989"/>
      <c r="D87" s="3042" t="s">
        <v>645</v>
      </c>
      <c r="E87" s="3045"/>
      <c r="F87" s="1234">
        <v>0</v>
      </c>
      <c r="G87" s="1234">
        <v>0</v>
      </c>
      <c r="H87" s="1234"/>
      <c r="I87" s="1234">
        <v>0</v>
      </c>
      <c r="J87" s="1234"/>
      <c r="K87" s="1234">
        <v>0</v>
      </c>
      <c r="L87" s="1234"/>
      <c r="M87" s="1234">
        <f t="shared" ref="M87:M101" si="4">ROUND(SUM(O87)-SUM(K87),2)</f>
        <v>0</v>
      </c>
      <c r="N87" s="1234"/>
      <c r="O87" s="1234">
        <v>0</v>
      </c>
      <c r="P87" s="3041"/>
      <c r="Q87" s="3034"/>
    </row>
    <row r="88" spans="2:17" s="3021" customFormat="1" ht="15.75">
      <c r="B88" s="3029">
        <v>32302</v>
      </c>
      <c r="C88" s="2989"/>
      <c r="D88" s="3042" t="s">
        <v>1026</v>
      </c>
      <c r="E88" s="3045"/>
      <c r="F88" s="1234">
        <v>0</v>
      </c>
      <c r="G88" s="1234">
        <v>0</v>
      </c>
      <c r="H88" s="1234"/>
      <c r="I88" s="1234">
        <v>0</v>
      </c>
      <c r="J88" s="1234"/>
      <c r="K88" s="1234">
        <v>0</v>
      </c>
      <c r="L88" s="1234"/>
      <c r="M88" s="1234">
        <f t="shared" si="4"/>
        <v>0</v>
      </c>
      <c r="N88" s="1234"/>
      <c r="O88" s="1234">
        <v>0</v>
      </c>
      <c r="P88" s="3041"/>
      <c r="Q88" s="3034"/>
    </row>
    <row r="89" spans="2:17" s="3021" customFormat="1" ht="15.75">
      <c r="B89" s="3029">
        <v>32303</v>
      </c>
      <c r="C89" s="2989"/>
      <c r="D89" s="3030" t="s">
        <v>646</v>
      </c>
      <c r="E89" s="3045"/>
      <c r="F89" s="1234">
        <v>87723047.260000005</v>
      </c>
      <c r="G89" s="1234">
        <v>132556937.83</v>
      </c>
      <c r="H89" s="1234"/>
      <c r="I89" s="1234">
        <v>122972708.42</v>
      </c>
      <c r="J89" s="1234"/>
      <c r="K89" s="1234">
        <v>125288703.86</v>
      </c>
      <c r="L89" s="1234"/>
      <c r="M89" s="1234">
        <f t="shared" si="4"/>
        <v>3284770.23</v>
      </c>
      <c r="N89" s="1234"/>
      <c r="O89" s="1234">
        <v>128573474.09</v>
      </c>
      <c r="P89" s="3041"/>
      <c r="Q89" s="3034"/>
    </row>
    <row r="90" spans="2:17" s="3021" customFormat="1" ht="15.75">
      <c r="B90" s="3029">
        <v>32304</v>
      </c>
      <c r="C90" s="2989"/>
      <c r="D90" s="3030" t="s">
        <v>647</v>
      </c>
      <c r="E90" s="3045"/>
      <c r="F90" s="1234">
        <v>0</v>
      </c>
      <c r="G90" s="1234">
        <v>0</v>
      </c>
      <c r="H90" s="1234"/>
      <c r="I90" s="1234">
        <v>0</v>
      </c>
      <c r="J90" s="1234"/>
      <c r="K90" s="1234">
        <v>0</v>
      </c>
      <c r="L90" s="1234"/>
      <c r="M90" s="1234">
        <f t="shared" si="4"/>
        <v>0</v>
      </c>
      <c r="N90" s="1234"/>
      <c r="O90" s="1234">
        <v>0</v>
      </c>
      <c r="P90" s="3041"/>
      <c r="Q90" s="3034"/>
    </row>
    <row r="91" spans="2:17" s="3021" customFormat="1" ht="15.75">
      <c r="B91" s="3029">
        <v>32305</v>
      </c>
      <c r="C91" s="2989"/>
      <c r="D91" s="3030" t="s">
        <v>1027</v>
      </c>
      <c r="E91" s="3045"/>
      <c r="F91" s="1234">
        <v>172362230.61000001</v>
      </c>
      <c r="G91" s="1234">
        <v>197078193.90000001</v>
      </c>
      <c r="H91" s="1234"/>
      <c r="I91" s="1234">
        <v>195514343.74000001</v>
      </c>
      <c r="J91" s="1234"/>
      <c r="K91" s="1234">
        <v>183312447.63999999</v>
      </c>
      <c r="L91" s="1234"/>
      <c r="M91" s="1234">
        <f t="shared" si="4"/>
        <v>-617566.52</v>
      </c>
      <c r="N91" s="1234"/>
      <c r="O91" s="1234">
        <v>182694881.12</v>
      </c>
      <c r="P91" s="3041"/>
      <c r="Q91" s="3034"/>
    </row>
    <row r="92" spans="2:17" s="3021" customFormat="1" ht="15.75">
      <c r="B92" s="3029">
        <v>32306</v>
      </c>
      <c r="C92" s="2989"/>
      <c r="D92" s="3042" t="s">
        <v>648</v>
      </c>
      <c r="E92" s="3045"/>
      <c r="F92" s="1234">
        <v>26767629.280000001</v>
      </c>
      <c r="G92" s="1234">
        <v>0</v>
      </c>
      <c r="H92" s="1234"/>
      <c r="I92" s="1234">
        <v>0</v>
      </c>
      <c r="J92" s="1234"/>
      <c r="K92" s="1234">
        <v>0</v>
      </c>
      <c r="L92" s="1234"/>
      <c r="M92" s="1234">
        <f t="shared" si="4"/>
        <v>0</v>
      </c>
      <c r="N92" s="1234"/>
      <c r="O92" s="1234">
        <v>0</v>
      </c>
      <c r="P92" s="3041"/>
      <c r="Q92" s="3034"/>
    </row>
    <row r="93" spans="2:17" s="3021" customFormat="1" ht="15.75">
      <c r="B93" s="3029">
        <v>32307</v>
      </c>
      <c r="C93" s="2989"/>
      <c r="D93" s="3042" t="s">
        <v>649</v>
      </c>
      <c r="E93" s="3045"/>
      <c r="F93" s="1234">
        <v>5430710.0300000003</v>
      </c>
      <c r="G93" s="1234">
        <v>2359597.75</v>
      </c>
      <c r="H93" s="1234"/>
      <c r="I93" s="1234">
        <v>2895339.49</v>
      </c>
      <c r="J93" s="1234"/>
      <c r="K93" s="1234">
        <v>2895339.49</v>
      </c>
      <c r="L93" s="1234"/>
      <c r="M93" s="1234">
        <f t="shared" si="4"/>
        <v>-3961.1</v>
      </c>
      <c r="N93" s="1234"/>
      <c r="O93" s="1234">
        <v>2891378.39</v>
      </c>
      <c r="P93" s="3041"/>
      <c r="Q93" s="3034"/>
    </row>
    <row r="94" spans="2:17" s="3021" customFormat="1" ht="15.75">
      <c r="B94" s="3029">
        <v>32308</v>
      </c>
      <c r="C94" s="2989"/>
      <c r="D94" s="3042" t="s">
        <v>650</v>
      </c>
      <c r="E94" s="3045"/>
      <c r="F94" s="1234">
        <v>539890.44999999995</v>
      </c>
      <c r="G94" s="1234">
        <v>1295493.08</v>
      </c>
      <c r="H94" s="1234"/>
      <c r="I94" s="1234">
        <v>883591.2</v>
      </c>
      <c r="J94" s="1234"/>
      <c r="K94" s="1234">
        <v>883591.2</v>
      </c>
      <c r="L94" s="1234"/>
      <c r="M94" s="1234">
        <f t="shared" si="4"/>
        <v>0</v>
      </c>
      <c r="N94" s="1234"/>
      <c r="O94" s="1234">
        <v>883591.2</v>
      </c>
      <c r="P94" s="3041"/>
      <c r="Q94" s="3034"/>
    </row>
    <row r="95" spans="2:17" s="3021" customFormat="1" ht="15.75">
      <c r="B95" s="3029">
        <v>32309</v>
      </c>
      <c r="C95" s="2989"/>
      <c r="D95" s="3042" t="s">
        <v>651</v>
      </c>
      <c r="E95" s="3045"/>
      <c r="F95" s="1234">
        <v>104401100.42</v>
      </c>
      <c r="G95" s="1234">
        <v>67861643.870000005</v>
      </c>
      <c r="H95" s="1234"/>
      <c r="I95" s="1234">
        <v>76418255.989999995</v>
      </c>
      <c r="J95" s="1234"/>
      <c r="K95" s="1234">
        <v>91113558.659999996</v>
      </c>
      <c r="L95" s="1234"/>
      <c r="M95" s="1234">
        <f t="shared" si="4"/>
        <v>-23396307.239999998</v>
      </c>
      <c r="N95" s="1234"/>
      <c r="O95" s="1234">
        <v>67717251.420000002</v>
      </c>
      <c r="P95" s="3041"/>
      <c r="Q95" s="3034"/>
    </row>
    <row r="96" spans="2:17" s="3021" customFormat="1" ht="15.75">
      <c r="B96" s="3029">
        <v>32310</v>
      </c>
      <c r="C96" s="2989"/>
      <c r="D96" s="3042" t="s">
        <v>652</v>
      </c>
      <c r="E96" s="3045"/>
      <c r="F96" s="1234">
        <v>0</v>
      </c>
      <c r="G96" s="1234">
        <v>5575843.3799999999</v>
      </c>
      <c r="H96" s="1234"/>
      <c r="I96" s="1234">
        <v>5575843.3799999999</v>
      </c>
      <c r="J96" s="1234"/>
      <c r="K96" s="1234">
        <v>5575843.3799999999</v>
      </c>
      <c r="L96" s="1234"/>
      <c r="M96" s="1234">
        <f t="shared" si="4"/>
        <v>1446054</v>
      </c>
      <c r="N96" s="1234"/>
      <c r="O96" s="1234">
        <v>7021897.3799999999</v>
      </c>
      <c r="P96" s="3041"/>
      <c r="Q96" s="3034"/>
    </row>
    <row r="97" spans="2:17" s="3021" customFormat="1" ht="17.25">
      <c r="B97" s="3029">
        <v>32311</v>
      </c>
      <c r="C97" s="2989"/>
      <c r="D97" s="3046" t="s">
        <v>653</v>
      </c>
      <c r="E97" s="3045"/>
      <c r="F97" s="1234">
        <v>2486315.4700000002</v>
      </c>
      <c r="G97" s="1234">
        <v>0.38</v>
      </c>
      <c r="H97" s="1234"/>
      <c r="I97" s="1234">
        <v>0.38</v>
      </c>
      <c r="J97" s="1234"/>
      <c r="K97" s="1234">
        <v>119787.38</v>
      </c>
      <c r="L97" s="1234"/>
      <c r="M97" s="1234">
        <f t="shared" si="4"/>
        <v>0</v>
      </c>
      <c r="N97" s="1234"/>
      <c r="O97" s="1234">
        <v>119787.38</v>
      </c>
      <c r="P97" s="3041"/>
      <c r="Q97" s="3034"/>
    </row>
    <row r="98" spans="2:17" s="3021" customFormat="1" ht="15.75">
      <c r="B98" s="3029">
        <v>32351</v>
      </c>
      <c r="C98" s="2989"/>
      <c r="D98" s="3042" t="s">
        <v>654</v>
      </c>
      <c r="E98" s="3045"/>
      <c r="F98" s="1234">
        <v>11110.01</v>
      </c>
      <c r="G98" s="1234">
        <v>0</v>
      </c>
      <c r="H98" s="1234"/>
      <c r="I98" s="1234">
        <v>0</v>
      </c>
      <c r="J98" s="1234"/>
      <c r="K98" s="1234">
        <v>0</v>
      </c>
      <c r="L98" s="1234"/>
      <c r="M98" s="1234">
        <f t="shared" si="4"/>
        <v>0</v>
      </c>
      <c r="N98" s="1234"/>
      <c r="O98" s="1234">
        <v>0</v>
      </c>
      <c r="P98" s="3041"/>
      <c r="Q98" s="3034"/>
    </row>
    <row r="99" spans="2:17" s="3021" customFormat="1" ht="15.75">
      <c r="B99" s="3047">
        <v>32352</v>
      </c>
      <c r="C99" s="3048"/>
      <c r="D99" s="3049" t="s">
        <v>655</v>
      </c>
      <c r="E99" s="3050"/>
      <c r="F99" s="1234">
        <v>65245293.57</v>
      </c>
      <c r="G99" s="1234">
        <v>212125611.96000001</v>
      </c>
      <c r="H99" s="1234"/>
      <c r="I99" s="1234">
        <v>256357272.49000001</v>
      </c>
      <c r="J99" s="1234"/>
      <c r="K99" s="1234">
        <v>304140709.45999998</v>
      </c>
      <c r="L99" s="1234"/>
      <c r="M99" s="1234">
        <f t="shared" ref="M99" si="5">ROUND(SUM(O99)-SUM(K99),2)</f>
        <v>36290099.259999998</v>
      </c>
      <c r="N99" s="1234"/>
      <c r="O99" s="1234">
        <v>340430808.72000003</v>
      </c>
      <c r="P99" s="3051"/>
      <c r="Q99" s="3034"/>
    </row>
    <row r="100" spans="2:17" s="3021" customFormat="1" ht="15.75">
      <c r="B100" s="3047">
        <v>32353</v>
      </c>
      <c r="C100" s="3048"/>
      <c r="D100" s="3049" t="s">
        <v>1442</v>
      </c>
      <c r="E100" s="3050"/>
      <c r="F100" s="1234"/>
      <c r="G100" s="1234">
        <v>0</v>
      </c>
      <c r="H100" s="1234"/>
      <c r="I100" s="1234">
        <v>0</v>
      </c>
      <c r="J100" s="1234"/>
      <c r="K100" s="1234">
        <v>0</v>
      </c>
      <c r="L100" s="1234"/>
      <c r="M100" s="1234">
        <f>ROUND(SUM(O100)-SUM(K100),2)</f>
        <v>0</v>
      </c>
      <c r="N100" s="1234"/>
      <c r="O100" s="1234">
        <v>0</v>
      </c>
      <c r="P100" s="3051"/>
      <c r="Q100" s="3034"/>
    </row>
    <row r="101" spans="2:17" s="3021" customFormat="1" ht="15.75">
      <c r="B101" s="3029">
        <v>33001</v>
      </c>
      <c r="C101" s="2989"/>
      <c r="D101" s="3030" t="s">
        <v>656</v>
      </c>
      <c r="E101" s="3045"/>
      <c r="F101" s="1234">
        <v>10000000</v>
      </c>
      <c r="G101" s="1234">
        <v>49501244.829999998</v>
      </c>
      <c r="H101" s="1234"/>
      <c r="I101" s="1234">
        <v>51563160.899999999</v>
      </c>
      <c r="J101" s="1234"/>
      <c r="K101" s="1234">
        <v>50141798.57</v>
      </c>
      <c r="L101" s="1234"/>
      <c r="M101" s="1234">
        <f t="shared" si="4"/>
        <v>350596.09</v>
      </c>
      <c r="N101" s="1234"/>
      <c r="O101" s="1234">
        <v>50492394.659999996</v>
      </c>
      <c r="P101" s="3041"/>
      <c r="Q101" s="3034"/>
    </row>
    <row r="102" spans="2:17" s="3021" customFormat="1" ht="16.5" thickBot="1">
      <c r="B102" s="3052"/>
      <c r="C102" s="3053"/>
      <c r="D102" s="3036" t="s">
        <v>657</v>
      </c>
      <c r="E102" s="3025"/>
      <c r="F102" s="3025"/>
      <c r="G102" s="1628">
        <f>ROUND(SUM(G14:G101),2)</f>
        <v>1240460851.9300001</v>
      </c>
      <c r="H102" s="2183"/>
      <c r="I102" s="1628">
        <f>ROUND(SUM(I14:I101),2)</f>
        <v>1320385301.8199999</v>
      </c>
      <c r="J102" s="2183"/>
      <c r="K102" s="1628">
        <f>ROUND(SUM(K14:K101),2)</f>
        <v>1437339216.4000001</v>
      </c>
      <c r="L102" s="2605"/>
      <c r="M102" s="1236">
        <f>ROUND(SUM(M14:M101),2)</f>
        <v>-173380484.58000001</v>
      </c>
      <c r="N102" s="2605"/>
      <c r="O102" s="1628">
        <f>ROUND(SUM(O14:O101),2)</f>
        <v>1263958731.8199999</v>
      </c>
      <c r="P102" s="3041"/>
      <c r="Q102" s="3034"/>
    </row>
    <row r="103" spans="2:17" s="3021" customFormat="1" ht="16.5" thickTop="1">
      <c r="B103" s="3054"/>
      <c r="C103" s="3054"/>
      <c r="D103" s="3055"/>
      <c r="E103" s="3028"/>
      <c r="F103" s="3028"/>
      <c r="G103" s="823"/>
      <c r="H103" s="824"/>
      <c r="I103" s="3056"/>
      <c r="J103" s="824"/>
      <c r="K103" s="3056"/>
      <c r="L103" s="824"/>
      <c r="M103" s="823"/>
      <c r="N103" s="824"/>
      <c r="O103" s="3056"/>
      <c r="P103" s="3057"/>
      <c r="Q103" s="3034"/>
    </row>
    <row r="104" spans="2:17" s="3021" customFormat="1" ht="15.75">
      <c r="B104" s="3022"/>
      <c r="C104" s="3053"/>
      <c r="D104" s="3058" t="s">
        <v>658</v>
      </c>
      <c r="E104" s="3059"/>
      <c r="F104" s="3059"/>
      <c r="G104" s="3060"/>
      <c r="H104" s="3060"/>
      <c r="I104" s="3061"/>
      <c r="J104" s="3060"/>
      <c r="K104" s="3061"/>
      <c r="L104" s="3060"/>
      <c r="M104" s="1527"/>
      <c r="N104" s="1527"/>
      <c r="O104" s="3061"/>
      <c r="P104" s="3028"/>
      <c r="Q104" s="3034"/>
    </row>
    <row r="105" spans="2:17" s="3221" customFormat="1" ht="15.75">
      <c r="B105" s="3029">
        <v>20401</v>
      </c>
      <c r="C105" s="3685"/>
      <c r="D105" s="3049" t="s">
        <v>1400</v>
      </c>
      <c r="E105" s="3686"/>
      <c r="F105" s="3686"/>
      <c r="G105" s="1234">
        <v>0</v>
      </c>
      <c r="H105" s="3242"/>
      <c r="I105" s="1234">
        <v>0</v>
      </c>
      <c r="J105" s="3242"/>
      <c r="K105" s="1234">
        <v>0</v>
      </c>
      <c r="L105" s="3242"/>
      <c r="M105" s="1234">
        <f t="shared" ref="M105:M168" si="6">ROUND(SUM(O105)-SUM(K105),2)</f>
        <v>0</v>
      </c>
      <c r="N105" s="3687"/>
      <c r="O105" s="1234">
        <v>0</v>
      </c>
      <c r="P105" s="3688"/>
      <c r="Q105" s="3220"/>
    </row>
    <row r="106" spans="2:17" s="3021" customFormat="1" ht="15.75">
      <c r="B106" s="3029">
        <v>20452</v>
      </c>
      <c r="C106" s="3022"/>
      <c r="D106" s="3030" t="s">
        <v>659</v>
      </c>
      <c r="E106" s="2592"/>
      <c r="F106" s="3022"/>
      <c r="G106" s="1234">
        <v>0</v>
      </c>
      <c r="H106" s="1234"/>
      <c r="I106" s="1234">
        <v>0</v>
      </c>
      <c r="J106" s="1234"/>
      <c r="K106" s="1234">
        <v>0</v>
      </c>
      <c r="L106" s="1234"/>
      <c r="M106" s="1234">
        <f t="shared" si="6"/>
        <v>0</v>
      </c>
      <c r="N106" s="1234"/>
      <c r="O106" s="1234">
        <v>0</v>
      </c>
      <c r="P106" s="3041"/>
      <c r="Q106" s="3034"/>
    </row>
    <row r="107" spans="2:17" s="3021" customFormat="1" ht="15.75">
      <c r="B107" s="3029">
        <v>20501</v>
      </c>
      <c r="C107" s="3062"/>
      <c r="D107" s="3030" t="s">
        <v>660</v>
      </c>
      <c r="E107" s="3063"/>
      <c r="F107" s="3063"/>
      <c r="G107" s="1234">
        <v>0</v>
      </c>
      <c r="H107" s="1234"/>
      <c r="I107" s="1234">
        <v>0</v>
      </c>
      <c r="J107" s="1234"/>
      <c r="K107" s="1234">
        <v>0</v>
      </c>
      <c r="L107" s="1234"/>
      <c r="M107" s="1234">
        <f t="shared" si="6"/>
        <v>0</v>
      </c>
      <c r="N107" s="1234"/>
      <c r="O107" s="1234">
        <v>0</v>
      </c>
      <c r="P107" s="3041"/>
      <c r="Q107" s="3034"/>
    </row>
    <row r="108" spans="2:17" s="3021" customFormat="1" ht="15.75">
      <c r="B108" s="3029">
        <v>20810</v>
      </c>
      <c r="C108" s="3043"/>
      <c r="D108" s="3064" t="s">
        <v>661</v>
      </c>
      <c r="E108" s="3045"/>
      <c r="F108" s="3045"/>
      <c r="G108" s="1234">
        <v>3518174.1</v>
      </c>
      <c r="H108" s="1234"/>
      <c r="I108" s="1234">
        <v>6065650.3600000003</v>
      </c>
      <c r="J108" s="1234"/>
      <c r="K108" s="1234">
        <v>85137572.739999995</v>
      </c>
      <c r="L108" s="1234"/>
      <c r="M108" s="1234">
        <f t="shared" si="6"/>
        <v>60877627.270000003</v>
      </c>
      <c r="N108" s="1234"/>
      <c r="O108" s="1234">
        <v>146015200.00999999</v>
      </c>
      <c r="P108" s="2213"/>
      <c r="Q108" s="3034"/>
    </row>
    <row r="109" spans="2:17" s="3021" customFormat="1" ht="15.75">
      <c r="B109" s="3029">
        <v>20818</v>
      </c>
      <c r="C109" s="3043"/>
      <c r="D109" s="3064" t="s">
        <v>662</v>
      </c>
      <c r="E109" s="3045"/>
      <c r="F109" s="3045"/>
      <c r="G109" s="1234">
        <v>0</v>
      </c>
      <c r="H109" s="1234"/>
      <c r="I109" s="1234">
        <v>0</v>
      </c>
      <c r="J109" s="1234"/>
      <c r="K109" s="1234">
        <v>1661511.82</v>
      </c>
      <c r="L109" s="1234"/>
      <c r="M109" s="1234">
        <f t="shared" si="6"/>
        <v>6743375.9199999999</v>
      </c>
      <c r="N109" s="1234"/>
      <c r="O109" s="1234">
        <v>8404887.7400000002</v>
      </c>
      <c r="P109" s="2213"/>
      <c r="Q109" s="3034"/>
    </row>
    <row r="110" spans="2:17" s="3021" customFormat="1" ht="15.75">
      <c r="B110" s="3029">
        <v>20901</v>
      </c>
      <c r="C110" s="3043"/>
      <c r="D110" s="3064" t="s">
        <v>663</v>
      </c>
      <c r="E110" s="3045"/>
      <c r="F110" s="3045"/>
      <c r="G110" s="1234">
        <v>1186420072.5899999</v>
      </c>
      <c r="H110" s="1234"/>
      <c r="I110" s="1234">
        <v>1028717790.91</v>
      </c>
      <c r="J110" s="1234"/>
      <c r="K110" s="1234">
        <v>868816291.61000001</v>
      </c>
      <c r="L110" s="1234"/>
      <c r="M110" s="1234">
        <f t="shared" si="6"/>
        <v>-201118094.37</v>
      </c>
      <c r="N110" s="1234"/>
      <c r="O110" s="1234">
        <v>667698197.24000001</v>
      </c>
      <c r="P110" s="2213"/>
      <c r="Q110" s="3034"/>
    </row>
    <row r="111" spans="2:17" s="3021" customFormat="1" ht="15.75">
      <c r="B111" s="3029">
        <v>20904</v>
      </c>
      <c r="C111" s="3065"/>
      <c r="D111" s="3066" t="s">
        <v>664</v>
      </c>
      <c r="E111" s="3050"/>
      <c r="F111" s="3050"/>
      <c r="G111" s="1234">
        <v>0</v>
      </c>
      <c r="H111" s="1234"/>
      <c r="I111" s="1234">
        <v>0</v>
      </c>
      <c r="J111" s="1234"/>
      <c r="K111" s="1234">
        <v>0</v>
      </c>
      <c r="L111" s="1234"/>
      <c r="M111" s="1234">
        <f t="shared" si="6"/>
        <v>0</v>
      </c>
      <c r="N111" s="1234"/>
      <c r="O111" s="1234">
        <v>0</v>
      </c>
      <c r="P111" s="2213"/>
      <c r="Q111" s="3034"/>
    </row>
    <row r="112" spans="2:17" s="3021" customFormat="1" ht="15.75">
      <c r="B112" s="3029">
        <v>21001</v>
      </c>
      <c r="C112" s="3043"/>
      <c r="D112" s="3067" t="s">
        <v>665</v>
      </c>
      <c r="E112" s="3045"/>
      <c r="F112" s="3045"/>
      <c r="G112" s="1234">
        <v>0</v>
      </c>
      <c r="H112" s="1234"/>
      <c r="I112" s="1234">
        <v>0</v>
      </c>
      <c r="J112" s="1234"/>
      <c r="K112" s="1234">
        <v>0</v>
      </c>
      <c r="L112" s="1234"/>
      <c r="M112" s="1234">
        <f t="shared" si="6"/>
        <v>0</v>
      </c>
      <c r="N112" s="1234"/>
      <c r="O112" s="1234">
        <v>0</v>
      </c>
      <c r="P112" s="2213"/>
      <c r="Q112" s="3034"/>
    </row>
    <row r="113" spans="2:17" s="3021" customFormat="1" ht="15.75">
      <c r="B113" s="3029">
        <v>21002</v>
      </c>
      <c r="C113" s="3043"/>
      <c r="D113" s="3064" t="s">
        <v>1347</v>
      </c>
      <c r="E113" s="3045"/>
      <c r="F113" s="3045"/>
      <c r="G113" s="1234">
        <v>3836597.46</v>
      </c>
      <c r="H113" s="1234"/>
      <c r="I113" s="1234">
        <v>3901061.04</v>
      </c>
      <c r="J113" s="1234"/>
      <c r="K113" s="1234">
        <v>3965524.62</v>
      </c>
      <c r="L113" s="1234"/>
      <c r="M113" s="1234">
        <f t="shared" si="6"/>
        <v>89966.23</v>
      </c>
      <c r="N113" s="1234"/>
      <c r="O113" s="1234">
        <v>4055490.85</v>
      </c>
      <c r="P113" s="2213"/>
      <c r="Q113" s="3034"/>
    </row>
    <row r="114" spans="2:17" s="3021" customFormat="1" ht="15.75">
      <c r="B114" s="3029">
        <v>21061</v>
      </c>
      <c r="C114" s="3043"/>
      <c r="D114" s="3064" t="s">
        <v>666</v>
      </c>
      <c r="E114" s="3045"/>
      <c r="F114" s="3045"/>
      <c r="G114" s="1234">
        <v>0</v>
      </c>
      <c r="H114" s="1234"/>
      <c r="I114" s="1234">
        <v>0</v>
      </c>
      <c r="J114" s="1234"/>
      <c r="K114" s="1234">
        <v>0</v>
      </c>
      <c r="L114" s="1234"/>
      <c r="M114" s="1234">
        <f t="shared" si="6"/>
        <v>0</v>
      </c>
      <c r="N114" s="1234"/>
      <c r="O114" s="1234">
        <v>0</v>
      </c>
      <c r="P114" s="2213"/>
      <c r="Q114" s="3034"/>
    </row>
    <row r="115" spans="2:17" s="3021" customFormat="1" ht="15.75">
      <c r="B115" s="3029">
        <v>21064</v>
      </c>
      <c r="C115" s="3043"/>
      <c r="D115" s="3064" t="s">
        <v>1328</v>
      </c>
      <c r="E115" s="3045"/>
      <c r="F115" s="3045"/>
      <c r="G115" s="1234">
        <v>1672200</v>
      </c>
      <c r="H115" s="1234"/>
      <c r="I115" s="1234">
        <v>1672200</v>
      </c>
      <c r="J115" s="1234"/>
      <c r="K115" s="1234">
        <v>1672200</v>
      </c>
      <c r="L115" s="1234"/>
      <c r="M115" s="1234">
        <f t="shared" ref="M115" si="7">ROUND(SUM(O115)-SUM(K115),2)</f>
        <v>0</v>
      </c>
      <c r="N115" s="1234"/>
      <c r="O115" s="1234">
        <v>1672200</v>
      </c>
      <c r="P115" s="2213"/>
      <c r="Q115" s="3034"/>
    </row>
    <row r="116" spans="2:17" s="3021" customFormat="1" ht="15.75">
      <c r="B116" s="3029">
        <v>21065</v>
      </c>
      <c r="C116" s="3043"/>
      <c r="D116" s="3064" t="s">
        <v>667</v>
      </c>
      <c r="E116" s="3045"/>
      <c r="F116" s="3045"/>
      <c r="G116" s="1234">
        <v>1171608.93</v>
      </c>
      <c r="H116" s="1234"/>
      <c r="I116" s="1234">
        <v>1793264.08</v>
      </c>
      <c r="J116" s="1234"/>
      <c r="K116" s="1234">
        <v>251602.83</v>
      </c>
      <c r="L116" s="1234"/>
      <c r="M116" s="1234">
        <f t="shared" si="6"/>
        <v>2261817.48</v>
      </c>
      <c r="N116" s="1234"/>
      <c r="O116" s="1234">
        <v>2513420.31</v>
      </c>
      <c r="P116" s="2213"/>
      <c r="Q116" s="3034"/>
    </row>
    <row r="117" spans="2:17" s="3021" customFormat="1" ht="15.75">
      <c r="B117" s="3029">
        <v>21066</v>
      </c>
      <c r="C117" s="3043"/>
      <c r="D117" s="3044" t="s">
        <v>668</v>
      </c>
      <c r="E117" s="3045"/>
      <c r="F117" s="3045"/>
      <c r="G117" s="1234">
        <v>4052537.06</v>
      </c>
      <c r="H117" s="1234"/>
      <c r="I117" s="1234">
        <v>3732771.93</v>
      </c>
      <c r="J117" s="1234"/>
      <c r="K117" s="1234">
        <v>4007448.72</v>
      </c>
      <c r="L117" s="1234"/>
      <c r="M117" s="1234">
        <f t="shared" si="6"/>
        <v>261076.96</v>
      </c>
      <c r="N117" s="1234"/>
      <c r="O117" s="1234">
        <v>4268525.68</v>
      </c>
      <c r="P117" s="2213"/>
      <c r="Q117" s="3034"/>
    </row>
    <row r="118" spans="2:17" s="3021" customFormat="1" ht="15.75">
      <c r="B118" s="3029">
        <v>21067</v>
      </c>
      <c r="C118" s="3043"/>
      <c r="D118" s="3044" t="s">
        <v>669</v>
      </c>
      <c r="E118" s="3045"/>
      <c r="F118" s="3045"/>
      <c r="G118" s="1234">
        <v>0</v>
      </c>
      <c r="H118" s="1234"/>
      <c r="I118" s="1234">
        <v>0</v>
      </c>
      <c r="J118" s="1234"/>
      <c r="K118" s="1234">
        <v>0</v>
      </c>
      <c r="L118" s="1234"/>
      <c r="M118" s="1234">
        <f t="shared" si="6"/>
        <v>0</v>
      </c>
      <c r="N118" s="1234"/>
      <c r="O118" s="1234">
        <v>0</v>
      </c>
      <c r="P118" s="2213"/>
      <c r="Q118" s="3034"/>
    </row>
    <row r="119" spans="2:17" s="3021" customFormat="1" ht="15.75">
      <c r="B119" s="3029">
        <v>21077</v>
      </c>
      <c r="C119" s="3043"/>
      <c r="D119" s="3064" t="s">
        <v>670</v>
      </c>
      <c r="E119" s="3045"/>
      <c r="F119" s="3045"/>
      <c r="G119" s="1234">
        <v>0</v>
      </c>
      <c r="H119" s="1234"/>
      <c r="I119" s="1234">
        <v>0</v>
      </c>
      <c r="J119" s="1234"/>
      <c r="K119" s="1234">
        <v>0</v>
      </c>
      <c r="L119" s="1234"/>
      <c r="M119" s="1234">
        <f t="shared" si="6"/>
        <v>0</v>
      </c>
      <c r="N119" s="1234"/>
      <c r="O119" s="1234">
        <v>0</v>
      </c>
      <c r="P119" s="2213"/>
      <c r="Q119" s="3034"/>
    </row>
    <row r="120" spans="2:17" s="3021" customFormat="1" ht="15.75">
      <c r="B120" s="3029">
        <v>21081</v>
      </c>
      <c r="C120" s="3043"/>
      <c r="D120" s="3044" t="s">
        <v>671</v>
      </c>
      <c r="E120" s="3045"/>
      <c r="F120" s="3045"/>
      <c r="G120" s="1234">
        <v>54527480.899999999</v>
      </c>
      <c r="H120" s="1234"/>
      <c r="I120" s="1234">
        <v>52133743.189999998</v>
      </c>
      <c r="J120" s="1234"/>
      <c r="K120" s="1234">
        <v>55106075.880000003</v>
      </c>
      <c r="L120" s="1234"/>
      <c r="M120" s="1234">
        <f t="shared" si="6"/>
        <v>-369109.52</v>
      </c>
      <c r="N120" s="1234"/>
      <c r="O120" s="1234">
        <v>54736966.359999999</v>
      </c>
      <c r="P120" s="2213"/>
      <c r="Q120" s="3034"/>
    </row>
    <row r="121" spans="2:17" s="3021" customFormat="1" ht="15.75">
      <c r="B121" s="3029">
        <v>21082</v>
      </c>
      <c r="C121" s="3043"/>
      <c r="D121" s="3064" t="s">
        <v>672</v>
      </c>
      <c r="E121" s="3045"/>
      <c r="F121" s="3045"/>
      <c r="G121" s="1234">
        <v>12884519.189999999</v>
      </c>
      <c r="H121" s="1234"/>
      <c r="I121" s="1234">
        <v>13048633.439999999</v>
      </c>
      <c r="J121" s="1234"/>
      <c r="K121" s="1234">
        <v>13338043.810000001</v>
      </c>
      <c r="L121" s="1234"/>
      <c r="M121" s="1234">
        <f t="shared" si="6"/>
        <v>274523.71000000002</v>
      </c>
      <c r="N121" s="1234"/>
      <c r="O121" s="1234">
        <v>13612567.52</v>
      </c>
      <c r="P121" s="2213"/>
      <c r="Q121" s="3034"/>
    </row>
    <row r="122" spans="2:17" s="3021" customFormat="1" ht="15.75">
      <c r="B122" s="3029">
        <v>21084</v>
      </c>
      <c r="C122" s="3043"/>
      <c r="D122" s="3064" t="s">
        <v>673</v>
      </c>
      <c r="E122" s="3045"/>
      <c r="F122" s="3045"/>
      <c r="G122" s="1234">
        <v>0</v>
      </c>
      <c r="H122" s="1234"/>
      <c r="I122" s="1234">
        <v>0</v>
      </c>
      <c r="J122" s="1234"/>
      <c r="K122" s="1234">
        <v>0</v>
      </c>
      <c r="L122" s="1234"/>
      <c r="M122" s="1234">
        <f t="shared" si="6"/>
        <v>0</v>
      </c>
      <c r="N122" s="1234"/>
      <c r="O122" s="1234">
        <v>0</v>
      </c>
      <c r="P122" s="2213"/>
      <c r="Q122" s="3034"/>
    </row>
    <row r="123" spans="2:17" s="3021" customFormat="1" ht="15.75">
      <c r="B123" s="3029">
        <v>21087</v>
      </c>
      <c r="C123" s="3043"/>
      <c r="D123" s="3064" t="s">
        <v>674</v>
      </c>
      <c r="E123" s="3045"/>
      <c r="F123" s="3045"/>
      <c r="G123" s="1234">
        <v>0</v>
      </c>
      <c r="H123" s="1234"/>
      <c r="I123" s="1234">
        <v>0</v>
      </c>
      <c r="J123" s="1234"/>
      <c r="K123" s="1234">
        <v>0</v>
      </c>
      <c r="L123" s="1234"/>
      <c r="M123" s="1234">
        <f t="shared" si="6"/>
        <v>0</v>
      </c>
      <c r="N123" s="1234"/>
      <c r="O123" s="1234">
        <v>0</v>
      </c>
      <c r="P123" s="2213"/>
      <c r="Q123" s="3034"/>
    </row>
    <row r="124" spans="2:17" s="3021" customFormat="1" ht="15.75">
      <c r="B124" s="3029">
        <v>21201</v>
      </c>
      <c r="C124" s="3043"/>
      <c r="D124" s="3064" t="s">
        <v>675</v>
      </c>
      <c r="E124" s="3045"/>
      <c r="F124" s="3045"/>
      <c r="G124" s="1234">
        <v>68.64</v>
      </c>
      <c r="H124" s="1234"/>
      <c r="I124" s="1234">
        <v>15971.23</v>
      </c>
      <c r="J124" s="1234"/>
      <c r="K124" s="1234">
        <v>0</v>
      </c>
      <c r="L124" s="1234"/>
      <c r="M124" s="1234">
        <f t="shared" si="6"/>
        <v>0</v>
      </c>
      <c r="N124" s="1234"/>
      <c r="O124" s="1234">
        <v>0</v>
      </c>
      <c r="P124" s="2213"/>
      <c r="Q124" s="3034"/>
    </row>
    <row r="125" spans="2:17" s="3021" customFormat="1" ht="15.75">
      <c r="B125" s="3029">
        <v>21202</v>
      </c>
      <c r="C125" s="3043"/>
      <c r="D125" s="3064" t="s">
        <v>676</v>
      </c>
      <c r="E125" s="3045"/>
      <c r="F125" s="3045"/>
      <c r="G125" s="1234">
        <v>0</v>
      </c>
      <c r="H125" s="1234"/>
      <c r="I125" s="1234">
        <v>3545.6</v>
      </c>
      <c r="J125" s="1234"/>
      <c r="K125" s="1234">
        <v>0</v>
      </c>
      <c r="L125" s="1234"/>
      <c r="M125" s="1234">
        <f t="shared" si="6"/>
        <v>0</v>
      </c>
      <c r="N125" s="1234"/>
      <c r="O125" s="1234">
        <v>0</v>
      </c>
      <c r="P125" s="2213"/>
      <c r="Q125" s="3034"/>
    </row>
    <row r="126" spans="2:17" s="3021" customFormat="1" ht="15.75">
      <c r="B126" s="3029">
        <v>21203</v>
      </c>
      <c r="C126" s="3043"/>
      <c r="D126" s="3064" t="s">
        <v>677</v>
      </c>
      <c r="E126" s="3045"/>
      <c r="F126" s="3045"/>
      <c r="G126" s="1234">
        <v>0</v>
      </c>
      <c r="H126" s="1234"/>
      <c r="I126" s="1234">
        <v>435038.87</v>
      </c>
      <c r="J126" s="1234"/>
      <c r="K126" s="1234">
        <v>573.66</v>
      </c>
      <c r="L126" s="1234"/>
      <c r="M126" s="1234">
        <f t="shared" si="6"/>
        <v>3967.82</v>
      </c>
      <c r="N126" s="1234"/>
      <c r="O126" s="1234">
        <v>4541.4799999999996</v>
      </c>
      <c r="P126" s="2213"/>
      <c r="Q126" s="3034"/>
    </row>
    <row r="127" spans="2:17" s="3021" customFormat="1" ht="15.75">
      <c r="B127" s="3029">
        <v>21204</v>
      </c>
      <c r="C127" s="3043"/>
      <c r="D127" s="3064" t="s">
        <v>678</v>
      </c>
      <c r="E127" s="3045"/>
      <c r="F127" s="3045"/>
      <c r="G127" s="1234">
        <v>0</v>
      </c>
      <c r="H127" s="1234"/>
      <c r="I127" s="1234">
        <v>0</v>
      </c>
      <c r="J127" s="1234"/>
      <c r="K127" s="1234">
        <v>0</v>
      </c>
      <c r="L127" s="1234"/>
      <c r="M127" s="1234">
        <f t="shared" si="6"/>
        <v>0</v>
      </c>
      <c r="N127" s="1234"/>
      <c r="O127" s="1234">
        <v>0</v>
      </c>
      <c r="P127" s="2213"/>
      <c r="Q127" s="3034"/>
    </row>
    <row r="128" spans="2:17" s="3021" customFormat="1" ht="15.75">
      <c r="B128" s="3029">
        <v>21205</v>
      </c>
      <c r="C128" s="3043"/>
      <c r="D128" s="3064" t="s">
        <v>679</v>
      </c>
      <c r="E128" s="3045"/>
      <c r="F128" s="3045"/>
      <c r="G128" s="1234">
        <v>0</v>
      </c>
      <c r="H128" s="1234"/>
      <c r="I128" s="1234">
        <v>0</v>
      </c>
      <c r="J128" s="1234"/>
      <c r="K128" s="1234">
        <v>0</v>
      </c>
      <c r="L128" s="1234"/>
      <c r="M128" s="1234">
        <f t="shared" si="6"/>
        <v>0</v>
      </c>
      <c r="N128" s="1234"/>
      <c r="O128" s="1234">
        <v>0</v>
      </c>
      <c r="P128" s="2213"/>
      <c r="Q128" s="3034"/>
    </row>
    <row r="129" spans="2:17" s="3021" customFormat="1" ht="15.75">
      <c r="B129" s="3047">
        <v>21401</v>
      </c>
      <c r="C129" s="3065"/>
      <c r="D129" s="3068" t="s">
        <v>680</v>
      </c>
      <c r="E129" s="3050"/>
      <c r="F129" s="3050"/>
      <c r="G129" s="1234">
        <v>0</v>
      </c>
      <c r="H129" s="1234"/>
      <c r="I129" s="1234">
        <v>0</v>
      </c>
      <c r="J129" s="1234"/>
      <c r="K129" s="1234">
        <v>0</v>
      </c>
      <c r="L129" s="1234"/>
      <c r="M129" s="1234">
        <f t="shared" si="6"/>
        <v>0</v>
      </c>
      <c r="N129" s="1234"/>
      <c r="O129" s="1234">
        <v>0</v>
      </c>
      <c r="P129" s="2213"/>
      <c r="Q129" s="3034"/>
    </row>
    <row r="130" spans="2:17" s="3021" customFormat="1" ht="15.75">
      <c r="B130" s="3047">
        <v>21402</v>
      </c>
      <c r="C130" s="3065"/>
      <c r="D130" s="3068" t="s">
        <v>681</v>
      </c>
      <c r="E130" s="3050"/>
      <c r="F130" s="3050"/>
      <c r="G130" s="1234">
        <v>0</v>
      </c>
      <c r="H130" s="1234"/>
      <c r="I130" s="1234">
        <v>131523653.7</v>
      </c>
      <c r="J130" s="1234"/>
      <c r="K130" s="1234">
        <v>358742781.70999998</v>
      </c>
      <c r="L130" s="1234"/>
      <c r="M130" s="1234">
        <f t="shared" si="6"/>
        <v>-109124929.97</v>
      </c>
      <c r="N130" s="1234"/>
      <c r="O130" s="1234">
        <v>249617851.74000001</v>
      </c>
      <c r="P130" s="2213"/>
      <c r="Q130" s="3034"/>
    </row>
    <row r="131" spans="2:17" s="3021" customFormat="1" ht="15.75">
      <c r="B131" s="3029">
        <v>21451</v>
      </c>
      <c r="C131" s="3043"/>
      <c r="D131" s="3044" t="s">
        <v>682</v>
      </c>
      <c r="E131" s="3045"/>
      <c r="F131" s="3045"/>
      <c r="G131" s="1234">
        <v>24893143.960000001</v>
      </c>
      <c r="H131" s="1234"/>
      <c r="I131" s="1234">
        <v>28429771.260000002</v>
      </c>
      <c r="J131" s="1234"/>
      <c r="K131" s="1234">
        <v>28958353.100000001</v>
      </c>
      <c r="L131" s="1234"/>
      <c r="M131" s="1234">
        <f t="shared" si="6"/>
        <v>725952.85</v>
      </c>
      <c r="N131" s="1234"/>
      <c r="O131" s="1234">
        <v>29684305.949999999</v>
      </c>
      <c r="P131" s="2213"/>
      <c r="Q131" s="3034"/>
    </row>
    <row r="132" spans="2:17" s="3021" customFormat="1" ht="15.75">
      <c r="B132" s="3029">
        <v>21452</v>
      </c>
      <c r="C132" s="3043"/>
      <c r="D132" s="3064" t="s">
        <v>683</v>
      </c>
      <c r="E132" s="3045"/>
      <c r="F132" s="3045"/>
      <c r="G132" s="1234">
        <v>4440996.0999999996</v>
      </c>
      <c r="H132" s="1234"/>
      <c r="I132" s="1234">
        <v>3436670.45</v>
      </c>
      <c r="J132" s="1234"/>
      <c r="K132" s="1234">
        <v>5505463.3600000003</v>
      </c>
      <c r="L132" s="1234"/>
      <c r="M132" s="1234">
        <f t="shared" si="6"/>
        <v>-3553433.38</v>
      </c>
      <c r="N132" s="1234"/>
      <c r="O132" s="1234">
        <v>1952029.98</v>
      </c>
      <c r="P132" s="2213"/>
      <c r="Q132" s="3034"/>
    </row>
    <row r="133" spans="2:17" s="3021" customFormat="1" ht="15.75">
      <c r="B133" s="3029">
        <v>21902</v>
      </c>
      <c r="C133" s="3043"/>
      <c r="D133" s="3044" t="s">
        <v>1266</v>
      </c>
      <c r="E133" s="3045"/>
      <c r="F133" s="3045"/>
      <c r="G133" s="1234">
        <v>0</v>
      </c>
      <c r="H133" s="1234"/>
      <c r="I133" s="1234">
        <v>0</v>
      </c>
      <c r="J133" s="1234"/>
      <c r="K133" s="1234">
        <v>0</v>
      </c>
      <c r="L133" s="1234"/>
      <c r="M133" s="1234">
        <f t="shared" si="6"/>
        <v>0</v>
      </c>
      <c r="N133" s="1234"/>
      <c r="O133" s="1234">
        <v>0</v>
      </c>
      <c r="P133" s="2213"/>
      <c r="Q133" s="3034"/>
    </row>
    <row r="134" spans="2:17" s="3021" customFormat="1" ht="15.75">
      <c r="B134" s="3029">
        <v>21905</v>
      </c>
      <c r="C134" s="3043"/>
      <c r="D134" s="3232" t="s">
        <v>1269</v>
      </c>
      <c r="E134" s="3045"/>
      <c r="F134" s="3045"/>
      <c r="G134" s="1234">
        <v>8045774.9199999999</v>
      </c>
      <c r="H134" s="1234"/>
      <c r="I134" s="1234">
        <v>12364465.48</v>
      </c>
      <c r="J134" s="1234"/>
      <c r="K134" s="1234">
        <v>12171679.42</v>
      </c>
      <c r="L134" s="1234"/>
      <c r="M134" s="1234">
        <f t="shared" si="6"/>
        <v>-5497321.7300000004</v>
      </c>
      <c r="N134" s="1234"/>
      <c r="O134" s="1234">
        <v>6674357.6900000004</v>
      </c>
      <c r="P134" s="2213"/>
      <c r="Q134" s="3034"/>
    </row>
    <row r="135" spans="2:17" s="3021" customFormat="1" ht="15.75">
      <c r="B135" s="3029">
        <v>21907</v>
      </c>
      <c r="C135" s="3043"/>
      <c r="D135" s="3064" t="s">
        <v>684</v>
      </c>
      <c r="E135" s="3045"/>
      <c r="F135" s="3045"/>
      <c r="G135" s="1234">
        <v>0</v>
      </c>
      <c r="H135" s="1234"/>
      <c r="I135" s="1234">
        <v>0</v>
      </c>
      <c r="J135" s="1234"/>
      <c r="K135" s="1234">
        <v>0</v>
      </c>
      <c r="L135" s="1234"/>
      <c r="M135" s="1234">
        <f t="shared" si="6"/>
        <v>0</v>
      </c>
      <c r="N135" s="1234"/>
      <c r="O135" s="1234">
        <v>0</v>
      </c>
      <c r="P135" s="2213"/>
      <c r="Q135" s="3034"/>
    </row>
    <row r="136" spans="2:17" s="3021" customFormat="1" ht="15.75">
      <c r="B136" s="3029">
        <v>21909</v>
      </c>
      <c r="C136" s="3043"/>
      <c r="D136" s="3064" t="s">
        <v>685</v>
      </c>
      <c r="E136" s="3045"/>
      <c r="F136" s="3045"/>
      <c r="G136" s="1234">
        <v>0</v>
      </c>
      <c r="H136" s="1234"/>
      <c r="I136" s="1234">
        <v>0</v>
      </c>
      <c r="J136" s="1234"/>
      <c r="K136" s="1234">
        <v>0</v>
      </c>
      <c r="L136" s="1234"/>
      <c r="M136" s="1234">
        <f t="shared" si="6"/>
        <v>0</v>
      </c>
      <c r="N136" s="1234"/>
      <c r="O136" s="1234">
        <v>0</v>
      </c>
      <c r="P136" s="2213"/>
      <c r="Q136" s="3034"/>
    </row>
    <row r="137" spans="2:17" s="3021" customFormat="1" ht="15.75">
      <c r="B137" s="3029">
        <v>21911</v>
      </c>
      <c r="C137" s="3043"/>
      <c r="D137" s="3064" t="s">
        <v>686</v>
      </c>
      <c r="E137" s="3045"/>
      <c r="F137" s="3045"/>
      <c r="G137" s="1234">
        <v>234523.16</v>
      </c>
      <c r="H137" s="1234"/>
      <c r="I137" s="1234">
        <v>468407.45</v>
      </c>
      <c r="J137" s="1234"/>
      <c r="K137" s="1234">
        <v>638271.39</v>
      </c>
      <c r="L137" s="1234"/>
      <c r="M137" s="1234">
        <f t="shared" si="6"/>
        <v>310742.59999999998</v>
      </c>
      <c r="N137" s="1234"/>
      <c r="O137" s="1234">
        <v>949013.99</v>
      </c>
      <c r="P137" s="2213"/>
      <c r="Q137" s="3034"/>
    </row>
    <row r="138" spans="2:17" s="3021" customFormat="1" ht="15.75">
      <c r="B138" s="3029">
        <v>21912</v>
      </c>
      <c r="C138" s="3043"/>
      <c r="D138" s="3044" t="s">
        <v>687</v>
      </c>
      <c r="E138" s="3045"/>
      <c r="F138" s="3045"/>
      <c r="G138" s="1234">
        <v>1819601.98</v>
      </c>
      <c r="H138" s="1234"/>
      <c r="I138" s="1234">
        <v>2298616.56</v>
      </c>
      <c r="J138" s="1234"/>
      <c r="K138" s="1234">
        <v>2473872.0299999998</v>
      </c>
      <c r="L138" s="1234"/>
      <c r="M138" s="1234">
        <f t="shared" si="6"/>
        <v>-362159.18</v>
      </c>
      <c r="N138" s="1234"/>
      <c r="O138" s="1234">
        <v>2111712.85</v>
      </c>
      <c r="P138" s="2213"/>
      <c r="Q138" s="3034"/>
    </row>
    <row r="139" spans="2:17" s="3021" customFormat="1" ht="15.75">
      <c r="B139" s="3029">
        <v>21913</v>
      </c>
      <c r="C139" s="3043"/>
      <c r="D139" s="3064" t="s">
        <v>975</v>
      </c>
      <c r="E139" s="3045"/>
      <c r="F139" s="3045"/>
      <c r="G139" s="1234">
        <v>0</v>
      </c>
      <c r="H139" s="1234"/>
      <c r="I139" s="1234">
        <v>0</v>
      </c>
      <c r="J139" s="1234"/>
      <c r="K139" s="1234">
        <v>0</v>
      </c>
      <c r="L139" s="1234"/>
      <c r="M139" s="1234">
        <f t="shared" si="6"/>
        <v>0</v>
      </c>
      <c r="N139" s="1234"/>
      <c r="O139" s="1234">
        <v>0</v>
      </c>
      <c r="P139" s="2213"/>
      <c r="Q139" s="3034"/>
    </row>
    <row r="140" spans="2:17" s="3021" customFormat="1" ht="15.75">
      <c r="B140" s="3029">
        <v>21937</v>
      </c>
      <c r="C140" s="3043"/>
      <c r="D140" s="3064" t="s">
        <v>688</v>
      </c>
      <c r="E140" s="3045"/>
      <c r="F140" s="3045"/>
      <c r="G140" s="1234">
        <v>185757.35</v>
      </c>
      <c r="H140" s="1234"/>
      <c r="I140" s="1234">
        <v>209701.05</v>
      </c>
      <c r="J140" s="1234"/>
      <c r="K140" s="1234">
        <v>130609.92</v>
      </c>
      <c r="L140" s="1234"/>
      <c r="M140" s="1234">
        <f t="shared" si="6"/>
        <v>65806.28</v>
      </c>
      <c r="N140" s="1234"/>
      <c r="O140" s="1234">
        <v>196416.2</v>
      </c>
      <c r="P140" s="2213"/>
      <c r="Q140" s="3034"/>
    </row>
    <row r="141" spans="2:17" s="3021" customFormat="1" ht="15.75">
      <c r="B141" s="3029">
        <v>21945</v>
      </c>
      <c r="C141" s="3043"/>
      <c r="D141" s="3044" t="s">
        <v>689</v>
      </c>
      <c r="E141" s="3045"/>
      <c r="F141" s="3045"/>
      <c r="G141" s="1234">
        <v>0</v>
      </c>
      <c r="H141" s="1234"/>
      <c r="I141" s="1234">
        <v>0</v>
      </c>
      <c r="J141" s="1234"/>
      <c r="K141" s="1234">
        <v>0</v>
      </c>
      <c r="L141" s="1234"/>
      <c r="M141" s="1234">
        <f t="shared" si="6"/>
        <v>0</v>
      </c>
      <c r="N141" s="1234"/>
      <c r="O141" s="1234">
        <v>0</v>
      </c>
      <c r="P141" s="2213"/>
      <c r="Q141" s="3034"/>
    </row>
    <row r="142" spans="2:17" s="3021" customFormat="1" ht="15.75">
      <c r="B142" s="3029">
        <v>21959</v>
      </c>
      <c r="C142" s="3043"/>
      <c r="D142" s="3064" t="s">
        <v>690</v>
      </c>
      <c r="E142" s="3045"/>
      <c r="F142" s="3045"/>
      <c r="G142" s="1234">
        <v>0</v>
      </c>
      <c r="H142" s="1234"/>
      <c r="I142" s="1234">
        <v>0</v>
      </c>
      <c r="J142" s="1234"/>
      <c r="K142" s="1234">
        <v>0</v>
      </c>
      <c r="L142" s="1234"/>
      <c r="M142" s="1234">
        <f t="shared" si="6"/>
        <v>0</v>
      </c>
      <c r="N142" s="1234"/>
      <c r="O142" s="1234">
        <v>0</v>
      </c>
      <c r="P142" s="2213"/>
      <c r="Q142" s="3034"/>
    </row>
    <row r="143" spans="2:17" s="3221" customFormat="1" ht="15.75">
      <c r="B143" s="3047">
        <v>21961</v>
      </c>
      <c r="C143" s="3065"/>
      <c r="D143" s="3066" t="s">
        <v>1401</v>
      </c>
      <c r="E143" s="3050"/>
      <c r="F143" s="3050"/>
      <c r="G143" s="1234">
        <v>567885.41</v>
      </c>
      <c r="H143" s="1234"/>
      <c r="I143" s="1234">
        <v>498612.55</v>
      </c>
      <c r="J143" s="1234"/>
      <c r="K143" s="1234">
        <v>392187.75</v>
      </c>
      <c r="L143" s="1234"/>
      <c r="M143" s="1234">
        <f t="shared" si="6"/>
        <v>50902.81</v>
      </c>
      <c r="N143" s="1234"/>
      <c r="O143" s="1234">
        <v>443090.56</v>
      </c>
      <c r="P143" s="2213"/>
      <c r="Q143" s="3220"/>
    </row>
    <row r="144" spans="2:17" s="3021" customFormat="1" ht="15.75">
      <c r="B144" s="3029">
        <v>21962</v>
      </c>
      <c r="C144" s="3043"/>
      <c r="D144" s="3064" t="s">
        <v>691</v>
      </c>
      <c r="E144" s="3045"/>
      <c r="F144" s="3045"/>
      <c r="G144" s="1234">
        <v>9457941.6199999992</v>
      </c>
      <c r="H144" s="1234"/>
      <c r="I144" s="1234">
        <v>10295608.82</v>
      </c>
      <c r="J144" s="1234"/>
      <c r="K144" s="1234">
        <v>10898480.76</v>
      </c>
      <c r="L144" s="1234"/>
      <c r="M144" s="1234">
        <f t="shared" si="6"/>
        <v>-1074228.6299999999</v>
      </c>
      <c r="N144" s="1234"/>
      <c r="O144" s="1234">
        <v>9824252.1300000008</v>
      </c>
      <c r="P144" s="2213"/>
      <c r="Q144" s="3034"/>
    </row>
    <row r="145" spans="2:17" s="3021" customFormat="1" ht="15.75">
      <c r="B145" s="3029">
        <v>21978</v>
      </c>
      <c r="C145" s="3043"/>
      <c r="D145" s="3044" t="s">
        <v>692</v>
      </c>
      <c r="E145" s="3045"/>
      <c r="F145" s="3045"/>
      <c r="G145" s="1234">
        <v>0</v>
      </c>
      <c r="H145" s="1234"/>
      <c r="I145" s="1234">
        <v>0</v>
      </c>
      <c r="J145" s="1234"/>
      <c r="K145" s="1234">
        <v>0</v>
      </c>
      <c r="L145" s="1234"/>
      <c r="M145" s="1234">
        <f t="shared" si="6"/>
        <v>0</v>
      </c>
      <c r="N145" s="1234"/>
      <c r="O145" s="1234">
        <v>0</v>
      </c>
      <c r="P145" s="2213"/>
      <c r="Q145" s="3034"/>
    </row>
    <row r="146" spans="2:17" s="3021" customFormat="1" ht="15.75">
      <c r="B146" s="3029">
        <v>21979</v>
      </c>
      <c r="C146" s="3043"/>
      <c r="D146" s="3044" t="s">
        <v>693</v>
      </c>
      <c r="E146" s="3045"/>
      <c r="F146" s="3045"/>
      <c r="G146" s="1234">
        <v>0</v>
      </c>
      <c r="H146" s="1234"/>
      <c r="I146" s="1234">
        <v>0</v>
      </c>
      <c r="J146" s="1234"/>
      <c r="K146" s="1234">
        <v>0</v>
      </c>
      <c r="L146" s="1234"/>
      <c r="M146" s="1234">
        <f t="shared" si="6"/>
        <v>0</v>
      </c>
      <c r="N146" s="1234"/>
      <c r="O146" s="1234">
        <v>0</v>
      </c>
      <c r="P146" s="2213"/>
      <c r="Q146" s="3034"/>
    </row>
    <row r="147" spans="2:17" s="3021" customFormat="1" ht="15.75">
      <c r="B147" s="3029">
        <v>21989</v>
      </c>
      <c r="C147" s="3043"/>
      <c r="D147" s="3044" t="s">
        <v>694</v>
      </c>
      <c r="E147" s="3045"/>
      <c r="F147" s="3045"/>
      <c r="G147" s="1234">
        <v>0</v>
      </c>
      <c r="H147" s="1234"/>
      <c r="I147" s="1234">
        <v>0</v>
      </c>
      <c r="J147" s="1234"/>
      <c r="K147" s="1234">
        <v>0</v>
      </c>
      <c r="L147" s="1234"/>
      <c r="M147" s="1234">
        <f t="shared" si="6"/>
        <v>0</v>
      </c>
      <c r="N147" s="1234"/>
      <c r="O147" s="1234">
        <v>0</v>
      </c>
      <c r="P147" s="2213"/>
      <c r="Q147" s="3034"/>
    </row>
    <row r="148" spans="2:17" s="3021" customFormat="1" ht="15.75">
      <c r="B148" s="3029">
        <v>22003</v>
      </c>
      <c r="C148" s="3043"/>
      <c r="D148" s="3044" t="s">
        <v>695</v>
      </c>
      <c r="E148" s="3045"/>
      <c r="F148" s="3045"/>
      <c r="G148" s="1234">
        <v>0</v>
      </c>
      <c r="H148" s="1234"/>
      <c r="I148" s="1234">
        <v>0</v>
      </c>
      <c r="J148" s="1234"/>
      <c r="K148" s="1234">
        <v>0</v>
      </c>
      <c r="L148" s="1234"/>
      <c r="M148" s="1234">
        <f t="shared" si="6"/>
        <v>0</v>
      </c>
      <c r="N148" s="1234"/>
      <c r="O148" s="1234">
        <v>0</v>
      </c>
      <c r="P148" s="2213"/>
      <c r="Q148" s="3034"/>
    </row>
    <row r="149" spans="2:17" s="3021" customFormat="1" ht="15.75">
      <c r="B149" s="3029">
        <v>22004</v>
      </c>
      <c r="C149" s="3043"/>
      <c r="D149" s="3064" t="s">
        <v>696</v>
      </c>
      <c r="E149" s="3045"/>
      <c r="F149" s="3045"/>
      <c r="G149" s="1234">
        <v>0</v>
      </c>
      <c r="H149" s="1234"/>
      <c r="I149" s="1234">
        <v>0</v>
      </c>
      <c r="J149" s="1234"/>
      <c r="K149" s="1234">
        <v>0</v>
      </c>
      <c r="L149" s="1234"/>
      <c r="M149" s="1234">
        <f t="shared" si="6"/>
        <v>0</v>
      </c>
      <c r="N149" s="1234"/>
      <c r="O149" s="1234">
        <v>0</v>
      </c>
      <c r="P149" s="2213"/>
      <c r="Q149" s="3034"/>
    </row>
    <row r="150" spans="2:17" s="3021" customFormat="1" ht="15.75">
      <c r="B150" s="3029">
        <v>22006</v>
      </c>
      <c r="C150" s="3043"/>
      <c r="D150" s="3044" t="s">
        <v>697</v>
      </c>
      <c r="E150" s="3045"/>
      <c r="F150" s="3045"/>
      <c r="G150" s="1234">
        <v>0</v>
      </c>
      <c r="H150" s="1234"/>
      <c r="I150" s="1234">
        <v>0</v>
      </c>
      <c r="J150" s="1234"/>
      <c r="K150" s="1234">
        <v>0</v>
      </c>
      <c r="L150" s="1234"/>
      <c r="M150" s="1234">
        <f t="shared" si="6"/>
        <v>0</v>
      </c>
      <c r="N150" s="1234"/>
      <c r="O150" s="1234">
        <v>0</v>
      </c>
      <c r="P150" s="2213"/>
      <c r="Q150" s="3034"/>
    </row>
    <row r="151" spans="2:17" s="3021" customFormat="1" ht="15.75">
      <c r="B151" s="3029">
        <v>22007</v>
      </c>
      <c r="C151" s="3043"/>
      <c r="D151" s="3064" t="s">
        <v>698</v>
      </c>
      <c r="E151" s="3045"/>
      <c r="F151" s="3045"/>
      <c r="G151" s="1234">
        <v>0</v>
      </c>
      <c r="H151" s="1234"/>
      <c r="I151" s="1234">
        <v>0</v>
      </c>
      <c r="J151" s="1234"/>
      <c r="K151" s="1234">
        <v>0</v>
      </c>
      <c r="L151" s="1234"/>
      <c r="M151" s="1234">
        <f t="shared" si="6"/>
        <v>0</v>
      </c>
      <c r="N151" s="1234"/>
      <c r="O151" s="1234">
        <v>0</v>
      </c>
      <c r="P151" s="2213"/>
      <c r="Q151" s="3034"/>
    </row>
    <row r="152" spans="2:17" s="3021" customFormat="1" ht="15.75">
      <c r="B152" s="3029">
        <v>22008</v>
      </c>
      <c r="C152" s="3043"/>
      <c r="D152" s="3064" t="s">
        <v>1329</v>
      </c>
      <c r="E152" s="3045"/>
      <c r="F152" s="3045"/>
      <c r="G152" s="1234">
        <v>0</v>
      </c>
      <c r="H152" s="1234"/>
      <c r="I152" s="1234">
        <v>0</v>
      </c>
      <c r="J152" s="1234"/>
      <c r="K152" s="1234">
        <v>0</v>
      </c>
      <c r="L152" s="1234"/>
      <c r="M152" s="1234">
        <f t="shared" ref="M152" si="8">ROUND(SUM(O152)-SUM(K152),2)</f>
        <v>0</v>
      </c>
      <c r="N152" s="1234"/>
      <c r="O152" s="1234">
        <v>0</v>
      </c>
      <c r="P152" s="2213"/>
      <c r="Q152" s="3034"/>
    </row>
    <row r="153" spans="2:17" s="3021" customFormat="1" ht="15.75">
      <c r="B153" s="3029">
        <v>22009</v>
      </c>
      <c r="C153" s="3043"/>
      <c r="D153" s="3064" t="s">
        <v>699</v>
      </c>
      <c r="E153" s="3045"/>
      <c r="F153" s="3045"/>
      <c r="G153" s="1234">
        <v>0</v>
      </c>
      <c r="H153" s="1234"/>
      <c r="I153" s="1234">
        <v>1599.03</v>
      </c>
      <c r="J153" s="1234"/>
      <c r="K153" s="1234">
        <v>0</v>
      </c>
      <c r="L153" s="1234"/>
      <c r="M153" s="1234">
        <f t="shared" si="6"/>
        <v>0</v>
      </c>
      <c r="N153" s="1234"/>
      <c r="O153" s="1234">
        <v>0</v>
      </c>
      <c r="P153" s="2213"/>
      <c r="Q153" s="3034"/>
    </row>
    <row r="154" spans="2:17" s="3221" customFormat="1" ht="15.75">
      <c r="B154" s="3047">
        <v>22017</v>
      </c>
      <c r="C154" s="3065"/>
      <c r="D154" s="3066" t="s">
        <v>1402</v>
      </c>
      <c r="E154" s="3050"/>
      <c r="F154" s="3050"/>
      <c r="G154" s="1234">
        <v>0</v>
      </c>
      <c r="H154" s="1234"/>
      <c r="I154" s="1234">
        <v>0</v>
      </c>
      <c r="J154" s="1234"/>
      <c r="K154" s="1234">
        <v>0</v>
      </c>
      <c r="L154" s="1234"/>
      <c r="M154" s="1234">
        <f t="shared" si="6"/>
        <v>0</v>
      </c>
      <c r="N154" s="1234"/>
      <c r="O154" s="1234">
        <v>0</v>
      </c>
      <c r="P154" s="2213"/>
      <c r="Q154" s="3220"/>
    </row>
    <row r="155" spans="2:17" s="3021" customFormat="1" ht="15.75">
      <c r="B155" s="3029">
        <v>22032</v>
      </c>
      <c r="C155" s="3043"/>
      <c r="D155" s="3064" t="s">
        <v>700</v>
      </c>
      <c r="E155" s="3045"/>
      <c r="F155" s="3045"/>
      <c r="G155" s="1234">
        <v>12876861.42</v>
      </c>
      <c r="H155" s="1234"/>
      <c r="I155" s="1234">
        <v>13870087.470000001</v>
      </c>
      <c r="J155" s="1234"/>
      <c r="K155" s="1234">
        <v>14615364.59</v>
      </c>
      <c r="L155" s="1234"/>
      <c r="M155" s="1234">
        <f t="shared" si="6"/>
        <v>679200.36</v>
      </c>
      <c r="N155" s="1234"/>
      <c r="O155" s="1234">
        <v>15294564.949999999</v>
      </c>
      <c r="P155" s="2213"/>
      <c r="Q155" s="3034"/>
    </row>
    <row r="156" spans="2:17" s="3021" customFormat="1" ht="15.75">
      <c r="B156" s="3029">
        <v>22034</v>
      </c>
      <c r="C156" s="3043"/>
      <c r="D156" s="3064" t="s">
        <v>701</v>
      </c>
      <c r="E156" s="3045"/>
      <c r="F156" s="3045"/>
      <c r="G156" s="1234">
        <v>0</v>
      </c>
      <c r="H156" s="1234"/>
      <c r="I156" s="1234">
        <v>0</v>
      </c>
      <c r="J156" s="1234"/>
      <c r="K156" s="1234">
        <v>0</v>
      </c>
      <c r="L156" s="1234"/>
      <c r="M156" s="1234">
        <f t="shared" si="6"/>
        <v>0</v>
      </c>
      <c r="N156" s="1234"/>
      <c r="O156" s="1234">
        <v>0</v>
      </c>
      <c r="P156" s="2213"/>
      <c r="Q156" s="3034"/>
    </row>
    <row r="157" spans="2:17" s="3021" customFormat="1" ht="15.75">
      <c r="B157" s="3029">
        <v>22036</v>
      </c>
      <c r="C157" s="3043"/>
      <c r="D157" s="3064" t="s">
        <v>702</v>
      </c>
      <c r="E157" s="3045"/>
      <c r="F157" s="3045"/>
      <c r="G157" s="1234">
        <v>0</v>
      </c>
      <c r="H157" s="1234"/>
      <c r="I157" s="1234">
        <v>0</v>
      </c>
      <c r="J157" s="1234"/>
      <c r="K157" s="1234">
        <v>0</v>
      </c>
      <c r="L157" s="1234"/>
      <c r="M157" s="1234">
        <f t="shared" si="6"/>
        <v>0</v>
      </c>
      <c r="N157" s="1234"/>
      <c r="O157" s="1234">
        <v>0</v>
      </c>
      <c r="P157" s="2213"/>
      <c r="Q157" s="3034"/>
    </row>
    <row r="158" spans="2:17" s="3021" customFormat="1" ht="15.75">
      <c r="B158" s="3029">
        <v>22039</v>
      </c>
      <c r="C158" s="3043"/>
      <c r="D158" s="3064" t="s">
        <v>703</v>
      </c>
      <c r="E158" s="3045"/>
      <c r="F158" s="3045"/>
      <c r="G158" s="1234">
        <v>351556.01</v>
      </c>
      <c r="H158" s="1234"/>
      <c r="I158" s="1234">
        <v>618347.29</v>
      </c>
      <c r="J158" s="1234"/>
      <c r="K158" s="1234">
        <v>893363.42</v>
      </c>
      <c r="L158" s="1234"/>
      <c r="M158" s="1234">
        <f t="shared" si="6"/>
        <v>335458.96000000002</v>
      </c>
      <c r="N158" s="1234"/>
      <c r="O158" s="1234">
        <v>1228822.3799999999</v>
      </c>
      <c r="P158" s="2213"/>
      <c r="Q158" s="3034"/>
    </row>
    <row r="159" spans="2:17" s="3021" customFormat="1" ht="15.75">
      <c r="B159" s="3029">
        <v>22046</v>
      </c>
      <c r="C159" s="3043"/>
      <c r="D159" s="3064" t="s">
        <v>704</v>
      </c>
      <c r="E159" s="3045"/>
      <c r="F159" s="3045"/>
      <c r="G159" s="1234">
        <v>85360909.109999999</v>
      </c>
      <c r="H159" s="1234"/>
      <c r="I159" s="1234">
        <v>86752888.349999994</v>
      </c>
      <c r="J159" s="1234"/>
      <c r="K159" s="1234">
        <v>87394247.569999993</v>
      </c>
      <c r="L159" s="1234"/>
      <c r="M159" s="1234">
        <f t="shared" si="6"/>
        <v>533853.99</v>
      </c>
      <c r="N159" s="1234"/>
      <c r="O159" s="1234">
        <v>87928101.560000002</v>
      </c>
      <c r="P159" s="2213"/>
      <c r="Q159" s="3034"/>
    </row>
    <row r="160" spans="2:17" s="3021" customFormat="1" ht="15.75">
      <c r="B160" s="3029">
        <v>22053</v>
      </c>
      <c r="C160" s="3043"/>
      <c r="D160" s="3064" t="s">
        <v>705</v>
      </c>
      <c r="E160" s="3045"/>
      <c r="F160" s="3045"/>
      <c r="G160" s="1234">
        <v>4618525.58</v>
      </c>
      <c r="H160" s="1234"/>
      <c r="I160" s="1234">
        <v>5413280.0899999999</v>
      </c>
      <c r="J160" s="1234"/>
      <c r="K160" s="1234">
        <v>6013689.0499999998</v>
      </c>
      <c r="L160" s="1234"/>
      <c r="M160" s="1234">
        <f t="shared" si="6"/>
        <v>898309</v>
      </c>
      <c r="N160" s="1234"/>
      <c r="O160" s="1234">
        <v>6911998.0499999998</v>
      </c>
      <c r="P160" s="2213"/>
      <c r="Q160" s="3034"/>
    </row>
    <row r="161" spans="2:17" s="3021" customFormat="1" ht="15.75">
      <c r="B161" s="3029">
        <v>22054</v>
      </c>
      <c r="C161" s="3043"/>
      <c r="D161" s="3064" t="s">
        <v>706</v>
      </c>
      <c r="E161" s="3045"/>
      <c r="F161" s="3045"/>
      <c r="G161" s="1234">
        <v>2890550.49</v>
      </c>
      <c r="H161" s="1234"/>
      <c r="I161" s="1234">
        <v>2076562.27</v>
      </c>
      <c r="J161" s="1234"/>
      <c r="K161" s="1234">
        <v>1936614.55</v>
      </c>
      <c r="L161" s="1234"/>
      <c r="M161" s="1234">
        <f t="shared" si="6"/>
        <v>-341425.25</v>
      </c>
      <c r="N161" s="1234"/>
      <c r="O161" s="1234">
        <v>1595189.3</v>
      </c>
      <c r="P161" s="2213"/>
      <c r="Q161" s="3034"/>
    </row>
    <row r="162" spans="2:17" s="3021" customFormat="1" ht="15.75">
      <c r="B162" s="3029">
        <v>22055</v>
      </c>
      <c r="C162" s="3043"/>
      <c r="D162" s="3064" t="s">
        <v>707</v>
      </c>
      <c r="E162" s="3045"/>
      <c r="F162" s="3045"/>
      <c r="G162" s="1234">
        <v>23552984.949999999</v>
      </c>
      <c r="H162" s="1234"/>
      <c r="I162" s="1234">
        <v>23178283.239999998</v>
      </c>
      <c r="J162" s="1234"/>
      <c r="K162" s="1234">
        <v>15557323.949999999</v>
      </c>
      <c r="L162" s="1234"/>
      <c r="M162" s="1234">
        <f t="shared" si="6"/>
        <v>3776876.08</v>
      </c>
      <c r="N162" s="1234"/>
      <c r="O162" s="1234">
        <v>19334200.030000001</v>
      </c>
      <c r="P162" s="2213"/>
      <c r="Q162" s="3034"/>
    </row>
    <row r="163" spans="2:17" s="3021" customFormat="1" ht="15.75">
      <c r="B163" s="3029">
        <v>22056</v>
      </c>
      <c r="C163" s="3043"/>
      <c r="D163" s="3064" t="s">
        <v>708</v>
      </c>
      <c r="E163" s="3045"/>
      <c r="F163" s="3045"/>
      <c r="G163" s="1234">
        <v>1159446.58</v>
      </c>
      <c r="H163" s="1234"/>
      <c r="I163" s="1234">
        <v>1380258.31</v>
      </c>
      <c r="J163" s="1234"/>
      <c r="K163" s="1234">
        <v>1487860.68</v>
      </c>
      <c r="L163" s="1234"/>
      <c r="M163" s="1234">
        <f t="shared" si="6"/>
        <v>134542.93</v>
      </c>
      <c r="N163" s="1234"/>
      <c r="O163" s="1234">
        <v>1622403.61</v>
      </c>
      <c r="P163" s="2213"/>
      <c r="Q163" s="3034"/>
    </row>
    <row r="164" spans="2:17" s="3021" customFormat="1" ht="15.75">
      <c r="B164" s="3029">
        <v>22062</v>
      </c>
      <c r="C164" s="3043"/>
      <c r="D164" s="3064" t="s">
        <v>709</v>
      </c>
      <c r="E164" s="3045"/>
      <c r="F164" s="3045"/>
      <c r="G164" s="1234">
        <v>0</v>
      </c>
      <c r="H164" s="1234"/>
      <c r="I164" s="1234">
        <v>0</v>
      </c>
      <c r="J164" s="1234"/>
      <c r="K164" s="1234">
        <v>0</v>
      </c>
      <c r="L164" s="1234"/>
      <c r="M164" s="1234">
        <f t="shared" si="6"/>
        <v>0</v>
      </c>
      <c r="N164" s="1234"/>
      <c r="O164" s="1234">
        <v>0</v>
      </c>
      <c r="P164" s="2213"/>
      <c r="Q164" s="3034"/>
    </row>
    <row r="165" spans="2:17" s="3021" customFormat="1" ht="15.75">
      <c r="B165" s="3029">
        <v>22063</v>
      </c>
      <c r="C165" s="3043"/>
      <c r="D165" s="3064" t="s">
        <v>710</v>
      </c>
      <c r="E165" s="3045"/>
      <c r="F165" s="3045"/>
      <c r="G165" s="1234">
        <v>6539092.6900000004</v>
      </c>
      <c r="H165" s="1234"/>
      <c r="I165" s="1234">
        <v>6797657.2400000002</v>
      </c>
      <c r="J165" s="1234"/>
      <c r="K165" s="1234">
        <v>6487072.1500000004</v>
      </c>
      <c r="L165" s="1234"/>
      <c r="M165" s="1234">
        <f t="shared" si="6"/>
        <v>-245479.61</v>
      </c>
      <c r="N165" s="1234"/>
      <c r="O165" s="1234">
        <v>6241592.54</v>
      </c>
      <c r="P165" s="2213"/>
      <c r="Q165" s="3034"/>
    </row>
    <row r="166" spans="2:17" s="3021" customFormat="1" ht="15.75">
      <c r="B166" s="3029">
        <v>22078</v>
      </c>
      <c r="C166" s="3043"/>
      <c r="D166" s="3064" t="s">
        <v>711</v>
      </c>
      <c r="E166" s="3045"/>
      <c r="F166" s="3045"/>
      <c r="G166" s="1234">
        <v>0</v>
      </c>
      <c r="H166" s="1234"/>
      <c r="I166" s="1234">
        <v>0</v>
      </c>
      <c r="J166" s="1234"/>
      <c r="K166" s="1234">
        <v>0</v>
      </c>
      <c r="L166" s="1234"/>
      <c r="M166" s="1234">
        <f t="shared" si="6"/>
        <v>0</v>
      </c>
      <c r="N166" s="1234"/>
      <c r="O166" s="1234">
        <v>0</v>
      </c>
      <c r="P166" s="2213"/>
      <c r="Q166" s="3034"/>
    </row>
    <row r="167" spans="2:17" s="3021" customFormat="1" ht="15.75">
      <c r="B167" s="3029">
        <v>22085</v>
      </c>
      <c r="C167" s="3043"/>
      <c r="D167" s="3064" t="s">
        <v>712</v>
      </c>
      <c r="E167" s="3045"/>
      <c r="F167" s="3045"/>
      <c r="G167" s="1234">
        <v>15583211.17</v>
      </c>
      <c r="H167" s="1234"/>
      <c r="I167" s="1234">
        <v>15750007.779999999</v>
      </c>
      <c r="J167" s="1234"/>
      <c r="K167" s="1234">
        <v>15913892.710000001</v>
      </c>
      <c r="L167" s="1234"/>
      <c r="M167" s="1234">
        <f>ROUND(SUM(O167)-SUM(K167),2)</f>
        <v>151389.39000000001</v>
      </c>
      <c r="N167" s="1234"/>
      <c r="O167" s="1234">
        <v>16065282.1</v>
      </c>
      <c r="P167" s="2213"/>
      <c r="Q167" s="3034"/>
    </row>
    <row r="168" spans="2:17" s="3021" customFormat="1" ht="15.75">
      <c r="B168" s="3029">
        <v>22090</v>
      </c>
      <c r="C168" s="3043"/>
      <c r="D168" s="3064" t="s">
        <v>713</v>
      </c>
      <c r="E168" s="3045"/>
      <c r="F168" s="3045"/>
      <c r="G168" s="1234">
        <v>0</v>
      </c>
      <c r="H168" s="1234"/>
      <c r="I168" s="1234">
        <v>0</v>
      </c>
      <c r="J168" s="1234"/>
      <c r="K168" s="1234">
        <v>0</v>
      </c>
      <c r="L168" s="1234"/>
      <c r="M168" s="1234">
        <f t="shared" si="6"/>
        <v>0</v>
      </c>
      <c r="N168" s="1234"/>
      <c r="O168" s="1234">
        <v>0</v>
      </c>
      <c r="P168" s="2213"/>
      <c r="Q168" s="3034"/>
    </row>
    <row r="169" spans="2:17" s="3021" customFormat="1" ht="15.75">
      <c r="B169" s="3029">
        <v>22100</v>
      </c>
      <c r="C169" s="3043"/>
      <c r="D169" s="3064" t="s">
        <v>714</v>
      </c>
      <c r="E169" s="3045"/>
      <c r="F169" s="3045"/>
      <c r="G169" s="1234">
        <v>7607717.1799999997</v>
      </c>
      <c r="H169" s="1234"/>
      <c r="I169" s="1234">
        <v>7824700.25</v>
      </c>
      <c r="J169" s="1234"/>
      <c r="K169" s="1234">
        <v>8004967.5700000003</v>
      </c>
      <c r="L169" s="1234"/>
      <c r="M169" s="1234">
        <f t="shared" ref="M169:M185" si="9">ROUND(SUM(O169)-SUM(K169),2)</f>
        <v>-490460.42</v>
      </c>
      <c r="N169" s="1234"/>
      <c r="O169" s="1234">
        <v>7514507.1500000004</v>
      </c>
      <c r="P169" s="2213"/>
      <c r="Q169" s="3034"/>
    </row>
    <row r="170" spans="2:17" s="3021" customFormat="1" ht="15.75">
      <c r="B170" s="3029">
        <v>22130</v>
      </c>
      <c r="C170" s="3043"/>
      <c r="D170" s="3044" t="s">
        <v>715</v>
      </c>
      <c r="E170" s="3045"/>
      <c r="F170" s="3045"/>
      <c r="G170" s="1234">
        <v>0</v>
      </c>
      <c r="H170" s="1234"/>
      <c r="I170" s="1234">
        <v>0</v>
      </c>
      <c r="J170" s="1234"/>
      <c r="K170" s="1234">
        <v>0</v>
      </c>
      <c r="L170" s="1234"/>
      <c r="M170" s="1234">
        <f t="shared" si="9"/>
        <v>0</v>
      </c>
      <c r="N170" s="1234"/>
      <c r="O170" s="1234">
        <v>0</v>
      </c>
      <c r="P170" s="2213"/>
      <c r="Q170" s="3034"/>
    </row>
    <row r="171" spans="2:17" s="3021" customFormat="1" ht="15.75">
      <c r="B171" s="3029">
        <v>22135</v>
      </c>
      <c r="C171" s="3043"/>
      <c r="D171" s="3044" t="s">
        <v>716</v>
      </c>
      <c r="E171" s="3045"/>
      <c r="F171" s="3045"/>
      <c r="G171" s="1234">
        <v>0</v>
      </c>
      <c r="H171" s="1234"/>
      <c r="I171" s="1234">
        <v>0</v>
      </c>
      <c r="J171" s="1234"/>
      <c r="K171" s="1234">
        <v>0</v>
      </c>
      <c r="L171" s="1234"/>
      <c r="M171" s="1234">
        <f t="shared" si="9"/>
        <v>0</v>
      </c>
      <c r="N171" s="1234"/>
      <c r="O171" s="1234">
        <v>0</v>
      </c>
      <c r="P171" s="2213"/>
      <c r="Q171" s="3034"/>
    </row>
    <row r="172" spans="2:17" s="3021" customFormat="1" ht="15.75">
      <c r="B172" s="3029">
        <v>22144</v>
      </c>
      <c r="C172" s="3043"/>
      <c r="D172" s="3064" t="s">
        <v>717</v>
      </c>
      <c r="E172" s="3045"/>
      <c r="F172" s="3045"/>
      <c r="G172" s="1234">
        <v>0</v>
      </c>
      <c r="H172" s="1234"/>
      <c r="I172" s="1234">
        <v>227840.84</v>
      </c>
      <c r="J172" s="1234"/>
      <c r="K172" s="1234">
        <v>0</v>
      </c>
      <c r="L172" s="1234"/>
      <c r="M172" s="1234">
        <f t="shared" si="9"/>
        <v>0</v>
      </c>
      <c r="N172" s="1234"/>
      <c r="O172" s="1234">
        <v>0</v>
      </c>
      <c r="P172" s="2213"/>
      <c r="Q172" s="3034"/>
    </row>
    <row r="173" spans="2:17" s="3021" customFormat="1" ht="15.75">
      <c r="B173" s="3029">
        <v>22151</v>
      </c>
      <c r="C173" s="3043"/>
      <c r="D173" s="3044" t="s">
        <v>718</v>
      </c>
      <c r="E173" s="3045"/>
      <c r="F173" s="3045"/>
      <c r="G173" s="1234">
        <v>198335.89</v>
      </c>
      <c r="H173" s="1234"/>
      <c r="I173" s="1234">
        <v>72792.600000000006</v>
      </c>
      <c r="J173" s="1234"/>
      <c r="K173" s="1234">
        <v>125254.96</v>
      </c>
      <c r="L173" s="1234"/>
      <c r="M173" s="1234">
        <f t="shared" si="9"/>
        <v>63694.71</v>
      </c>
      <c r="N173" s="1234"/>
      <c r="O173" s="1234">
        <v>188949.67</v>
      </c>
      <c r="P173" s="2213"/>
      <c r="Q173" s="3034"/>
    </row>
    <row r="174" spans="2:17" s="3021" customFormat="1" ht="15.75">
      <c r="B174" s="3029">
        <v>22156</v>
      </c>
      <c r="C174" s="3043"/>
      <c r="D174" s="3044" t="s">
        <v>719</v>
      </c>
      <c r="E174" s="3045"/>
      <c r="F174" s="3045"/>
      <c r="G174" s="1234">
        <v>0</v>
      </c>
      <c r="H174" s="1234"/>
      <c r="I174" s="1234">
        <v>0</v>
      </c>
      <c r="J174" s="1234"/>
      <c r="K174" s="1234">
        <v>0</v>
      </c>
      <c r="L174" s="1234"/>
      <c r="M174" s="1234">
        <f t="shared" si="9"/>
        <v>0</v>
      </c>
      <c r="N174" s="1234"/>
      <c r="O174" s="1234">
        <v>0</v>
      </c>
      <c r="P174" s="2213"/>
      <c r="Q174" s="3034"/>
    </row>
    <row r="175" spans="2:17" s="3021" customFormat="1" ht="15.75">
      <c r="B175" s="3029">
        <v>22158</v>
      </c>
      <c r="C175" s="3043"/>
      <c r="D175" s="3064" t="s">
        <v>720</v>
      </c>
      <c r="E175" s="3045"/>
      <c r="F175" s="3045"/>
      <c r="G175" s="1234">
        <v>0</v>
      </c>
      <c r="H175" s="1234"/>
      <c r="I175" s="1234">
        <v>0</v>
      </c>
      <c r="J175" s="1234"/>
      <c r="K175" s="1234">
        <v>0</v>
      </c>
      <c r="L175" s="1234"/>
      <c r="M175" s="1234">
        <f t="shared" si="9"/>
        <v>0</v>
      </c>
      <c r="N175" s="1234"/>
      <c r="O175" s="1234">
        <v>0</v>
      </c>
      <c r="P175" s="2213"/>
      <c r="Q175" s="3034"/>
    </row>
    <row r="176" spans="2:17" s="3021" customFormat="1" ht="15.75">
      <c r="B176" s="3029">
        <v>22168</v>
      </c>
      <c r="C176" s="3043"/>
      <c r="D176" s="3064" t="s">
        <v>721</v>
      </c>
      <c r="E176" s="3045"/>
      <c r="F176" s="3045"/>
      <c r="G176" s="1234">
        <v>0</v>
      </c>
      <c r="H176" s="1234"/>
      <c r="I176" s="1234">
        <v>0</v>
      </c>
      <c r="J176" s="1234"/>
      <c r="K176" s="1234">
        <v>0</v>
      </c>
      <c r="L176" s="1234"/>
      <c r="M176" s="1234">
        <f t="shared" si="9"/>
        <v>0</v>
      </c>
      <c r="N176" s="1234"/>
      <c r="O176" s="1234">
        <v>0</v>
      </c>
      <c r="P176" s="2213"/>
      <c r="Q176" s="3034"/>
    </row>
    <row r="177" spans="2:18" s="3221" customFormat="1" ht="15.75">
      <c r="B177" s="3047">
        <v>22240</v>
      </c>
      <c r="C177" s="3065"/>
      <c r="D177" s="3066" t="s">
        <v>1403</v>
      </c>
      <c r="E177" s="3050"/>
      <c r="F177" s="3050"/>
      <c r="G177" s="1234">
        <v>77718.83</v>
      </c>
      <c r="H177" s="1234"/>
      <c r="I177" s="1234">
        <v>154015.35999999999</v>
      </c>
      <c r="J177" s="1234"/>
      <c r="K177" s="1234">
        <v>248436.34</v>
      </c>
      <c r="L177" s="1234"/>
      <c r="M177" s="1234">
        <f t="shared" si="9"/>
        <v>100767.3</v>
      </c>
      <c r="N177" s="1234"/>
      <c r="O177" s="1234">
        <v>349203.64</v>
      </c>
      <c r="P177" s="2213"/>
      <c r="Q177" s="3220"/>
    </row>
    <row r="178" spans="2:18" s="3021" customFormat="1" ht="15.75">
      <c r="B178" s="3029">
        <v>22654</v>
      </c>
      <c r="C178" s="3043"/>
      <c r="D178" s="3044" t="s">
        <v>722</v>
      </c>
      <c r="E178" s="3045"/>
      <c r="F178" s="3045"/>
      <c r="G178" s="1234">
        <v>20460053.899999999</v>
      </c>
      <c r="H178" s="1234"/>
      <c r="I178" s="1234">
        <v>20494962.620000001</v>
      </c>
      <c r="J178" s="1234"/>
      <c r="K178" s="1234">
        <v>20525439.940000001</v>
      </c>
      <c r="L178" s="1234"/>
      <c r="M178" s="1234">
        <f t="shared" si="9"/>
        <v>29672.240000000002</v>
      </c>
      <c r="N178" s="1234"/>
      <c r="O178" s="1234">
        <v>20555112.18</v>
      </c>
      <c r="P178" s="2213"/>
      <c r="Q178" s="3034"/>
    </row>
    <row r="179" spans="2:18" s="3021" customFormat="1" ht="15.75">
      <c r="B179" s="3029">
        <v>22751</v>
      </c>
      <c r="C179" s="3043"/>
      <c r="D179" s="3044" t="s">
        <v>1284</v>
      </c>
      <c r="E179" s="3045"/>
      <c r="F179" s="3045"/>
      <c r="G179" s="1234">
        <v>0</v>
      </c>
      <c r="H179" s="1234"/>
      <c r="I179" s="1234">
        <v>0</v>
      </c>
      <c r="J179" s="1234"/>
      <c r="K179" s="1234">
        <v>0</v>
      </c>
      <c r="L179" s="1234"/>
      <c r="M179" s="1234">
        <f>ROUND(SUM(O179)-SUM(K179),2)</f>
        <v>0</v>
      </c>
      <c r="N179" s="1234"/>
      <c r="O179" s="1234">
        <v>0</v>
      </c>
      <c r="P179" s="2213"/>
      <c r="Q179" s="3034"/>
    </row>
    <row r="180" spans="2:18" s="3021" customFormat="1" ht="15.75">
      <c r="B180" s="3029">
        <v>22802</v>
      </c>
      <c r="C180" s="3043"/>
      <c r="D180" s="3064" t="s">
        <v>723</v>
      </c>
      <c r="E180" s="3045"/>
      <c r="F180" s="3045"/>
      <c r="G180" s="1234">
        <v>0</v>
      </c>
      <c r="H180" s="1234"/>
      <c r="I180" s="1234">
        <v>0</v>
      </c>
      <c r="J180" s="1234"/>
      <c r="K180" s="1234">
        <v>0</v>
      </c>
      <c r="L180" s="1234"/>
      <c r="M180" s="1234">
        <f t="shared" si="9"/>
        <v>0</v>
      </c>
      <c r="N180" s="1234"/>
      <c r="O180" s="1234">
        <v>0</v>
      </c>
      <c r="P180" s="2213"/>
      <c r="Q180" s="3034"/>
    </row>
    <row r="181" spans="2:18" s="3021" customFormat="1" ht="15.75">
      <c r="B181" s="3029">
        <v>23001</v>
      </c>
      <c r="C181" s="3043"/>
      <c r="D181" s="3044" t="s">
        <v>724</v>
      </c>
      <c r="E181" s="3045"/>
      <c r="F181" s="3045"/>
      <c r="G181" s="1234">
        <v>14236534.720000001</v>
      </c>
      <c r="H181" s="1234"/>
      <c r="I181" s="1234">
        <v>14378726.59</v>
      </c>
      <c r="J181" s="1234"/>
      <c r="K181" s="1234">
        <v>14771072.300000001</v>
      </c>
      <c r="L181" s="1234"/>
      <c r="M181" s="1234">
        <f t="shared" si="9"/>
        <v>81386.009999999995</v>
      </c>
      <c r="N181" s="1234"/>
      <c r="O181" s="1234">
        <v>14852458.310000001</v>
      </c>
      <c r="P181" s="2213"/>
      <c r="Q181" s="3034"/>
    </row>
    <row r="182" spans="2:18" s="3021" customFormat="1" ht="15.75">
      <c r="B182" s="3029">
        <v>23102</v>
      </c>
      <c r="C182" s="3043"/>
      <c r="D182" s="3064" t="s">
        <v>725</v>
      </c>
      <c r="E182" s="3045"/>
      <c r="F182" s="3045"/>
      <c r="G182" s="1234">
        <v>5350949.7</v>
      </c>
      <c r="H182" s="1234"/>
      <c r="I182" s="1234">
        <v>5350949.7</v>
      </c>
      <c r="J182" s="1234"/>
      <c r="K182" s="1234">
        <v>5350949.7</v>
      </c>
      <c r="L182" s="1234"/>
      <c r="M182" s="1234">
        <f t="shared" si="9"/>
        <v>0</v>
      </c>
      <c r="N182" s="1234"/>
      <c r="O182" s="1234">
        <v>5350949.7</v>
      </c>
      <c r="P182" s="2213"/>
      <c r="Q182" s="3034"/>
    </row>
    <row r="183" spans="2:18" s="3021" customFormat="1" ht="15.75">
      <c r="B183" s="3029">
        <v>23151</v>
      </c>
      <c r="C183" s="3043"/>
      <c r="D183" s="3044" t="s">
        <v>726</v>
      </c>
      <c r="E183" s="3045"/>
      <c r="F183" s="3045"/>
      <c r="G183" s="1234">
        <v>48600615.640000001</v>
      </c>
      <c r="H183" s="1234"/>
      <c r="I183" s="1234">
        <v>50962024.829999998</v>
      </c>
      <c r="J183" s="1234"/>
      <c r="K183" s="1234">
        <v>53519944.219999999</v>
      </c>
      <c r="L183" s="1234"/>
      <c r="M183" s="1234">
        <f t="shared" si="9"/>
        <v>2421130.1</v>
      </c>
      <c r="N183" s="1234"/>
      <c r="O183" s="1234">
        <v>55941074.32</v>
      </c>
      <c r="P183" s="2213"/>
      <c r="Q183" s="3034"/>
    </row>
    <row r="184" spans="2:18" s="3021" customFormat="1" ht="15.75">
      <c r="B184" s="3069">
        <v>23701</v>
      </c>
      <c r="C184" s="3043"/>
      <c r="D184" s="3044" t="s">
        <v>954</v>
      </c>
      <c r="E184" s="3045"/>
      <c r="F184" s="3045"/>
      <c r="G184" s="1234">
        <v>0</v>
      </c>
      <c r="H184" s="1234"/>
      <c r="I184" s="1234">
        <v>0</v>
      </c>
      <c r="J184" s="1234"/>
      <c r="K184" s="1234">
        <v>0</v>
      </c>
      <c r="L184" s="1234"/>
      <c r="M184" s="1234">
        <f t="shared" si="9"/>
        <v>0</v>
      </c>
      <c r="N184" s="1234"/>
      <c r="O184" s="1234">
        <v>0</v>
      </c>
      <c r="P184" s="2213"/>
      <c r="Q184" s="3034"/>
    </row>
    <row r="185" spans="2:18" s="3021" customFormat="1" ht="15.75">
      <c r="B185" s="3069">
        <v>23702</v>
      </c>
      <c r="C185" s="3043"/>
      <c r="D185" s="3064" t="s">
        <v>955</v>
      </c>
      <c r="E185" s="3045"/>
      <c r="F185" s="3045"/>
      <c r="G185" s="1234">
        <v>16062100.529999999</v>
      </c>
      <c r="H185" s="1234"/>
      <c r="I185" s="1234">
        <v>16485452.16</v>
      </c>
      <c r="J185" s="1234"/>
      <c r="K185" s="1234">
        <v>16869883.760000002</v>
      </c>
      <c r="L185" s="1234"/>
      <c r="M185" s="1234">
        <f t="shared" si="9"/>
        <v>400433.29</v>
      </c>
      <c r="N185" s="1234"/>
      <c r="O185" s="1234">
        <v>17270317.050000001</v>
      </c>
      <c r="P185" s="2213"/>
      <c r="Q185" s="3034"/>
    </row>
    <row r="186" spans="2:18" s="3021" customFormat="1" ht="15.75">
      <c r="B186" s="3069">
        <v>23800</v>
      </c>
      <c r="C186" s="3043"/>
      <c r="D186" s="3064" t="s">
        <v>1294</v>
      </c>
      <c r="E186" s="3045"/>
      <c r="F186" s="3045"/>
      <c r="G186" s="1234">
        <v>0</v>
      </c>
      <c r="H186" s="1234"/>
      <c r="I186" s="1234">
        <v>0</v>
      </c>
      <c r="J186" s="1234"/>
      <c r="K186" s="1234">
        <v>0</v>
      </c>
      <c r="L186" s="1234"/>
      <c r="M186" s="1234">
        <f t="shared" ref="M186:M187" si="10">ROUND(SUM(O186)-SUM(K186),2)</f>
        <v>0</v>
      </c>
      <c r="N186" s="1234"/>
      <c r="O186" s="1234">
        <v>0</v>
      </c>
      <c r="P186" s="3041"/>
      <c r="Q186" s="3034"/>
    </row>
    <row r="187" spans="2:18" s="3021" customFormat="1" ht="15.75">
      <c r="B187" s="3069">
        <v>23801</v>
      </c>
      <c r="C187" s="3043"/>
      <c r="D187" s="3064" t="s">
        <v>1295</v>
      </c>
      <c r="E187" s="3045"/>
      <c r="F187" s="3045"/>
      <c r="G187" s="1234">
        <v>0</v>
      </c>
      <c r="H187" s="1234"/>
      <c r="I187" s="1234">
        <v>0</v>
      </c>
      <c r="J187" s="1234"/>
      <c r="K187" s="1234">
        <v>0</v>
      </c>
      <c r="L187" s="1234"/>
      <c r="M187" s="1234">
        <f t="shared" si="10"/>
        <v>0</v>
      </c>
      <c r="N187" s="1234"/>
      <c r="O187" s="1234">
        <v>0</v>
      </c>
      <c r="P187" s="3041"/>
      <c r="Q187" s="3034"/>
    </row>
    <row r="188" spans="2:18" s="3021" customFormat="1" ht="15.75">
      <c r="B188" s="3069">
        <v>23806</v>
      </c>
      <c r="C188" s="3043"/>
      <c r="D188" s="3064" t="s">
        <v>1330</v>
      </c>
      <c r="E188" s="3045"/>
      <c r="F188" s="3045"/>
      <c r="G188" s="1234">
        <v>0</v>
      </c>
      <c r="H188" s="1234"/>
      <c r="I188" s="1234">
        <v>0</v>
      </c>
      <c r="J188" s="1234"/>
      <c r="K188" s="1234">
        <v>0</v>
      </c>
      <c r="L188" s="1234"/>
      <c r="M188" s="1234">
        <f t="shared" ref="M188:M189" si="11">ROUND(SUM(O188)-SUM(K188),2)</f>
        <v>0</v>
      </c>
      <c r="N188" s="1234"/>
      <c r="O188" s="1234">
        <v>0</v>
      </c>
      <c r="P188" s="3041"/>
      <c r="Q188" s="3034"/>
    </row>
    <row r="189" spans="2:18" s="3021" customFormat="1" ht="15.75">
      <c r="B189" s="3069">
        <v>24951</v>
      </c>
      <c r="C189" s="3043"/>
      <c r="D189" s="3064" t="s">
        <v>1331</v>
      </c>
      <c r="E189" s="3045"/>
      <c r="F189" s="3045"/>
      <c r="G189" s="1234">
        <v>0</v>
      </c>
      <c r="H189" s="1234"/>
      <c r="I189" s="1234">
        <v>0</v>
      </c>
      <c r="J189" s="1234"/>
      <c r="K189" s="1234">
        <v>0</v>
      </c>
      <c r="L189" s="1234"/>
      <c r="M189" s="1234">
        <f t="shared" si="11"/>
        <v>0</v>
      </c>
      <c r="N189" s="1234"/>
      <c r="O189" s="1234">
        <v>0</v>
      </c>
      <c r="P189" s="3041"/>
      <c r="Q189" s="3034"/>
    </row>
    <row r="190" spans="2:18" s="3021" customFormat="1" ht="16.5" thickBot="1">
      <c r="B190" s="3052"/>
      <c r="C190" s="3023"/>
      <c r="D190" s="3036" t="s">
        <v>727</v>
      </c>
      <c r="E190" s="3025"/>
      <c r="F190" s="3025"/>
      <c r="G190" s="1628">
        <f>ROUND(SUM(G105:G189),2)</f>
        <v>1583256047.76</v>
      </c>
      <c r="H190" s="1509"/>
      <c r="I190" s="1628">
        <f>ROUND(SUM(I105:I189),2)</f>
        <v>1572835613.99</v>
      </c>
      <c r="J190" s="2183"/>
      <c r="K190" s="1628">
        <f>ROUND(SUM(K105:K189),2)</f>
        <v>1723583922.5899999</v>
      </c>
      <c r="L190" s="2592"/>
      <c r="M190" s="1628">
        <f>ROUND(SUM(M105:M189),2)</f>
        <v>-240904167.77000001</v>
      </c>
      <c r="N190" s="2592"/>
      <c r="O190" s="1628">
        <f>ROUND(SUM(O105:O189),2)</f>
        <v>1482679754.8199999</v>
      </c>
      <c r="P190" s="3041"/>
      <c r="Q190" s="3034"/>
    </row>
    <row r="191" spans="2:18" s="3021" customFormat="1" ht="16.5" thickTop="1">
      <c r="B191" s="3070"/>
      <c r="C191" s="3054"/>
      <c r="D191" s="3071"/>
      <c r="E191" s="3043"/>
      <c r="F191" s="3043"/>
      <c r="G191" s="1234"/>
      <c r="H191" s="3060"/>
      <c r="I191" s="2213"/>
      <c r="J191" s="3060"/>
      <c r="K191" s="2213"/>
      <c r="L191" s="3242"/>
      <c r="M191" s="1234"/>
      <c r="N191" s="3060"/>
      <c r="O191" s="2213"/>
      <c r="P191" s="3041"/>
      <c r="Q191" s="3034"/>
    </row>
    <row r="192" spans="2:18" s="3021" customFormat="1" ht="15.75">
      <c r="B192" s="3070"/>
      <c r="C192" s="3023"/>
      <c r="D192" s="3036" t="s">
        <v>728</v>
      </c>
      <c r="E192" s="3025"/>
      <c r="F192" s="3025"/>
      <c r="G192" s="1234"/>
      <c r="H192" s="3242"/>
      <c r="I192" s="2213"/>
      <c r="J192" s="3242"/>
      <c r="K192" s="2213"/>
      <c r="L192" s="3242"/>
      <c r="M192" s="1235"/>
      <c r="N192" s="3687"/>
      <c r="O192" s="2213"/>
      <c r="P192" s="3041"/>
      <c r="Q192" s="3220"/>
      <c r="R192" s="3221"/>
    </row>
    <row r="193" spans="2:18" s="3221" customFormat="1" ht="15.75">
      <c r="B193" s="3077" t="s">
        <v>729</v>
      </c>
      <c r="C193" s="3243"/>
      <c r="D193" s="3068" t="s">
        <v>730</v>
      </c>
      <c r="E193" s="3219"/>
      <c r="F193" s="3219"/>
      <c r="G193" s="3756">
        <v>11174513.060000001</v>
      </c>
      <c r="H193" s="1234"/>
      <c r="I193" s="3756">
        <v>22138247.34</v>
      </c>
      <c r="J193" s="1234"/>
      <c r="K193" s="3756">
        <v>15287528.460000001</v>
      </c>
      <c r="L193" s="1234"/>
      <c r="M193" s="1234">
        <f t="shared" ref="M193:M199" si="12">ROUND(SUM(O193)-SUM(K193),2)</f>
        <v>-4446558.66</v>
      </c>
      <c r="N193" s="1234"/>
      <c r="O193" s="3756">
        <v>10840969.799999999</v>
      </c>
      <c r="P193" s="3041"/>
      <c r="Q193" s="3220"/>
    </row>
    <row r="194" spans="2:18" s="3221" customFormat="1" ht="15.75">
      <c r="B194" s="3077" t="s">
        <v>731</v>
      </c>
      <c r="C194" s="3243"/>
      <c r="D194" s="3068" t="s">
        <v>732</v>
      </c>
      <c r="E194" s="3219"/>
      <c r="F194" s="3219"/>
      <c r="G194" s="3756">
        <v>531299490.93000007</v>
      </c>
      <c r="H194" s="1234"/>
      <c r="I194" s="3756">
        <v>211306904.22</v>
      </c>
      <c r="J194" s="1234"/>
      <c r="K194" s="3756">
        <v>638635412.44999993</v>
      </c>
      <c r="L194" s="1234"/>
      <c r="M194" s="1234">
        <f t="shared" si="12"/>
        <v>-157608033.18000001</v>
      </c>
      <c r="N194" s="1234"/>
      <c r="O194" s="3756">
        <v>481027379.27000004</v>
      </c>
      <c r="P194" s="3041"/>
      <c r="Q194" s="3220"/>
    </row>
    <row r="195" spans="2:18" s="3221" customFormat="1" ht="15.75">
      <c r="B195" s="3077" t="s">
        <v>733</v>
      </c>
      <c r="C195" s="3243"/>
      <c r="D195" s="3066" t="s">
        <v>734</v>
      </c>
      <c r="E195" s="3219"/>
      <c r="F195" s="3219"/>
      <c r="G195" s="3756">
        <v>38252988.950000003</v>
      </c>
      <c r="H195" s="1234"/>
      <c r="I195" s="3756">
        <v>38928881.040000007</v>
      </c>
      <c r="J195" s="1234"/>
      <c r="K195" s="3756">
        <v>40635158.210000001</v>
      </c>
      <c r="L195" s="1234"/>
      <c r="M195" s="1234">
        <f t="shared" si="12"/>
        <v>36601104.329999998</v>
      </c>
      <c r="N195" s="1234"/>
      <c r="O195" s="3756">
        <v>77236262.539999992</v>
      </c>
      <c r="P195" s="3041"/>
      <c r="Q195" s="3220"/>
    </row>
    <row r="196" spans="2:18" s="3221" customFormat="1" ht="15.75">
      <c r="B196" s="3077" t="s">
        <v>1296</v>
      </c>
      <c r="C196" s="3243"/>
      <c r="D196" s="3066" t="s">
        <v>1297</v>
      </c>
      <c r="E196" s="3219"/>
      <c r="F196" s="3219"/>
      <c r="G196" s="3756">
        <v>0</v>
      </c>
      <c r="H196" s="1234"/>
      <c r="I196" s="3756">
        <v>0</v>
      </c>
      <c r="J196" s="1234"/>
      <c r="K196" s="3756">
        <v>0</v>
      </c>
      <c r="L196" s="1234"/>
      <c r="M196" s="1234">
        <f t="shared" si="12"/>
        <v>0</v>
      </c>
      <c r="N196" s="1234"/>
      <c r="O196" s="3756">
        <v>0</v>
      </c>
      <c r="P196" s="3041"/>
      <c r="Q196" s="3220"/>
    </row>
    <row r="197" spans="2:18" s="3221" customFormat="1" ht="15.75">
      <c r="B197" s="3077" t="s">
        <v>735</v>
      </c>
      <c r="C197" s="3066"/>
      <c r="D197" s="3068" t="s">
        <v>736</v>
      </c>
      <c r="E197" s="3219"/>
      <c r="F197" s="3219"/>
      <c r="G197" s="3756">
        <v>451777499.58999985</v>
      </c>
      <c r="H197" s="1234"/>
      <c r="I197" s="3756">
        <v>418091127.23000014</v>
      </c>
      <c r="J197" s="1234"/>
      <c r="K197" s="3756">
        <v>459719203.02999997</v>
      </c>
      <c r="L197" s="1234"/>
      <c r="M197" s="1234">
        <f t="shared" si="12"/>
        <v>-39998288.75</v>
      </c>
      <c r="N197" s="1234"/>
      <c r="O197" s="3756">
        <v>419720914.27999985</v>
      </c>
      <c r="P197" s="3041"/>
      <c r="Q197" s="3220"/>
    </row>
    <row r="198" spans="2:18" s="3221" customFormat="1" ht="15.75">
      <c r="B198" s="3047">
        <v>31351</v>
      </c>
      <c r="C198" s="3066"/>
      <c r="D198" s="3068" t="s">
        <v>737</v>
      </c>
      <c r="E198" s="3219"/>
      <c r="F198" s="3219"/>
      <c r="G198" s="1234">
        <v>8756661.6600000001</v>
      </c>
      <c r="H198" s="1234"/>
      <c r="I198" s="1234">
        <v>8756661.6600000001</v>
      </c>
      <c r="J198" s="1234"/>
      <c r="K198" s="1234">
        <v>8756661.6600000001</v>
      </c>
      <c r="L198" s="1234"/>
      <c r="M198" s="1234">
        <f t="shared" si="12"/>
        <v>-2729</v>
      </c>
      <c r="N198" s="1234"/>
      <c r="O198" s="1234">
        <v>8753932.6600000001</v>
      </c>
      <c r="P198" s="3057"/>
      <c r="Q198" s="3220"/>
    </row>
    <row r="199" spans="2:18" s="3221" customFormat="1" ht="15.75">
      <c r="B199" s="2942">
        <v>31354</v>
      </c>
      <c r="C199" s="3222"/>
      <c r="D199" s="3049" t="s">
        <v>738</v>
      </c>
      <c r="E199" s="3219"/>
      <c r="F199" s="3219"/>
      <c r="G199" s="1234">
        <v>508738497.47000003</v>
      </c>
      <c r="H199" s="1234"/>
      <c r="I199" s="1234">
        <v>484905655.79000002</v>
      </c>
      <c r="J199" s="1234"/>
      <c r="K199" s="1234">
        <v>460128296.86000001</v>
      </c>
      <c r="L199" s="1234"/>
      <c r="M199" s="1234">
        <f t="shared" si="12"/>
        <v>-77612429.989999995</v>
      </c>
      <c r="N199" s="1234"/>
      <c r="O199" s="1234">
        <v>382515866.87</v>
      </c>
      <c r="P199" s="3072"/>
      <c r="Q199" s="3220"/>
    </row>
    <row r="200" spans="2:18" s="3221" customFormat="1" ht="15.75">
      <c r="B200" s="3223" t="s">
        <v>739</v>
      </c>
      <c r="C200" s="3065"/>
      <c r="D200" s="3068" t="s">
        <v>740</v>
      </c>
      <c r="E200" s="3219"/>
      <c r="F200" s="3219"/>
      <c r="G200" s="1234">
        <v>85252330.970000118</v>
      </c>
      <c r="H200" s="1234"/>
      <c r="I200" s="1234">
        <v>87809426.820000082</v>
      </c>
      <c r="J200" s="1234"/>
      <c r="K200" s="1234">
        <v>108833062.72</v>
      </c>
      <c r="L200" s="1234"/>
      <c r="M200" s="1234">
        <f>ROUND(SUM(O200)-SUM(K200),2)</f>
        <v>-5066295.51</v>
      </c>
      <c r="N200" s="1234"/>
      <c r="O200" s="1234">
        <v>103766767.21000001</v>
      </c>
      <c r="P200" s="3224"/>
      <c r="Q200" s="3220"/>
    </row>
    <row r="201" spans="2:18" s="3221" customFormat="1" ht="15.75">
      <c r="B201" s="3075" t="s">
        <v>956</v>
      </c>
      <c r="C201" s="3065"/>
      <c r="D201" s="3068" t="s">
        <v>957</v>
      </c>
      <c r="E201" s="3076"/>
      <c r="F201" s="3076"/>
      <c r="G201" s="1234">
        <v>13659237.32</v>
      </c>
      <c r="H201" s="1234"/>
      <c r="I201" s="1234">
        <v>12236467.91</v>
      </c>
      <c r="J201" s="1234"/>
      <c r="K201" s="1234">
        <v>10564973.51</v>
      </c>
      <c r="L201" s="1234"/>
      <c r="M201" s="1234">
        <f>ROUND(SUM(O201)-SUM(K201),2)</f>
        <v>639584.48</v>
      </c>
      <c r="N201" s="1234"/>
      <c r="O201" s="1234">
        <v>11204557.99</v>
      </c>
      <c r="P201" s="3077"/>
      <c r="Q201" s="3220"/>
    </row>
    <row r="202" spans="2:18" s="3221" customFormat="1" ht="15.75">
      <c r="B202" s="3078">
        <v>25950</v>
      </c>
      <c r="C202" s="3065"/>
      <c r="D202" s="3068" t="s">
        <v>741</v>
      </c>
      <c r="E202" s="3079"/>
      <c r="F202" s="3079"/>
      <c r="G202" s="1234">
        <v>360610.99</v>
      </c>
      <c r="H202" s="1234"/>
      <c r="I202" s="1234">
        <v>318486.99</v>
      </c>
      <c r="J202" s="1234"/>
      <c r="K202" s="1234">
        <v>477958.99</v>
      </c>
      <c r="L202" s="1234"/>
      <c r="M202" s="1234">
        <f t="shared" ref="M202:M203" si="13">ROUND(SUM(O202)-SUM(K202),2)</f>
        <v>-32720</v>
      </c>
      <c r="N202" s="1234"/>
      <c r="O202" s="1234">
        <v>445238.99</v>
      </c>
      <c r="P202" s="3077"/>
      <c r="Q202" s="3220"/>
    </row>
    <row r="203" spans="2:18" s="3221" customFormat="1" ht="15.75">
      <c r="B203" s="3075" t="s">
        <v>1267</v>
      </c>
      <c r="C203" s="3065"/>
      <c r="D203" s="3066" t="s">
        <v>958</v>
      </c>
      <c r="E203" s="3076"/>
      <c r="F203" s="3076"/>
      <c r="G203" s="1234">
        <v>2301124.6800000002</v>
      </c>
      <c r="H203" s="1234"/>
      <c r="I203" s="1234">
        <v>5773118.4699999997</v>
      </c>
      <c r="J203" s="1234"/>
      <c r="K203" s="1234">
        <v>7394685.2999999998</v>
      </c>
      <c r="L203" s="1234"/>
      <c r="M203" s="1234">
        <f t="shared" si="13"/>
        <v>-6025432.0999999996</v>
      </c>
      <c r="N203" s="1234"/>
      <c r="O203" s="1234">
        <v>1369253.2</v>
      </c>
      <c r="P203" s="3077"/>
      <c r="Q203" s="3220"/>
    </row>
    <row r="204" spans="2:18" s="3021" customFormat="1" ht="16.5" thickBot="1">
      <c r="B204" s="3080"/>
      <c r="C204" s="3037"/>
      <c r="D204" s="3036" t="s">
        <v>742</v>
      </c>
      <c r="E204" s="3038"/>
      <c r="F204" s="3038"/>
      <c r="G204" s="1628">
        <f>ROUND(SUM(G193:G203),2)</f>
        <v>1651572955.6199999</v>
      </c>
      <c r="H204" s="2183"/>
      <c r="I204" s="1628">
        <f>ROUND(SUM(I193:I203),2)</f>
        <v>1290264977.47</v>
      </c>
      <c r="J204" s="2183"/>
      <c r="K204" s="1628">
        <f>ROUND(SUM(K193:K203),2)</f>
        <v>1750432941.1900001</v>
      </c>
      <c r="L204" s="2605"/>
      <c r="M204" s="1236">
        <f>ROUND(SUM(M193:M203),2)</f>
        <v>-253551798.38</v>
      </c>
      <c r="N204" s="2605"/>
      <c r="O204" s="1628">
        <f>ROUND(SUM(O193:O203),2)</f>
        <v>1496881142.8099999</v>
      </c>
      <c r="P204" s="3072" t="s">
        <v>114</v>
      </c>
      <c r="Q204" s="3220"/>
      <c r="R204" s="3221"/>
    </row>
    <row r="205" spans="2:18" s="3021" customFormat="1" ht="16.5" thickTop="1">
      <c r="B205" s="3052"/>
      <c r="C205" s="3037"/>
      <c r="D205" s="3050"/>
      <c r="E205" s="3038"/>
      <c r="F205" s="3038"/>
      <c r="G205" s="1235"/>
      <c r="H205" s="3687"/>
      <c r="I205" s="3081"/>
      <c r="J205" s="3687"/>
      <c r="K205" s="3081"/>
      <c r="L205" s="3687"/>
      <c r="M205" s="1235"/>
      <c r="N205" s="3687"/>
      <c r="O205" s="3081"/>
      <c r="P205" s="3223"/>
      <c r="Q205" s="3220"/>
      <c r="R205" s="3221"/>
    </row>
    <row r="206" spans="2:18" s="3021" customFormat="1" ht="15.75">
      <c r="B206" s="3070"/>
      <c r="C206" s="3037"/>
      <c r="D206" s="3024" t="s">
        <v>743</v>
      </c>
      <c r="E206" s="3038"/>
      <c r="F206" s="3038"/>
      <c r="G206" s="1234"/>
      <c r="H206" s="3060"/>
      <c r="I206" s="2213"/>
      <c r="J206" s="3060"/>
      <c r="K206" s="2213"/>
      <c r="L206" s="3060"/>
      <c r="M206" s="1235"/>
      <c r="N206" s="1527"/>
      <c r="O206" s="2213"/>
      <c r="P206" s="3082"/>
      <c r="Q206" s="3034"/>
    </row>
    <row r="207" spans="2:18" s="3021" customFormat="1" ht="15.75">
      <c r="B207" s="3047">
        <v>60201</v>
      </c>
      <c r="C207" s="3023"/>
      <c r="D207" s="3044" t="s">
        <v>744</v>
      </c>
      <c r="E207" s="3038"/>
      <c r="F207" s="3038"/>
      <c r="G207" s="1234">
        <v>0</v>
      </c>
      <c r="H207" s="1234"/>
      <c r="I207" s="1234">
        <v>0</v>
      </c>
      <c r="J207" s="1234"/>
      <c r="K207" s="1234">
        <v>0</v>
      </c>
      <c r="L207" s="1234"/>
      <c r="M207" s="1234">
        <f>ROUND(SUM(O207)-SUM(K207),2)</f>
        <v>0</v>
      </c>
      <c r="N207" s="1234"/>
      <c r="O207" s="1234">
        <v>0</v>
      </c>
      <c r="P207" s="3082"/>
      <c r="Q207" s="3034"/>
    </row>
    <row r="208" spans="2:18" s="3021" customFormat="1" ht="15.75">
      <c r="B208" s="3029">
        <v>60901</v>
      </c>
      <c r="C208" s="3043"/>
      <c r="D208" s="3064" t="s">
        <v>981</v>
      </c>
      <c r="E208" s="3045"/>
      <c r="F208" s="3045"/>
      <c r="G208" s="1234">
        <v>0</v>
      </c>
      <c r="H208" s="1234"/>
      <c r="I208" s="1234">
        <v>0</v>
      </c>
      <c r="J208" s="1234"/>
      <c r="K208" s="1234">
        <v>0</v>
      </c>
      <c r="L208" s="1234"/>
      <c r="M208" s="1234">
        <f>ROUND(SUM(O208)-SUM(K208),2)</f>
        <v>0</v>
      </c>
      <c r="N208" s="1234"/>
      <c r="O208" s="1234">
        <v>0</v>
      </c>
      <c r="P208" s="3082"/>
      <c r="Q208" s="3034"/>
    </row>
    <row r="209" spans="2:17" s="3021" customFormat="1" ht="16.5" thickBot="1">
      <c r="B209" s="3069"/>
      <c r="C209" s="3023"/>
      <c r="D209" s="3024" t="s">
        <v>745</v>
      </c>
      <c r="E209" s="3038"/>
      <c r="F209" s="3038"/>
      <c r="G209" s="1628">
        <f>ROUND(SUM(G207:G208),2)</f>
        <v>0</v>
      </c>
      <c r="H209" s="1509"/>
      <c r="I209" s="1631">
        <f>ROUND(SUM(I207:I208),2)</f>
        <v>0</v>
      </c>
      <c r="J209" s="1509"/>
      <c r="K209" s="1631">
        <f>ROUND(SUM(K207:K208),2)</f>
        <v>0</v>
      </c>
      <c r="L209" s="1509"/>
      <c r="M209" s="1236">
        <f>ROUND(SUM(M207:M208),2)</f>
        <v>0</v>
      </c>
      <c r="N209" s="1509"/>
      <c r="O209" s="1631">
        <f>ROUND(SUM(O207:O208),2)</f>
        <v>0</v>
      </c>
      <c r="P209" s="3041"/>
      <c r="Q209" s="3034"/>
    </row>
    <row r="210" spans="2:17" s="3021" customFormat="1" ht="16.5" thickTop="1">
      <c r="B210" s="3069"/>
      <c r="C210" s="3083"/>
      <c r="D210" s="3083"/>
      <c r="E210" s="3084"/>
      <c r="F210" s="3084"/>
      <c r="G210" s="1234"/>
      <c r="H210" s="3060"/>
      <c r="I210" s="2213"/>
      <c r="J210" s="3060"/>
      <c r="K210" s="2213"/>
      <c r="L210" s="3060"/>
      <c r="M210" s="1234"/>
      <c r="N210" s="3060"/>
      <c r="O210" s="2213"/>
      <c r="P210" s="3035"/>
      <c r="Q210" s="3034"/>
    </row>
    <row r="211" spans="2:17" s="3021" customFormat="1" ht="15.75">
      <c r="B211" s="3069"/>
      <c r="C211" s="3053"/>
      <c r="D211" s="3024" t="s">
        <v>746</v>
      </c>
      <c r="E211" s="3059"/>
      <c r="F211" s="3059"/>
      <c r="G211" s="1234"/>
      <c r="H211" s="3060"/>
      <c r="I211" s="2213"/>
      <c r="J211" s="3060"/>
      <c r="K211" s="2213"/>
      <c r="L211" s="3060"/>
      <c r="M211" s="1237"/>
      <c r="N211" s="3085"/>
      <c r="O211" s="2213"/>
      <c r="P211" s="3073"/>
      <c r="Q211" s="3034"/>
    </row>
    <row r="212" spans="2:17" s="3021" customFormat="1" ht="15.75">
      <c r="B212" s="3029">
        <v>50318</v>
      </c>
      <c r="C212" s="3054"/>
      <c r="D212" s="3066" t="s">
        <v>747</v>
      </c>
      <c r="E212" s="3028"/>
      <c r="F212" s="3028"/>
      <c r="G212" s="1234">
        <v>370140.91</v>
      </c>
      <c r="H212" s="1234"/>
      <c r="I212" s="1234">
        <v>345221.79</v>
      </c>
      <c r="J212" s="1234"/>
      <c r="K212" s="1234">
        <v>347999.18</v>
      </c>
      <c r="L212" s="1234"/>
      <c r="M212" s="1234">
        <f>ROUND(SUM(O212)-SUM(K212),2)</f>
        <v>-807.74</v>
      </c>
      <c r="N212" s="1234"/>
      <c r="O212" s="1234">
        <v>347191.44</v>
      </c>
      <c r="P212" s="3082"/>
      <c r="Q212" s="3034"/>
    </row>
    <row r="213" spans="2:17" s="3021" customFormat="1" ht="15.75">
      <c r="B213" s="3029">
        <v>50327</v>
      </c>
      <c r="C213" s="3054"/>
      <c r="D213" s="3066" t="s">
        <v>1280</v>
      </c>
      <c r="E213" s="3028"/>
      <c r="F213" s="3028"/>
      <c r="G213" s="1234">
        <v>281160.31</v>
      </c>
      <c r="H213" s="1234"/>
      <c r="I213" s="1234">
        <v>304988.44</v>
      </c>
      <c r="J213" s="1234"/>
      <c r="K213" s="1234">
        <v>296041.12</v>
      </c>
      <c r="L213" s="1234"/>
      <c r="M213" s="1234">
        <f>ROUND(SUM(O213)-SUM(K213),2)</f>
        <v>10340.26</v>
      </c>
      <c r="N213" s="1234"/>
      <c r="O213" s="1234">
        <v>306381.38</v>
      </c>
      <c r="P213" s="3082"/>
      <c r="Q213" s="3034"/>
    </row>
    <row r="214" spans="2:17" s="3021" customFormat="1" ht="16.5" thickBot="1">
      <c r="B214" s="3086"/>
      <c r="C214" s="3023"/>
      <c r="D214" s="3036" t="s">
        <v>748</v>
      </c>
      <c r="E214" s="3025"/>
      <c r="F214" s="3025"/>
      <c r="G214" s="1628">
        <f>ROUND(SUM(G212:G213),2)</f>
        <v>651301.22</v>
      </c>
      <c r="H214" s="1509"/>
      <c r="I214" s="3087">
        <f>ROUND(SUM(I212:I213),2)</f>
        <v>650210.23</v>
      </c>
      <c r="J214" s="1509"/>
      <c r="K214" s="3087">
        <f>ROUND(SUM(K212:K213),2)</f>
        <v>644040.30000000005</v>
      </c>
      <c r="L214" s="1509"/>
      <c r="M214" s="1528">
        <f>ROUND(SUM(M212:M213),2)</f>
        <v>9532.52</v>
      </c>
      <c r="N214" s="1509"/>
      <c r="O214" s="3087">
        <f>ROUND(SUM(O212:O213),2)</f>
        <v>653572.81999999995</v>
      </c>
      <c r="P214" s="3057"/>
      <c r="Q214" s="3034"/>
    </row>
    <row r="215" spans="2:17" s="3021" customFormat="1" ht="16.5" thickTop="1">
      <c r="B215" s="3054"/>
      <c r="C215" s="3054"/>
      <c r="D215" s="3088"/>
      <c r="E215" s="3028"/>
      <c r="F215" s="3028"/>
      <c r="G215" s="1529"/>
      <c r="H215" s="1529"/>
      <c r="I215" s="3089"/>
      <c r="J215" s="1529"/>
      <c r="K215" s="3089"/>
      <c r="L215" s="1529"/>
      <c r="M215" s="1529"/>
      <c r="N215" s="1529"/>
      <c r="O215" s="3089"/>
      <c r="P215" s="3080"/>
      <c r="Q215" s="3034"/>
    </row>
    <row r="216" spans="2:17" s="3021" customFormat="1" ht="15.75">
      <c r="B216" s="3022"/>
      <c r="C216" s="3023"/>
      <c r="D216" s="3024" t="s">
        <v>222</v>
      </c>
      <c r="E216" s="3025"/>
      <c r="F216" s="3025"/>
      <c r="G216" s="3060"/>
      <c r="H216" s="3060"/>
      <c r="I216" s="3061"/>
      <c r="J216" s="3060"/>
      <c r="K216" s="3061"/>
      <c r="L216" s="3060"/>
      <c r="M216" s="1527"/>
      <c r="N216" s="1527"/>
      <c r="O216" s="3061"/>
      <c r="P216" s="3028"/>
      <c r="Q216" s="3034"/>
    </row>
    <row r="217" spans="2:17" s="3021" customFormat="1" ht="15.75">
      <c r="B217" s="3029">
        <v>55001</v>
      </c>
      <c r="C217" s="3054"/>
      <c r="D217" s="3066" t="s">
        <v>749</v>
      </c>
      <c r="E217" s="3028"/>
      <c r="F217" s="3028"/>
      <c r="G217" s="1234">
        <v>0</v>
      </c>
      <c r="H217" s="1234"/>
      <c r="I217" s="1234">
        <v>0</v>
      </c>
      <c r="J217" s="1234"/>
      <c r="K217" s="1234">
        <v>0</v>
      </c>
      <c r="L217" s="1234"/>
      <c r="M217" s="1234">
        <f t="shared" ref="M217:M259" si="14">ROUND(SUM(O217)-SUM(K217),2)</f>
        <v>0</v>
      </c>
      <c r="N217" s="1234"/>
      <c r="O217" s="1234">
        <v>0</v>
      </c>
      <c r="P217" s="3051"/>
      <c r="Q217" s="3034"/>
    </row>
    <row r="218" spans="2:17" s="3021" customFormat="1" ht="15.75">
      <c r="B218" s="3029">
        <v>55002</v>
      </c>
      <c r="C218" s="3043"/>
      <c r="D218" s="3064" t="s">
        <v>750</v>
      </c>
      <c r="E218" s="3045"/>
      <c r="F218" s="3045"/>
      <c r="G218" s="1234">
        <v>0</v>
      </c>
      <c r="H218" s="1234"/>
      <c r="I218" s="1234">
        <v>0</v>
      </c>
      <c r="J218" s="1234"/>
      <c r="K218" s="1234">
        <v>0</v>
      </c>
      <c r="L218" s="1234"/>
      <c r="M218" s="1234">
        <f t="shared" si="14"/>
        <v>0</v>
      </c>
      <c r="N218" s="1234"/>
      <c r="O218" s="1234">
        <v>0</v>
      </c>
      <c r="P218" s="3041"/>
      <c r="Q218" s="3034"/>
    </row>
    <row r="219" spans="2:17" s="3021" customFormat="1" ht="15.75">
      <c r="B219" s="3029">
        <v>55003</v>
      </c>
      <c r="C219" s="3043"/>
      <c r="D219" s="3066" t="s">
        <v>751</v>
      </c>
      <c r="E219" s="3045"/>
      <c r="F219" s="3045"/>
      <c r="G219" s="1234">
        <v>1386750.47</v>
      </c>
      <c r="H219" s="1234"/>
      <c r="I219" s="1234">
        <v>1324819.02</v>
      </c>
      <c r="J219" s="1234"/>
      <c r="K219" s="1234">
        <v>1337430.77</v>
      </c>
      <c r="L219" s="1234"/>
      <c r="M219" s="1234">
        <f t="shared" si="14"/>
        <v>-118424.67</v>
      </c>
      <c r="N219" s="1234"/>
      <c r="O219" s="1234">
        <v>1219006.1000000001</v>
      </c>
      <c r="P219" s="3041"/>
      <c r="Q219" s="3034"/>
    </row>
    <row r="220" spans="2:17" s="3021" customFormat="1" ht="15.75">
      <c r="B220" s="3029">
        <v>55004</v>
      </c>
      <c r="C220" s="3065"/>
      <c r="D220" s="3090" t="s">
        <v>752</v>
      </c>
      <c r="E220" s="3050"/>
      <c r="F220" s="3050"/>
      <c r="G220" s="1234">
        <v>0</v>
      </c>
      <c r="H220" s="1234"/>
      <c r="I220" s="1234">
        <v>0</v>
      </c>
      <c r="J220" s="1234"/>
      <c r="K220" s="1234">
        <v>0</v>
      </c>
      <c r="L220" s="1234"/>
      <c r="M220" s="1234">
        <f t="shared" si="14"/>
        <v>0</v>
      </c>
      <c r="N220" s="1234"/>
      <c r="O220" s="1234">
        <v>0</v>
      </c>
      <c r="P220" s="3041"/>
      <c r="Q220" s="3034"/>
    </row>
    <row r="221" spans="2:17" s="3021" customFormat="1" ht="15.75">
      <c r="B221" s="3029">
        <v>55005</v>
      </c>
      <c r="C221" s="3043"/>
      <c r="D221" s="3066" t="s">
        <v>753</v>
      </c>
      <c r="E221" s="3045"/>
      <c r="F221" s="3045"/>
      <c r="G221" s="1234">
        <v>0</v>
      </c>
      <c r="H221" s="1234"/>
      <c r="I221" s="1234">
        <v>0</v>
      </c>
      <c r="J221" s="1234"/>
      <c r="K221" s="1234">
        <v>0</v>
      </c>
      <c r="L221" s="1234"/>
      <c r="M221" s="1234">
        <f t="shared" si="14"/>
        <v>0</v>
      </c>
      <c r="N221" s="1234"/>
      <c r="O221" s="1234">
        <v>0</v>
      </c>
      <c r="P221" s="3041"/>
      <c r="Q221" s="3034"/>
    </row>
    <row r="222" spans="2:17" s="3021" customFormat="1" ht="15.75">
      <c r="B222" s="3029">
        <v>55006</v>
      </c>
      <c r="C222" s="3065"/>
      <c r="D222" s="3066" t="s">
        <v>754</v>
      </c>
      <c r="E222" s="3050"/>
      <c r="F222" s="3050"/>
      <c r="G222" s="1234">
        <v>0</v>
      </c>
      <c r="H222" s="1234"/>
      <c r="I222" s="1234">
        <v>0</v>
      </c>
      <c r="J222" s="1234"/>
      <c r="K222" s="1234">
        <v>0</v>
      </c>
      <c r="L222" s="1234"/>
      <c r="M222" s="1234">
        <f t="shared" si="14"/>
        <v>0</v>
      </c>
      <c r="N222" s="1234"/>
      <c r="O222" s="1234">
        <v>0</v>
      </c>
      <c r="P222" s="3041"/>
      <c r="Q222" s="3034"/>
    </row>
    <row r="223" spans="2:17" s="3021" customFormat="1" ht="15.75">
      <c r="B223" s="3029">
        <v>55007</v>
      </c>
      <c r="C223" s="3062"/>
      <c r="D223" s="3030" t="s">
        <v>755</v>
      </c>
      <c r="E223" s="3063"/>
      <c r="F223" s="3063"/>
      <c r="G223" s="1234">
        <v>3187134.9</v>
      </c>
      <c r="H223" s="1234"/>
      <c r="I223" s="1234">
        <v>3516513.3</v>
      </c>
      <c r="J223" s="1234"/>
      <c r="K223" s="1234">
        <v>3517515.48</v>
      </c>
      <c r="L223" s="1234"/>
      <c r="M223" s="1234">
        <f t="shared" si="14"/>
        <v>193420.63</v>
      </c>
      <c r="N223" s="1234"/>
      <c r="O223" s="1234">
        <v>3710936.11</v>
      </c>
      <c r="P223" s="3051"/>
      <c r="Q223" s="3034"/>
    </row>
    <row r="224" spans="2:17" s="3021" customFormat="1" ht="15.75">
      <c r="B224" s="3029">
        <v>55008</v>
      </c>
      <c r="C224" s="3043"/>
      <c r="D224" s="3068" t="s">
        <v>756</v>
      </c>
      <c r="E224" s="3045"/>
      <c r="F224" s="3045"/>
      <c r="G224" s="1234">
        <v>10548852.67</v>
      </c>
      <c r="H224" s="1234"/>
      <c r="I224" s="1234">
        <v>12588557.359999999</v>
      </c>
      <c r="J224" s="1234"/>
      <c r="K224" s="1234">
        <v>13148748.300000001</v>
      </c>
      <c r="L224" s="1234"/>
      <c r="M224" s="1234">
        <f t="shared" si="14"/>
        <v>-12692562.220000001</v>
      </c>
      <c r="N224" s="1234"/>
      <c r="O224" s="1234">
        <v>456186.080000002</v>
      </c>
      <c r="P224" s="3057"/>
      <c r="Q224" s="3034"/>
    </row>
    <row r="225" spans="2:17" s="3021" customFormat="1" ht="15.75">
      <c r="B225" s="2965">
        <v>55009</v>
      </c>
      <c r="C225" s="3062"/>
      <c r="D225" s="3030" t="s">
        <v>757</v>
      </c>
      <c r="E225" s="3063"/>
      <c r="F225" s="3063"/>
      <c r="G225" s="1234">
        <v>0</v>
      </c>
      <c r="H225" s="1234"/>
      <c r="I225" s="1234">
        <v>0</v>
      </c>
      <c r="J225" s="1234"/>
      <c r="K225" s="1234">
        <v>0</v>
      </c>
      <c r="L225" s="1234"/>
      <c r="M225" s="1234">
        <f t="shared" si="14"/>
        <v>0</v>
      </c>
      <c r="N225" s="1234"/>
      <c r="O225" s="1234">
        <v>0</v>
      </c>
      <c r="P225" s="3028"/>
      <c r="Q225" s="3034"/>
    </row>
    <row r="226" spans="2:17" s="3021" customFormat="1" ht="15.75">
      <c r="B226" s="2965">
        <v>55010</v>
      </c>
      <c r="C226" s="3043"/>
      <c r="D226" s="3066" t="s">
        <v>982</v>
      </c>
      <c r="E226" s="3045"/>
      <c r="F226" s="3045"/>
      <c r="G226" s="1234">
        <v>16289388.26</v>
      </c>
      <c r="H226" s="1234"/>
      <c r="I226" s="1234">
        <v>12271049.050000001</v>
      </c>
      <c r="J226" s="1234"/>
      <c r="K226" s="1234">
        <v>16224958.73</v>
      </c>
      <c r="L226" s="1234"/>
      <c r="M226" s="1234">
        <f t="shared" si="14"/>
        <v>-2586856.81</v>
      </c>
      <c r="N226" s="1234"/>
      <c r="O226" s="1234">
        <v>13638101.92</v>
      </c>
      <c r="P226" s="3028"/>
      <c r="Q226" s="3034"/>
    </row>
    <row r="227" spans="2:17" s="3021" customFormat="1" ht="15.75">
      <c r="B227" s="3029">
        <v>55011</v>
      </c>
      <c r="C227" s="3062"/>
      <c r="D227" s="3030" t="s">
        <v>758</v>
      </c>
      <c r="E227" s="3063"/>
      <c r="F227" s="3063"/>
      <c r="G227" s="1234">
        <v>2266953.91</v>
      </c>
      <c r="H227" s="1234"/>
      <c r="I227" s="1234">
        <v>0</v>
      </c>
      <c r="J227" s="1234"/>
      <c r="K227" s="1234">
        <v>0</v>
      </c>
      <c r="L227" s="1234"/>
      <c r="M227" s="1234">
        <f t="shared" si="14"/>
        <v>627294.42000000004</v>
      </c>
      <c r="N227" s="1234"/>
      <c r="O227" s="1234">
        <v>627294.42000000004</v>
      </c>
      <c r="P227" s="3041"/>
      <c r="Q227" s="3034"/>
    </row>
    <row r="228" spans="2:17" s="3021" customFormat="1" ht="15.75">
      <c r="B228" s="3029">
        <v>55012</v>
      </c>
      <c r="C228" s="3043"/>
      <c r="D228" s="3044" t="s">
        <v>759</v>
      </c>
      <c r="E228" s="3045"/>
      <c r="F228" s="3045"/>
      <c r="G228" s="1234">
        <v>173250.3</v>
      </c>
      <c r="H228" s="1234"/>
      <c r="I228" s="1234">
        <v>157991.29999999999</v>
      </c>
      <c r="J228" s="1234"/>
      <c r="K228" s="1234">
        <v>193452.3</v>
      </c>
      <c r="L228" s="1234"/>
      <c r="M228" s="1234">
        <f t="shared" si="14"/>
        <v>-1924.5</v>
      </c>
      <c r="N228" s="1234"/>
      <c r="O228" s="1234">
        <v>191527.8</v>
      </c>
      <c r="P228" s="3041"/>
      <c r="Q228" s="3034"/>
    </row>
    <row r="229" spans="2:17" s="3021" customFormat="1" ht="15.75">
      <c r="B229" s="3029">
        <v>55013</v>
      </c>
      <c r="C229" s="3043"/>
      <c r="D229" s="3064" t="s">
        <v>760</v>
      </c>
      <c r="E229" s="3045"/>
      <c r="F229" s="3045"/>
      <c r="G229" s="1234">
        <v>0</v>
      </c>
      <c r="H229" s="1234"/>
      <c r="I229" s="1234">
        <v>0</v>
      </c>
      <c r="J229" s="1234"/>
      <c r="K229" s="1234">
        <v>0</v>
      </c>
      <c r="L229" s="1234"/>
      <c r="M229" s="1234">
        <f t="shared" si="14"/>
        <v>0</v>
      </c>
      <c r="N229" s="1234"/>
      <c r="O229" s="1234">
        <v>0</v>
      </c>
      <c r="P229" s="3041"/>
      <c r="Q229" s="3034"/>
    </row>
    <row r="230" spans="2:17" s="3021" customFormat="1" ht="15.75">
      <c r="B230" s="3029">
        <v>55014</v>
      </c>
      <c r="C230" s="3043"/>
      <c r="D230" s="3044" t="s">
        <v>761</v>
      </c>
      <c r="E230" s="3045"/>
      <c r="F230" s="3045"/>
      <c r="G230" s="1234">
        <v>0</v>
      </c>
      <c r="H230" s="1234"/>
      <c r="I230" s="1234">
        <v>0</v>
      </c>
      <c r="J230" s="1234"/>
      <c r="K230" s="1234">
        <v>0</v>
      </c>
      <c r="L230" s="1234"/>
      <c r="M230" s="1234">
        <f t="shared" si="14"/>
        <v>0</v>
      </c>
      <c r="N230" s="1234"/>
      <c r="O230" s="1234">
        <v>0</v>
      </c>
      <c r="P230" s="3041"/>
      <c r="Q230" s="3034"/>
    </row>
    <row r="231" spans="2:17" s="3021" customFormat="1" ht="15.75">
      <c r="B231" s="3029">
        <v>55015</v>
      </c>
      <c r="C231" s="3043"/>
      <c r="D231" s="3064" t="s">
        <v>762</v>
      </c>
      <c r="E231" s="3045"/>
      <c r="F231" s="3045"/>
      <c r="G231" s="1234">
        <v>0</v>
      </c>
      <c r="H231" s="1234"/>
      <c r="I231" s="1234">
        <v>0</v>
      </c>
      <c r="J231" s="1234"/>
      <c r="K231" s="1234">
        <v>0</v>
      </c>
      <c r="L231" s="1234"/>
      <c r="M231" s="1234">
        <f t="shared" si="14"/>
        <v>0</v>
      </c>
      <c r="N231" s="1234"/>
      <c r="O231" s="1234">
        <v>0</v>
      </c>
      <c r="P231" s="3041"/>
      <c r="Q231" s="3034"/>
    </row>
    <row r="232" spans="2:17" s="3021" customFormat="1" ht="15.75">
      <c r="B232" s="3029">
        <v>55016</v>
      </c>
      <c r="C232" s="3043"/>
      <c r="D232" s="3064" t="s">
        <v>763</v>
      </c>
      <c r="E232" s="3045"/>
      <c r="F232" s="3045"/>
      <c r="G232" s="1234">
        <v>1608643.92</v>
      </c>
      <c r="H232" s="1234"/>
      <c r="I232" s="1234">
        <v>1565919.79</v>
      </c>
      <c r="J232" s="1234"/>
      <c r="K232" s="1234">
        <v>1628566.47</v>
      </c>
      <c r="L232" s="1234"/>
      <c r="M232" s="1234">
        <f t="shared" si="14"/>
        <v>-390835.44</v>
      </c>
      <c r="N232" s="1234"/>
      <c r="O232" s="1234">
        <v>1237731.03</v>
      </c>
      <c r="P232" s="3041"/>
      <c r="Q232" s="3034"/>
    </row>
    <row r="233" spans="2:17" s="3021" customFormat="1" ht="15.75">
      <c r="B233" s="3029">
        <v>55017</v>
      </c>
      <c r="C233" s="3043"/>
      <c r="D233" s="3064" t="s">
        <v>764</v>
      </c>
      <c r="E233" s="3045"/>
      <c r="F233" s="3045"/>
      <c r="G233" s="1234">
        <v>393527.51</v>
      </c>
      <c r="H233" s="1234"/>
      <c r="I233" s="1234">
        <v>248638.45</v>
      </c>
      <c r="J233" s="1234"/>
      <c r="K233" s="1234">
        <v>271861.11</v>
      </c>
      <c r="L233" s="1234"/>
      <c r="M233" s="1234">
        <f t="shared" si="14"/>
        <v>186618.91</v>
      </c>
      <c r="N233" s="1234"/>
      <c r="O233" s="1234">
        <v>458480.02</v>
      </c>
      <c r="P233" s="3041"/>
      <c r="Q233" s="3034"/>
    </row>
    <row r="234" spans="2:17" s="3021" customFormat="1" ht="15.75">
      <c r="B234" s="3029">
        <v>55018</v>
      </c>
      <c r="C234" s="3043"/>
      <c r="D234" s="3064" t="s">
        <v>765</v>
      </c>
      <c r="E234" s="3045"/>
      <c r="F234" s="3045"/>
      <c r="G234" s="1234">
        <v>0</v>
      </c>
      <c r="H234" s="1234"/>
      <c r="I234" s="1234">
        <v>3954819.15</v>
      </c>
      <c r="J234" s="1234"/>
      <c r="K234" s="1234">
        <v>4406719.0599999996</v>
      </c>
      <c r="L234" s="1234"/>
      <c r="M234" s="1234">
        <f t="shared" si="14"/>
        <v>-1900924.51</v>
      </c>
      <c r="N234" s="1234"/>
      <c r="O234" s="1234">
        <v>2505794.5499999998</v>
      </c>
      <c r="P234" s="3041"/>
      <c r="Q234" s="3034"/>
    </row>
    <row r="235" spans="2:17" s="3021" customFormat="1" ht="15.75">
      <c r="B235" s="3029">
        <v>55019</v>
      </c>
      <c r="C235" s="3043"/>
      <c r="D235" s="3064" t="s">
        <v>766</v>
      </c>
      <c r="E235" s="3045"/>
      <c r="F235" s="3045"/>
      <c r="G235" s="1234">
        <v>0</v>
      </c>
      <c r="H235" s="1234"/>
      <c r="I235" s="1234">
        <v>0</v>
      </c>
      <c r="J235" s="1234"/>
      <c r="K235" s="1234">
        <v>0</v>
      </c>
      <c r="L235" s="1234"/>
      <c r="M235" s="1234">
        <f t="shared" si="14"/>
        <v>0</v>
      </c>
      <c r="N235" s="1234"/>
      <c r="O235" s="1234">
        <v>0</v>
      </c>
      <c r="P235" s="3041"/>
      <c r="Q235" s="3034"/>
    </row>
    <row r="236" spans="2:17" s="3021" customFormat="1" ht="15.75">
      <c r="B236" s="3029">
        <v>55020</v>
      </c>
      <c r="C236" s="3043"/>
      <c r="D236" s="3064" t="s">
        <v>767</v>
      </c>
      <c r="E236" s="3045"/>
      <c r="F236" s="3045"/>
      <c r="G236" s="1234">
        <v>56897173.039999999</v>
      </c>
      <c r="H236" s="1234"/>
      <c r="I236" s="1234">
        <v>61261079.710000001</v>
      </c>
      <c r="J236" s="1234"/>
      <c r="K236" s="1234">
        <v>63815776.939999998</v>
      </c>
      <c r="L236" s="1234"/>
      <c r="M236" s="1234">
        <f t="shared" si="14"/>
        <v>-4520474.78</v>
      </c>
      <c r="N236" s="1234"/>
      <c r="O236" s="1234">
        <v>59295302.159999996</v>
      </c>
      <c r="P236" s="3041"/>
      <c r="Q236" s="3034"/>
    </row>
    <row r="237" spans="2:17" s="3021" customFormat="1" ht="15.75">
      <c r="B237" s="3029">
        <v>55021</v>
      </c>
      <c r="C237" s="3043"/>
      <c r="D237" s="3064" t="s">
        <v>768</v>
      </c>
      <c r="E237" s="3045"/>
      <c r="F237" s="3045"/>
      <c r="G237" s="1234">
        <v>7146143.7300000004</v>
      </c>
      <c r="H237" s="1234"/>
      <c r="I237" s="1234">
        <v>6977640.3499999996</v>
      </c>
      <c r="J237" s="1234"/>
      <c r="K237" s="1234">
        <v>7273044.5999999996</v>
      </c>
      <c r="L237" s="1234"/>
      <c r="M237" s="1234">
        <f t="shared" si="14"/>
        <v>236273.58</v>
      </c>
      <c r="N237" s="1234"/>
      <c r="O237" s="1234">
        <v>7509318.1799999997</v>
      </c>
      <c r="P237" s="3041"/>
      <c r="Q237" s="3034"/>
    </row>
    <row r="238" spans="2:17" s="3021" customFormat="1" ht="15.75">
      <c r="B238" s="3029">
        <v>55022</v>
      </c>
      <c r="C238" s="3043"/>
      <c r="D238" s="3044" t="s">
        <v>769</v>
      </c>
      <c r="E238" s="3045"/>
      <c r="F238" s="3045"/>
      <c r="G238" s="1234">
        <v>16002896.109999999</v>
      </c>
      <c r="H238" s="1234"/>
      <c r="I238" s="1234">
        <v>17918524.050000001</v>
      </c>
      <c r="J238" s="1234"/>
      <c r="K238" s="1234">
        <v>20106078.5</v>
      </c>
      <c r="L238" s="1234"/>
      <c r="M238" s="1234">
        <f t="shared" si="14"/>
        <v>2131716.4500000002</v>
      </c>
      <c r="N238" s="1234"/>
      <c r="O238" s="1234">
        <v>22237794.949999999</v>
      </c>
      <c r="P238" s="3041"/>
      <c r="Q238" s="3034"/>
    </row>
    <row r="239" spans="2:17" s="3021" customFormat="1" ht="15.75">
      <c r="B239" s="3029">
        <v>55052</v>
      </c>
      <c r="C239" s="3043"/>
      <c r="D239" s="3044" t="s">
        <v>770</v>
      </c>
      <c r="E239" s="3045"/>
      <c r="F239" s="3045"/>
      <c r="G239" s="1234">
        <v>0</v>
      </c>
      <c r="H239" s="1234"/>
      <c r="I239" s="1234">
        <v>0</v>
      </c>
      <c r="J239" s="1234"/>
      <c r="K239" s="1234">
        <v>0</v>
      </c>
      <c r="L239" s="1234"/>
      <c r="M239" s="1234">
        <f t="shared" si="14"/>
        <v>0</v>
      </c>
      <c r="N239" s="1234"/>
      <c r="O239" s="1234">
        <v>0</v>
      </c>
      <c r="P239" s="3041"/>
      <c r="Q239" s="3034"/>
    </row>
    <row r="240" spans="2:17" s="3021" customFormat="1" ht="15.75">
      <c r="B240" s="3029">
        <v>55053</v>
      </c>
      <c r="C240" s="3043"/>
      <c r="D240" s="3064" t="s">
        <v>771</v>
      </c>
      <c r="E240" s="3045"/>
      <c r="F240" s="3045"/>
      <c r="G240" s="1234">
        <v>0</v>
      </c>
      <c r="H240" s="1234"/>
      <c r="I240" s="1234">
        <v>0</v>
      </c>
      <c r="J240" s="1234"/>
      <c r="K240" s="1234">
        <v>0</v>
      </c>
      <c r="L240" s="1234"/>
      <c r="M240" s="1234">
        <f t="shared" si="14"/>
        <v>0</v>
      </c>
      <c r="N240" s="1234"/>
      <c r="O240" s="1234">
        <v>0</v>
      </c>
      <c r="P240" s="3041"/>
      <c r="Q240" s="3034"/>
    </row>
    <row r="241" spans="2:17" s="3021" customFormat="1" ht="15.75">
      <c r="B241" s="3029">
        <v>55056</v>
      </c>
      <c r="C241" s="3043"/>
      <c r="D241" s="3064" t="s">
        <v>772</v>
      </c>
      <c r="E241" s="3045"/>
      <c r="F241" s="3045"/>
      <c r="G241" s="1234">
        <v>0</v>
      </c>
      <c r="H241" s="1234"/>
      <c r="I241" s="1234">
        <v>0</v>
      </c>
      <c r="J241" s="1234"/>
      <c r="K241" s="1234">
        <v>0</v>
      </c>
      <c r="L241" s="1234"/>
      <c r="M241" s="1234">
        <f t="shared" si="14"/>
        <v>0</v>
      </c>
      <c r="N241" s="1234"/>
      <c r="O241" s="1234">
        <v>0</v>
      </c>
      <c r="P241" s="3041"/>
      <c r="Q241" s="3034"/>
    </row>
    <row r="242" spans="2:17" s="3021" customFormat="1" ht="15.75">
      <c r="B242" s="3029">
        <v>55057</v>
      </c>
      <c r="C242" s="3043"/>
      <c r="D242" s="3064" t="s">
        <v>773</v>
      </c>
      <c r="E242" s="3045"/>
      <c r="F242" s="3045"/>
      <c r="G242" s="1234">
        <v>127926.02</v>
      </c>
      <c r="H242" s="1234"/>
      <c r="I242" s="1234">
        <v>11046.39</v>
      </c>
      <c r="J242" s="1234"/>
      <c r="K242" s="1234">
        <v>488933.07</v>
      </c>
      <c r="L242" s="1234"/>
      <c r="M242" s="1234">
        <f t="shared" si="14"/>
        <v>-466785.07</v>
      </c>
      <c r="N242" s="1234"/>
      <c r="O242" s="1234">
        <v>22148</v>
      </c>
      <c r="P242" s="3041"/>
      <c r="Q242" s="3034"/>
    </row>
    <row r="243" spans="2:17" s="3021" customFormat="1" ht="15.75">
      <c r="B243" s="3029">
        <v>55058</v>
      </c>
      <c r="C243" s="3043"/>
      <c r="D243" s="3064" t="s">
        <v>774</v>
      </c>
      <c r="E243" s="3045"/>
      <c r="F243" s="3045"/>
      <c r="G243" s="1234">
        <v>1590562.74</v>
      </c>
      <c r="H243" s="1234"/>
      <c r="I243" s="1234">
        <v>1800873.45</v>
      </c>
      <c r="J243" s="1234"/>
      <c r="K243" s="1234">
        <v>2049970.42</v>
      </c>
      <c r="L243" s="1234"/>
      <c r="M243" s="1234">
        <f t="shared" si="14"/>
        <v>321257.49</v>
      </c>
      <c r="N243" s="1234"/>
      <c r="O243" s="1234">
        <v>2371227.91</v>
      </c>
      <c r="P243" s="3041"/>
      <c r="Q243" s="3034"/>
    </row>
    <row r="244" spans="2:17" s="3021" customFormat="1" ht="15.75">
      <c r="B244" s="3029">
        <v>55059</v>
      </c>
      <c r="C244" s="3043"/>
      <c r="D244" s="3066" t="s">
        <v>1283</v>
      </c>
      <c r="E244" s="3045"/>
      <c r="F244" s="3045"/>
      <c r="G244" s="1234">
        <v>11170908.49</v>
      </c>
      <c r="H244" s="1234"/>
      <c r="I244" s="1234">
        <v>10958347.84</v>
      </c>
      <c r="J244" s="1234"/>
      <c r="K244" s="1234">
        <v>10770306.65</v>
      </c>
      <c r="L244" s="1234"/>
      <c r="M244" s="1234">
        <f t="shared" ref="M244" si="15">ROUND(SUM(O244)-SUM(K244),2)</f>
        <v>530261.09</v>
      </c>
      <c r="N244" s="1234"/>
      <c r="O244" s="1234">
        <v>11300567.74</v>
      </c>
      <c r="P244" s="3041"/>
      <c r="Q244" s="3034"/>
    </row>
    <row r="245" spans="2:17" s="3021" customFormat="1" ht="15.75">
      <c r="B245" s="3029">
        <v>55060</v>
      </c>
      <c r="C245" s="3043"/>
      <c r="D245" s="3044" t="s">
        <v>775</v>
      </c>
      <c r="E245" s="3045"/>
      <c r="F245" s="3045"/>
      <c r="G245" s="1234">
        <v>2187094.16</v>
      </c>
      <c r="H245" s="1234"/>
      <c r="I245" s="1234">
        <v>3378751.17</v>
      </c>
      <c r="J245" s="1234"/>
      <c r="K245" s="1234">
        <v>841311.13</v>
      </c>
      <c r="L245" s="1234"/>
      <c r="M245" s="1234">
        <f t="shared" si="14"/>
        <v>1482666.49</v>
      </c>
      <c r="N245" s="1234"/>
      <c r="O245" s="1234">
        <v>2323977.62</v>
      </c>
      <c r="P245" s="3041"/>
      <c r="Q245" s="3034"/>
    </row>
    <row r="246" spans="2:17" s="3021" customFormat="1" ht="15.75">
      <c r="B246" s="3029">
        <v>55061</v>
      </c>
      <c r="C246" s="3043"/>
      <c r="D246" s="3044" t="s">
        <v>776</v>
      </c>
      <c r="E246" s="3045"/>
      <c r="F246" s="3045"/>
      <c r="G246" s="1234">
        <v>2239828.23</v>
      </c>
      <c r="H246" s="1234"/>
      <c r="I246" s="1234">
        <v>2239828.23</v>
      </c>
      <c r="J246" s="1234"/>
      <c r="K246" s="1234">
        <v>2239828.23</v>
      </c>
      <c r="L246" s="1234"/>
      <c r="M246" s="1234">
        <f t="shared" si="14"/>
        <v>596.30999999999995</v>
      </c>
      <c r="N246" s="1234"/>
      <c r="O246" s="1234">
        <v>2240424.54</v>
      </c>
      <c r="P246" s="3041"/>
      <c r="Q246" s="3034"/>
    </row>
    <row r="247" spans="2:17" s="3021" customFormat="1" ht="15.75">
      <c r="B247" s="3029">
        <v>55062</v>
      </c>
      <c r="C247" s="3043"/>
      <c r="D247" s="3064" t="s">
        <v>777</v>
      </c>
      <c r="E247" s="3045"/>
      <c r="F247" s="3045"/>
      <c r="G247" s="1234">
        <v>45381789.5</v>
      </c>
      <c r="H247" s="1234"/>
      <c r="I247" s="1234">
        <v>44947967.770000003</v>
      </c>
      <c r="J247" s="1234"/>
      <c r="K247" s="1234">
        <v>45074847.530000001</v>
      </c>
      <c r="L247" s="1234"/>
      <c r="M247" s="1234">
        <f t="shared" si="14"/>
        <v>-4700470.08</v>
      </c>
      <c r="N247" s="1234"/>
      <c r="O247" s="1234">
        <v>40374377.450000003</v>
      </c>
      <c r="P247" s="3041"/>
      <c r="Q247" s="3034"/>
    </row>
    <row r="248" spans="2:17" s="3021" customFormat="1" ht="15.75">
      <c r="B248" s="3029">
        <v>55066</v>
      </c>
      <c r="C248" s="3043"/>
      <c r="D248" s="3064" t="s">
        <v>778</v>
      </c>
      <c r="E248" s="3045"/>
      <c r="F248" s="3045"/>
      <c r="G248" s="1234">
        <v>1261584.27</v>
      </c>
      <c r="H248" s="1234"/>
      <c r="I248" s="1234">
        <v>1261584.27</v>
      </c>
      <c r="J248" s="1234"/>
      <c r="K248" s="1234">
        <v>1261584.27</v>
      </c>
      <c r="L248" s="1234"/>
      <c r="M248" s="1234">
        <f t="shared" si="14"/>
        <v>0</v>
      </c>
      <c r="N248" s="1234"/>
      <c r="O248" s="1234">
        <v>1261584.27</v>
      </c>
      <c r="P248" s="3041"/>
      <c r="Q248" s="3034"/>
    </row>
    <row r="249" spans="2:17" s="3021" customFormat="1" ht="15.75">
      <c r="B249" s="3029">
        <v>55067</v>
      </c>
      <c r="C249" s="3043"/>
      <c r="D249" s="3064" t="s">
        <v>779</v>
      </c>
      <c r="E249" s="3045"/>
      <c r="F249" s="3045"/>
      <c r="G249" s="1234">
        <v>113628.58</v>
      </c>
      <c r="H249" s="1234"/>
      <c r="I249" s="1234">
        <v>93592.92</v>
      </c>
      <c r="J249" s="1234"/>
      <c r="K249" s="1234">
        <v>120045.45</v>
      </c>
      <c r="L249" s="1234"/>
      <c r="M249" s="1234">
        <f t="shared" si="14"/>
        <v>-17844.8</v>
      </c>
      <c r="N249" s="1234"/>
      <c r="O249" s="1234">
        <v>102200.65</v>
      </c>
      <c r="P249" s="3041"/>
      <c r="Q249" s="3034"/>
    </row>
    <row r="250" spans="2:17" s="3021" customFormat="1" ht="15.75">
      <c r="B250" s="3029">
        <v>55069</v>
      </c>
      <c r="C250" s="3043"/>
      <c r="D250" s="3064" t="s">
        <v>780</v>
      </c>
      <c r="E250" s="3045"/>
      <c r="F250" s="3045"/>
      <c r="G250" s="1234">
        <v>58830619.649999999</v>
      </c>
      <c r="H250" s="1234"/>
      <c r="I250" s="1234">
        <v>53910003.380000003</v>
      </c>
      <c r="J250" s="1234"/>
      <c r="K250" s="1234">
        <v>51711438.229999997</v>
      </c>
      <c r="L250" s="1234"/>
      <c r="M250" s="1234">
        <f t="shared" si="14"/>
        <v>-1090658.17</v>
      </c>
      <c r="N250" s="1234"/>
      <c r="O250" s="1234">
        <v>50620780.060000002</v>
      </c>
      <c r="P250" s="3041"/>
      <c r="Q250" s="3034"/>
    </row>
    <row r="251" spans="2:17" s="3021" customFormat="1" ht="15.75">
      <c r="B251" s="3069">
        <v>55071</v>
      </c>
      <c r="C251" s="3043"/>
      <c r="D251" s="3064" t="s">
        <v>959</v>
      </c>
      <c r="E251" s="3045"/>
      <c r="F251" s="3045"/>
      <c r="G251" s="1234">
        <v>358012.6</v>
      </c>
      <c r="H251" s="1234"/>
      <c r="I251" s="1234">
        <v>638385.59</v>
      </c>
      <c r="J251" s="1234"/>
      <c r="K251" s="1234">
        <v>824767.45</v>
      </c>
      <c r="L251" s="1234"/>
      <c r="M251" s="1234">
        <f t="shared" si="14"/>
        <v>-416029.15</v>
      </c>
      <c r="N251" s="1234"/>
      <c r="O251" s="1234">
        <v>408738.3</v>
      </c>
      <c r="P251" s="3041"/>
      <c r="Q251" s="3034"/>
    </row>
    <row r="252" spans="2:17" s="3021" customFormat="1" ht="15.75">
      <c r="B252" s="3029">
        <v>55072</v>
      </c>
      <c r="C252" s="3043"/>
      <c r="D252" s="3064" t="s">
        <v>960</v>
      </c>
      <c r="E252" s="3045"/>
      <c r="F252" s="3045"/>
      <c r="G252" s="1234">
        <v>1082430.6200000001</v>
      </c>
      <c r="H252" s="1234"/>
      <c r="I252" s="1234">
        <v>0</v>
      </c>
      <c r="J252" s="1234"/>
      <c r="K252" s="1234">
        <v>331482.26</v>
      </c>
      <c r="L252" s="1234"/>
      <c r="M252" s="1234">
        <f t="shared" si="14"/>
        <v>1082707.82</v>
      </c>
      <c r="N252" s="1234"/>
      <c r="O252" s="1234">
        <v>1414190.0800000001</v>
      </c>
      <c r="P252" s="3041"/>
      <c r="Q252" s="3034"/>
    </row>
    <row r="253" spans="2:17" s="3021" customFormat="1" ht="15.75">
      <c r="B253" s="3069">
        <v>55073</v>
      </c>
      <c r="C253" s="3043"/>
      <c r="D253" s="3064" t="s">
        <v>961</v>
      </c>
      <c r="E253" s="3045"/>
      <c r="F253" s="3045"/>
      <c r="G253" s="1234">
        <v>0</v>
      </c>
      <c r="H253" s="1234"/>
      <c r="I253" s="1234">
        <v>0</v>
      </c>
      <c r="J253" s="1234"/>
      <c r="K253" s="1234">
        <v>0</v>
      </c>
      <c r="L253" s="1234"/>
      <c r="M253" s="1234">
        <f t="shared" si="14"/>
        <v>0</v>
      </c>
      <c r="N253" s="1234"/>
      <c r="O253" s="1234">
        <v>0</v>
      </c>
      <c r="P253" s="3041"/>
      <c r="Q253" s="3034"/>
    </row>
    <row r="254" spans="2:17" s="3021" customFormat="1" ht="15.75">
      <c r="B254" s="3069">
        <v>55074</v>
      </c>
      <c r="C254" s="3043"/>
      <c r="D254" s="3064" t="s">
        <v>1320</v>
      </c>
      <c r="E254" s="3045"/>
      <c r="F254" s="3045"/>
      <c r="G254" s="1234">
        <v>0</v>
      </c>
      <c r="H254" s="1234"/>
      <c r="I254" s="1234">
        <v>0</v>
      </c>
      <c r="J254" s="1234"/>
      <c r="K254" s="1234">
        <v>0</v>
      </c>
      <c r="L254" s="1234"/>
      <c r="M254" s="1234">
        <f t="shared" ref="M254" si="16">ROUND(SUM(O254)-SUM(K254),2)</f>
        <v>0</v>
      </c>
      <c r="N254" s="1234"/>
      <c r="O254" s="1234">
        <v>0</v>
      </c>
      <c r="P254" s="3041"/>
      <c r="Q254" s="3034"/>
    </row>
    <row r="255" spans="2:17" s="3021" customFormat="1" ht="15.75">
      <c r="B255" s="3029">
        <v>55251</v>
      </c>
      <c r="C255" s="3043"/>
      <c r="D255" s="3044" t="s">
        <v>781</v>
      </c>
      <c r="E255" s="3045"/>
      <c r="F255" s="3045"/>
      <c r="G255" s="1234">
        <v>11591737.73</v>
      </c>
      <c r="H255" s="1234"/>
      <c r="I255" s="1234">
        <v>11826808.189999999</v>
      </c>
      <c r="J255" s="1234"/>
      <c r="K255" s="1234">
        <v>12046041.310000001</v>
      </c>
      <c r="L255" s="1234"/>
      <c r="M255" s="1234">
        <f t="shared" si="14"/>
        <v>251157.79</v>
      </c>
      <c r="N255" s="1234"/>
      <c r="O255" s="1234">
        <v>12297199.1</v>
      </c>
      <c r="P255" s="3041"/>
      <c r="Q255" s="3034"/>
    </row>
    <row r="256" spans="2:17" s="3021" customFormat="1" ht="15.75">
      <c r="B256" s="3029">
        <v>55252</v>
      </c>
      <c r="C256" s="3043"/>
      <c r="D256" s="3064" t="s">
        <v>782</v>
      </c>
      <c r="E256" s="3045"/>
      <c r="F256" s="3045"/>
      <c r="G256" s="1234">
        <v>28998668.41</v>
      </c>
      <c r="H256" s="1234"/>
      <c r="I256" s="1234">
        <v>31505372.940000001</v>
      </c>
      <c r="J256" s="1234"/>
      <c r="K256" s="1234">
        <v>17975061.23</v>
      </c>
      <c r="L256" s="1234"/>
      <c r="M256" s="1234">
        <f t="shared" si="14"/>
        <v>2673009.33</v>
      </c>
      <c r="N256" s="1234"/>
      <c r="O256" s="1234">
        <v>20648070.559999999</v>
      </c>
      <c r="P256" s="3041"/>
      <c r="Q256" s="3034"/>
    </row>
    <row r="257" spans="2:17" s="3021" customFormat="1" ht="15.75">
      <c r="B257" s="3029">
        <v>55300</v>
      </c>
      <c r="C257" s="3043"/>
      <c r="D257" s="3044" t="s">
        <v>783</v>
      </c>
      <c r="E257" s="3045"/>
      <c r="F257" s="3045"/>
      <c r="G257" s="1234">
        <v>15325716.4</v>
      </c>
      <c r="H257" s="1234"/>
      <c r="I257" s="1234">
        <v>15884268.49</v>
      </c>
      <c r="J257" s="1234"/>
      <c r="K257" s="1234">
        <v>19276421.809999999</v>
      </c>
      <c r="L257" s="1234"/>
      <c r="M257" s="1234">
        <f t="shared" si="14"/>
        <v>-10201570.539999999</v>
      </c>
      <c r="N257" s="1234"/>
      <c r="O257" s="1234">
        <v>9074851.2699999996</v>
      </c>
      <c r="P257" s="3041"/>
      <c r="Q257" s="3034"/>
    </row>
    <row r="258" spans="2:17" s="3021" customFormat="1" ht="15.75">
      <c r="B258" s="3029">
        <v>55301</v>
      </c>
      <c r="C258" s="3043"/>
      <c r="D258" s="3044" t="s">
        <v>784</v>
      </c>
      <c r="E258" s="3045"/>
      <c r="F258" s="3045"/>
      <c r="G258" s="1234">
        <v>1253352.1200000001</v>
      </c>
      <c r="H258" s="1234"/>
      <c r="I258" s="1234">
        <v>1363101.4</v>
      </c>
      <c r="J258" s="1234"/>
      <c r="K258" s="1234">
        <v>1472850.68</v>
      </c>
      <c r="L258" s="1234"/>
      <c r="M258" s="1234">
        <f t="shared" si="14"/>
        <v>131821.82</v>
      </c>
      <c r="N258" s="1234"/>
      <c r="O258" s="1234">
        <v>1604672.5</v>
      </c>
      <c r="P258" s="3041"/>
      <c r="Q258" s="3034"/>
    </row>
    <row r="259" spans="2:17" s="3021" customFormat="1" ht="15.75">
      <c r="B259" s="3029">
        <v>55350</v>
      </c>
      <c r="C259" s="3054"/>
      <c r="D259" s="3044" t="s">
        <v>785</v>
      </c>
      <c r="E259" s="3028"/>
      <c r="F259" s="3028"/>
      <c r="G259" s="1234">
        <v>32866060.68</v>
      </c>
      <c r="H259" s="1234"/>
      <c r="I259" s="1234">
        <v>33974055.380000003</v>
      </c>
      <c r="J259" s="1234"/>
      <c r="K259" s="1234">
        <v>35040896.93</v>
      </c>
      <c r="L259" s="1234"/>
      <c r="M259" s="1234">
        <f t="shared" si="14"/>
        <v>1912729.67</v>
      </c>
      <c r="N259" s="1234"/>
      <c r="O259" s="1234">
        <v>36953626.600000001</v>
      </c>
      <c r="P259" s="3041"/>
      <c r="Q259" s="3034"/>
    </row>
    <row r="260" spans="2:17" s="3021" customFormat="1" ht="16.5" thickBot="1">
      <c r="B260" s="3091"/>
      <c r="C260" s="3023"/>
      <c r="D260" s="3024" t="s">
        <v>786</v>
      </c>
      <c r="E260" s="3025"/>
      <c r="F260" s="3025"/>
      <c r="G260" s="1628">
        <f>ROUND(SUM(G217:G259),2)</f>
        <v>330280635.01999998</v>
      </c>
      <c r="H260" s="1509"/>
      <c r="I260" s="1628">
        <f>ROUND(SUM(I217:I259),2)</f>
        <v>335579538.94</v>
      </c>
      <c r="J260" s="1509"/>
      <c r="K260" s="1628">
        <f>ROUND(SUM(K217:K259),2)</f>
        <v>333449938.91000003</v>
      </c>
      <c r="L260" s="1509"/>
      <c r="M260" s="1236">
        <f>ROUND(SUM(M217:M259),2)</f>
        <v>-27343828.940000001</v>
      </c>
      <c r="N260" s="1509"/>
      <c r="O260" s="1628">
        <f>ROUND(SUM(O217:O259),2)</f>
        <v>306106109.97000003</v>
      </c>
      <c r="P260" s="3041"/>
      <c r="Q260" s="3034"/>
    </row>
    <row r="261" spans="2:17" s="3021" customFormat="1" ht="16.5" thickTop="1">
      <c r="B261" s="3070"/>
      <c r="C261" s="3054"/>
      <c r="D261" s="3092"/>
      <c r="E261" s="3028"/>
      <c r="F261" s="3028"/>
      <c r="G261" s="1234"/>
      <c r="H261" s="3060"/>
      <c r="I261" s="1234"/>
      <c r="J261" s="3060"/>
      <c r="K261" s="1234"/>
      <c r="L261" s="3060"/>
      <c r="M261" s="1234"/>
      <c r="N261" s="3060"/>
      <c r="O261" s="1234"/>
      <c r="P261" s="3041"/>
      <c r="Q261" s="3034"/>
    </row>
    <row r="262" spans="2:17" s="3021" customFormat="1" ht="16.5" thickBot="1">
      <c r="B262" s="3070"/>
      <c r="C262" s="3054"/>
      <c r="D262" s="3092"/>
      <c r="E262" s="3028"/>
      <c r="F262" s="3028"/>
      <c r="G262" s="1234"/>
      <c r="H262" s="3060"/>
      <c r="I262" s="1234"/>
      <c r="J262" s="3060"/>
      <c r="K262" s="1234"/>
      <c r="L262" s="3060"/>
      <c r="M262" s="1234"/>
      <c r="N262" s="3060"/>
      <c r="O262" s="1234"/>
      <c r="P262" s="3041"/>
      <c r="Q262" s="3034"/>
    </row>
    <row r="263" spans="2:17" s="3021" customFormat="1" ht="16.5" thickBot="1">
      <c r="B263" s="3091"/>
      <c r="C263" s="3093"/>
      <c r="D263" s="3094" t="s">
        <v>787</v>
      </c>
      <c r="E263" s="3025"/>
      <c r="F263" s="3095"/>
      <c r="G263" s="1629">
        <f>ROUND(SUM(G11+G102+G190+G204+G209+G214+G260),2)</f>
        <v>4806221791.5500002</v>
      </c>
      <c r="H263" s="1511"/>
      <c r="I263" s="1629">
        <f>ROUND(SUM(I11+I102+I190+I204+I209+I214+I260),2)</f>
        <v>4519715642.4499998</v>
      </c>
      <c r="J263" s="1511"/>
      <c r="K263" s="1629">
        <f>ROUND(SUM(K11+K102+K190+K204+K209+K214+K260),2)</f>
        <v>5245450059.3900003</v>
      </c>
      <c r="L263" s="1511"/>
      <c r="M263" s="1510">
        <f>ROUND(SUM(M11+M102+M190+M204+M209+M214+M260),2)</f>
        <v>-695170747.14999998</v>
      </c>
      <c r="N263" s="1511"/>
      <c r="O263" s="1629">
        <f>ROUND(SUM(O11+O102+O190+O204+O209+O214+O260),2)</f>
        <v>4550279312.2399998</v>
      </c>
      <c r="P263" s="3041"/>
      <c r="Q263" s="3034"/>
    </row>
    <row r="264" spans="2:17" s="3021" customFormat="1" ht="15.75">
      <c r="B264" s="3070"/>
      <c r="C264" s="3054"/>
      <c r="D264" s="3092"/>
      <c r="E264" s="3028"/>
      <c r="F264" s="3028"/>
      <c r="G264" s="2592"/>
      <c r="H264" s="1527"/>
      <c r="I264" s="1235"/>
      <c r="J264" s="1527"/>
      <c r="K264" s="1235"/>
      <c r="L264" s="1527"/>
      <c r="M264" s="1238"/>
      <c r="N264" s="3054"/>
      <c r="O264" s="1238"/>
      <c r="P264" s="3041"/>
    </row>
    <row r="265" spans="2:17" s="3021" customFormat="1" ht="15.75">
      <c r="B265" s="3096" t="s">
        <v>865</v>
      </c>
      <c r="C265" s="2220" t="s">
        <v>1404</v>
      </c>
      <c r="D265" s="3097"/>
      <c r="E265" s="3098"/>
      <c r="F265" s="3098"/>
      <c r="G265" s="1235"/>
      <c r="H265" s="3099"/>
      <c r="I265" s="1239"/>
      <c r="J265" s="3100"/>
      <c r="K265" s="1239"/>
      <c r="L265" s="3101"/>
      <c r="M265" s="1239"/>
      <c r="N265" s="3101"/>
      <c r="O265" s="1239"/>
      <c r="P265" s="3041"/>
    </row>
    <row r="266" spans="2:17" s="3021" customFormat="1" ht="15.75">
      <c r="B266" s="3102"/>
      <c r="C266" s="825" t="s">
        <v>788</v>
      </c>
      <c r="D266" s="3103"/>
      <c r="E266" s="825"/>
      <c r="F266" s="825"/>
      <c r="G266" s="1239"/>
      <c r="H266" s="3104"/>
      <c r="I266" s="1239"/>
      <c r="J266" s="3101"/>
      <c r="K266" s="1239"/>
      <c r="L266" s="3101"/>
      <c r="M266" s="1239"/>
      <c r="N266" s="3101"/>
      <c r="O266" s="1239"/>
      <c r="P266" s="3041"/>
    </row>
    <row r="267" spans="2:17" s="3021" customFormat="1" ht="15.75">
      <c r="B267" s="3102"/>
      <c r="C267" s="825" t="s">
        <v>789</v>
      </c>
      <c r="D267" s="3105"/>
      <c r="E267" s="825"/>
      <c r="F267" s="825"/>
      <c r="G267" s="1239"/>
      <c r="H267" s="3104"/>
      <c r="I267" s="1240"/>
      <c r="J267" s="3106"/>
      <c r="K267" s="1240"/>
      <c r="L267" s="3106"/>
      <c r="M267" s="1240"/>
      <c r="N267" s="3106"/>
      <c r="O267" s="1240"/>
      <c r="P267" s="3041"/>
    </row>
    <row r="268" spans="2:17" s="3021" customFormat="1" ht="15.75">
      <c r="B268" s="3102"/>
      <c r="C268" s="825" t="s">
        <v>790</v>
      </c>
      <c r="D268" s="3105"/>
      <c r="E268" s="825"/>
      <c r="F268" s="825"/>
      <c r="G268" s="1240"/>
      <c r="H268" s="3104"/>
      <c r="I268" s="1240"/>
      <c r="J268" s="3106"/>
      <c r="K268" s="1240"/>
      <c r="L268" s="3106"/>
      <c r="M268" s="1240"/>
      <c r="N268" s="3106"/>
      <c r="O268" s="1240"/>
      <c r="P268" s="3041"/>
    </row>
    <row r="269" spans="2:17" s="3021" customFormat="1" ht="15.75">
      <c r="B269" s="3102"/>
      <c r="C269" s="825" t="s">
        <v>791</v>
      </c>
      <c r="D269" s="3105"/>
      <c r="E269" s="825"/>
      <c r="F269" s="825"/>
      <c r="G269" s="1240"/>
      <c r="H269" s="3104"/>
      <c r="I269" s="3107"/>
      <c r="J269" s="3108"/>
      <c r="K269" s="3107"/>
      <c r="L269" s="3108"/>
      <c r="M269" s="3107"/>
      <c r="N269" s="3108"/>
      <c r="O269" s="3107"/>
      <c r="P269" s="3041"/>
    </row>
    <row r="270" spans="2:17" s="3021" customFormat="1" ht="15.75">
      <c r="B270" s="3109"/>
      <c r="C270" s="825" t="s">
        <v>1270</v>
      </c>
      <c r="D270" s="3105"/>
      <c r="E270" s="825"/>
      <c r="F270" s="825"/>
      <c r="G270" s="3107"/>
      <c r="H270" s="3104"/>
      <c r="I270" s="3107"/>
      <c r="J270" s="3108"/>
      <c r="K270" s="3107"/>
      <c r="L270" s="3108"/>
      <c r="M270" s="3107"/>
      <c r="N270" s="3108"/>
      <c r="O270" s="3107"/>
      <c r="P270" s="3051"/>
    </row>
    <row r="271" spans="2:17" s="3021" customFormat="1" ht="15.75">
      <c r="B271" s="3109"/>
      <c r="C271" s="3104" t="s">
        <v>866</v>
      </c>
      <c r="D271" s="3110"/>
      <c r="E271" s="3104"/>
      <c r="F271" s="3104"/>
      <c r="G271" s="3107"/>
      <c r="H271" s="3104"/>
      <c r="I271" s="3107"/>
      <c r="J271" s="3108"/>
      <c r="K271" s="3107"/>
      <c r="L271" s="3108"/>
      <c r="M271" s="3107"/>
      <c r="N271" s="3108"/>
      <c r="O271" s="3107"/>
      <c r="P271" s="3041"/>
    </row>
    <row r="272" spans="2:17" s="3021" customFormat="1" ht="15.75">
      <c r="B272" s="3111" t="s">
        <v>114</v>
      </c>
      <c r="C272" s="3098" t="s">
        <v>1250</v>
      </c>
      <c r="D272" s="3097"/>
      <c r="E272" s="3104"/>
      <c r="F272" s="3104"/>
      <c r="G272" s="3107"/>
      <c r="H272" s="3104"/>
      <c r="I272" s="3112"/>
      <c r="J272" s="3113"/>
      <c r="K272" s="3112"/>
      <c r="L272" s="3114"/>
      <c r="M272" s="3115"/>
      <c r="N272" s="3116"/>
      <c r="O272" s="3112"/>
      <c r="P272" s="3028"/>
    </row>
    <row r="273" spans="2:16" s="3021" customFormat="1" ht="15.75">
      <c r="B273" s="3117"/>
      <c r="C273" s="3112" t="s">
        <v>1251</v>
      </c>
      <c r="D273" s="824"/>
      <c r="E273" s="3104"/>
      <c r="F273" s="3104"/>
      <c r="G273" s="3112"/>
      <c r="H273" s="3104"/>
      <c r="I273" s="3112"/>
      <c r="J273" s="3113"/>
      <c r="K273" s="3112"/>
      <c r="L273" s="3114"/>
      <c r="M273" s="3115"/>
      <c r="N273" s="3116"/>
      <c r="O273" s="3112"/>
      <c r="P273" s="3074"/>
    </row>
    <row r="274" spans="2:16" s="3021" customFormat="1" ht="15.75">
      <c r="B274" s="3118" t="s">
        <v>864</v>
      </c>
      <c r="C274" s="3109" t="s">
        <v>983</v>
      </c>
      <c r="D274" s="824"/>
      <c r="E274" s="3119"/>
      <c r="F274" s="1475"/>
      <c r="G274" s="3112"/>
      <c r="H274" s="827"/>
      <c r="I274" s="825"/>
      <c r="J274" s="828"/>
      <c r="K274" s="825"/>
      <c r="L274" s="827"/>
      <c r="M274" s="826"/>
      <c r="N274" s="829"/>
      <c r="O274" s="825"/>
      <c r="P274" s="3020"/>
    </row>
    <row r="275" spans="2:16" s="3021" customFormat="1" ht="15.75">
      <c r="B275" s="3120"/>
      <c r="C275" s="3121"/>
      <c r="D275" s="3022"/>
      <c r="E275" s="825"/>
      <c r="F275" s="825"/>
      <c r="G275" s="3112"/>
      <c r="H275" s="3022"/>
      <c r="I275" s="3022"/>
      <c r="J275" s="3022"/>
      <c r="K275" s="3022"/>
      <c r="L275" s="3022"/>
      <c r="M275" s="3022"/>
      <c r="N275" s="3022"/>
      <c r="O275" s="3022"/>
      <c r="P275" s="3104"/>
    </row>
    <row r="276" spans="2:16" s="3021" customFormat="1" ht="15.75">
      <c r="C276" s="3121"/>
      <c r="D276" s="3074"/>
      <c r="E276" s="3122"/>
      <c r="F276" s="3122"/>
      <c r="G276" s="3022"/>
      <c r="H276" s="3106"/>
      <c r="I276" s="3074"/>
      <c r="J276" s="3106"/>
      <c r="K276" s="3074"/>
      <c r="L276" s="3106"/>
      <c r="M276" s="3074"/>
      <c r="N276" s="3106"/>
      <c r="O276" s="3074"/>
      <c r="P276" s="3104"/>
    </row>
    <row r="277" spans="2:16" s="3021" customFormat="1" ht="15.75">
      <c r="C277" s="3121"/>
      <c r="D277" s="3074"/>
      <c r="E277" s="825"/>
      <c r="F277" s="825"/>
      <c r="G277" s="3123"/>
      <c r="H277" s="3123"/>
      <c r="I277" s="3123"/>
      <c r="J277" s="3123"/>
      <c r="K277" s="3123"/>
      <c r="L277" s="3123"/>
      <c r="M277" s="3123"/>
      <c r="N277" s="3123"/>
      <c r="O277" s="3123"/>
      <c r="P277" s="3104"/>
    </row>
    <row r="278" spans="2:16" s="3021" customFormat="1" ht="15.75">
      <c r="B278" s="3121"/>
      <c r="C278" s="3121"/>
      <c r="D278" s="3074"/>
      <c r="E278" s="825"/>
      <c r="F278" s="825"/>
      <c r="G278" s="3124"/>
      <c r="H278" s="3124"/>
      <c r="I278" s="3124"/>
      <c r="J278" s="3124"/>
      <c r="K278" s="3124"/>
      <c r="L278" s="3124"/>
      <c r="M278" s="3074"/>
      <c r="N278" s="3106"/>
      <c r="O278" s="3074"/>
      <c r="P278" s="3104"/>
    </row>
    <row r="279" spans="2:16" s="3021" customFormat="1" ht="15.75">
      <c r="B279" s="3121"/>
      <c r="C279" s="3121"/>
      <c r="D279" s="3074"/>
      <c r="E279" s="825"/>
      <c r="F279" s="825"/>
      <c r="G279" s="3124"/>
      <c r="H279" s="3124"/>
      <c r="I279" s="3124"/>
      <c r="J279" s="3124"/>
      <c r="K279" s="3124"/>
      <c r="L279" s="3124"/>
      <c r="M279" s="3074"/>
      <c r="N279" s="3106"/>
      <c r="O279" s="3074"/>
      <c r="P279" s="3104"/>
    </row>
    <row r="280" spans="2:16" s="3021" customFormat="1" ht="15.75">
      <c r="B280" s="3125"/>
      <c r="C280" s="3104"/>
      <c r="D280" s="3074"/>
      <c r="E280" s="825"/>
      <c r="F280" s="825"/>
      <c r="G280" s="3124"/>
      <c r="H280" s="3126"/>
      <c r="I280" s="3104"/>
      <c r="J280" s="3126"/>
      <c r="K280" s="3104"/>
      <c r="L280" s="3106"/>
      <c r="M280" s="3074"/>
      <c r="N280" s="3106"/>
      <c r="O280" s="3074"/>
      <c r="P280" s="3120"/>
    </row>
    <row r="281" spans="2:16" s="3021" customFormat="1" ht="15.75">
      <c r="B281" s="3127"/>
      <c r="C281" s="3104"/>
      <c r="D281" s="3074"/>
      <c r="E281" s="825"/>
      <c r="F281" s="825"/>
      <c r="G281" s="3104"/>
      <c r="H281" s="3126"/>
      <c r="I281" s="3104"/>
      <c r="J281" s="3126"/>
      <c r="K281" s="3104"/>
      <c r="L281" s="3106"/>
      <c r="M281" s="3074"/>
      <c r="N281" s="3106"/>
      <c r="O281" s="3074"/>
      <c r="P281" s="3120"/>
    </row>
    <row r="282" spans="2:16" s="3021" customFormat="1" ht="15.75">
      <c r="B282" s="3127"/>
      <c r="C282" s="3104"/>
      <c r="D282" s="3074"/>
      <c r="E282" s="825"/>
      <c r="F282" s="825"/>
      <c r="G282" s="3104"/>
      <c r="H282" s="3126"/>
      <c r="I282" s="3104"/>
      <c r="J282" s="3126"/>
      <c r="K282" s="3104"/>
      <c r="L282" s="3106"/>
      <c r="M282" s="824"/>
      <c r="N282" s="3101"/>
      <c r="O282" s="824"/>
      <c r="P282" s="3120"/>
    </row>
    <row r="283" spans="2:16" s="3021" customFormat="1" ht="15.75">
      <c r="B283" s="3120"/>
      <c r="C283" s="3104"/>
      <c r="D283" s="3074"/>
      <c r="E283" s="2592"/>
      <c r="F283" s="3126"/>
      <c r="G283" s="3104"/>
      <c r="H283" s="3126"/>
      <c r="I283" s="3104"/>
      <c r="J283" s="3126"/>
      <c r="K283" s="3104"/>
      <c r="L283" s="3101"/>
      <c r="M283" s="824"/>
      <c r="N283" s="3101"/>
      <c r="O283" s="824"/>
      <c r="P283" s="3120"/>
    </row>
    <row r="284" spans="2:16" s="3021" customFormat="1" ht="15.75">
      <c r="B284" s="3120"/>
      <c r="C284" s="3104"/>
      <c r="D284" s="3074"/>
      <c r="E284" s="2592"/>
      <c r="F284" s="3126"/>
      <c r="G284" s="3104"/>
      <c r="H284" s="3126"/>
      <c r="I284" s="3104"/>
      <c r="J284" s="3126"/>
      <c r="K284" s="3104"/>
      <c r="L284" s="3101"/>
      <c r="M284" s="3128"/>
      <c r="N284" s="3129"/>
      <c r="O284" s="3128"/>
      <c r="P284" s="3120"/>
    </row>
    <row r="285" spans="2:16" ht="15.75">
      <c r="B285" s="3120"/>
      <c r="C285" s="3104"/>
      <c r="D285" s="3074"/>
      <c r="E285" s="2592"/>
      <c r="F285" s="3126"/>
      <c r="G285" s="3104"/>
      <c r="H285" s="3126"/>
      <c r="I285" s="3104"/>
      <c r="J285" s="3126"/>
      <c r="K285" s="3104"/>
      <c r="L285" s="3101"/>
      <c r="M285" s="824"/>
      <c r="N285" s="3101"/>
      <c r="O285" s="824"/>
      <c r="P285" s="3120"/>
    </row>
    <row r="286" spans="2:16" ht="15.75">
      <c r="G286" s="3104"/>
    </row>
    <row r="291" spans="3:12" ht="15.75">
      <c r="C291" s="2990"/>
      <c r="D291" s="2989"/>
      <c r="E291" s="2990"/>
      <c r="F291" s="2991"/>
      <c r="H291" s="3133"/>
      <c r="I291" s="3134"/>
      <c r="J291" s="3133"/>
      <c r="K291" s="3134"/>
      <c r="L291" s="3133"/>
    </row>
    <row r="292" spans="3:12" ht="15.75">
      <c r="C292" s="2990"/>
      <c r="D292" s="2989"/>
      <c r="E292" s="2990"/>
      <c r="F292" s="2991"/>
      <c r="G292" s="3134"/>
      <c r="H292" s="3133"/>
      <c r="I292" s="3134"/>
      <c r="J292" s="3133"/>
      <c r="K292" s="3134"/>
      <c r="L292" s="3133"/>
    </row>
    <row r="293" spans="3:12" ht="15.75">
      <c r="C293" s="2990"/>
      <c r="D293" s="2989"/>
      <c r="E293" s="2990"/>
      <c r="F293" s="2991"/>
      <c r="G293" s="3134"/>
      <c r="H293" s="3133"/>
      <c r="I293" s="3134"/>
      <c r="J293" s="3133"/>
      <c r="K293" s="3134"/>
      <c r="L293" s="3133"/>
    </row>
    <row r="294" spans="3:12" ht="15.75">
      <c r="C294" s="2990"/>
      <c r="D294" s="2989"/>
      <c r="E294" s="2990"/>
      <c r="F294" s="2991"/>
      <c r="G294" s="3134"/>
      <c r="H294" s="3133"/>
      <c r="I294" s="3134"/>
      <c r="J294" s="3133"/>
      <c r="K294" s="3134"/>
      <c r="L294" s="3133"/>
    </row>
    <row r="295" spans="3:12" ht="15.75">
      <c r="C295" s="2990"/>
      <c r="D295" s="2989"/>
      <c r="E295" s="2990"/>
      <c r="F295" s="2991"/>
      <c r="G295" s="3134"/>
      <c r="H295" s="3133"/>
      <c r="I295" s="3134"/>
      <c r="J295" s="3133"/>
      <c r="K295" s="3134"/>
      <c r="L295" s="3133"/>
    </row>
    <row r="296" spans="3:12">
      <c r="G296" s="3134"/>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60" workbookViewId="0"/>
  </sheetViews>
  <sheetFormatPr defaultColWidth="8.88671875" defaultRowHeight="12.75"/>
  <cols>
    <col min="1" max="1" width="54.88671875" style="489" customWidth="1"/>
    <col min="2" max="2" width="13.88671875" style="1609" customWidth="1"/>
    <col min="3" max="3" width="1.88671875" style="1609" customWidth="1"/>
    <col min="4" max="4" width="13.88671875" style="1609" customWidth="1"/>
    <col min="5" max="5" width="1.88671875" style="1608" customWidth="1"/>
    <col min="6" max="6" width="13.88671875" style="1609" customWidth="1"/>
    <col min="7" max="7" width="1.88671875" style="1608" customWidth="1"/>
    <col min="8" max="8" width="13.88671875" style="1609" customWidth="1"/>
    <col min="9" max="9" width="1.88671875" style="1608" customWidth="1"/>
    <col min="10" max="10" width="13.88671875" style="1609" customWidth="1"/>
    <col min="11" max="11" width="1.88671875" style="1609" customWidth="1"/>
    <col min="12" max="12" width="13.88671875" style="1609" customWidth="1"/>
    <col min="13" max="13" width="1.88671875" style="1608" customWidth="1"/>
    <col min="14" max="14" width="13.88671875" style="1609" customWidth="1"/>
    <col min="15" max="15" width="1.88671875" style="1608" customWidth="1"/>
    <col min="16" max="16" width="13.88671875" style="1609" customWidth="1"/>
    <col min="17" max="17" width="1.88671875" style="1608" customWidth="1"/>
    <col min="18" max="18" width="13.88671875" style="1609" customWidth="1"/>
    <col min="19" max="19" width="1.88671875" style="1608" customWidth="1"/>
    <col min="20" max="20" width="13.88671875" style="1609" customWidth="1"/>
    <col min="21" max="21" width="1.88671875" style="1608" customWidth="1"/>
    <col min="22" max="22" width="13.88671875" style="1609" customWidth="1"/>
    <col min="23" max="23" width="1.88671875" style="1608" customWidth="1"/>
    <col min="24" max="24" width="13.88671875" style="1609" customWidth="1"/>
    <col min="25" max="25" width="1.88671875" style="1608" customWidth="1"/>
    <col min="26" max="26" width="18.88671875" style="414" customWidth="1"/>
    <col min="27" max="27" width="1.5546875" style="489" customWidth="1"/>
    <col min="28" max="28" width="18.88671875" style="489" bestFit="1" customWidth="1"/>
    <col min="29" max="29" width="12.88671875" style="489" bestFit="1" customWidth="1"/>
    <col min="30" max="16384" width="8.88671875" style="489"/>
  </cols>
  <sheetData>
    <row r="1" spans="1:40" ht="15">
      <c r="A1" s="953" t="s">
        <v>979</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Y1" s="1329"/>
      <c r="Z1" s="1329"/>
      <c r="AA1" s="1329"/>
      <c r="AB1" s="1329"/>
      <c r="AC1" s="1329"/>
      <c r="AD1" s="1329"/>
      <c r="AE1" s="1329"/>
      <c r="AF1" s="1329"/>
      <c r="AG1" s="1329"/>
    </row>
    <row r="2" spans="1:40" ht="15">
      <c r="A2" s="953"/>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row>
    <row r="3" spans="1:40" ht="24" customHeight="1">
      <c r="A3" s="831" t="s">
        <v>0</v>
      </c>
      <c r="B3" s="486"/>
      <c r="C3" s="486"/>
      <c r="D3" s="487"/>
      <c r="E3" s="488"/>
      <c r="F3" s="487"/>
      <c r="G3" s="488"/>
      <c r="H3" s="487"/>
      <c r="I3" s="488"/>
      <c r="K3" s="486"/>
      <c r="L3" s="413"/>
      <c r="M3" s="486"/>
      <c r="N3" s="487"/>
      <c r="O3" s="488"/>
      <c r="P3" s="487"/>
      <c r="Q3" s="488"/>
      <c r="R3" s="487"/>
      <c r="S3" s="488"/>
      <c r="T3" s="487"/>
      <c r="U3" s="488"/>
      <c r="V3" s="487"/>
      <c r="W3" s="488"/>
      <c r="X3" s="487"/>
      <c r="Y3" s="488"/>
      <c r="Z3" s="821" t="s">
        <v>572</v>
      </c>
      <c r="AA3" s="486"/>
      <c r="AC3" s="486"/>
      <c r="AE3" s="486"/>
    </row>
    <row r="4" spans="1:40" ht="16.5">
      <c r="A4" s="831" t="s">
        <v>1472</v>
      </c>
      <c r="B4" s="1330"/>
      <c r="C4" s="1330"/>
      <c r="D4" s="490"/>
      <c r="E4" s="488"/>
      <c r="F4" s="1330"/>
      <c r="G4" s="488"/>
      <c r="H4" s="1330"/>
      <c r="I4" s="488"/>
      <c r="J4" s="1330"/>
      <c r="K4" s="1330"/>
      <c r="L4" s="1330"/>
      <c r="M4" s="491"/>
      <c r="N4" s="1330"/>
      <c r="O4" s="488"/>
      <c r="P4" s="1330"/>
      <c r="Q4" s="488"/>
      <c r="R4" s="1330"/>
      <c r="S4" s="488"/>
      <c r="T4" s="1330"/>
      <c r="U4" s="488"/>
      <c r="V4" s="1330"/>
      <c r="W4" s="488"/>
      <c r="X4" s="1330"/>
      <c r="Y4" s="488"/>
      <c r="Z4" s="1331"/>
      <c r="AA4" s="492"/>
      <c r="AC4" s="486"/>
    </row>
    <row r="5" spans="1:40" ht="16.5">
      <c r="A5" s="832" t="s">
        <v>1186</v>
      </c>
      <c r="B5" s="1330"/>
      <c r="C5" s="1330"/>
      <c r="D5" s="1330"/>
      <c r="E5" s="488"/>
      <c r="F5" s="1330"/>
      <c r="G5" s="488"/>
      <c r="H5" s="1330"/>
      <c r="I5" s="488"/>
      <c r="J5" s="1330"/>
      <c r="K5" s="1330"/>
      <c r="L5" s="1330"/>
      <c r="M5" s="491"/>
      <c r="N5" s="1330"/>
      <c r="O5" s="488"/>
      <c r="P5" s="1330"/>
      <c r="Q5" s="488"/>
      <c r="R5" s="1330"/>
      <c r="S5" s="488"/>
      <c r="T5" s="1330"/>
      <c r="U5" s="488"/>
      <c r="V5" s="1330"/>
      <c r="W5" s="488"/>
      <c r="X5" s="1330"/>
      <c r="Y5" s="488"/>
      <c r="Z5" s="1331"/>
    </row>
    <row r="6" spans="1:40" ht="18" customHeight="1">
      <c r="A6" s="493" t="str">
        <f>'Cashflow Governmental'!A6</f>
        <v xml:space="preserve">FISCAL YEAR 2019-2020   </v>
      </c>
      <c r="B6" s="1330"/>
      <c r="C6" s="1330"/>
      <c r="D6" s="495"/>
      <c r="E6" s="488"/>
      <c r="F6" s="1330"/>
      <c r="G6" s="488"/>
      <c r="H6" s="1330"/>
      <c r="I6" s="488"/>
      <c r="J6" s="1330"/>
      <c r="K6" s="1330"/>
      <c r="L6" s="1330"/>
      <c r="M6" s="491"/>
      <c r="N6" s="1330"/>
      <c r="O6" s="488"/>
      <c r="P6" s="1330"/>
      <c r="Q6" s="488"/>
      <c r="R6" s="1330"/>
      <c r="S6" s="488"/>
      <c r="T6" s="1330"/>
      <c r="U6" s="488"/>
      <c r="V6" s="1330"/>
      <c r="W6" s="488"/>
      <c r="X6" s="1330"/>
      <c r="Y6" s="488"/>
      <c r="Z6" s="1331"/>
    </row>
    <row r="7" spans="1:40" ht="15" customHeight="1">
      <c r="A7" s="494"/>
      <c r="B7" s="1330"/>
      <c r="C7" s="1330"/>
      <c r="D7" s="1330"/>
      <c r="E7" s="488"/>
      <c r="F7" s="1330"/>
      <c r="G7" s="488"/>
      <c r="H7" s="1330"/>
      <c r="I7" s="488"/>
      <c r="J7" s="1330"/>
      <c r="K7" s="1330"/>
      <c r="L7" s="1330"/>
      <c r="M7" s="491"/>
      <c r="N7" s="1330"/>
      <c r="O7" s="488"/>
      <c r="P7" s="1330"/>
      <c r="Q7" s="488"/>
      <c r="R7" s="1332"/>
      <c r="S7" s="488"/>
      <c r="T7" s="1332"/>
      <c r="U7" s="488"/>
      <c r="V7" s="1332"/>
      <c r="W7" s="488"/>
      <c r="X7" s="1332"/>
      <c r="Y7" s="488"/>
      <c r="Z7" s="1331"/>
    </row>
    <row r="8" spans="1:40" ht="15.75">
      <c r="A8" s="485"/>
      <c r="B8" s="1330"/>
      <c r="C8" s="1330"/>
      <c r="D8" s="1330"/>
      <c r="E8" s="488"/>
      <c r="F8" s="1330"/>
      <c r="G8" s="488"/>
      <c r="H8" s="1330"/>
      <c r="I8" s="488"/>
      <c r="J8" s="1330"/>
      <c r="K8" s="1330"/>
      <c r="L8" s="1330"/>
      <c r="M8" s="488"/>
      <c r="N8" s="1330"/>
      <c r="O8" s="488"/>
      <c r="P8" s="1330"/>
      <c r="Q8" s="488"/>
      <c r="R8" s="1330"/>
      <c r="S8" s="488"/>
      <c r="T8" s="1330"/>
      <c r="U8" s="488"/>
      <c r="V8" s="1330"/>
      <c r="W8" s="488"/>
      <c r="X8" s="1330"/>
      <c r="Y8" s="488"/>
      <c r="Z8" s="496"/>
      <c r="AA8" s="497"/>
    </row>
    <row r="9" spans="1:40" ht="15" customHeight="1">
      <c r="A9" s="1333"/>
      <c r="B9" s="925" t="str">
        <f>'Cashflow Governmental'!C13</f>
        <v>2019</v>
      </c>
      <c r="C9" s="498"/>
      <c r="D9" s="498"/>
      <c r="E9" s="491"/>
      <c r="F9" s="498"/>
      <c r="G9" s="491"/>
      <c r="H9" s="498"/>
      <c r="I9" s="491"/>
      <c r="J9" s="498"/>
      <c r="K9" s="498"/>
      <c r="L9" s="499"/>
      <c r="M9" s="491"/>
      <c r="N9" s="499"/>
      <c r="O9" s="491"/>
      <c r="P9" s="499"/>
      <c r="Q9" s="491"/>
      <c r="R9" s="499"/>
      <c r="S9" s="491"/>
      <c r="T9" s="925" t="str">
        <f>'Cashflow Governmental'!U13</f>
        <v>2020</v>
      </c>
      <c r="U9" s="491"/>
      <c r="V9" s="499"/>
      <c r="W9" s="491"/>
      <c r="X9" s="499"/>
      <c r="Y9" s="491"/>
      <c r="Z9" s="500" t="s">
        <v>1574</v>
      </c>
      <c r="AA9" s="500"/>
    </row>
    <row r="10" spans="1:40" ht="15" customHeight="1">
      <c r="A10" s="1333"/>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1557</v>
      </c>
      <c r="AA10" s="504"/>
    </row>
    <row r="11" spans="1:40" ht="15" customHeight="1">
      <c r="A11" s="1333"/>
      <c r="B11" s="1622" t="s">
        <v>15</v>
      </c>
      <c r="C11" s="1334"/>
      <c r="D11" s="1622" t="s">
        <v>15</v>
      </c>
      <c r="E11" s="1335"/>
      <c r="F11" s="1622" t="s">
        <v>15</v>
      </c>
      <c r="G11" s="1335"/>
      <c r="H11" s="1622" t="s">
        <v>15</v>
      </c>
      <c r="I11" s="1335"/>
      <c r="J11" s="1622" t="s">
        <v>15</v>
      </c>
      <c r="K11" s="503"/>
      <c r="L11" s="1622" t="s">
        <v>15</v>
      </c>
      <c r="M11" s="1335"/>
      <c r="N11" s="1622" t="s">
        <v>15</v>
      </c>
      <c r="O11" s="1335"/>
      <c r="P11" s="1622" t="s">
        <v>15</v>
      </c>
      <c r="Q11" s="1335"/>
      <c r="R11" s="1622" t="s">
        <v>15</v>
      </c>
      <c r="S11" s="1335"/>
      <c r="T11" s="1622" t="s">
        <v>15</v>
      </c>
      <c r="U11" s="1335"/>
      <c r="V11" s="1622" t="s">
        <v>15</v>
      </c>
      <c r="W11" s="1335"/>
      <c r="X11" s="1622" t="s">
        <v>15</v>
      </c>
      <c r="Y11" s="1335"/>
      <c r="Z11" s="1621" t="s">
        <v>15</v>
      </c>
      <c r="AB11" s="505"/>
      <c r="AC11" s="505"/>
      <c r="AD11" s="505"/>
      <c r="AE11" s="505"/>
      <c r="AF11" s="505"/>
      <c r="AG11" s="505"/>
      <c r="AH11" s="505"/>
      <c r="AI11" s="505"/>
      <c r="AJ11" s="505"/>
      <c r="AK11" s="505"/>
      <c r="AL11" s="505"/>
      <c r="AM11" s="505"/>
      <c r="AN11" s="505"/>
    </row>
    <row r="12" spans="1:40" s="510" customFormat="1" ht="15" customHeight="1">
      <c r="A12" s="833" t="s">
        <v>474</v>
      </c>
      <c r="B12" s="519">
        <v>16298833</v>
      </c>
      <c r="C12" s="507"/>
      <c r="D12" s="506">
        <f>B44</f>
        <v>228595088</v>
      </c>
      <c r="E12" s="1336"/>
      <c r="F12" s="506">
        <f>D44</f>
        <v>67983418</v>
      </c>
      <c r="G12" s="1336"/>
      <c r="H12" s="506">
        <f>F44</f>
        <v>126634302</v>
      </c>
      <c r="I12" s="1336"/>
      <c r="J12" s="506">
        <f>H44</f>
        <v>99294725</v>
      </c>
      <c r="K12" s="508"/>
      <c r="L12" s="506">
        <f>J44</f>
        <v>98280268</v>
      </c>
      <c r="M12" s="509"/>
      <c r="N12" s="506">
        <f>L44</f>
        <v>131509913</v>
      </c>
      <c r="O12" s="506"/>
      <c r="P12" s="506">
        <f>N44</f>
        <v>78080573</v>
      </c>
      <c r="Q12" s="506"/>
      <c r="R12" s="506">
        <f>P44</f>
        <v>39558861</v>
      </c>
      <c r="S12" s="506"/>
      <c r="T12" s="506">
        <f>R44</f>
        <v>42917918</v>
      </c>
      <c r="U12" s="506"/>
      <c r="V12" s="506"/>
      <c r="W12" s="506"/>
      <c r="X12" s="506"/>
      <c r="Y12" s="506"/>
      <c r="Z12" s="506">
        <f>+B12</f>
        <v>16298833</v>
      </c>
    </row>
    <row r="13" spans="1:40" ht="15" customHeight="1">
      <c r="A13" s="1337"/>
      <c r="B13" s="1338"/>
      <c r="C13" s="1339"/>
      <c r="D13" s="1338"/>
      <c r="E13" s="1338"/>
      <c r="F13" s="1338"/>
      <c r="G13" s="1338"/>
      <c r="H13" s="1338"/>
      <c r="I13" s="1338"/>
      <c r="J13" s="1338"/>
      <c r="K13" s="503"/>
      <c r="L13" s="1338"/>
      <c r="M13" s="1338"/>
      <c r="N13" s="1338"/>
      <c r="O13" s="1338"/>
      <c r="P13" s="1338"/>
      <c r="Q13" s="1338"/>
      <c r="R13" s="1338"/>
      <c r="S13" s="1338"/>
      <c r="T13" s="1338"/>
      <c r="U13" s="1338"/>
      <c r="V13" s="1338"/>
      <c r="W13" s="1338"/>
      <c r="X13" s="1338"/>
      <c r="Y13" s="1338"/>
      <c r="Z13" s="1340"/>
    </row>
    <row r="14" spans="1:40" ht="15" customHeight="1">
      <c r="A14" s="511" t="s">
        <v>14</v>
      </c>
      <c r="B14" s="1338"/>
      <c r="C14" s="1339"/>
      <c r="D14" s="1338"/>
      <c r="E14" s="1338"/>
      <c r="F14" s="1338"/>
      <c r="G14" s="1338"/>
      <c r="H14" s="1338"/>
      <c r="I14" s="1338"/>
      <c r="J14" s="1338"/>
      <c r="K14" s="1338"/>
      <c r="L14" s="1338"/>
      <c r="M14" s="1338"/>
      <c r="N14" s="1338"/>
      <c r="O14" s="1338"/>
      <c r="P14" s="1338"/>
      <c r="Q14" s="1338"/>
      <c r="R14" s="1338"/>
      <c r="S14" s="1338"/>
      <c r="T14" s="1338"/>
      <c r="U14" s="1338"/>
      <c r="V14" s="1338"/>
      <c r="W14" s="1338"/>
      <c r="X14" s="1338"/>
      <c r="Y14" s="1338"/>
      <c r="Z14" s="1340"/>
      <c r="AC14" s="1919"/>
    </row>
    <row r="15" spans="1:40" ht="15" customHeight="1">
      <c r="A15" s="834" t="s">
        <v>1243</v>
      </c>
      <c r="B15" s="1346">
        <v>250000000</v>
      </c>
      <c r="C15" s="1347"/>
      <c r="D15" s="1346">
        <v>0</v>
      </c>
      <c r="E15" s="1346"/>
      <c r="F15" s="1346">
        <v>200000000</v>
      </c>
      <c r="G15" s="1341"/>
      <c r="H15" s="1346">
        <v>50000000</v>
      </c>
      <c r="I15" s="1341"/>
      <c r="J15" s="1919">
        <v>70000000</v>
      </c>
      <c r="K15" s="1341"/>
      <c r="L15" s="1346">
        <v>100000000</v>
      </c>
      <c r="M15" s="1338"/>
      <c r="N15" s="1346">
        <v>100000000</v>
      </c>
      <c r="O15" s="1341"/>
      <c r="P15" s="1346">
        <v>70000000</v>
      </c>
      <c r="Q15" s="1341"/>
      <c r="R15" s="1346">
        <v>170000000</v>
      </c>
      <c r="S15" s="1341"/>
      <c r="T15" s="1346">
        <v>100000000</v>
      </c>
      <c r="U15" s="1341"/>
      <c r="V15" s="1346"/>
      <c r="W15" s="1341"/>
      <c r="X15" s="1346"/>
      <c r="Y15" s="1341"/>
      <c r="Z15" s="1343">
        <f>SUM(B15:X15)</f>
        <v>1110000000</v>
      </c>
    </row>
    <row r="16" spans="1:40" s="510" customFormat="1" ht="22.5" customHeight="1">
      <c r="A16" s="511" t="s">
        <v>151</v>
      </c>
      <c r="B16" s="1620">
        <f>ROUND(SUM(B15:B15),0)</f>
        <v>250000000</v>
      </c>
      <c r="C16" s="512"/>
      <c r="D16" s="1620">
        <f>ROUND(SUM(D15:D15),0)</f>
        <v>0</v>
      </c>
      <c r="E16" s="513"/>
      <c r="F16" s="1620">
        <f>ROUND(SUM(F15:F15),0)</f>
        <v>200000000</v>
      </c>
      <c r="G16" s="513"/>
      <c r="H16" s="1620">
        <f>ROUND(SUM(H15:H15),0)</f>
        <v>50000000</v>
      </c>
      <c r="I16" s="513"/>
      <c r="J16" s="1620">
        <f>ROUND(SUM(J15:J15),0)</f>
        <v>70000000</v>
      </c>
      <c r="K16" s="515"/>
      <c r="L16" s="1620">
        <f>ROUND(SUM(L15:L15),0)</f>
        <v>100000000</v>
      </c>
      <c r="M16" s="509"/>
      <c r="N16" s="1620">
        <f>ROUND(SUM(N15:N15),0)</f>
        <v>100000000</v>
      </c>
      <c r="O16" s="513"/>
      <c r="P16" s="1620">
        <f>ROUND(SUM(P15:P15),0)</f>
        <v>70000000</v>
      </c>
      <c r="Q16" s="513"/>
      <c r="R16" s="1620">
        <f>ROUND(SUM(R15:R15),0)</f>
        <v>170000000</v>
      </c>
      <c r="S16" s="513"/>
      <c r="T16" s="1620">
        <f>ROUND(SUM(T15:T15),0)</f>
        <v>100000000</v>
      </c>
      <c r="U16" s="513"/>
      <c r="V16" s="1620">
        <f>ROUND(SUM(V15:V15),0)</f>
        <v>0</v>
      </c>
      <c r="W16" s="513"/>
      <c r="X16" s="1620">
        <f>ROUND(SUM(X15:X15),0)</f>
        <v>0</v>
      </c>
      <c r="Y16" s="513"/>
      <c r="Z16" s="1620">
        <f>ROUND(SUM(Z15:Z15),0)</f>
        <v>1110000000</v>
      </c>
      <c r="AB16" s="415"/>
    </row>
    <row r="17" spans="1:28" ht="15" customHeight="1">
      <c r="A17" s="1337"/>
      <c r="B17" s="1341"/>
      <c r="C17" s="1342"/>
      <c r="D17" s="1341"/>
      <c r="E17" s="1341"/>
      <c r="F17" s="1341"/>
      <c r="G17" s="1341"/>
      <c r="H17" s="1341"/>
      <c r="I17" s="1341"/>
      <c r="J17" s="1341"/>
      <c r="K17" s="1341"/>
      <c r="L17" s="1341"/>
      <c r="M17" s="1338"/>
      <c r="N17" s="1341"/>
      <c r="O17" s="1341"/>
      <c r="P17" s="1341"/>
      <c r="Q17" s="1341"/>
      <c r="R17" s="1341"/>
      <c r="S17" s="1341"/>
      <c r="T17" s="1341"/>
      <c r="U17" s="1341"/>
      <c r="V17" s="1341"/>
      <c r="W17" s="1341"/>
      <c r="X17" s="1341"/>
      <c r="Y17" s="1341"/>
      <c r="Z17" s="1345"/>
    </row>
    <row r="18" spans="1:28" ht="15" customHeight="1">
      <c r="A18" s="511" t="s">
        <v>23</v>
      </c>
      <c r="B18" s="1341"/>
      <c r="C18" s="1342"/>
      <c r="D18" s="1341"/>
      <c r="E18" s="1341"/>
      <c r="F18" s="1341"/>
      <c r="G18" s="1341"/>
      <c r="H18" s="1341"/>
      <c r="I18" s="1341"/>
      <c r="J18" s="1341"/>
      <c r="K18" s="1341"/>
      <c r="L18" s="1346"/>
      <c r="M18" s="1348"/>
      <c r="N18" s="1346"/>
      <c r="O18" s="1341"/>
      <c r="P18" s="1341"/>
      <c r="Q18" s="1341"/>
      <c r="R18" s="1341"/>
      <c r="S18" s="1341"/>
      <c r="T18" s="1341"/>
      <c r="U18" s="1341"/>
      <c r="V18" s="1341"/>
      <c r="W18" s="1341"/>
      <c r="X18" s="1341"/>
      <c r="Y18" s="1341"/>
      <c r="Z18" s="1343"/>
    </row>
    <row r="19" spans="1:28" ht="15" customHeight="1">
      <c r="A19" s="834" t="s">
        <v>1290</v>
      </c>
      <c r="B19" s="1341">
        <v>0</v>
      </c>
      <c r="C19" s="1342"/>
      <c r="D19" s="1341">
        <v>1460000</v>
      </c>
      <c r="E19" s="1341"/>
      <c r="F19" s="1341">
        <v>18258090</v>
      </c>
      <c r="G19" s="1341"/>
      <c r="H19" s="1341">
        <v>0</v>
      </c>
      <c r="I19" s="1341"/>
      <c r="J19" s="1341">
        <v>1574403</v>
      </c>
      <c r="K19" s="1341"/>
      <c r="L19" s="1346">
        <v>25407411</v>
      </c>
      <c r="M19" s="1348"/>
      <c r="N19" s="1346">
        <v>1811458</v>
      </c>
      <c r="O19" s="1341"/>
      <c r="P19" s="1341">
        <v>78558285</v>
      </c>
      <c r="Q19" s="1341"/>
      <c r="R19" s="1341">
        <v>1076930</v>
      </c>
      <c r="S19" s="1341"/>
      <c r="T19" s="1341">
        <v>37388423</v>
      </c>
      <c r="U19" s="1341"/>
      <c r="V19" s="1341"/>
      <c r="W19" s="1341"/>
      <c r="X19" s="1341"/>
      <c r="Y19" s="1341"/>
      <c r="Z19" s="1343">
        <f>ROUND(SUM(B19:X19),0)</f>
        <v>165535000</v>
      </c>
    </row>
    <row r="20" spans="1:28" ht="15" customHeight="1">
      <c r="A20" s="834" t="s">
        <v>1242</v>
      </c>
      <c r="B20" s="1346">
        <v>1906857</v>
      </c>
      <c r="C20" s="1347"/>
      <c r="D20" s="1346">
        <v>22713440</v>
      </c>
      <c r="E20" s="1346"/>
      <c r="F20" s="1346">
        <v>5454209</v>
      </c>
      <c r="G20" s="1346"/>
      <c r="H20" s="1346">
        <v>12367387</v>
      </c>
      <c r="I20" s="1346"/>
      <c r="J20" s="1346">
        <v>1905302</v>
      </c>
      <c r="K20" s="1346"/>
      <c r="L20" s="1346">
        <v>6084561</v>
      </c>
      <c r="M20" s="1348"/>
      <c r="N20" s="1346">
        <v>13381336</v>
      </c>
      <c r="O20" s="1346"/>
      <c r="P20" s="1346">
        <v>770343</v>
      </c>
      <c r="Q20" s="1346"/>
      <c r="R20" s="1346">
        <v>6031925</v>
      </c>
      <c r="S20" s="1346"/>
      <c r="T20" s="1346">
        <v>12338912</v>
      </c>
      <c r="U20" s="1346"/>
      <c r="V20" s="1346"/>
      <c r="W20" s="1346"/>
      <c r="X20" s="1346"/>
      <c r="Y20" s="1346"/>
      <c r="Z20" s="1343">
        <f>ROUND(SUM(B20:X20),0)</f>
        <v>82954272</v>
      </c>
    </row>
    <row r="21" spans="1:28" ht="15" customHeight="1">
      <c r="A21" s="834" t="s">
        <v>1321</v>
      </c>
      <c r="B21" s="1346">
        <v>0</v>
      </c>
      <c r="C21" s="1347"/>
      <c r="D21" s="1346">
        <v>0</v>
      </c>
      <c r="E21" s="1346"/>
      <c r="F21" s="1346">
        <v>518406</v>
      </c>
      <c r="G21" s="1346"/>
      <c r="H21" s="1346">
        <v>151311</v>
      </c>
      <c r="I21" s="1346"/>
      <c r="J21" s="1346">
        <v>161511</v>
      </c>
      <c r="K21" s="1346"/>
      <c r="L21" s="1346">
        <v>63445</v>
      </c>
      <c r="M21" s="1348"/>
      <c r="N21" s="1346">
        <v>192519</v>
      </c>
      <c r="O21" s="1346"/>
      <c r="P21" s="1346">
        <v>377686</v>
      </c>
      <c r="Q21" s="1346"/>
      <c r="R21" s="1346">
        <v>1548901</v>
      </c>
      <c r="S21" s="1346"/>
      <c r="T21" s="1346">
        <v>82082</v>
      </c>
      <c r="U21" s="1346"/>
      <c r="V21" s="1346"/>
      <c r="W21" s="1346"/>
      <c r="X21" s="1346"/>
      <c r="Y21" s="1346"/>
      <c r="Z21" s="1343">
        <f t="shared" ref="Z21:Z35" si="0">ROUND(SUM(B21:X21),0)</f>
        <v>3095861</v>
      </c>
      <c r="AB21" s="3573"/>
    </row>
    <row r="22" spans="1:28" ht="15" customHeight="1">
      <c r="A22" s="834" t="s">
        <v>1490</v>
      </c>
      <c r="B22" s="1346">
        <v>1376741</v>
      </c>
      <c r="C22" s="1347"/>
      <c r="D22" s="1346">
        <v>66909227</v>
      </c>
      <c r="E22" s="1346"/>
      <c r="F22" s="1346">
        <v>2205139</v>
      </c>
      <c r="G22" s="1346"/>
      <c r="H22" s="1346">
        <v>5379040</v>
      </c>
      <c r="I22" s="1346"/>
      <c r="J22" s="1346">
        <v>1033482</v>
      </c>
      <c r="K22" s="1346"/>
      <c r="L22" s="1346">
        <v>2853386</v>
      </c>
      <c r="M22" s="1348"/>
      <c r="N22" s="1346">
        <v>2108372</v>
      </c>
      <c r="O22" s="1346"/>
      <c r="P22" s="1346">
        <v>-26657805</v>
      </c>
      <c r="Q22" s="1346"/>
      <c r="R22" s="1346">
        <v>-25673320</v>
      </c>
      <c r="S22" s="1346"/>
      <c r="T22" s="1346">
        <v>4096771</v>
      </c>
      <c r="U22" s="1346"/>
      <c r="V22" s="1346"/>
      <c r="W22" s="1346"/>
      <c r="X22" s="1346"/>
      <c r="Y22" s="1346"/>
      <c r="Z22" s="1343">
        <f>ROUND(SUM(B22:X22),0)</f>
        <v>33631033</v>
      </c>
    </row>
    <row r="23" spans="1:28" ht="15" customHeight="1">
      <c r="A23" s="834" t="s">
        <v>1298</v>
      </c>
      <c r="B23" s="1346">
        <v>1174678</v>
      </c>
      <c r="C23" s="1347"/>
      <c r="D23" s="1346">
        <v>643317</v>
      </c>
      <c r="E23" s="1346"/>
      <c r="F23" s="1346">
        <v>1630974</v>
      </c>
      <c r="G23" s="1346"/>
      <c r="H23" s="1346">
        <v>1884546</v>
      </c>
      <c r="I23" s="1346"/>
      <c r="J23" s="1346">
        <v>638637</v>
      </c>
      <c r="K23" s="1346"/>
      <c r="L23" s="1346">
        <v>2373357</v>
      </c>
      <c r="M23" s="1348"/>
      <c r="N23" s="1346">
        <v>1747976</v>
      </c>
      <c r="O23" s="1346"/>
      <c r="P23" s="1346">
        <v>998069</v>
      </c>
      <c r="Q23" s="1346"/>
      <c r="R23" s="1346">
        <v>4022033</v>
      </c>
      <c r="S23" s="1346"/>
      <c r="T23" s="1346">
        <v>6403014</v>
      </c>
      <c r="U23" s="1346"/>
      <c r="V23" s="1346"/>
      <c r="W23" s="1346"/>
      <c r="X23" s="1346"/>
      <c r="Y23" s="1346"/>
      <c r="Z23" s="1343">
        <f t="shared" si="0"/>
        <v>21516601</v>
      </c>
    </row>
    <row r="24" spans="1:28" ht="15" customHeight="1">
      <c r="A24" s="834" t="s">
        <v>1343</v>
      </c>
      <c r="B24" s="1346">
        <v>0</v>
      </c>
      <c r="C24" s="1347"/>
      <c r="D24" s="1346">
        <v>0</v>
      </c>
      <c r="E24" s="1346"/>
      <c r="F24" s="1346">
        <v>0</v>
      </c>
      <c r="G24" s="1346"/>
      <c r="H24" s="1346">
        <v>0</v>
      </c>
      <c r="I24" s="1346"/>
      <c r="J24" s="1346">
        <v>0</v>
      </c>
      <c r="K24" s="1346"/>
      <c r="L24" s="1346">
        <v>0</v>
      </c>
      <c r="M24" s="1348"/>
      <c r="N24" s="1346">
        <v>0</v>
      </c>
      <c r="O24" s="1346"/>
      <c r="P24" s="1346">
        <v>0</v>
      </c>
      <c r="Q24" s="1346"/>
      <c r="R24" s="1346">
        <v>0</v>
      </c>
      <c r="S24" s="1346"/>
      <c r="T24" s="1346">
        <v>0</v>
      </c>
      <c r="U24" s="1346"/>
      <c r="V24" s="1346"/>
      <c r="W24" s="1346"/>
      <c r="X24" s="1346"/>
      <c r="Y24" s="1346"/>
      <c r="Z24" s="1343">
        <f>ROUND(SUM(B24:X24),0)</f>
        <v>0</v>
      </c>
    </row>
    <row r="25" spans="1:28" ht="15" customHeight="1">
      <c r="A25" s="834" t="s">
        <v>1241</v>
      </c>
      <c r="B25" s="1346">
        <v>0</v>
      </c>
      <c r="C25" s="1347"/>
      <c r="D25" s="1346">
        <v>298303</v>
      </c>
      <c r="E25" s="1346"/>
      <c r="F25" s="1346">
        <v>597554</v>
      </c>
      <c r="G25" s="1346"/>
      <c r="H25" s="1346">
        <v>604723</v>
      </c>
      <c r="I25" s="1346"/>
      <c r="J25" s="1346">
        <v>62372</v>
      </c>
      <c r="K25" s="1346"/>
      <c r="L25" s="1346">
        <v>3874</v>
      </c>
      <c r="M25" s="1348"/>
      <c r="N25" s="1346">
        <v>215679</v>
      </c>
      <c r="O25" s="1346"/>
      <c r="P25" s="1346">
        <v>0</v>
      </c>
      <c r="Q25" s="1346"/>
      <c r="R25" s="1346">
        <v>771428</v>
      </c>
      <c r="S25" s="1346"/>
      <c r="T25" s="1346">
        <v>844697</v>
      </c>
      <c r="U25" s="1346"/>
      <c r="V25" s="1346"/>
      <c r="W25" s="1346"/>
      <c r="X25" s="1346"/>
      <c r="Y25" s="1346"/>
      <c r="Z25" s="1343">
        <f t="shared" si="0"/>
        <v>3398630</v>
      </c>
    </row>
    <row r="26" spans="1:28" ht="15" customHeight="1">
      <c r="A26" s="834" t="s">
        <v>1313</v>
      </c>
      <c r="B26" s="1346">
        <v>0</v>
      </c>
      <c r="C26" s="1347"/>
      <c r="D26" s="1346">
        <v>0</v>
      </c>
      <c r="E26" s="1346"/>
      <c r="F26" s="1346">
        <v>87959899</v>
      </c>
      <c r="G26" s="1346"/>
      <c r="H26" s="1346">
        <v>0</v>
      </c>
      <c r="I26" s="1346"/>
      <c r="J26" s="1346">
        <v>0</v>
      </c>
      <c r="K26" s="1346"/>
      <c r="L26" s="1346">
        <v>0</v>
      </c>
      <c r="M26" s="1348"/>
      <c r="N26" s="1346">
        <v>77053217</v>
      </c>
      <c r="O26" s="1346"/>
      <c r="P26" s="1346">
        <v>0</v>
      </c>
      <c r="Q26" s="1346"/>
      <c r="R26" s="1346">
        <v>106264892</v>
      </c>
      <c r="S26" s="1346"/>
      <c r="T26" s="1346">
        <v>0</v>
      </c>
      <c r="U26" s="1346"/>
      <c r="V26" s="1346"/>
      <c r="W26" s="1346"/>
      <c r="X26" s="1346"/>
      <c r="Y26" s="1346"/>
      <c r="Z26" s="1343">
        <f>ROUND(SUM(B26:X26),0)</f>
        <v>271278008</v>
      </c>
    </row>
    <row r="27" spans="1:28" ht="14.85" customHeight="1">
      <c r="A27" s="834" t="s">
        <v>1322</v>
      </c>
      <c r="B27" s="1346">
        <v>0</v>
      </c>
      <c r="C27" s="1347"/>
      <c r="D27" s="1346">
        <v>0</v>
      </c>
      <c r="E27" s="1346"/>
      <c r="F27" s="1346">
        <v>0</v>
      </c>
      <c r="G27" s="1346"/>
      <c r="H27" s="1346">
        <v>0</v>
      </c>
      <c r="I27" s="1346"/>
      <c r="J27" s="1346">
        <v>500000</v>
      </c>
      <c r="K27" s="1346"/>
      <c r="L27" s="1346">
        <v>4420</v>
      </c>
      <c r="M27" s="1348"/>
      <c r="N27" s="1346">
        <v>0</v>
      </c>
      <c r="O27" s="1346"/>
      <c r="P27" s="1346">
        <v>0</v>
      </c>
      <c r="Q27" s="1346"/>
      <c r="R27" s="1346">
        <v>2500000</v>
      </c>
      <c r="S27" s="1346"/>
      <c r="T27" s="1346">
        <v>1000000</v>
      </c>
      <c r="U27" s="1346"/>
      <c r="V27" s="1346"/>
      <c r="W27" s="1346"/>
      <c r="X27" s="1346"/>
      <c r="Y27" s="1346"/>
      <c r="Z27" s="1343">
        <f t="shared" si="0"/>
        <v>4004420</v>
      </c>
    </row>
    <row r="28" spans="1:28" ht="15" customHeight="1">
      <c r="A28" s="834" t="s">
        <v>1318</v>
      </c>
      <c r="B28" s="1346">
        <v>1257796</v>
      </c>
      <c r="C28" s="1347"/>
      <c r="D28" s="1346">
        <v>1322544</v>
      </c>
      <c r="E28" s="1346"/>
      <c r="F28" s="1346">
        <v>884297</v>
      </c>
      <c r="G28" s="1346"/>
      <c r="H28" s="1346">
        <v>584993</v>
      </c>
      <c r="I28" s="1346"/>
      <c r="J28" s="1346">
        <v>1230887</v>
      </c>
      <c r="K28" s="1346"/>
      <c r="L28" s="1346">
        <v>68308</v>
      </c>
      <c r="M28" s="1348"/>
      <c r="N28" s="1346">
        <v>161331</v>
      </c>
      <c r="O28" s="1346"/>
      <c r="P28" s="1346">
        <v>1527320</v>
      </c>
      <c r="Q28" s="1346"/>
      <c r="R28" s="1346">
        <v>1252791</v>
      </c>
      <c r="S28" s="1346"/>
      <c r="T28" s="1346">
        <v>1520754</v>
      </c>
      <c r="U28" s="1346"/>
      <c r="V28" s="1346"/>
      <c r="W28" s="1346"/>
      <c r="X28" s="1346"/>
      <c r="Y28" s="1346"/>
      <c r="Z28" s="1343">
        <f t="shared" si="0"/>
        <v>9811021</v>
      </c>
    </row>
    <row r="29" spans="1:28" ht="15" customHeight="1">
      <c r="A29" s="834" t="s">
        <v>1240</v>
      </c>
      <c r="B29" s="1346">
        <v>0</v>
      </c>
      <c r="C29" s="1347"/>
      <c r="D29" s="1346">
        <v>0</v>
      </c>
      <c r="E29" s="1346"/>
      <c r="F29" s="1346">
        <v>0</v>
      </c>
      <c r="G29" s="1346"/>
      <c r="H29" s="1346">
        <v>0</v>
      </c>
      <c r="I29" s="1346"/>
      <c r="J29" s="1346">
        <v>0</v>
      </c>
      <c r="K29" s="1346"/>
      <c r="L29" s="1346">
        <v>0</v>
      </c>
      <c r="M29" s="1348"/>
      <c r="N29" s="1346">
        <v>0</v>
      </c>
      <c r="O29" s="1346"/>
      <c r="P29" s="1346">
        <v>0</v>
      </c>
      <c r="Q29" s="1346"/>
      <c r="R29" s="1346">
        <v>0</v>
      </c>
      <c r="S29" s="1346"/>
      <c r="T29" s="1346">
        <v>0</v>
      </c>
      <c r="U29" s="1346"/>
      <c r="V29" s="1346"/>
      <c r="W29" s="1346"/>
      <c r="X29" s="1346"/>
      <c r="Y29" s="1346"/>
      <c r="Z29" s="1343">
        <f t="shared" si="0"/>
        <v>0</v>
      </c>
    </row>
    <row r="30" spans="1:28" ht="15" customHeight="1">
      <c r="A30" s="834" t="s">
        <v>1273</v>
      </c>
      <c r="B30" s="1346">
        <v>32703</v>
      </c>
      <c r="C30" s="1347"/>
      <c r="D30" s="1346">
        <v>4101595</v>
      </c>
      <c r="E30" s="1346"/>
      <c r="F30" s="1346">
        <v>100755</v>
      </c>
      <c r="G30" s="1346"/>
      <c r="H30" s="1346">
        <v>8723</v>
      </c>
      <c r="I30" s="1346"/>
      <c r="J30" s="1346">
        <v>-953</v>
      </c>
      <c r="K30" s="1346"/>
      <c r="L30" s="1346">
        <v>0</v>
      </c>
      <c r="M30" s="1348"/>
      <c r="N30" s="1346">
        <v>-14140</v>
      </c>
      <c r="O30" s="1346"/>
      <c r="P30" s="1346">
        <v>0</v>
      </c>
      <c r="Q30" s="1346"/>
      <c r="R30" s="1346">
        <v>0</v>
      </c>
      <c r="S30" s="1346"/>
      <c r="T30" s="1346">
        <v>0</v>
      </c>
      <c r="U30" s="1346"/>
      <c r="V30" s="1346"/>
      <c r="W30" s="1346"/>
      <c r="X30" s="1346"/>
      <c r="Y30" s="1346"/>
      <c r="Z30" s="1343">
        <f>ROUND(SUM(B30:X30),0)</f>
        <v>4228683</v>
      </c>
      <c r="AA30" s="1785"/>
      <c r="AB30" s="1785"/>
    </row>
    <row r="31" spans="1:28" ht="15" customHeight="1">
      <c r="A31" s="834" t="s">
        <v>1239</v>
      </c>
      <c r="B31" s="1346">
        <v>10000</v>
      </c>
      <c r="C31" s="1347"/>
      <c r="D31" s="1346">
        <v>73340</v>
      </c>
      <c r="E31" s="1346"/>
      <c r="F31" s="1346">
        <v>4871</v>
      </c>
      <c r="G31" s="1346"/>
      <c r="H31" s="1346">
        <v>20000</v>
      </c>
      <c r="I31" s="1346"/>
      <c r="J31" s="1346">
        <v>173311</v>
      </c>
      <c r="K31" s="1346"/>
      <c r="L31" s="1346">
        <v>0</v>
      </c>
      <c r="M31" s="1348"/>
      <c r="N31" s="1346">
        <v>1277455</v>
      </c>
      <c r="O31" s="1346"/>
      <c r="P31" s="1346">
        <v>4191</v>
      </c>
      <c r="Q31" s="1346"/>
      <c r="R31" s="1346">
        <v>155951</v>
      </c>
      <c r="S31" s="1346"/>
      <c r="T31" s="1346">
        <v>521801</v>
      </c>
      <c r="U31" s="1346"/>
      <c r="V31" s="1346"/>
      <c r="W31" s="1346"/>
      <c r="X31" s="1346"/>
      <c r="Y31" s="1346"/>
      <c r="Z31" s="1343">
        <f t="shared" si="0"/>
        <v>2240920</v>
      </c>
    </row>
    <row r="32" spans="1:28" ht="15" customHeight="1">
      <c r="A32" s="834" t="s">
        <v>1238</v>
      </c>
      <c r="B32" s="1346">
        <v>15988205</v>
      </c>
      <c r="C32" s="1347"/>
      <c r="D32" s="1346">
        <v>29132267</v>
      </c>
      <c r="E32" s="1346"/>
      <c r="F32" s="1346">
        <v>20630646</v>
      </c>
      <c r="G32" s="1346"/>
      <c r="H32" s="1346">
        <v>42058113</v>
      </c>
      <c r="I32" s="1346"/>
      <c r="J32" s="1346">
        <v>49057748</v>
      </c>
      <c r="K32" s="1346"/>
      <c r="L32" s="1346">
        <v>25685242</v>
      </c>
      <c r="M32" s="1348"/>
      <c r="N32" s="1346">
        <v>42024591</v>
      </c>
      <c r="O32" s="1346"/>
      <c r="P32" s="1346">
        <v>40235996</v>
      </c>
      <c r="Q32" s="1346"/>
      <c r="R32" s="1346">
        <v>29622000</v>
      </c>
      <c r="S32" s="1346"/>
      <c r="T32" s="1346">
        <v>14314804</v>
      </c>
      <c r="U32" s="1346"/>
      <c r="V32" s="1346"/>
      <c r="W32" s="1346"/>
      <c r="X32" s="1346"/>
      <c r="Y32" s="1346"/>
      <c r="Z32" s="1343">
        <f t="shared" si="0"/>
        <v>308749612</v>
      </c>
    </row>
    <row r="33" spans="1:28" ht="15" customHeight="1">
      <c r="A33" s="834" t="s">
        <v>1237</v>
      </c>
      <c r="B33" s="1346">
        <v>5122897</v>
      </c>
      <c r="C33" s="1347"/>
      <c r="D33" s="1346">
        <v>8707914</v>
      </c>
      <c r="E33" s="1346"/>
      <c r="F33" s="1346">
        <v>1701</v>
      </c>
      <c r="G33" s="1346"/>
      <c r="H33" s="1346">
        <v>4492613</v>
      </c>
      <c r="I33" s="1346"/>
      <c r="J33" s="1346">
        <v>2754194</v>
      </c>
      <c r="K33" s="1346"/>
      <c r="L33" s="1346">
        <v>2500000</v>
      </c>
      <c r="M33" s="1348"/>
      <c r="N33" s="1346">
        <v>1104</v>
      </c>
      <c r="O33" s="1346"/>
      <c r="P33" s="1346">
        <v>3107627</v>
      </c>
      <c r="Q33" s="1346"/>
      <c r="R33" s="1346">
        <v>5602004</v>
      </c>
      <c r="S33" s="1346"/>
      <c r="T33" s="1346">
        <v>2610519</v>
      </c>
      <c r="U33" s="1346"/>
      <c r="V33" s="1346"/>
      <c r="W33" s="1346"/>
      <c r="X33" s="1346"/>
      <c r="Y33" s="1346"/>
      <c r="Z33" s="1343">
        <f t="shared" si="0"/>
        <v>34900573</v>
      </c>
    </row>
    <row r="34" spans="1:28" ht="15" customHeight="1">
      <c r="A34" s="834" t="s">
        <v>1281</v>
      </c>
      <c r="B34" s="1346">
        <v>0</v>
      </c>
      <c r="C34" s="1347"/>
      <c r="D34" s="1346">
        <v>0</v>
      </c>
      <c r="E34" s="1346"/>
      <c r="F34" s="1346">
        <v>0</v>
      </c>
      <c r="G34" s="1346"/>
      <c r="H34" s="1346">
        <v>-3626</v>
      </c>
      <c r="I34" s="1346"/>
      <c r="J34" s="1346">
        <v>0</v>
      </c>
      <c r="K34" s="1346"/>
      <c r="L34" s="1346">
        <v>0</v>
      </c>
      <c r="M34" s="1348"/>
      <c r="N34" s="1346">
        <v>0</v>
      </c>
      <c r="O34" s="1346"/>
      <c r="P34" s="1346">
        <v>0</v>
      </c>
      <c r="Q34" s="1346"/>
      <c r="R34" s="1346">
        <v>0</v>
      </c>
      <c r="S34" s="1346"/>
      <c r="T34" s="1346">
        <v>0</v>
      </c>
      <c r="U34" s="1346"/>
      <c r="V34" s="1346"/>
      <c r="W34" s="1346"/>
      <c r="X34" s="1346"/>
      <c r="Y34" s="1346"/>
      <c r="Z34" s="1343">
        <f>ROUND(SUM(B34:X34),0)</f>
        <v>-3626</v>
      </c>
    </row>
    <row r="35" spans="1:28" ht="15" customHeight="1">
      <c r="A35" s="834" t="s">
        <v>1254</v>
      </c>
      <c r="B35" s="1346">
        <v>10833868</v>
      </c>
      <c r="C35" s="1347"/>
      <c r="D35" s="1346">
        <v>25249723</v>
      </c>
      <c r="E35" s="1346"/>
      <c r="F35" s="1346">
        <v>3102575</v>
      </c>
      <c r="G35" s="1346"/>
      <c r="H35" s="1346">
        <v>9791754</v>
      </c>
      <c r="I35" s="1346"/>
      <c r="J35" s="1346">
        <v>11923563</v>
      </c>
      <c r="K35" s="1346"/>
      <c r="L35" s="1346">
        <v>1726351</v>
      </c>
      <c r="M35" s="1348"/>
      <c r="N35" s="1346">
        <v>13468442</v>
      </c>
      <c r="O35" s="1346"/>
      <c r="P35" s="1346">
        <v>9600000</v>
      </c>
      <c r="Q35" s="1346"/>
      <c r="R35" s="1346">
        <v>33465408</v>
      </c>
      <c r="S35" s="1346"/>
      <c r="T35" s="1346">
        <v>3491988</v>
      </c>
      <c r="U35" s="1346"/>
      <c r="V35" s="1346"/>
      <c r="W35" s="1346"/>
      <c r="X35" s="1346"/>
      <c r="Y35" s="1346"/>
      <c r="Z35" s="1343">
        <f t="shared" si="0"/>
        <v>122653672</v>
      </c>
    </row>
    <row r="36" spans="1:28" ht="22.5" customHeight="1">
      <c r="A36" s="516" t="s">
        <v>157</v>
      </c>
      <c r="B36" s="1619">
        <f>ROUND(SUM(B19:B35),0)</f>
        <v>37703745</v>
      </c>
      <c r="C36" s="1347"/>
      <c r="D36" s="1619">
        <f>ROUND(SUM(D19:D35),0)</f>
        <v>160611670</v>
      </c>
      <c r="E36" s="1346"/>
      <c r="F36" s="1619">
        <f>ROUND(SUM(F19:F35),0)</f>
        <v>141349116</v>
      </c>
      <c r="G36" s="1346"/>
      <c r="H36" s="1619">
        <f>ROUND(SUM(H19:H35),0)</f>
        <v>77339577</v>
      </c>
      <c r="I36" s="1346"/>
      <c r="J36" s="1619">
        <f>ROUND(SUM(J19:J35),0)</f>
        <v>71014457</v>
      </c>
      <c r="K36" s="1346"/>
      <c r="L36" s="1619">
        <f>ROUND(SUM(L19:L35),0)</f>
        <v>66770355</v>
      </c>
      <c r="M36" s="1348"/>
      <c r="N36" s="1619">
        <f>ROUND(SUM(N19:N35),0)</f>
        <v>153429340</v>
      </c>
      <c r="O36" s="1346"/>
      <c r="P36" s="1619">
        <f>ROUND(SUM(P19:P35),0)</f>
        <v>108521712</v>
      </c>
      <c r="Q36" s="1346"/>
      <c r="R36" s="1619">
        <f>ROUND(SUM(R19:R35),0)</f>
        <v>166640943</v>
      </c>
      <c r="S36" s="1346"/>
      <c r="T36" s="1619">
        <f>ROUND(SUM(T19:T35),0)</f>
        <v>84613765</v>
      </c>
      <c r="U36" s="1346"/>
      <c r="V36" s="1619">
        <f>ROUND(SUM(V19:V35),0)</f>
        <v>0</v>
      </c>
      <c r="W36" s="1346"/>
      <c r="X36" s="1619">
        <f>ROUND(SUM(X19:X35),0)</f>
        <v>0</v>
      </c>
      <c r="Y36" s="1346"/>
      <c r="Z36" s="1619">
        <f>ROUND(SUM(Z19:Z35),0)</f>
        <v>1067994680</v>
      </c>
    </row>
    <row r="37" spans="1:28" ht="15" customHeight="1">
      <c r="A37" s="516"/>
      <c r="B37" s="1346"/>
      <c r="C37" s="1347"/>
      <c r="D37" s="1346"/>
      <c r="E37" s="1346"/>
      <c r="F37" s="1352"/>
      <c r="G37" s="1346"/>
      <c r="H37" s="1352"/>
      <c r="I37" s="1346"/>
      <c r="J37" s="1346"/>
      <c r="K37" s="1346"/>
      <c r="L37" s="1351"/>
      <c r="M37" s="1348"/>
      <c r="N37" s="1351"/>
      <c r="O37" s="1346"/>
      <c r="P37" s="1350"/>
      <c r="Q37" s="1346"/>
      <c r="R37" s="1352"/>
      <c r="S37" s="1346"/>
      <c r="T37" s="1352"/>
      <c r="U37" s="1346"/>
      <c r="V37" s="1347"/>
      <c r="W37" s="1346"/>
      <c r="X37" s="1352"/>
      <c r="Y37" s="1346"/>
      <c r="Z37" s="1343"/>
    </row>
    <row r="38" spans="1:28" ht="15" customHeight="1">
      <c r="A38" s="517" t="s">
        <v>489</v>
      </c>
      <c r="B38" s="1352"/>
      <c r="C38" s="1353"/>
      <c r="D38" s="1352"/>
      <c r="E38" s="1346"/>
      <c r="F38" s="1351"/>
      <c r="G38" s="1346"/>
      <c r="H38" s="1352"/>
      <c r="I38" s="1346"/>
      <c r="J38" s="1352"/>
      <c r="K38" s="1346"/>
      <c r="L38" s="1352"/>
      <c r="M38" s="1348"/>
      <c r="N38" s="1352"/>
      <c r="O38" s="1346"/>
      <c r="P38" s="1350"/>
      <c r="Q38" s="1346"/>
      <c r="R38" s="1352"/>
      <c r="S38" s="1346"/>
      <c r="T38" s="1352"/>
      <c r="U38" s="1346"/>
      <c r="V38" s="1351"/>
      <c r="W38" s="1346"/>
      <c r="X38" s="1351"/>
      <c r="Y38" s="1346"/>
      <c r="Z38" s="1343"/>
    </row>
    <row r="39" spans="1:28" ht="15" customHeight="1">
      <c r="A39" s="834" t="s">
        <v>491</v>
      </c>
      <c r="B39" s="1346">
        <v>0</v>
      </c>
      <c r="C39" s="1353"/>
      <c r="D39" s="1346">
        <v>0</v>
      </c>
      <c r="E39" s="1346"/>
      <c r="F39" s="1346">
        <v>0</v>
      </c>
      <c r="G39" s="1346"/>
      <c r="H39" s="1346">
        <v>0</v>
      </c>
      <c r="I39" s="1346"/>
      <c r="J39" s="1346">
        <v>0</v>
      </c>
      <c r="K39" s="1346"/>
      <c r="L39" s="1346">
        <v>0</v>
      </c>
      <c r="M39" s="1348"/>
      <c r="N39" s="1346">
        <v>0</v>
      </c>
      <c r="O39" s="1346"/>
      <c r="P39" s="1346">
        <v>0</v>
      </c>
      <c r="Q39" s="1346"/>
      <c r="R39" s="1346">
        <v>0</v>
      </c>
      <c r="S39" s="1346"/>
      <c r="T39" s="1346">
        <v>0</v>
      </c>
      <c r="U39" s="1346"/>
      <c r="V39" s="1346"/>
      <c r="W39" s="1346"/>
      <c r="X39" s="1346"/>
      <c r="Y39" s="1346"/>
      <c r="Z39" s="1343">
        <v>0</v>
      </c>
    </row>
    <row r="40" spans="1:28" ht="22.5" customHeight="1">
      <c r="A40" s="511" t="s">
        <v>496</v>
      </c>
      <c r="B40" s="1618">
        <f>ROUND(SUM(B39:B39),0)</f>
        <v>0</v>
      </c>
      <c r="C40" s="1344"/>
      <c r="D40" s="1618">
        <f>ROUND(SUM(D39:D39),0)</f>
        <v>0</v>
      </c>
      <c r="E40" s="1341"/>
      <c r="F40" s="1618">
        <f>ROUND(SUM(F39:F39),0)</f>
        <v>0</v>
      </c>
      <c r="G40" s="1341"/>
      <c r="H40" s="1618">
        <f>ROUND(SUM(H39:H39),0)</f>
        <v>0</v>
      </c>
      <c r="I40" s="1341"/>
      <c r="J40" s="1618">
        <f>ROUND(SUM(J39:J39),0)</f>
        <v>0</v>
      </c>
      <c r="K40" s="1341"/>
      <c r="L40" s="1618">
        <f>ROUND(SUM(L39:L39),0)</f>
        <v>0</v>
      </c>
      <c r="M40" s="1338"/>
      <c r="N40" s="1618">
        <f>ROUND(SUM(N39:N39),0)</f>
        <v>0</v>
      </c>
      <c r="O40" s="1341"/>
      <c r="P40" s="1618">
        <f>ROUND(SUM(P39:P39),0)</f>
        <v>0</v>
      </c>
      <c r="Q40" s="1341"/>
      <c r="R40" s="1618">
        <f>ROUND(SUM(R39:R39),0)</f>
        <v>0</v>
      </c>
      <c r="S40" s="1341"/>
      <c r="T40" s="1618">
        <f>ROUND(SUM(T39:T39),0)</f>
        <v>0</v>
      </c>
      <c r="U40" s="1341"/>
      <c r="V40" s="1618">
        <f>ROUND(SUM(V39:V39),0)</f>
        <v>0</v>
      </c>
      <c r="W40" s="1341"/>
      <c r="X40" s="1618">
        <f>ROUND(SUM(X39:X39),0)</f>
        <v>0</v>
      </c>
      <c r="Y40" s="1341"/>
      <c r="Z40" s="1618">
        <f>ROUND(SUM(Z39:Z39),0)</f>
        <v>0</v>
      </c>
    </row>
    <row r="41" spans="1:28" ht="15" customHeight="1">
      <c r="B41" s="1616"/>
      <c r="C41" s="1344"/>
      <c r="D41" s="1616"/>
      <c r="E41" s="1341"/>
      <c r="F41" s="1615"/>
      <c r="G41" s="1341"/>
      <c r="H41" s="1616"/>
      <c r="I41" s="1341"/>
      <c r="J41" s="1616"/>
      <c r="K41" s="1341"/>
      <c r="L41" s="1616"/>
      <c r="M41" s="1338"/>
      <c r="N41" s="1616"/>
      <c r="O41" s="1341"/>
      <c r="P41" s="1617"/>
      <c r="Q41" s="1341"/>
      <c r="R41" s="1616"/>
      <c r="S41" s="1341"/>
      <c r="T41" s="1616"/>
      <c r="U41" s="1341"/>
      <c r="V41" s="1615"/>
      <c r="W41" s="1341"/>
      <c r="X41" s="1354"/>
      <c r="Y41" s="1341"/>
      <c r="Z41" s="1614"/>
    </row>
    <row r="42" spans="1:28" s="510" customFormat="1" ht="20.25" customHeight="1">
      <c r="A42" s="511" t="s">
        <v>497</v>
      </c>
      <c r="B42" s="1355">
        <f>ROUND(B36+B40,0)</f>
        <v>37703745</v>
      </c>
      <c r="C42" s="512"/>
      <c r="D42" s="1355">
        <f>ROUND(D36+D40,0)</f>
        <v>160611670</v>
      </c>
      <c r="E42" s="513"/>
      <c r="F42" s="1355">
        <f>ROUND(F36+F40,0)</f>
        <v>141349116</v>
      </c>
      <c r="G42" s="513"/>
      <c r="H42" s="1355">
        <f>ROUND(H36+H40,0)</f>
        <v>77339577</v>
      </c>
      <c r="I42" s="513"/>
      <c r="J42" s="1355">
        <f>ROUND(J36+J40,0)</f>
        <v>71014457</v>
      </c>
      <c r="K42" s="512"/>
      <c r="L42" s="1355">
        <f>ROUND(L36+L40,0)</f>
        <v>66770355</v>
      </c>
      <c r="M42" s="509"/>
      <c r="N42" s="1355">
        <f>ROUND(N36+N40,0)</f>
        <v>153429340</v>
      </c>
      <c r="O42" s="513"/>
      <c r="P42" s="1355">
        <f>ROUND(P36+P40,0)</f>
        <v>108521712</v>
      </c>
      <c r="Q42" s="513"/>
      <c r="R42" s="1355">
        <f>ROUND(R36+R40,0)</f>
        <v>166640943</v>
      </c>
      <c r="S42" s="513"/>
      <c r="T42" s="1355">
        <f>ROUND(T36+T40,0)</f>
        <v>84613765</v>
      </c>
      <c r="U42" s="513"/>
      <c r="V42" s="1355">
        <f>ROUND(V36+V40,0)</f>
        <v>0</v>
      </c>
      <c r="W42" s="513"/>
      <c r="X42" s="1355">
        <f>ROUND(X36+X40,0)</f>
        <v>0</v>
      </c>
      <c r="Y42" s="513"/>
      <c r="Z42" s="1355">
        <f>ROUND(Z36+Z40,0)</f>
        <v>1067994680</v>
      </c>
      <c r="AB42" s="415"/>
    </row>
    <row r="43" spans="1:28" ht="15" customHeight="1">
      <c r="A43" s="1337"/>
      <c r="B43" s="1339"/>
      <c r="C43" s="1339"/>
      <c r="D43" s="1339"/>
      <c r="E43" s="1338"/>
      <c r="F43" s="1339"/>
      <c r="G43" s="1338"/>
      <c r="H43" s="1339"/>
      <c r="I43" s="1338"/>
      <c r="J43" s="1613"/>
      <c r="K43" s="1339"/>
      <c r="L43" s="1613"/>
      <c r="M43" s="1338"/>
      <c r="N43" s="1613"/>
      <c r="O43" s="1338"/>
      <c r="P43" s="1613"/>
      <c r="Q43" s="1338"/>
      <c r="R43" s="1613"/>
      <c r="S43" s="1338"/>
      <c r="T43" s="1613"/>
      <c r="U43" s="1338"/>
      <c r="V43" s="1613"/>
      <c r="W43" s="1338"/>
      <c r="X43" s="1613"/>
      <c r="Y43" s="1338"/>
      <c r="Z43" s="1356"/>
    </row>
    <row r="44" spans="1:28" s="510" customFormat="1" ht="20.25" customHeight="1" thickBot="1">
      <c r="A44" s="517" t="s">
        <v>498</v>
      </c>
      <c r="B44" s="1612">
        <f>ROUND(B12+B16-B42,0)</f>
        <v>228595088</v>
      </c>
      <c r="C44" s="507"/>
      <c r="D44" s="1612">
        <f>ROUND(D12+D16-D42,0)</f>
        <v>67983418</v>
      </c>
      <c r="E44" s="1336"/>
      <c r="F44" s="1612">
        <f>ROUND(F12+F16-F42,0)</f>
        <v>126634302</v>
      </c>
      <c r="G44" s="1336"/>
      <c r="H44" s="1612">
        <f>ROUND(H12+H16-H42,0)</f>
        <v>99294725</v>
      </c>
      <c r="I44" s="1336"/>
      <c r="J44" s="1612">
        <f>ROUND(J12+J16-J42,0)</f>
        <v>98280268</v>
      </c>
      <c r="K44" s="507"/>
      <c r="L44" s="1612">
        <f>ROUND(L12+L16-L42,0)</f>
        <v>131509913</v>
      </c>
      <c r="M44" s="518"/>
      <c r="N44" s="1612">
        <f>ROUND(N12+N16-N42,0)</f>
        <v>78080573</v>
      </c>
      <c r="O44" s="519"/>
      <c r="P44" s="1612">
        <f>ROUND(P12+P16-P42,0)</f>
        <v>39558861</v>
      </c>
      <c r="Q44" s="519"/>
      <c r="R44" s="1612">
        <f>ROUND(R12+R16-R42,0)</f>
        <v>42917918</v>
      </c>
      <c r="S44" s="519"/>
      <c r="T44" s="1612">
        <f>ROUND(T12+T16-T42,0)</f>
        <v>58304153</v>
      </c>
      <c r="U44" s="519"/>
      <c r="V44" s="1612">
        <f>ROUND(V12+V16-V42,0)</f>
        <v>0</v>
      </c>
      <c r="W44" s="519"/>
      <c r="X44" s="1612">
        <f>ROUND(X12+X16-X42,0)</f>
        <v>0</v>
      </c>
      <c r="Y44" s="519"/>
      <c r="Z44" s="1612">
        <f>ROUND(Z12+Z16-Z42,0)</f>
        <v>58304153</v>
      </c>
    </row>
    <row r="45" spans="1:28" ht="15" customHeight="1" thickTop="1">
      <c r="A45" s="1337"/>
      <c r="B45" s="1334"/>
      <c r="C45" s="1334"/>
      <c r="D45" s="1334"/>
      <c r="E45" s="1357"/>
      <c r="F45" s="1334"/>
      <c r="G45" s="1357"/>
      <c r="H45" s="1334"/>
      <c r="I45" s="1357"/>
      <c r="J45" s="1334"/>
      <c r="K45" s="1334"/>
      <c r="L45" s="1334"/>
      <c r="M45" s="1357"/>
      <c r="N45" s="1334"/>
      <c r="O45" s="1357"/>
      <c r="P45" s="1334"/>
      <c r="Q45" s="1357"/>
      <c r="R45" s="1334"/>
      <c r="S45" s="1357"/>
      <c r="T45" s="1334"/>
      <c r="U45" s="1357"/>
      <c r="V45" s="1334"/>
      <c r="W45" s="1357"/>
      <c r="X45" s="1334"/>
      <c r="Y45" s="1357"/>
      <c r="Z45" s="1356"/>
    </row>
    <row r="46" spans="1:28" ht="20.100000000000001" customHeight="1">
      <c r="A46" s="520"/>
      <c r="B46" s="1358"/>
      <c r="C46" s="1358"/>
      <c r="D46" s="1358"/>
      <c r="E46" s="1335"/>
      <c r="F46" s="1358"/>
      <c r="G46" s="1335"/>
      <c r="H46" s="1358"/>
      <c r="I46" s="1335"/>
      <c r="J46" s="1358"/>
      <c r="K46" s="1358"/>
      <c r="L46" s="1358"/>
      <c r="M46" s="1335"/>
      <c r="N46" s="1358"/>
      <c r="O46" s="1335"/>
      <c r="P46" s="1358"/>
      <c r="Q46" s="1335"/>
      <c r="R46" s="1358"/>
      <c r="S46" s="1335"/>
      <c r="T46" s="1358"/>
      <c r="U46" s="1335"/>
      <c r="V46" s="1358"/>
      <c r="W46" s="1335"/>
      <c r="X46" s="1358"/>
      <c r="Y46" s="1335"/>
      <c r="Z46" s="1340"/>
    </row>
    <row r="48" spans="1:28" ht="18" customHeight="1">
      <c r="A48" s="1611" t="s">
        <v>1473</v>
      </c>
      <c r="B48" s="1330"/>
      <c r="C48" s="1330"/>
      <c r="D48" s="1330"/>
      <c r="E48" s="488"/>
      <c r="F48" s="1330"/>
      <c r="G48" s="488"/>
      <c r="H48" s="1330"/>
      <c r="I48" s="488"/>
      <c r="J48" s="1330"/>
      <c r="K48" s="1330"/>
      <c r="L48" s="1330"/>
      <c r="M48" s="1335"/>
      <c r="N48" s="1330"/>
      <c r="O48" s="488"/>
      <c r="P48" s="1330"/>
      <c r="Q48" s="488"/>
      <c r="R48" s="1330"/>
      <c r="S48" s="488"/>
      <c r="T48" s="1330"/>
      <c r="U48" s="488"/>
      <c r="V48" s="1330"/>
      <c r="W48" s="488"/>
      <c r="X48" s="1330"/>
      <c r="Y48" s="488"/>
      <c r="Z48" s="1331"/>
    </row>
    <row r="49" spans="1:26" ht="20.100000000000001" customHeight="1">
      <c r="A49" s="1610" t="s">
        <v>1332</v>
      </c>
      <c r="B49" s="1358"/>
      <c r="C49" s="1358"/>
      <c r="D49" s="1358"/>
      <c r="E49" s="1335"/>
      <c r="F49" s="1358"/>
      <c r="G49" s="1335"/>
      <c r="H49" s="1358"/>
      <c r="I49" s="1335"/>
      <c r="J49" s="1358"/>
      <c r="K49" s="1358"/>
      <c r="L49" s="1358"/>
      <c r="M49" s="1335"/>
      <c r="N49" s="1358"/>
      <c r="O49" s="1335"/>
      <c r="P49" s="1358"/>
      <c r="Q49" s="1335"/>
      <c r="R49" s="1358"/>
      <c r="S49" s="1335"/>
      <c r="T49" s="1358"/>
      <c r="U49" s="1335"/>
      <c r="V49" s="1358"/>
      <c r="W49" s="1335"/>
      <c r="X49" s="1358"/>
      <c r="Y49" s="1335"/>
      <c r="Z49" s="1340"/>
    </row>
    <row r="50" spans="1:26" ht="20.100000000000001" customHeight="1">
      <c r="A50" s="1610" t="s">
        <v>1492</v>
      </c>
      <c r="B50" s="1358"/>
      <c r="C50" s="1358"/>
      <c r="D50" s="1358"/>
      <c r="E50" s="1335"/>
      <c r="F50" s="1358"/>
      <c r="G50" s="1335"/>
      <c r="H50" s="1358"/>
      <c r="I50" s="1335"/>
      <c r="J50" s="1358"/>
      <c r="K50" s="1358"/>
      <c r="L50" s="1358"/>
      <c r="M50" s="1335"/>
      <c r="N50" s="1358"/>
      <c r="O50" s="1335"/>
      <c r="P50" s="1358"/>
      <c r="Q50" s="1335"/>
      <c r="R50" s="1358"/>
      <c r="S50" s="1335"/>
      <c r="T50" s="1358"/>
      <c r="U50" s="1335"/>
      <c r="V50" s="1358"/>
      <c r="W50" s="1335"/>
      <c r="X50" s="1358"/>
      <c r="Y50" s="1335"/>
      <c r="Z50" s="1340"/>
    </row>
    <row r="51" spans="1:26" ht="20.100000000000001" customHeight="1">
      <c r="A51" s="1635"/>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zoomScale="70" zoomScaleNormal="70" workbookViewId="0"/>
  </sheetViews>
  <sheetFormatPr defaultColWidth="8.88671875" defaultRowHeight="17.25" customHeight="1"/>
  <cols>
    <col min="1" max="1" width="60.5546875" style="3780" customWidth="1"/>
    <col min="2" max="2" width="2.109375" style="3781" customWidth="1"/>
    <col min="3" max="3" width="21.44140625" style="3780" customWidth="1"/>
    <col min="4" max="4" width="22.109375" style="3780" customWidth="1"/>
    <col min="5" max="5" width="20.88671875" style="3780" customWidth="1"/>
    <col min="6" max="6" width="2" style="3780" customWidth="1"/>
    <col min="7" max="7" width="22.109375" style="3791" customWidth="1"/>
    <col min="8" max="8" width="22.5546875" style="3781" customWidth="1"/>
    <col min="9" max="9" width="21.109375" style="3781" customWidth="1"/>
    <col min="10" max="10" width="8.88671875" style="3781"/>
    <col min="11" max="11" width="11.109375" style="3781" bestFit="1" customWidth="1"/>
    <col min="12" max="16384" width="8.88671875" style="3781"/>
  </cols>
  <sheetData>
    <row r="1" spans="1:10" ht="17.25" customHeight="1">
      <c r="A1" s="657" t="s">
        <v>979</v>
      </c>
    </row>
    <row r="3" spans="1:10" s="3784" customFormat="1" ht="21">
      <c r="A3" s="3783" t="s">
        <v>0</v>
      </c>
      <c r="C3" s="3785"/>
      <c r="D3" s="3785"/>
      <c r="E3" s="3785"/>
      <c r="F3" s="3786"/>
      <c r="G3" s="3787"/>
      <c r="H3" s="3840" t="s">
        <v>15</v>
      </c>
      <c r="I3" s="3841" t="s">
        <v>1545</v>
      </c>
    </row>
    <row r="4" spans="1:10" ht="22.5">
      <c r="A4" s="3788" t="s">
        <v>1606</v>
      </c>
      <c r="C4" s="3789"/>
      <c r="D4" s="3789"/>
      <c r="E4" s="3789"/>
      <c r="F4" s="3790"/>
    </row>
    <row r="5" spans="1:10" ht="21">
      <c r="A5" s="3793" t="s">
        <v>1506</v>
      </c>
      <c r="C5" s="3789"/>
      <c r="D5" s="3789"/>
      <c r="E5" s="3789"/>
      <c r="F5" s="3790"/>
    </row>
    <row r="6" spans="1:10" ht="17.25" customHeight="1">
      <c r="A6" s="3794"/>
      <c r="C6" s="3789"/>
      <c r="D6" s="3789"/>
      <c r="E6" s="3789"/>
      <c r="F6" s="3790"/>
    </row>
    <row r="7" spans="1:10" ht="17.25" customHeight="1">
      <c r="A7" s="3809"/>
      <c r="B7" s="3810"/>
      <c r="C7" s="3943" t="s">
        <v>1572</v>
      </c>
      <c r="D7" s="3944"/>
      <c r="E7" s="3944"/>
      <c r="F7" s="3811"/>
      <c r="G7" s="3944" t="s">
        <v>1571</v>
      </c>
      <c r="H7" s="3944"/>
      <c r="I7" s="3944"/>
    </row>
    <row r="8" spans="1:10" ht="17.25" customHeight="1">
      <c r="A8" s="3809"/>
      <c r="B8" s="3810"/>
      <c r="C8" s="3809"/>
      <c r="D8" s="3809"/>
      <c r="E8" s="3809"/>
      <c r="F8" s="3809"/>
      <c r="G8" s="3812"/>
      <c r="H8" s="3810"/>
      <c r="I8" s="3810"/>
    </row>
    <row r="9" spans="1:10" ht="17.25" customHeight="1">
      <c r="A9" s="3813"/>
      <c r="B9" s="3810"/>
      <c r="C9" s="3813" t="s">
        <v>1507</v>
      </c>
      <c r="D9" s="3813" t="s">
        <v>1508</v>
      </c>
      <c r="E9" s="3813" t="s">
        <v>1578</v>
      </c>
      <c r="F9" s="3813"/>
      <c r="G9" s="3813" t="s">
        <v>1507</v>
      </c>
      <c r="H9" s="3813" t="s">
        <v>1508</v>
      </c>
      <c r="I9" s="3814" t="s">
        <v>1509</v>
      </c>
    </row>
    <row r="10" spans="1:10" s="3795" customFormat="1" ht="17.25" customHeight="1">
      <c r="A10" s="3815"/>
      <c r="B10" s="3816"/>
      <c r="C10" s="3817"/>
      <c r="D10" s="3817"/>
      <c r="E10" s="3817"/>
      <c r="F10" s="3817"/>
      <c r="G10" s="3818"/>
      <c r="H10" s="3818"/>
      <c r="I10" s="3818"/>
      <c r="J10" s="3796"/>
    </row>
    <row r="11" spans="1:10" s="3797" customFormat="1" ht="17.25" customHeight="1">
      <c r="A11" s="3819" t="s">
        <v>1510</v>
      </c>
      <c r="B11" s="3820"/>
      <c r="C11" s="3821">
        <v>0</v>
      </c>
      <c r="D11" s="3821">
        <v>0</v>
      </c>
      <c r="E11" s="3822">
        <f t="shared" ref="E11:E49" si="0">(C11+D11)</f>
        <v>0</v>
      </c>
      <c r="F11" s="3822"/>
      <c r="G11" s="3821">
        <v>0</v>
      </c>
      <c r="H11" s="3821">
        <v>53653399</v>
      </c>
      <c r="I11" s="3822">
        <f t="shared" ref="I11:I51" si="1">+G11+H11</f>
        <v>53653399</v>
      </c>
      <c r="J11" s="3798"/>
    </row>
    <row r="12" spans="1:10" s="3797" customFormat="1" ht="17.25" customHeight="1">
      <c r="A12" s="3819" t="s">
        <v>1534</v>
      </c>
      <c r="B12" s="3820"/>
      <c r="C12" s="3823">
        <v>31309736</v>
      </c>
      <c r="D12" s="3824">
        <v>843818.18</v>
      </c>
      <c r="E12" s="3825">
        <f t="shared" si="0"/>
        <v>32153554.18</v>
      </c>
      <c r="F12" s="3825"/>
      <c r="G12" s="3824">
        <v>149173375</v>
      </c>
      <c r="H12" s="3824">
        <v>-11006442.439999999</v>
      </c>
      <c r="I12" s="3825">
        <f t="shared" si="1"/>
        <v>138166932.56</v>
      </c>
      <c r="J12" s="3798"/>
    </row>
    <row r="13" spans="1:10" s="3797" customFormat="1" ht="17.25" customHeight="1">
      <c r="A13" s="3819" t="s">
        <v>1535</v>
      </c>
      <c r="B13" s="3820"/>
      <c r="C13" s="3823">
        <v>0</v>
      </c>
      <c r="D13" s="3824">
        <v>0</v>
      </c>
      <c r="E13" s="3825">
        <f t="shared" si="0"/>
        <v>0</v>
      </c>
      <c r="F13" s="3825"/>
      <c r="G13" s="3823">
        <v>0</v>
      </c>
      <c r="H13" s="3824">
        <v>63347284</v>
      </c>
      <c r="I13" s="3825">
        <f t="shared" si="1"/>
        <v>63347284</v>
      </c>
      <c r="J13" s="3798"/>
    </row>
    <row r="14" spans="1:10" s="3797" customFormat="1" ht="17.25" customHeight="1">
      <c r="A14" s="3826" t="s">
        <v>1525</v>
      </c>
      <c r="B14" s="3827"/>
      <c r="C14" s="3824">
        <v>4796923.75</v>
      </c>
      <c r="D14" s="3823">
        <v>189099791</v>
      </c>
      <c r="E14" s="3825">
        <f t="shared" si="0"/>
        <v>193896714.75</v>
      </c>
      <c r="F14" s="3825"/>
      <c r="G14" s="3824">
        <v>50017253.420000002</v>
      </c>
      <c r="H14" s="3823">
        <v>441011232</v>
      </c>
      <c r="I14" s="3825">
        <f t="shared" si="1"/>
        <v>491028485.42000002</v>
      </c>
      <c r="J14" s="3798"/>
    </row>
    <row r="15" spans="1:10" s="3797" customFormat="1" ht="17.25" customHeight="1">
      <c r="A15" s="3819" t="s">
        <v>1536</v>
      </c>
      <c r="B15" s="3820"/>
      <c r="C15" s="3823">
        <v>206592.28</v>
      </c>
      <c r="D15" s="3823">
        <v>0</v>
      </c>
      <c r="E15" s="3825">
        <f t="shared" si="0"/>
        <v>206592.28</v>
      </c>
      <c r="F15" s="3825"/>
      <c r="G15" s="3824">
        <v>3330852.18</v>
      </c>
      <c r="H15" s="3823">
        <v>0</v>
      </c>
      <c r="I15" s="3825">
        <f t="shared" si="1"/>
        <v>3330852.18</v>
      </c>
      <c r="J15" s="3798"/>
    </row>
    <row r="16" spans="1:10" s="3797" customFormat="1" ht="17.25" customHeight="1">
      <c r="A16" s="3819" t="s">
        <v>1537</v>
      </c>
      <c r="B16" s="3820"/>
      <c r="C16" s="3824">
        <v>917927.91</v>
      </c>
      <c r="D16" s="3823">
        <v>0</v>
      </c>
      <c r="E16" s="3825">
        <f t="shared" si="0"/>
        <v>917927.91</v>
      </c>
      <c r="F16" s="3825"/>
      <c r="G16" s="3824">
        <v>9416841.0600000005</v>
      </c>
      <c r="H16" s="3823">
        <v>0</v>
      </c>
      <c r="I16" s="3825">
        <f t="shared" si="1"/>
        <v>9416841.0600000005</v>
      </c>
      <c r="J16" s="3798"/>
    </row>
    <row r="17" spans="1:10" s="3797" customFormat="1" ht="17.25" customHeight="1">
      <c r="A17" s="3819" t="s">
        <v>1538</v>
      </c>
      <c r="B17" s="3820"/>
      <c r="C17" s="3824">
        <v>566759.41</v>
      </c>
      <c r="D17" s="3823">
        <v>0</v>
      </c>
      <c r="E17" s="3825">
        <f t="shared" si="0"/>
        <v>566759.41</v>
      </c>
      <c r="F17" s="3825"/>
      <c r="G17" s="3824">
        <v>1355527.06</v>
      </c>
      <c r="H17" s="3823">
        <v>0</v>
      </c>
      <c r="I17" s="3825">
        <f t="shared" si="1"/>
        <v>1355527.06</v>
      </c>
      <c r="J17" s="3798"/>
    </row>
    <row r="18" spans="1:10" s="3797" customFormat="1" ht="17.25" customHeight="1">
      <c r="A18" s="3819" t="s">
        <v>1511</v>
      </c>
      <c r="B18" s="3820"/>
      <c r="C18" s="3824">
        <v>0</v>
      </c>
      <c r="D18" s="3823">
        <v>0</v>
      </c>
      <c r="E18" s="3825">
        <f t="shared" si="0"/>
        <v>0</v>
      </c>
      <c r="F18" s="3825"/>
      <c r="G18" s="3824">
        <v>488804.55</v>
      </c>
      <c r="H18" s="3823">
        <v>0</v>
      </c>
      <c r="I18" s="3825">
        <f t="shared" si="1"/>
        <v>488804.55</v>
      </c>
      <c r="J18" s="3798"/>
    </row>
    <row r="19" spans="1:10" s="3797" customFormat="1" ht="17.25" customHeight="1">
      <c r="A19" s="3819" t="s">
        <v>1512</v>
      </c>
      <c r="B19" s="3820"/>
      <c r="C19" s="3824">
        <v>0</v>
      </c>
      <c r="D19" s="3824">
        <v>2350933.15</v>
      </c>
      <c r="E19" s="3825">
        <f t="shared" si="0"/>
        <v>2350933.15</v>
      </c>
      <c r="F19" s="3825"/>
      <c r="G19" s="3823">
        <v>0</v>
      </c>
      <c r="H19" s="3824">
        <v>20112364.559999999</v>
      </c>
      <c r="I19" s="3825">
        <f t="shared" si="1"/>
        <v>20112364.559999999</v>
      </c>
      <c r="J19" s="3798"/>
    </row>
    <row r="20" spans="1:10" s="3797" customFormat="1" ht="17.25" customHeight="1">
      <c r="A20" s="3819" t="s">
        <v>1513</v>
      </c>
      <c r="B20" s="3820"/>
      <c r="C20" s="3824">
        <v>361643.08</v>
      </c>
      <c r="D20" s="3823">
        <v>0</v>
      </c>
      <c r="E20" s="3825">
        <f t="shared" si="0"/>
        <v>361643.08</v>
      </c>
      <c r="F20" s="3825"/>
      <c r="G20" s="3824">
        <v>3089976.34</v>
      </c>
      <c r="H20" s="3823">
        <v>0</v>
      </c>
      <c r="I20" s="3825">
        <f t="shared" si="1"/>
        <v>3089976.34</v>
      </c>
      <c r="J20" s="3798"/>
    </row>
    <row r="21" spans="1:10" s="3797" customFormat="1" ht="17.25" customHeight="1">
      <c r="A21" s="3819" t="s">
        <v>1555</v>
      </c>
      <c r="B21" s="3820"/>
      <c r="C21" s="3824">
        <v>0</v>
      </c>
      <c r="D21" s="3823">
        <v>0</v>
      </c>
      <c r="E21" s="3825">
        <f t="shared" si="0"/>
        <v>0</v>
      </c>
      <c r="F21" s="3825"/>
      <c r="G21" s="3824">
        <v>2250000</v>
      </c>
      <c r="H21" s="3823">
        <v>0</v>
      </c>
      <c r="I21" s="3825">
        <f t="shared" si="1"/>
        <v>2250000</v>
      </c>
      <c r="J21" s="3798"/>
    </row>
    <row r="22" spans="1:10" s="3797" customFormat="1" ht="17.25" customHeight="1">
      <c r="A22" s="3819" t="s">
        <v>1539</v>
      </c>
      <c r="B22" s="3820"/>
      <c r="C22" s="3824">
        <v>433523.37</v>
      </c>
      <c r="D22" s="3823">
        <v>0</v>
      </c>
      <c r="E22" s="3825">
        <f t="shared" si="0"/>
        <v>433523.37</v>
      </c>
      <c r="F22" s="3825"/>
      <c r="G22" s="3824">
        <v>4524672.75</v>
      </c>
      <c r="H22" s="3823">
        <v>0</v>
      </c>
      <c r="I22" s="3825">
        <f t="shared" si="1"/>
        <v>4524672.75</v>
      </c>
      <c r="J22" s="3798"/>
    </row>
    <row r="23" spans="1:10" s="3797" customFormat="1" ht="17.25" customHeight="1">
      <c r="A23" s="3819" t="s">
        <v>1514</v>
      </c>
      <c r="B23" s="3820"/>
      <c r="C23" s="3823">
        <v>0</v>
      </c>
      <c r="D23" s="3823">
        <v>0</v>
      </c>
      <c r="E23" s="3825">
        <f t="shared" si="0"/>
        <v>0</v>
      </c>
      <c r="F23" s="3825"/>
      <c r="G23" s="3824">
        <v>24500000</v>
      </c>
      <c r="H23" s="3823">
        <v>0</v>
      </c>
      <c r="I23" s="3825">
        <f t="shared" si="1"/>
        <v>24500000</v>
      </c>
      <c r="J23" s="3798"/>
    </row>
    <row r="24" spans="1:10" s="3797" customFormat="1" ht="17.25" customHeight="1">
      <c r="A24" s="3819" t="s">
        <v>1556</v>
      </c>
      <c r="B24" s="3820"/>
      <c r="C24" s="3823">
        <v>0</v>
      </c>
      <c r="D24" s="3823">
        <v>0</v>
      </c>
      <c r="E24" s="3825">
        <f t="shared" si="0"/>
        <v>0</v>
      </c>
      <c r="F24" s="3825"/>
      <c r="G24" s="3824">
        <v>15000</v>
      </c>
      <c r="H24" s="3823">
        <v>0</v>
      </c>
      <c r="I24" s="3825">
        <f t="shared" si="1"/>
        <v>15000</v>
      </c>
      <c r="J24" s="3798"/>
    </row>
    <row r="25" spans="1:10" s="3797" customFormat="1" ht="17.25" customHeight="1">
      <c r="A25" s="3819" t="s">
        <v>1540</v>
      </c>
      <c r="B25" s="3820"/>
      <c r="C25" s="3823">
        <v>0</v>
      </c>
      <c r="D25" s="3823">
        <v>0</v>
      </c>
      <c r="E25" s="3825">
        <f t="shared" si="0"/>
        <v>0</v>
      </c>
      <c r="F25" s="3825"/>
      <c r="G25" s="3824">
        <v>5770000</v>
      </c>
      <c r="H25" s="3823">
        <v>0</v>
      </c>
      <c r="I25" s="3825">
        <f t="shared" si="1"/>
        <v>5770000</v>
      </c>
      <c r="J25" s="3798"/>
    </row>
    <row r="26" spans="1:10" s="3797" customFormat="1" ht="17.25" customHeight="1">
      <c r="A26" s="3819" t="s">
        <v>1541</v>
      </c>
      <c r="B26" s="3820"/>
      <c r="C26" s="3823">
        <v>0</v>
      </c>
      <c r="D26" s="3823">
        <v>0</v>
      </c>
      <c r="E26" s="3825">
        <f t="shared" si="0"/>
        <v>0</v>
      </c>
      <c r="F26" s="3825"/>
      <c r="G26" s="3824">
        <v>2819043</v>
      </c>
      <c r="H26" s="3823">
        <v>0</v>
      </c>
      <c r="I26" s="3825">
        <f t="shared" si="1"/>
        <v>2819043</v>
      </c>
      <c r="J26" s="3798"/>
    </row>
    <row r="27" spans="1:10" s="3797" customFormat="1" ht="17.25" customHeight="1">
      <c r="A27" s="3819" t="s">
        <v>1550</v>
      </c>
      <c r="B27" s="3820"/>
      <c r="C27" s="3824">
        <v>0</v>
      </c>
      <c r="D27" s="3823">
        <v>0</v>
      </c>
      <c r="E27" s="3825">
        <f t="shared" si="0"/>
        <v>0</v>
      </c>
      <c r="F27" s="3825"/>
      <c r="G27" s="3824">
        <v>81851865</v>
      </c>
      <c r="H27" s="3823">
        <v>0</v>
      </c>
      <c r="I27" s="3825">
        <f t="shared" si="1"/>
        <v>81851865</v>
      </c>
      <c r="J27" s="3798"/>
    </row>
    <row r="28" spans="1:10" s="3797" customFormat="1" ht="17.25" customHeight="1">
      <c r="A28" s="3819" t="s">
        <v>1515</v>
      </c>
      <c r="B28" s="3820"/>
      <c r="C28" s="3823">
        <v>0</v>
      </c>
      <c r="D28" s="3823">
        <v>0</v>
      </c>
      <c r="E28" s="3825">
        <f t="shared" si="0"/>
        <v>0</v>
      </c>
      <c r="F28" s="3825"/>
      <c r="G28" s="3824">
        <v>4000000</v>
      </c>
      <c r="H28" s="3823">
        <v>0</v>
      </c>
      <c r="I28" s="3825">
        <f t="shared" si="1"/>
        <v>4000000</v>
      </c>
      <c r="J28" s="3798"/>
    </row>
    <row r="29" spans="1:10" s="3797" customFormat="1" ht="17.25" customHeight="1">
      <c r="A29" s="3819" t="s">
        <v>1516</v>
      </c>
      <c r="B29" s="3820"/>
      <c r="C29" s="3824">
        <v>1001104</v>
      </c>
      <c r="D29" s="3823">
        <v>0</v>
      </c>
      <c r="E29" s="3825">
        <f t="shared" si="0"/>
        <v>1001104</v>
      </c>
      <c r="F29" s="3825"/>
      <c r="G29" s="3824">
        <v>11800345.5</v>
      </c>
      <c r="H29" s="3823">
        <v>0</v>
      </c>
      <c r="I29" s="3825">
        <f t="shared" si="1"/>
        <v>11800345.5</v>
      </c>
      <c r="J29" s="3798"/>
    </row>
    <row r="30" spans="1:10" s="3797" customFormat="1" ht="17.25" customHeight="1">
      <c r="A30" s="3819" t="s">
        <v>1549</v>
      </c>
      <c r="B30" s="3820"/>
      <c r="C30" s="3824">
        <v>9220</v>
      </c>
      <c r="D30" s="3823">
        <v>0</v>
      </c>
      <c r="E30" s="3825">
        <f t="shared" si="0"/>
        <v>9220</v>
      </c>
      <c r="F30" s="3825"/>
      <c r="G30" s="3824">
        <v>1474301.73</v>
      </c>
      <c r="H30" s="3823">
        <v>0</v>
      </c>
      <c r="I30" s="3825">
        <f t="shared" si="1"/>
        <v>1474301.73</v>
      </c>
      <c r="J30" s="3798"/>
    </row>
    <row r="31" spans="1:10" s="3797" customFormat="1" ht="17.25" customHeight="1">
      <c r="A31" s="3819" t="s">
        <v>1552</v>
      </c>
      <c r="B31" s="3820"/>
      <c r="C31" s="3824">
        <v>2702789.93</v>
      </c>
      <c r="D31" s="3823">
        <v>0</v>
      </c>
      <c r="E31" s="3825">
        <f t="shared" si="0"/>
        <v>2702789.93</v>
      </c>
      <c r="F31" s="3825"/>
      <c r="G31" s="3824">
        <v>21669058.530000001</v>
      </c>
      <c r="H31" s="3823">
        <v>0</v>
      </c>
      <c r="I31" s="3825">
        <f t="shared" si="1"/>
        <v>21669058.530000001</v>
      </c>
      <c r="J31" s="3798"/>
    </row>
    <row r="32" spans="1:10" s="3797" customFormat="1" ht="17.25" customHeight="1">
      <c r="A32" s="3819" t="s">
        <v>1517</v>
      </c>
      <c r="B32" s="3820"/>
      <c r="C32" s="3824">
        <v>1065119.3400000001</v>
      </c>
      <c r="D32" s="3824">
        <v>1756755.8</v>
      </c>
      <c r="E32" s="3825">
        <f t="shared" si="0"/>
        <v>2821875.14</v>
      </c>
      <c r="F32" s="3825"/>
      <c r="G32" s="3824">
        <v>14383989.16</v>
      </c>
      <c r="H32" s="3824">
        <v>18356620.739999998</v>
      </c>
      <c r="I32" s="3825">
        <f t="shared" si="1"/>
        <v>32740609.899999999</v>
      </c>
      <c r="J32" s="3798"/>
    </row>
    <row r="33" spans="1:10" s="3797" customFormat="1" ht="17.25" customHeight="1">
      <c r="A33" s="3819" t="s">
        <v>1518</v>
      </c>
      <c r="B33" s="3820"/>
      <c r="C33" s="3824">
        <v>208868.17</v>
      </c>
      <c r="D33" s="3823">
        <v>0</v>
      </c>
      <c r="E33" s="3825">
        <f t="shared" si="0"/>
        <v>208868.17</v>
      </c>
      <c r="F33" s="3825"/>
      <c r="G33" s="3824">
        <v>758761.77</v>
      </c>
      <c r="H33" s="3823">
        <v>0</v>
      </c>
      <c r="I33" s="3825">
        <f t="shared" si="1"/>
        <v>758761.77</v>
      </c>
      <c r="J33" s="3798"/>
    </row>
    <row r="34" spans="1:10" s="3797" customFormat="1" ht="17.25" customHeight="1">
      <c r="A34" s="3819" t="s">
        <v>1519</v>
      </c>
      <c r="B34" s="3820"/>
      <c r="C34" s="3824">
        <v>15778575.93</v>
      </c>
      <c r="D34" s="3823">
        <v>0</v>
      </c>
      <c r="E34" s="3825">
        <f t="shared" si="0"/>
        <v>15778575.93</v>
      </c>
      <c r="F34" s="3825"/>
      <c r="G34" s="3824">
        <v>50367963.43</v>
      </c>
      <c r="H34" s="3823">
        <v>0</v>
      </c>
      <c r="I34" s="3825">
        <f t="shared" si="1"/>
        <v>50367963.43</v>
      </c>
      <c r="J34" s="3798"/>
    </row>
    <row r="35" spans="1:10" s="3797" customFormat="1" ht="17.25" customHeight="1">
      <c r="A35" s="3819" t="s">
        <v>1526</v>
      </c>
      <c r="B35" s="3820"/>
      <c r="C35" s="3824">
        <v>43465883.109999999</v>
      </c>
      <c r="D35" s="3823">
        <v>0</v>
      </c>
      <c r="E35" s="3825">
        <f t="shared" si="0"/>
        <v>43465883.109999999</v>
      </c>
      <c r="F35" s="3825"/>
      <c r="G35" s="3824">
        <v>888410669.14999998</v>
      </c>
      <c r="H35" s="3823">
        <v>0</v>
      </c>
      <c r="I35" s="3825">
        <f t="shared" si="1"/>
        <v>888410669.14999998</v>
      </c>
      <c r="J35" s="3798"/>
    </row>
    <row r="36" spans="1:10" s="3797" customFormat="1" ht="17.25" customHeight="1">
      <c r="A36" s="3819" t="s">
        <v>1527</v>
      </c>
      <c r="B36" s="3820"/>
      <c r="C36" s="3824">
        <v>13668359.539999999</v>
      </c>
      <c r="D36" s="3823">
        <v>0</v>
      </c>
      <c r="E36" s="3825">
        <f t="shared" si="0"/>
        <v>13668359.539999999</v>
      </c>
      <c r="F36" s="3825"/>
      <c r="G36" s="3824">
        <v>190308283.03</v>
      </c>
      <c r="H36" s="3823">
        <v>0</v>
      </c>
      <c r="I36" s="3825">
        <f t="shared" si="1"/>
        <v>190308283.03</v>
      </c>
      <c r="J36" s="3798"/>
    </row>
    <row r="37" spans="1:10" s="3797" customFormat="1" ht="17.25" customHeight="1">
      <c r="A37" s="3819" t="s">
        <v>1528</v>
      </c>
      <c r="B37" s="3820"/>
      <c r="C37" s="3824">
        <v>13143928.93</v>
      </c>
      <c r="D37" s="3823">
        <v>0</v>
      </c>
      <c r="E37" s="3825">
        <f t="shared" si="0"/>
        <v>13143928.93</v>
      </c>
      <c r="F37" s="3825"/>
      <c r="G37" s="3824">
        <v>250036820.77000001</v>
      </c>
      <c r="H37" s="3823">
        <v>0</v>
      </c>
      <c r="I37" s="3825">
        <f t="shared" si="1"/>
        <v>250036820.77000001</v>
      </c>
      <c r="J37" s="3798"/>
    </row>
    <row r="38" spans="1:10" s="3797" customFormat="1" ht="17.25" customHeight="1">
      <c r="A38" s="3819" t="s">
        <v>1520</v>
      </c>
      <c r="B38" s="3820"/>
      <c r="C38" s="3824">
        <v>4008591.84</v>
      </c>
      <c r="D38" s="3823">
        <v>0</v>
      </c>
      <c r="E38" s="3825">
        <f t="shared" si="0"/>
        <v>4008591.84</v>
      </c>
      <c r="F38" s="3825"/>
      <c r="G38" s="3824">
        <v>294385372.02999997</v>
      </c>
      <c r="H38" s="3823">
        <v>0</v>
      </c>
      <c r="I38" s="3825">
        <f t="shared" si="1"/>
        <v>294385372.02999997</v>
      </c>
      <c r="J38" s="3798"/>
    </row>
    <row r="39" spans="1:10" s="3797" customFormat="1" ht="17.25" customHeight="1">
      <c r="A39" s="3819" t="s">
        <v>1529</v>
      </c>
      <c r="B39" s="3820"/>
      <c r="C39" s="3824">
        <v>981594002.07000005</v>
      </c>
      <c r="D39" s="3823">
        <v>0</v>
      </c>
      <c r="E39" s="3825">
        <f t="shared" si="0"/>
        <v>981594002.07000005</v>
      </c>
      <c r="F39" s="3825"/>
      <c r="G39" s="3824">
        <v>9439255658.6000004</v>
      </c>
      <c r="H39" s="3823">
        <v>0</v>
      </c>
      <c r="I39" s="3825">
        <f t="shared" si="1"/>
        <v>9439255658.6000004</v>
      </c>
      <c r="J39" s="3798"/>
    </row>
    <row r="40" spans="1:10" s="3797" customFormat="1" ht="17.25" customHeight="1">
      <c r="A40" s="3819" t="s">
        <v>1530</v>
      </c>
      <c r="B40" s="3820"/>
      <c r="C40" s="3824">
        <v>515216353.69999999</v>
      </c>
      <c r="D40" s="3823">
        <v>0</v>
      </c>
      <c r="E40" s="3825">
        <f t="shared" si="0"/>
        <v>515216353.69999999</v>
      </c>
      <c r="F40" s="3825"/>
      <c r="G40" s="3824">
        <v>3115631497.4899998</v>
      </c>
      <c r="H40" s="3823">
        <v>0</v>
      </c>
      <c r="I40" s="3825">
        <f t="shared" si="1"/>
        <v>3115631497.4899998</v>
      </c>
      <c r="J40" s="3798"/>
    </row>
    <row r="41" spans="1:10" s="3797" customFormat="1" ht="17.25" customHeight="1">
      <c r="A41" s="3819" t="s">
        <v>1521</v>
      </c>
      <c r="B41" s="3820"/>
      <c r="C41" s="3824">
        <v>18224455.34</v>
      </c>
      <c r="D41" s="3823">
        <v>0</v>
      </c>
      <c r="E41" s="3825">
        <f t="shared" si="0"/>
        <v>18224455.34</v>
      </c>
      <c r="F41" s="3825"/>
      <c r="G41" s="3824">
        <v>227815472.53</v>
      </c>
      <c r="H41" s="3823">
        <v>0</v>
      </c>
      <c r="I41" s="3825">
        <f t="shared" si="1"/>
        <v>227815472.53</v>
      </c>
      <c r="J41" s="3798"/>
    </row>
    <row r="42" spans="1:10" s="3797" customFormat="1" ht="17.25" customHeight="1">
      <c r="A42" s="3819" t="s">
        <v>1531</v>
      </c>
      <c r="B42" s="3820"/>
      <c r="C42" s="3824">
        <v>19433229.100000001</v>
      </c>
      <c r="D42" s="3823">
        <v>0</v>
      </c>
      <c r="E42" s="3825">
        <f t="shared" si="0"/>
        <v>19433229.100000001</v>
      </c>
      <c r="F42" s="3825"/>
      <c r="G42" s="3824">
        <v>202754744.21000001</v>
      </c>
      <c r="H42" s="3823">
        <v>0</v>
      </c>
      <c r="I42" s="3828">
        <f t="shared" si="1"/>
        <v>202754744.21000001</v>
      </c>
      <c r="J42" s="3798"/>
    </row>
    <row r="43" spans="1:10" s="3797" customFormat="1" ht="17.25" customHeight="1">
      <c r="A43" s="3819" t="s">
        <v>1532</v>
      </c>
      <c r="B43" s="3820"/>
      <c r="C43" s="3824">
        <v>665743.26</v>
      </c>
      <c r="D43" s="3823">
        <v>0</v>
      </c>
      <c r="E43" s="3825">
        <f t="shared" si="0"/>
        <v>665743.26</v>
      </c>
      <c r="F43" s="3825"/>
      <c r="G43" s="3824">
        <v>7977251.2599999998</v>
      </c>
      <c r="H43" s="3823">
        <v>0</v>
      </c>
      <c r="I43" s="3825">
        <f t="shared" si="1"/>
        <v>7977251.2599999998</v>
      </c>
      <c r="J43" s="3798"/>
    </row>
    <row r="44" spans="1:10" s="3797" customFormat="1" ht="17.25" customHeight="1">
      <c r="A44" s="3861" t="s">
        <v>1577</v>
      </c>
      <c r="B44" s="3820"/>
      <c r="C44" s="3824">
        <v>-193528843.06999999</v>
      </c>
      <c r="D44" s="3824">
        <v>48075</v>
      </c>
      <c r="E44" s="3825">
        <f t="shared" si="0"/>
        <v>-193480768.06999999</v>
      </c>
      <c r="F44" s="3825"/>
      <c r="G44" s="3824">
        <v>1140140155.3</v>
      </c>
      <c r="H44" s="3824">
        <v>12926093</v>
      </c>
      <c r="I44" s="3828">
        <f t="shared" si="1"/>
        <v>1153066248.3</v>
      </c>
      <c r="J44" s="3798"/>
    </row>
    <row r="45" spans="1:10" s="3797" customFormat="1" ht="17.25" customHeight="1">
      <c r="A45" s="3819" t="s">
        <v>1533</v>
      </c>
      <c r="B45" s="3820"/>
      <c r="C45" s="3824">
        <v>283006675.19</v>
      </c>
      <c r="D45" s="3823">
        <v>0</v>
      </c>
      <c r="E45" s="3825">
        <f t="shared" si="0"/>
        <v>283006675.19</v>
      </c>
      <c r="F45" s="3825"/>
      <c r="G45" s="3824">
        <v>1322739339.1400001</v>
      </c>
      <c r="H45" s="3823">
        <v>0</v>
      </c>
      <c r="I45" s="3825">
        <f t="shared" si="1"/>
        <v>1322739339.1400001</v>
      </c>
      <c r="J45" s="3798"/>
    </row>
    <row r="46" spans="1:10" s="3797" customFormat="1" ht="17.25" customHeight="1">
      <c r="A46" s="3819" t="s">
        <v>1542</v>
      </c>
      <c r="B46" s="3820"/>
      <c r="C46" s="3824">
        <v>197508.62</v>
      </c>
      <c r="D46" s="3823">
        <v>0</v>
      </c>
      <c r="E46" s="3825">
        <f t="shared" si="0"/>
        <v>197508.62</v>
      </c>
      <c r="F46" s="3825"/>
      <c r="G46" s="3824">
        <v>2398283.34</v>
      </c>
      <c r="H46" s="3823">
        <v>0</v>
      </c>
      <c r="I46" s="3825">
        <f t="shared" si="1"/>
        <v>2398283.34</v>
      </c>
      <c r="J46" s="3798"/>
    </row>
    <row r="47" spans="1:10" s="3797" customFormat="1" ht="17.25" customHeight="1">
      <c r="A47" s="3819" t="s">
        <v>1522</v>
      </c>
      <c r="B47" s="3820"/>
      <c r="C47" s="3824">
        <v>330000000</v>
      </c>
      <c r="D47" s="3823">
        <v>0</v>
      </c>
      <c r="E47" s="3825">
        <f t="shared" si="0"/>
        <v>330000000</v>
      </c>
      <c r="F47" s="3825"/>
      <c r="G47" s="3824">
        <v>3431000000</v>
      </c>
      <c r="H47" s="3823">
        <v>0</v>
      </c>
      <c r="I47" s="3825">
        <f t="shared" si="1"/>
        <v>3431000000</v>
      </c>
      <c r="J47" s="3798"/>
    </row>
    <row r="48" spans="1:10" s="3797" customFormat="1" ht="17.25" customHeight="1">
      <c r="A48" s="3819" t="s">
        <v>1543</v>
      </c>
      <c r="B48" s="3820"/>
      <c r="C48" s="3824">
        <v>87164226.609999999</v>
      </c>
      <c r="D48" s="3823">
        <v>0</v>
      </c>
      <c r="E48" s="3825">
        <f t="shared" si="0"/>
        <v>87164226.609999999</v>
      </c>
      <c r="F48" s="3825"/>
      <c r="G48" s="3824">
        <v>792508384.37</v>
      </c>
      <c r="H48" s="3823">
        <v>0</v>
      </c>
      <c r="I48" s="3825">
        <f t="shared" si="1"/>
        <v>792508384.37</v>
      </c>
      <c r="J48" s="3798"/>
    </row>
    <row r="49" spans="1:20" s="3797" customFormat="1" ht="17.25" customHeight="1">
      <c r="A49" s="3819" t="s">
        <v>1544</v>
      </c>
      <c r="B49" s="3820"/>
      <c r="C49" s="3823">
        <v>167000000</v>
      </c>
      <c r="D49" s="3823">
        <v>0</v>
      </c>
      <c r="E49" s="3825">
        <f t="shared" si="0"/>
        <v>167000000</v>
      </c>
      <c r="F49" s="3825"/>
      <c r="G49" s="3824">
        <v>801600000</v>
      </c>
      <c r="H49" s="3823">
        <v>0</v>
      </c>
      <c r="I49" s="3825">
        <f t="shared" si="1"/>
        <v>801600000</v>
      </c>
      <c r="J49" s="3798"/>
    </row>
    <row r="50" spans="1:20" s="3797" customFormat="1" ht="4.1500000000000004" customHeight="1">
      <c r="A50" s="3819"/>
      <c r="B50" s="3820"/>
      <c r="C50" s="3823"/>
      <c r="D50" s="3823"/>
      <c r="E50" s="3825"/>
      <c r="F50" s="3825"/>
      <c r="G50" s="3824"/>
      <c r="H50" s="3823"/>
      <c r="I50" s="3825"/>
      <c r="J50" s="3799"/>
    </row>
    <row r="51" spans="1:20" s="3795" customFormat="1" ht="17.25" customHeight="1">
      <c r="A51" s="3829" t="s">
        <v>1553</v>
      </c>
      <c r="B51" s="3816"/>
      <c r="C51" s="3830">
        <f>SUM(C11:C50)</f>
        <v>2342618897.4099998</v>
      </c>
      <c r="D51" s="3830">
        <f>SUM(D11:D50)</f>
        <v>194099373.13000003</v>
      </c>
      <c r="E51" s="3830">
        <f>(C51+D51)</f>
        <v>2536718270.54</v>
      </c>
      <c r="F51" s="3831"/>
      <c r="G51" s="3830">
        <f>SUM(G11:G50)</f>
        <v>22550019561.700001</v>
      </c>
      <c r="H51" s="3830">
        <f>SUM(H11:H50)</f>
        <v>598400550.8599999</v>
      </c>
      <c r="I51" s="3830">
        <f t="shared" si="1"/>
        <v>23148420112.560001</v>
      </c>
      <c r="J51" s="3800"/>
    </row>
    <row r="52" spans="1:20" ht="9.6" customHeight="1">
      <c r="A52" s="3809"/>
      <c r="B52" s="3810"/>
      <c r="C52" s="3832"/>
      <c r="D52" s="3832"/>
      <c r="E52" s="3832"/>
      <c r="F52" s="3832"/>
      <c r="G52" s="3833"/>
      <c r="H52" s="3833"/>
      <c r="I52" s="3833"/>
      <c r="J52" s="3802"/>
    </row>
    <row r="53" spans="1:20" ht="31.9" customHeight="1">
      <c r="A53" s="3872" t="s">
        <v>1604</v>
      </c>
      <c r="B53" s="3810"/>
      <c r="C53" s="3853">
        <v>-290980449.70999998</v>
      </c>
      <c r="D53" s="3834"/>
      <c r="E53" s="3868">
        <v>-290980449.70999998</v>
      </c>
      <c r="F53" s="3835"/>
      <c r="G53" s="3855">
        <v>-1603069210.8</v>
      </c>
      <c r="H53" s="3836"/>
      <c r="I53" s="3867">
        <v>-1603069210.8</v>
      </c>
      <c r="J53" s="3802"/>
      <c r="L53" s="3866"/>
    </row>
    <row r="54" spans="1:20" ht="15.6" customHeight="1">
      <c r="A54" s="3803"/>
      <c r="B54" s="3810"/>
      <c r="C54" s="3834"/>
      <c r="D54" s="3834"/>
      <c r="E54" s="3834"/>
      <c r="F54" s="3834"/>
      <c r="G54" s="3836"/>
      <c r="H54" s="3836"/>
      <c r="I54" s="3836"/>
      <c r="J54" s="3802"/>
      <c r="L54" s="3866"/>
    </row>
    <row r="55" spans="1:20" ht="17.25" customHeight="1" thickBot="1">
      <c r="A55" s="3803" t="s">
        <v>1523</v>
      </c>
      <c r="B55" s="3810"/>
      <c r="C55" s="3837">
        <f>+C51+C53</f>
        <v>2051638447.6999998</v>
      </c>
      <c r="D55" s="3838">
        <f>+D51</f>
        <v>194099373.13000003</v>
      </c>
      <c r="E55" s="3838">
        <f>+E51+E53</f>
        <v>2245737820.8299999</v>
      </c>
      <c r="F55" s="3839"/>
      <c r="G55" s="3838">
        <f>+G51+G53</f>
        <v>20946950350.900002</v>
      </c>
      <c r="H55" s="3838">
        <f>+H51</f>
        <v>598400550.8599999</v>
      </c>
      <c r="I55" s="3838">
        <f>+I51+I53</f>
        <v>21545350901.760002</v>
      </c>
      <c r="J55" s="3802"/>
      <c r="L55" s="3866"/>
    </row>
    <row r="56" spans="1:20" ht="17.25" customHeight="1" thickTop="1">
      <c r="A56" s="3801"/>
      <c r="B56" s="3782"/>
      <c r="C56" s="3801"/>
      <c r="D56" s="3801"/>
      <c r="E56" s="3804"/>
      <c r="F56" s="3804"/>
      <c r="G56" s="3805"/>
      <c r="H56" s="3805"/>
      <c r="I56" s="3805"/>
      <c r="J56" s="3782"/>
    </row>
    <row r="57" spans="1:20" ht="16.149999999999999" customHeight="1">
      <c r="A57" s="3874" t="s">
        <v>1609</v>
      </c>
      <c r="B57" s="3782" t="s">
        <v>15</v>
      </c>
      <c r="C57" s="3801" t="s">
        <v>15</v>
      </c>
      <c r="D57" s="3876"/>
      <c r="E57" s="3877"/>
      <c r="F57" s="3801"/>
      <c r="G57" s="3806"/>
      <c r="H57" s="3782"/>
      <c r="I57" s="3802"/>
      <c r="J57" s="3782"/>
    </row>
    <row r="58" spans="1:20" ht="16.149999999999999" customHeight="1">
      <c r="A58" s="3875" t="s">
        <v>1612</v>
      </c>
      <c r="B58" s="3782"/>
      <c r="C58" s="3801"/>
      <c r="D58" s="3801"/>
      <c r="E58" s="3801"/>
      <c r="F58" s="3801"/>
      <c r="G58" s="3806"/>
      <c r="H58" s="3782"/>
      <c r="I58" s="3782"/>
      <c r="J58" s="3782"/>
    </row>
    <row r="59" spans="1:20" ht="16.149999999999999" customHeight="1">
      <c r="A59" s="3871" t="s">
        <v>1611</v>
      </c>
      <c r="B59" s="3782"/>
      <c r="C59" s="3801"/>
      <c r="D59" s="3801"/>
      <c r="E59" s="3801"/>
      <c r="F59" s="3801"/>
      <c r="G59" s="3806"/>
      <c r="H59" s="3782"/>
      <c r="I59" s="3802"/>
      <c r="J59" s="3782"/>
    </row>
    <row r="60" spans="1:20" s="3780" customFormat="1" ht="16.149999999999999" customHeight="1">
      <c r="A60" s="3871" t="s">
        <v>1619</v>
      </c>
      <c r="B60" s="3781"/>
      <c r="G60" s="3791"/>
      <c r="H60" s="3781"/>
      <c r="I60" s="3781"/>
      <c r="J60" s="3781"/>
      <c r="K60" s="3781"/>
      <c r="L60" s="3781"/>
      <c r="M60" s="3781"/>
      <c r="N60" s="3781"/>
      <c r="O60" s="3781"/>
      <c r="P60" s="3781"/>
      <c r="Q60" s="3781"/>
      <c r="R60" s="3781"/>
      <c r="S60" s="3781"/>
      <c r="T60" s="3781"/>
    </row>
    <row r="61" spans="1:20" s="3780" customFormat="1" ht="13.15" customHeight="1">
      <c r="A61" s="3871" t="s">
        <v>1607</v>
      </c>
      <c r="B61" s="3781"/>
      <c r="G61" s="3791"/>
      <c r="H61" s="3781"/>
      <c r="I61" s="3781"/>
      <c r="J61" s="3781"/>
      <c r="K61" s="3781"/>
      <c r="L61" s="3781"/>
      <c r="M61" s="3781"/>
      <c r="N61" s="3781"/>
      <c r="O61" s="3781"/>
      <c r="P61" s="3781"/>
      <c r="Q61" s="3781"/>
      <c r="R61" s="3781"/>
      <c r="S61" s="3781"/>
      <c r="T61" s="3781"/>
    </row>
    <row r="62" spans="1:20" ht="17.25" customHeight="1">
      <c r="A62" s="3871" t="s">
        <v>1590</v>
      </c>
    </row>
  </sheetData>
  <mergeCells count="2">
    <mergeCell ref="C7:E7"/>
    <mergeCell ref="G7:I7"/>
  </mergeCells>
  <pageMargins left="0.17" right="0.18" top="0.44" bottom="0.27" header="0.23" footer="0.18"/>
  <pageSetup scale="52"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70" zoomScaleNormal="70" workbookViewId="0"/>
  </sheetViews>
  <sheetFormatPr defaultColWidth="8.88671875" defaultRowHeight="15"/>
  <cols>
    <col min="1" max="1" width="58.88671875" style="3807" customWidth="1"/>
    <col min="2" max="2" width="2" style="3781" customWidth="1"/>
    <col min="3" max="3" width="21.109375" style="3780" customWidth="1"/>
    <col min="4" max="4" width="21.88671875" style="3780" customWidth="1"/>
    <col min="5" max="5" width="19.88671875" style="3780" customWidth="1"/>
    <col min="6" max="6" width="0.88671875" style="3780" customWidth="1"/>
    <col min="7" max="7" width="22.109375" style="3791" customWidth="1"/>
    <col min="8" max="8" width="20.88671875" style="3781" customWidth="1"/>
    <col min="9" max="9" width="21.88671875" style="3781" customWidth="1"/>
    <col min="10" max="10" width="8.88671875" style="3781"/>
    <col min="11" max="11" width="12.88671875" style="3781" bestFit="1" customWidth="1"/>
    <col min="12" max="16384" width="8.88671875" style="3781"/>
  </cols>
  <sheetData>
    <row r="1" spans="1:9" ht="15.75">
      <c r="A1" s="657" t="s">
        <v>979</v>
      </c>
    </row>
    <row r="3" spans="1:9" s="3784" customFormat="1" ht="21">
      <c r="A3" s="3783" t="s">
        <v>0</v>
      </c>
      <c r="C3" s="3785"/>
      <c r="D3" s="3785"/>
      <c r="E3" s="3785"/>
      <c r="F3" s="3786"/>
      <c r="G3" s="3787"/>
      <c r="I3" s="3841" t="s">
        <v>1548</v>
      </c>
    </row>
    <row r="4" spans="1:9" ht="22.5">
      <c r="A4" s="3788" t="s">
        <v>1608</v>
      </c>
      <c r="C4" s="3789"/>
      <c r="D4" s="3789"/>
      <c r="E4" s="3789"/>
      <c r="F4" s="3790"/>
    </row>
    <row r="5" spans="1:9" ht="21">
      <c r="A5" s="3793" t="s">
        <v>1506</v>
      </c>
      <c r="C5" s="3789"/>
      <c r="D5" s="3789"/>
      <c r="E5" s="3789"/>
      <c r="F5" s="3790"/>
    </row>
    <row r="6" spans="1:9" ht="21">
      <c r="A6" s="3792"/>
      <c r="C6" s="3789"/>
      <c r="D6" s="3789"/>
      <c r="E6" s="3789"/>
      <c r="F6" s="3790"/>
    </row>
    <row r="7" spans="1:9" ht="15.75">
      <c r="A7" s="3842"/>
      <c r="B7" s="3810"/>
      <c r="C7" s="3943" t="s">
        <v>1572</v>
      </c>
      <c r="D7" s="3944"/>
      <c r="E7" s="3944"/>
      <c r="F7" s="3811"/>
      <c r="G7" s="3944" t="s">
        <v>1571</v>
      </c>
      <c r="H7" s="3944"/>
      <c r="I7" s="3944"/>
    </row>
    <row r="8" spans="1:9" ht="15.75">
      <c r="A8" s="3842"/>
      <c r="B8" s="3810"/>
      <c r="C8" s="3843"/>
      <c r="D8" s="3843"/>
      <c r="E8" s="3843"/>
      <c r="F8" s="3843"/>
      <c r="G8" s="3812"/>
      <c r="H8" s="3810"/>
      <c r="I8" s="3810"/>
    </row>
    <row r="9" spans="1:9" ht="15.75">
      <c r="A9" s="3844"/>
      <c r="B9" s="3810"/>
      <c r="C9" s="3813" t="s">
        <v>1507</v>
      </c>
      <c r="D9" s="3813" t="s">
        <v>1508</v>
      </c>
      <c r="E9" s="3813" t="s">
        <v>1578</v>
      </c>
      <c r="F9" s="3813"/>
      <c r="G9" s="3813" t="s">
        <v>1507</v>
      </c>
      <c r="H9" s="3813" t="s">
        <v>1508</v>
      </c>
      <c r="I9" s="3814" t="s">
        <v>1509</v>
      </c>
    </row>
    <row r="10" spans="1:9" s="3795" customFormat="1" ht="15.75">
      <c r="A10" s="3815"/>
      <c r="B10" s="3816"/>
      <c r="C10" s="3845"/>
      <c r="D10" s="3845"/>
      <c r="E10" s="3845"/>
      <c r="F10" s="3845"/>
      <c r="G10" s="3846"/>
      <c r="H10" s="3816"/>
      <c r="I10" s="3846"/>
    </row>
    <row r="11" spans="1:9" s="3797" customFormat="1" ht="15.75">
      <c r="A11" s="3819" t="s">
        <v>1551</v>
      </c>
      <c r="B11" s="3820"/>
      <c r="C11" s="3847">
        <v>10726270.25</v>
      </c>
      <c r="D11" s="3847">
        <v>0</v>
      </c>
      <c r="E11" s="3839">
        <f t="shared" ref="E11:E24" si="0">(C11+D11)</f>
        <v>10726270.25</v>
      </c>
      <c r="F11" s="3839"/>
      <c r="G11" s="3847">
        <v>120736918.09</v>
      </c>
      <c r="H11" s="3847">
        <v>0</v>
      </c>
      <c r="I11" s="3839">
        <f t="shared" ref="I11:I24" si="1">+G11+H11</f>
        <v>120736918.09</v>
      </c>
    </row>
    <row r="12" spans="1:9" s="3797" customFormat="1" ht="15.75">
      <c r="A12" s="3819" t="s">
        <v>1525</v>
      </c>
      <c r="B12" s="3820"/>
      <c r="C12" s="3824">
        <v>31215600.420000002</v>
      </c>
      <c r="D12" s="3824">
        <v>152891098</v>
      </c>
      <c r="E12" s="3825">
        <f t="shared" si="0"/>
        <v>184106698.42000002</v>
      </c>
      <c r="F12" s="3825"/>
      <c r="G12" s="3824">
        <v>49718866.030000001</v>
      </c>
      <c r="H12" s="3824">
        <v>383020465</v>
      </c>
      <c r="I12" s="3825">
        <f t="shared" si="1"/>
        <v>432739331.02999997</v>
      </c>
    </row>
    <row r="13" spans="1:9" s="3797" customFormat="1" ht="15.75">
      <c r="A13" s="3819" t="s">
        <v>1524</v>
      </c>
      <c r="B13" s="3820"/>
      <c r="C13" s="3824">
        <v>0</v>
      </c>
      <c r="D13" s="3824">
        <v>0</v>
      </c>
      <c r="E13" s="3825">
        <f t="shared" si="0"/>
        <v>0</v>
      </c>
      <c r="F13" s="3825"/>
      <c r="G13" s="3824">
        <v>778572647.22000003</v>
      </c>
      <c r="H13" s="3824">
        <v>0</v>
      </c>
      <c r="I13" s="3825">
        <f t="shared" si="1"/>
        <v>778572647.22000003</v>
      </c>
    </row>
    <row r="14" spans="1:9" s="3797" customFormat="1" ht="15.75">
      <c r="A14" s="3819" t="s">
        <v>1526</v>
      </c>
      <c r="B14" s="3820"/>
      <c r="C14" s="3824">
        <v>490231582.79000002</v>
      </c>
      <c r="D14" s="3824">
        <v>0</v>
      </c>
      <c r="E14" s="3825">
        <f t="shared" si="0"/>
        <v>490231582.79000002</v>
      </c>
      <c r="F14" s="3825"/>
      <c r="G14" s="3824">
        <v>4465512282.1000004</v>
      </c>
      <c r="H14" s="3824">
        <v>0</v>
      </c>
      <c r="I14" s="3825">
        <f t="shared" si="1"/>
        <v>4465512282.1000004</v>
      </c>
    </row>
    <row r="15" spans="1:9" s="3797" customFormat="1" ht="15.75">
      <c r="A15" s="3819" t="s">
        <v>1527</v>
      </c>
      <c r="B15" s="3820"/>
      <c r="C15" s="3824">
        <v>76115941.189999998</v>
      </c>
      <c r="D15" s="3824">
        <v>0</v>
      </c>
      <c r="E15" s="3825">
        <f t="shared" si="0"/>
        <v>76115941.189999998</v>
      </c>
      <c r="F15" s="3825"/>
      <c r="G15" s="3824">
        <v>1120358843.3599999</v>
      </c>
      <c r="H15" s="3824">
        <v>0</v>
      </c>
      <c r="I15" s="3825">
        <f t="shared" si="1"/>
        <v>1120358843.3599999</v>
      </c>
    </row>
    <row r="16" spans="1:9" s="3797" customFormat="1" ht="15.75">
      <c r="A16" s="3819" t="s">
        <v>1528</v>
      </c>
      <c r="B16" s="3820"/>
      <c r="C16" s="3824">
        <v>30539059.280000001</v>
      </c>
      <c r="D16" s="3824">
        <v>0</v>
      </c>
      <c r="E16" s="3825">
        <f t="shared" si="0"/>
        <v>30539059.280000001</v>
      </c>
      <c r="F16" s="3825"/>
      <c r="G16" s="3824">
        <v>656833850.10000002</v>
      </c>
      <c r="H16" s="3824">
        <v>0</v>
      </c>
      <c r="I16" s="3825">
        <f t="shared" si="1"/>
        <v>656833850.10000002</v>
      </c>
    </row>
    <row r="17" spans="1:11" s="3797" customFormat="1" ht="15.75">
      <c r="A17" s="3819" t="s">
        <v>1520</v>
      </c>
      <c r="B17" s="3820"/>
      <c r="C17" s="3824">
        <v>95514975.120000005</v>
      </c>
      <c r="D17" s="3824">
        <v>0</v>
      </c>
      <c r="E17" s="3825">
        <f t="shared" si="0"/>
        <v>95514975.120000005</v>
      </c>
      <c r="F17" s="3825"/>
      <c r="G17" s="3824">
        <v>2496840134.1300001</v>
      </c>
      <c r="H17" s="3824">
        <v>0</v>
      </c>
      <c r="I17" s="3825">
        <f t="shared" si="1"/>
        <v>2496840134.1300001</v>
      </c>
    </row>
    <row r="18" spans="1:11" s="3797" customFormat="1" ht="15.75">
      <c r="A18" s="3819" t="s">
        <v>1529</v>
      </c>
      <c r="B18" s="3820"/>
      <c r="C18" s="3824">
        <v>1515781562.4000001</v>
      </c>
      <c r="D18" s="3824">
        <v>0</v>
      </c>
      <c r="E18" s="3825">
        <f t="shared" si="0"/>
        <v>1515781562.4000001</v>
      </c>
      <c r="F18" s="3825"/>
      <c r="G18" s="3824">
        <v>7941509189.6999998</v>
      </c>
      <c r="H18" s="3824">
        <v>0</v>
      </c>
      <c r="I18" s="3825">
        <f t="shared" si="1"/>
        <v>7941509189.6999998</v>
      </c>
    </row>
    <row r="19" spans="1:11" s="3797" customFormat="1" ht="15.75">
      <c r="A19" s="3819" t="s">
        <v>1530</v>
      </c>
      <c r="B19" s="3820"/>
      <c r="C19" s="3824">
        <v>1294020166.6500001</v>
      </c>
      <c r="D19" s="3824">
        <v>0</v>
      </c>
      <c r="E19" s="3825">
        <f t="shared" si="0"/>
        <v>1294020166.6500001</v>
      </c>
      <c r="F19" s="3825"/>
      <c r="G19" s="3824">
        <v>11964016151.01</v>
      </c>
      <c r="H19" s="3824">
        <v>0</v>
      </c>
      <c r="I19" s="3825">
        <f t="shared" si="1"/>
        <v>11964016151.01</v>
      </c>
    </row>
    <row r="20" spans="1:11" s="3797" customFormat="1" ht="15.75">
      <c r="A20" s="3819" t="s">
        <v>1521</v>
      </c>
      <c r="B20" s="3820"/>
      <c r="C20" s="3824">
        <v>28718948.93</v>
      </c>
      <c r="D20" s="3824">
        <v>0</v>
      </c>
      <c r="E20" s="3825">
        <f t="shared" si="0"/>
        <v>28718948.93</v>
      </c>
      <c r="F20" s="3825"/>
      <c r="G20" s="3824">
        <v>1258407150.48</v>
      </c>
      <c r="H20" s="3824">
        <v>0</v>
      </c>
      <c r="I20" s="3825">
        <f t="shared" si="1"/>
        <v>1258407150.48</v>
      </c>
    </row>
    <row r="21" spans="1:11" s="3797" customFormat="1" ht="15.75">
      <c r="A21" s="3819" t="s">
        <v>1531</v>
      </c>
      <c r="B21" s="3820"/>
      <c r="C21" s="3824">
        <v>46605225.170000002</v>
      </c>
      <c r="D21" s="3824">
        <v>0</v>
      </c>
      <c r="E21" s="3825">
        <f t="shared" si="0"/>
        <v>46605225.170000002</v>
      </c>
      <c r="F21" s="3825"/>
      <c r="G21" s="3824">
        <v>319088170.20999998</v>
      </c>
      <c r="H21" s="3824">
        <v>0</v>
      </c>
      <c r="I21" s="3825">
        <f t="shared" si="1"/>
        <v>319088170.20999998</v>
      </c>
    </row>
    <row r="22" spans="1:11" s="3797" customFormat="1" ht="15.75">
      <c r="A22" s="3819" t="s">
        <v>1532</v>
      </c>
      <c r="B22" s="3820"/>
      <c r="C22" s="3824">
        <v>1205440.53</v>
      </c>
      <c r="D22" s="3824">
        <v>0</v>
      </c>
      <c r="E22" s="3825">
        <f t="shared" si="0"/>
        <v>1205440.53</v>
      </c>
      <c r="F22" s="3825"/>
      <c r="G22" s="3824">
        <v>78517697.109999999</v>
      </c>
      <c r="H22" s="3824">
        <v>0</v>
      </c>
      <c r="I22" s="3825">
        <f t="shared" si="1"/>
        <v>78517697.109999999</v>
      </c>
    </row>
    <row r="23" spans="1:11" s="3797" customFormat="1" ht="15.75">
      <c r="A23" s="3819" t="s">
        <v>1576</v>
      </c>
      <c r="B23" s="3820"/>
      <c r="C23" s="3824">
        <v>-42583607.829999998</v>
      </c>
      <c r="D23" s="3824">
        <v>23298618</v>
      </c>
      <c r="E23" s="3825">
        <f t="shared" si="0"/>
        <v>-19284989.829999998</v>
      </c>
      <c r="F23" s="3825"/>
      <c r="G23" s="3824">
        <v>3543383680.8099999</v>
      </c>
      <c r="H23" s="3824">
        <v>30403641</v>
      </c>
      <c r="I23" s="3825">
        <f t="shared" si="1"/>
        <v>3573787321.8099999</v>
      </c>
    </row>
    <row r="24" spans="1:11" s="3797" customFormat="1" ht="15.75">
      <c r="A24" s="3819" t="s">
        <v>1533</v>
      </c>
      <c r="B24" s="3820"/>
      <c r="C24" s="3824">
        <v>81250000.010000005</v>
      </c>
      <c r="D24" s="3824">
        <v>0</v>
      </c>
      <c r="E24" s="3825">
        <f t="shared" si="0"/>
        <v>81250000.010000005</v>
      </c>
      <c r="F24" s="3825"/>
      <c r="G24" s="3824">
        <v>559180905.78999996</v>
      </c>
      <c r="H24" s="3824">
        <v>0</v>
      </c>
      <c r="I24" s="3825">
        <f t="shared" si="1"/>
        <v>559180905.78999996</v>
      </c>
    </row>
    <row r="25" spans="1:11" s="3797" customFormat="1" ht="4.9000000000000004" customHeight="1">
      <c r="A25" s="3819"/>
      <c r="B25" s="3820"/>
      <c r="C25" s="3824"/>
      <c r="D25" s="3824"/>
      <c r="E25" s="3825"/>
      <c r="F25" s="3825"/>
      <c r="G25" s="3824"/>
      <c r="H25" s="3824"/>
      <c r="I25" s="3825"/>
    </row>
    <row r="26" spans="1:11" s="3795" customFormat="1" ht="18.75">
      <c r="A26" s="3829" t="s">
        <v>1553</v>
      </c>
      <c r="B26" s="3816"/>
      <c r="C26" s="3848">
        <f>SUM(C11:C25)</f>
        <v>3659341164.9100008</v>
      </c>
      <c r="D26" s="3848">
        <f>SUM(D11:D25)</f>
        <v>176189716</v>
      </c>
      <c r="E26" s="3848">
        <f>SUM(E11:E25)</f>
        <v>3835530880.9100008</v>
      </c>
      <c r="F26" s="3849"/>
      <c r="G26" s="3848">
        <f>SUM(G11:G25)</f>
        <v>35352676486.139999</v>
      </c>
      <c r="H26" s="3848">
        <f>SUM(H11:H25)</f>
        <v>413424106</v>
      </c>
      <c r="I26" s="3848">
        <f>SUM(I11:I25)</f>
        <v>35766100592.139999</v>
      </c>
      <c r="J26" s="3880"/>
    </row>
    <row r="27" spans="1:11" ht="6" customHeight="1">
      <c r="A27" s="3850"/>
      <c r="B27" s="3810"/>
      <c r="C27" s="3851"/>
      <c r="D27" s="3851"/>
      <c r="E27" s="3851"/>
      <c r="F27" s="3851"/>
      <c r="G27" s="3852"/>
      <c r="H27" s="3852"/>
      <c r="I27" s="3852"/>
    </row>
    <row r="28" spans="1:11" ht="42" customHeight="1">
      <c r="A28" s="3872" t="s">
        <v>1605</v>
      </c>
      <c r="B28" s="3810"/>
      <c r="C28" s="3853">
        <v>72136853.290000007</v>
      </c>
      <c r="D28" s="3853"/>
      <c r="E28" s="3869">
        <v>72136853.290000007</v>
      </c>
      <c r="F28" s="3854"/>
      <c r="G28" s="3855">
        <v>-1640526556.51</v>
      </c>
      <c r="H28" s="3855"/>
      <c r="I28" s="3870">
        <v>-1640526556.51</v>
      </c>
    </row>
    <row r="29" spans="1:11" ht="15.6" customHeight="1">
      <c r="A29" s="3803"/>
      <c r="B29" s="3810"/>
      <c r="C29" s="3856"/>
      <c r="D29" s="3856"/>
      <c r="E29" s="3856"/>
      <c r="F29" s="3856"/>
      <c r="G29" s="3857"/>
      <c r="H29" s="3857"/>
      <c r="I29" s="3857"/>
      <c r="K29" s="3866"/>
    </row>
    <row r="30" spans="1:11" ht="19.5" thickBot="1">
      <c r="A30" s="3803" t="s">
        <v>1554</v>
      </c>
      <c r="B30" s="3810"/>
      <c r="C30" s="3838">
        <f>+C26+C28</f>
        <v>3731478018.2000008</v>
      </c>
      <c r="D30" s="3838">
        <f>D26</f>
        <v>176189716</v>
      </c>
      <c r="E30" s="3838">
        <f>E26+E28</f>
        <v>3907667734.2000008</v>
      </c>
      <c r="F30" s="3839"/>
      <c r="G30" s="3838">
        <f>+G26+G28</f>
        <v>33712149929.630001</v>
      </c>
      <c r="H30" s="3838">
        <f>H26</f>
        <v>413424106</v>
      </c>
      <c r="I30" s="3838">
        <f>I26+I28</f>
        <v>34125574035.630001</v>
      </c>
      <c r="J30" s="3878"/>
      <c r="K30" s="3866"/>
    </row>
    <row r="31" spans="1:11" ht="15.75" thickTop="1"/>
    <row r="32" spans="1:11" ht="16.149999999999999" customHeight="1">
      <c r="A32" s="3874" t="s">
        <v>1610</v>
      </c>
      <c r="D32" s="3879"/>
    </row>
    <row r="33" spans="1:9" ht="16.149999999999999" customHeight="1">
      <c r="A33" s="3875" t="s">
        <v>1612</v>
      </c>
      <c r="I33" s="3878"/>
    </row>
    <row r="34" spans="1:9" ht="14.45" customHeight="1">
      <c r="A34" s="3871" t="s">
        <v>1611</v>
      </c>
      <c r="I34" s="3878"/>
    </row>
    <row r="35" spans="1:9" ht="16.149999999999999" customHeight="1">
      <c r="A35" s="3871" t="s">
        <v>1588</v>
      </c>
    </row>
    <row r="36" spans="1:9" ht="16.149999999999999" customHeight="1">
      <c r="A36" s="3871" t="s">
        <v>1589</v>
      </c>
    </row>
    <row r="39" spans="1:9">
      <c r="A39" s="3808" t="s">
        <v>15</v>
      </c>
    </row>
    <row r="40" spans="1:9">
      <c r="A40" s="3945"/>
      <c r="B40" s="3945"/>
    </row>
  </sheetData>
  <mergeCells count="3">
    <mergeCell ref="C7:E7"/>
    <mergeCell ref="G7:I7"/>
    <mergeCell ref="A40:B40"/>
  </mergeCells>
  <pageMargins left="0.17" right="0.18" top="0.5" bottom="0.27" header="0.23" footer="0.18"/>
  <pageSetup scale="55"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2020-02-14T18:56:57Z</dcterms:created>
  <dcterms:modified xsi:type="dcterms:W3CDTF">2020-02-14T18:57:02Z</dcterms:modified>
</cp:coreProperties>
</file>