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defaultThemeVersion="124226"/>
  <xr:revisionPtr revIDLastSave="0" documentId="8_{CD1D283A-B82D-44F8-ACC9-0ED07248D428}" xr6:coauthVersionLast="47" xr6:coauthVersionMax="47" xr10:uidLastSave="{00000000-0000-0000-0000-000000000000}"/>
  <bookViews>
    <workbookView xWindow="-110" yWindow="-110" windowWidth="19420" windowHeight="10420" xr2:uid="{C0F6E8F3-9F27-4CFB-96E6-190C7DFE8D53}"/>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G'!$A$2:$AL$124</definedName>
    <definedName name="Exh_G_var" localSheetId="20">'Exhibit G Federal'!$A$2:$AL$93</definedName>
    <definedName name="Exh_G_var" localSheetId="19">'Exhibit G State'!$A$2:$AL$121</definedName>
    <definedName name="EXHIBIT_E" localSheetId="14">'EXHIBIT E '!$A$3:$AK$67</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Share'!$B$4:$Q$49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Footnotes!$A$3:$S$70</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F'!$A$2:$P$292</definedName>
    <definedName name="_xlnm.Print_Area" localSheetId="42">'Appendix G'!$A$3:$Z$61</definedName>
    <definedName name="_xlnm.Print_Area" localSheetId="43">'Appendix H'!$A$3:$I$59</definedName>
    <definedName name="_xlnm.Print_Area" localSheetId="44">'Appendix I'!$A$3:$I$36</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Fund'!$A$3:$K$57</definedName>
    <definedName name="_xlnm.Print_Area" localSheetId="9">'Exh D Special Revenue'!$A$3:$O$46</definedName>
    <definedName name="_xlnm.Print_Area" localSheetId="10">'Exh D Special Revenue State Fed'!$A$3:$W$45</definedName>
    <definedName name="_xlnm.Print_Area" localSheetId="7">'Exh D State Operating'!$A$3:$K$57</definedName>
    <definedName name="_xlnm.Print_Area" localSheetId="6">'Exh D-Governmental  '!$A$3:$K$54</definedName>
    <definedName name="_xlnm.Print_Area" localSheetId="1">'Exhibit A'!$A$3:$AI$60</definedName>
    <definedName name="_xlnm.Print_Area" localSheetId="14">'EXHIBIT E '!$A$3:$AK$67</definedName>
    <definedName name="_xlnm.Print_Area" localSheetId="17">'Exhibit F'!$B$3:$AK$145</definedName>
    <definedName name="_xlnm.Print_Area" localSheetId="18">'Exhibit G'!$B$3:$AL$128</definedName>
    <definedName name="_xlnm.Print_Area" localSheetId="20">'Exhibit G Federal'!$B$2:$AL$96</definedName>
    <definedName name="_xlnm.Print_Area" localSheetId="19">'Exhibit G State'!$B$3:$AL$124</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Footnotes!$A$2:$O$87</definedName>
    <definedName name="_xlnm.Print_Area" localSheetId="36">'HCRA '!$A$3:$Z$62</definedName>
    <definedName name="_xlnm.Print_Area" localSheetId="37">'HCRA PROG DISB'!$A$3:$D$70</definedName>
    <definedName name="_xlnm.Print_Area" localSheetId="39">'Medicaid Disp Share'!$B$2:$Q$52</definedName>
    <definedName name="_xlnm.Print_Area" localSheetId="38">'Public Goods '!$A$3:$Q$54</definedName>
    <definedName name="_xlnm.Print_Area" localSheetId="29">'Sch 1 '!$A$3:$L$159</definedName>
    <definedName name="_xlnm.Print_Area" localSheetId="30">'Sch 2 '!$A$3:$K$47</definedName>
    <definedName name="_xlnm.Print_Area" localSheetId="31">'Sch 3 '!$A$2:$M$51</definedName>
    <definedName name="_xlnm.Print_Area" localSheetId="32">'Sch 4'!$A$3:$J$37</definedName>
    <definedName name="_xlnm.Print_Area" localSheetId="33">'Sch 5 '!$A$3:$S$67</definedName>
    <definedName name="_xlnm.Print_Area" localSheetId="34">'Sch 5a'!$B$3:$V$43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'!$A$3:$M$51</definedName>
    <definedName name="STATE_OF_NEW_YORK" localSheetId="14">'EXHIBIT E '!$A$3:$AK$67</definedName>
    <definedName name="variance" localSheetId="42">'Appendix G'!$A$3:$X$46</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5a'!$B$3:$W$41</definedName>
    <definedName name="Z_0F53A47B_061C_44B9_B148_CC55070FAB6E_.wvu.PrintTitles" localSheetId="29" hidden="1">'Sch 1 '!$3:$11</definedName>
    <definedName name="Z_0F53A47B_061C_44B9_B148_CC55070FAB6E_.wvu.Rows" localSheetId="29" hidden="1">'Sch 1 '!#REF!</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5a'!$B$3:$W$41</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2" i="44" l="1"/>
  <c r="I42" i="44"/>
  <c r="M195" i="42"/>
  <c r="AL68" i="21" l="1"/>
  <c r="AL98" i="20"/>
  <c r="AJ72" i="19"/>
  <c r="AH83" i="17"/>
  <c r="G42" i="9"/>
  <c r="T9" i="37" l="1"/>
  <c r="N43" i="40"/>
  <c r="N35" i="40"/>
  <c r="N22" i="40"/>
  <c r="N16" i="40"/>
  <c r="N47" i="39"/>
  <c r="N38" i="39"/>
  <c r="N28" i="39"/>
  <c r="N22" i="39"/>
  <c r="X16" i="37" l="1"/>
  <c r="N24" i="40"/>
  <c r="N46" i="40" s="1"/>
  <c r="N30" i="39"/>
  <c r="N50" i="39" s="1"/>
  <c r="C19" i="45" l="1"/>
  <c r="AE81" i="17" l="1"/>
  <c r="X15" i="37"/>
  <c r="Z17" i="20"/>
  <c r="AD50" i="18" l="1"/>
  <c r="L43" i="40" l="1"/>
  <c r="L35" i="40"/>
  <c r="L22" i="40"/>
  <c r="L16" i="40"/>
  <c r="L47" i="39"/>
  <c r="L38" i="39"/>
  <c r="L28" i="39"/>
  <c r="L22" i="39"/>
  <c r="L24" i="40" l="1"/>
  <c r="L46" i="40" s="1"/>
  <c r="L30" i="39"/>
  <c r="L50" i="39" s="1"/>
  <c r="B15" i="6" l="1"/>
  <c r="Z17" i="19" l="1"/>
  <c r="H15" i="3"/>
  <c r="G41" i="44"/>
  <c r="I44" i="44"/>
  <c r="E44" i="44"/>
  <c r="H22" i="15" l="1"/>
  <c r="H14" i="2"/>
  <c r="H43" i="40"/>
  <c r="H35" i="40"/>
  <c r="H22" i="40"/>
  <c r="H16" i="40"/>
  <c r="H47" i="39"/>
  <c r="H38" i="39"/>
  <c r="H28" i="39"/>
  <c r="H22" i="39"/>
  <c r="H24" i="40" l="1"/>
  <c r="H46" i="40" s="1"/>
  <c r="H30" i="39"/>
  <c r="H50" i="39" s="1"/>
  <c r="Q17" i="29" l="1"/>
  <c r="R17" i="29"/>
  <c r="R25" i="29"/>
  <c r="R25" i="28"/>
  <c r="R17" i="28"/>
  <c r="R39" i="27"/>
  <c r="R28" i="27"/>
  <c r="R19" i="27"/>
  <c r="S44" i="26"/>
  <c r="S33" i="26"/>
  <c r="S23" i="26"/>
  <c r="U42" i="25"/>
  <c r="U46" i="25" s="1"/>
  <c r="U60" i="25"/>
  <c r="U67" i="25" s="1"/>
  <c r="U22" i="24"/>
  <c r="U27" i="24"/>
  <c r="U30" i="24"/>
  <c r="U60" i="24"/>
  <c r="U78" i="24"/>
  <c r="U85" i="24" s="1"/>
  <c r="R71" i="22"/>
  <c r="R62" i="22"/>
  <c r="R50" i="22"/>
  <c r="R27" i="22"/>
  <c r="R23" i="22"/>
  <c r="R20" i="22"/>
  <c r="T52" i="21"/>
  <c r="T56" i="21" s="1"/>
  <c r="T70" i="21"/>
  <c r="T79" i="21" s="1"/>
  <c r="T88" i="21"/>
  <c r="T29" i="20"/>
  <c r="R29" i="20"/>
  <c r="T36" i="20"/>
  <c r="T82" i="20"/>
  <c r="T100" i="20"/>
  <c r="T107" i="20" s="1"/>
  <c r="T22" i="18"/>
  <c r="T26" i="18" s="1"/>
  <c r="T37" i="18"/>
  <c r="T45" i="18"/>
  <c r="T53" i="18"/>
  <c r="T96" i="18"/>
  <c r="T114" i="18"/>
  <c r="T120" i="18" s="1"/>
  <c r="R28" i="28" l="1"/>
  <c r="R32" i="27"/>
  <c r="S37" i="26"/>
  <c r="R29" i="22"/>
  <c r="R54" i="22" s="1"/>
  <c r="R65" i="22" s="1"/>
  <c r="R28" i="29"/>
  <c r="U70" i="25"/>
  <c r="U32" i="24"/>
  <c r="U64" i="24" s="1"/>
  <c r="U88" i="24" s="1"/>
  <c r="T82" i="21"/>
  <c r="T38" i="20"/>
  <c r="T86" i="20" s="1"/>
  <c r="T110" i="20" s="1"/>
  <c r="T55" i="18"/>
  <c r="T100" i="18" s="1"/>
  <c r="T123" i="18" s="1"/>
  <c r="Q96" i="17" l="1"/>
  <c r="O96" i="17"/>
  <c r="M96" i="17"/>
  <c r="K96" i="17"/>
  <c r="I96" i="17"/>
  <c r="G96" i="17"/>
  <c r="E96" i="17"/>
  <c r="C96" i="17"/>
  <c r="W21" i="23" l="1"/>
  <c r="U130" i="17" l="1"/>
  <c r="U82" i="17"/>
  <c r="K137" i="30"/>
  <c r="V58" i="19" l="1"/>
  <c r="U82" i="16" s="1"/>
  <c r="U130" i="16"/>
  <c r="O140" i="17"/>
  <c r="O139" i="17"/>
  <c r="O131" i="17"/>
  <c r="O130" i="17"/>
  <c r="O128" i="17"/>
  <c r="O127" i="17"/>
  <c r="O126" i="17"/>
  <c r="O123" i="17"/>
  <c r="O122" i="17"/>
  <c r="O121" i="17"/>
  <c r="O120" i="17"/>
  <c r="O119" i="17"/>
  <c r="O118" i="17"/>
  <c r="O116" i="17"/>
  <c r="O115" i="17"/>
  <c r="O114" i="17"/>
  <c r="O108" i="17"/>
  <c r="O105" i="17"/>
  <c r="O104" i="17"/>
  <c r="O103" i="17"/>
  <c r="O102" i="17"/>
  <c r="O101" i="17"/>
  <c r="O100" i="17"/>
  <c r="O99" i="17"/>
  <c r="O98" i="17"/>
  <c r="O97" i="17"/>
  <c r="O95" i="17"/>
  <c r="O94" i="17"/>
  <c r="O92" i="17"/>
  <c r="O91" i="17"/>
  <c r="O90" i="17"/>
  <c r="O89" i="17"/>
  <c r="O88" i="17"/>
  <c r="O86" i="17"/>
  <c r="O85" i="17"/>
  <c r="O84" i="17"/>
  <c r="O83" i="17"/>
  <c r="O82" i="17"/>
  <c r="O81" i="17"/>
  <c r="O79" i="17"/>
  <c r="O78" i="17"/>
  <c r="O77" i="17"/>
  <c r="O76" i="17"/>
  <c r="O75" i="17"/>
  <c r="O74" i="17"/>
  <c r="O73" i="17"/>
  <c r="O72" i="17"/>
  <c r="O70" i="17"/>
  <c r="O69" i="17"/>
  <c r="O68" i="17"/>
  <c r="O67" i="17"/>
  <c r="O65" i="17"/>
  <c r="O64" i="17"/>
  <c r="O57" i="17"/>
  <c r="O56" i="17"/>
  <c r="O55" i="17"/>
  <c r="O54" i="17"/>
  <c r="O53" i="17"/>
  <c r="O52" i="17"/>
  <c r="O49" i="17"/>
  <c r="O48" i="17"/>
  <c r="O47" i="17"/>
  <c r="O46" i="17"/>
  <c r="O45" i="17"/>
  <c r="O44" i="17"/>
  <c r="O41" i="17"/>
  <c r="O39" i="17"/>
  <c r="O38" i="17"/>
  <c r="O37" i="17"/>
  <c r="O36" i="17"/>
  <c r="O35" i="17"/>
  <c r="O34" i="17"/>
  <c r="O33" i="17"/>
  <c r="O32" i="17"/>
  <c r="O29" i="17"/>
  <c r="O28" i="17"/>
  <c r="O27" i="17"/>
  <c r="O25" i="17"/>
  <c r="O24" i="17"/>
  <c r="O23" i="17"/>
  <c r="O22" i="17"/>
  <c r="O21" i="17"/>
  <c r="O130" i="16"/>
  <c r="O72" i="16"/>
  <c r="O57" i="16"/>
  <c r="O56" i="16"/>
  <c r="O54" i="16"/>
  <c r="O53" i="16"/>
  <c r="O52" i="16"/>
  <c r="O48" i="16"/>
  <c r="O41" i="16"/>
  <c r="O29" i="16"/>
  <c r="O28" i="16"/>
  <c r="O25" i="16"/>
  <c r="O24" i="16"/>
  <c r="O23" i="16"/>
  <c r="O22" i="16"/>
  <c r="O21" i="16"/>
  <c r="Y20" i="23" l="1"/>
  <c r="C37" i="17"/>
  <c r="E37" i="17"/>
  <c r="G37" i="17"/>
  <c r="I37" i="17"/>
  <c r="K37" i="17"/>
  <c r="M37" i="17"/>
  <c r="D25" i="19"/>
  <c r="C37" i="16" s="1"/>
  <c r="F25" i="19"/>
  <c r="E37" i="16" s="1"/>
  <c r="H25" i="19"/>
  <c r="G37" i="16" s="1"/>
  <c r="J25" i="19"/>
  <c r="I37" i="16" s="1"/>
  <c r="L25" i="19"/>
  <c r="K37" i="16" s="1"/>
  <c r="N25" i="19"/>
  <c r="M37" i="16" s="1"/>
  <c r="P25" i="19"/>
  <c r="O37" i="16" s="1"/>
  <c r="U53" i="16" l="1"/>
  <c r="W20" i="23"/>
  <c r="V22" i="19"/>
  <c r="U53" i="17" l="1"/>
  <c r="U34" i="17"/>
  <c r="U34" i="16"/>
  <c r="T22" i="19"/>
  <c r="S34" i="16" s="1"/>
  <c r="T31" i="19"/>
  <c r="S53" i="17"/>
  <c r="S53" i="16"/>
  <c r="S34" i="17"/>
  <c r="T57" i="19"/>
  <c r="S81" i="16" s="1"/>
  <c r="W130" i="17" l="1"/>
  <c r="V27" i="19"/>
  <c r="U105" i="17"/>
  <c r="V31" i="19"/>
  <c r="U29" i="16"/>
  <c r="V57" i="19"/>
  <c r="U81" i="16" s="1"/>
  <c r="V23" i="19"/>
  <c r="W76" i="23"/>
  <c r="V25" i="19"/>
  <c r="U37" i="16" s="1"/>
  <c r="V20" i="19"/>
  <c r="U69" i="17"/>
  <c r="V32" i="19"/>
  <c r="W27" i="23"/>
  <c r="V76" i="19"/>
  <c r="V28" i="19"/>
  <c r="U40" i="17" s="1"/>
  <c r="U52" i="16"/>
  <c r="V21" i="19"/>
  <c r="U33" i="16" s="1"/>
  <c r="U41" i="16"/>
  <c r="W92" i="23"/>
  <c r="W30" i="23"/>
  <c r="U55" i="16" s="1"/>
  <c r="W70" i="23"/>
  <c r="V34" i="19"/>
  <c r="U85" i="17"/>
  <c r="V52" i="19"/>
  <c r="W46" i="23"/>
  <c r="U24" i="17"/>
  <c r="W55" i="23"/>
  <c r="U88" i="17"/>
  <c r="U102" i="17"/>
  <c r="W26" i="23"/>
  <c r="V33" i="19"/>
  <c r="V47" i="19"/>
  <c r="U65" i="17"/>
  <c r="V72" i="19"/>
  <c r="U96" i="16" s="1"/>
  <c r="V59" i="19"/>
  <c r="U76" i="17"/>
  <c r="W84" i="23"/>
  <c r="W77" i="23"/>
  <c r="W69" i="23"/>
  <c r="V77" i="19"/>
  <c r="W47" i="23"/>
  <c r="W25" i="23"/>
  <c r="W37" i="23"/>
  <c r="U65" i="16" s="1"/>
  <c r="U123" i="17"/>
  <c r="V67" i="19"/>
  <c r="V66" i="19"/>
  <c r="V53" i="19"/>
  <c r="W93" i="23"/>
  <c r="W22" i="23"/>
  <c r="U97" i="17"/>
  <c r="W57" i="23"/>
  <c r="V96" i="19"/>
  <c r="V116" i="19"/>
  <c r="V64" i="19"/>
  <c r="V74" i="19"/>
  <c r="U94" i="17"/>
  <c r="W74" i="23"/>
  <c r="V80" i="19"/>
  <c r="V35" i="19"/>
  <c r="U64" i="17"/>
  <c r="V106" i="19"/>
  <c r="U79" i="17"/>
  <c r="W82" i="23"/>
  <c r="V51" i="19"/>
  <c r="V49" i="19"/>
  <c r="U73" i="16" s="1"/>
  <c r="U99" i="17"/>
  <c r="W71" i="23"/>
  <c r="V50" i="19"/>
  <c r="U116" i="17"/>
  <c r="U127" i="17"/>
  <c r="U23" i="17"/>
  <c r="U41" i="17"/>
  <c r="U29" i="17"/>
  <c r="U56" i="17"/>
  <c r="W43" i="23"/>
  <c r="U131" i="17"/>
  <c r="U104" i="17"/>
  <c r="U44" i="17"/>
  <c r="W41" i="23"/>
  <c r="V70" i="19"/>
  <c r="W58" i="23"/>
  <c r="W75" i="23"/>
  <c r="V92" i="19"/>
  <c r="V65" i="19"/>
  <c r="U89" i="16" s="1"/>
  <c r="V75" i="19"/>
  <c r="U56" i="16"/>
  <c r="U24" i="16"/>
  <c r="U100" i="17"/>
  <c r="U108" i="17"/>
  <c r="U73" i="17"/>
  <c r="V103" i="19"/>
  <c r="W42" i="23"/>
  <c r="V97" i="19"/>
  <c r="V107" i="19"/>
  <c r="U91" i="17"/>
  <c r="W59" i="23"/>
  <c r="W49" i="23"/>
  <c r="W94" i="23"/>
  <c r="U28" i="16"/>
  <c r="U28" i="17"/>
  <c r="U48" i="17"/>
  <c r="U48" i="16"/>
  <c r="U119" i="17"/>
  <c r="U122" i="17"/>
  <c r="W56" i="23"/>
  <c r="U114" i="17"/>
  <c r="U21" i="16"/>
  <c r="V90" i="19"/>
  <c r="U35" i="17"/>
  <c r="U33" i="17"/>
  <c r="U25" i="16"/>
  <c r="U25" i="17"/>
  <c r="U54" i="16"/>
  <c r="U54" i="17"/>
  <c r="U52" i="17"/>
  <c r="U81" i="17"/>
  <c r="U126" i="17"/>
  <c r="W44" i="23"/>
  <c r="V45" i="19"/>
  <c r="U68" i="16" s="1"/>
  <c r="T98" i="19"/>
  <c r="T103" i="19"/>
  <c r="S28" i="17"/>
  <c r="R33" i="29"/>
  <c r="T94" i="19"/>
  <c r="S122" i="17"/>
  <c r="S28" i="16"/>
  <c r="T60" i="19"/>
  <c r="S84" i="16" s="1"/>
  <c r="S84" i="17"/>
  <c r="S119" i="17"/>
  <c r="S23" i="16"/>
  <c r="S23" i="17"/>
  <c r="E9" i="45"/>
  <c r="AA83" i="24" l="1"/>
  <c r="AA59" i="25"/>
  <c r="AA92" i="24"/>
  <c r="AA29" i="24"/>
  <c r="AA30" i="23" s="1"/>
  <c r="P53" i="15" s="1"/>
  <c r="Y21" i="23"/>
  <c r="X59" i="19"/>
  <c r="Y26" i="23"/>
  <c r="X21" i="19"/>
  <c r="Y92" i="23"/>
  <c r="W105" i="17"/>
  <c r="X34" i="19"/>
  <c r="X33" i="19"/>
  <c r="X35" i="19"/>
  <c r="Y94" i="23"/>
  <c r="Y22" i="23"/>
  <c r="W65" i="17"/>
  <c r="X57" i="19"/>
  <c r="W81" i="16" s="1"/>
  <c r="Y25" i="23"/>
  <c r="X72" i="19"/>
  <c r="W96" i="16" s="1"/>
  <c r="X26" i="19"/>
  <c r="X25" i="19"/>
  <c r="Y63" i="23"/>
  <c r="X31" i="19"/>
  <c r="X27" i="19"/>
  <c r="U17" i="20"/>
  <c r="W73" i="17"/>
  <c r="X106" i="19"/>
  <c r="X32" i="19"/>
  <c r="W88" i="17"/>
  <c r="Y30" i="23"/>
  <c r="Y57" i="23"/>
  <c r="X28" i="19"/>
  <c r="Y93" i="23"/>
  <c r="Y27" i="23"/>
  <c r="X20" i="19"/>
  <c r="X58" i="19"/>
  <c r="W82" i="16" s="1"/>
  <c r="W84" i="17"/>
  <c r="AI21" i="23"/>
  <c r="W35" i="17"/>
  <c r="X22" i="19"/>
  <c r="W130" i="16"/>
  <c r="V95" i="19"/>
  <c r="U119" i="16" s="1"/>
  <c r="U98" i="17"/>
  <c r="V62" i="19"/>
  <c r="U86" i="16" s="1"/>
  <c r="U72" i="16"/>
  <c r="U46" i="16"/>
  <c r="U45" i="16"/>
  <c r="U86" i="17"/>
  <c r="U74" i="16"/>
  <c r="V84" i="19"/>
  <c r="U21" i="17"/>
  <c r="W52" i="23"/>
  <c r="U99" i="16"/>
  <c r="V46" i="19"/>
  <c r="U69" i="16" s="1"/>
  <c r="V81" i="19"/>
  <c r="U105" i="16" s="1"/>
  <c r="U72" i="17"/>
  <c r="U98" i="16"/>
  <c r="V79" i="19"/>
  <c r="U103" i="16" s="1"/>
  <c r="U70" i="16"/>
  <c r="U76" i="16"/>
  <c r="U100" i="16"/>
  <c r="U128" i="17"/>
  <c r="U55" i="17"/>
  <c r="V98" i="19"/>
  <c r="U122" i="16" s="1"/>
  <c r="U49" i="16"/>
  <c r="U32" i="17"/>
  <c r="U23" i="16"/>
  <c r="U77" i="17"/>
  <c r="V55" i="19"/>
  <c r="U96" i="17"/>
  <c r="U46" i="17"/>
  <c r="W51" i="23"/>
  <c r="U91" i="16" s="1"/>
  <c r="U92" i="17"/>
  <c r="W39" i="23"/>
  <c r="W81" i="23"/>
  <c r="W45" i="23"/>
  <c r="U32" i="16"/>
  <c r="U83" i="17"/>
  <c r="U78" i="17"/>
  <c r="U75" i="16"/>
  <c r="U83" i="16"/>
  <c r="U75" i="17"/>
  <c r="U44" i="16"/>
  <c r="U88" i="16"/>
  <c r="U77" i="16"/>
  <c r="U45" i="17"/>
  <c r="U27" i="16"/>
  <c r="U39" i="16"/>
  <c r="U90" i="17"/>
  <c r="V73" i="19"/>
  <c r="U97" i="16" s="1"/>
  <c r="U27" i="17"/>
  <c r="U74" i="17"/>
  <c r="V17" i="19"/>
  <c r="V99" i="19"/>
  <c r="W50" i="23"/>
  <c r="U90" i="16"/>
  <c r="U103" i="17"/>
  <c r="V91" i="19"/>
  <c r="U68" i="17"/>
  <c r="U118" i="17"/>
  <c r="V94" i="19"/>
  <c r="U89" i="17"/>
  <c r="V78" i="19"/>
  <c r="U102" i="16" s="1"/>
  <c r="U57" i="17"/>
  <c r="U57" i="16"/>
  <c r="V26" i="19"/>
  <c r="U38" i="17"/>
  <c r="W54" i="23"/>
  <c r="U94" i="16" s="1"/>
  <c r="U39" i="17"/>
  <c r="U84" i="17"/>
  <c r="V60" i="19"/>
  <c r="U84" i="16" s="1"/>
  <c r="W60" i="23"/>
  <c r="U104" i="16" s="1"/>
  <c r="W83" i="23"/>
  <c r="U47" i="16"/>
  <c r="U47" i="17"/>
  <c r="V104" i="19"/>
  <c r="U70" i="17"/>
  <c r="V42" i="19"/>
  <c r="U64" i="16" s="1"/>
  <c r="V54" i="19"/>
  <c r="U78" i="16" s="1"/>
  <c r="U22" i="16"/>
  <c r="U22" i="17"/>
  <c r="U37" i="17"/>
  <c r="W73" i="23"/>
  <c r="V68" i="19"/>
  <c r="V24" i="19"/>
  <c r="U36" i="17"/>
  <c r="U115" i="17"/>
  <c r="U121" i="17"/>
  <c r="W63" i="23"/>
  <c r="V61" i="19"/>
  <c r="U85" i="16" s="1"/>
  <c r="U101" i="17"/>
  <c r="U120" i="17"/>
  <c r="V102" i="19"/>
  <c r="U40" i="16"/>
  <c r="V44" i="19"/>
  <c r="W78" i="23"/>
  <c r="U67" i="17"/>
  <c r="U35" i="16"/>
  <c r="U49" i="17"/>
  <c r="V115" i="19"/>
  <c r="U101" i="16"/>
  <c r="U131" i="16"/>
  <c r="U116" i="16"/>
  <c r="U120" i="16"/>
  <c r="U121" i="16"/>
  <c r="U127" i="16"/>
  <c r="U114" i="16"/>
  <c r="R37" i="29"/>
  <c r="M44" i="26"/>
  <c r="X50" i="19" l="1"/>
  <c r="W67" i="17"/>
  <c r="W131" i="17"/>
  <c r="X94" i="19"/>
  <c r="Y70" i="23"/>
  <c r="W70" i="17"/>
  <c r="Y49" i="23"/>
  <c r="X51" i="19"/>
  <c r="W75" i="16" s="1"/>
  <c r="W119" i="17"/>
  <c r="W25" i="17"/>
  <c r="Y58" i="23"/>
  <c r="X53" i="19"/>
  <c r="W97" i="17"/>
  <c r="W22" i="16"/>
  <c r="W22" i="17"/>
  <c r="W83" i="17"/>
  <c r="Y81" i="23"/>
  <c r="Y60" i="23"/>
  <c r="W25" i="16"/>
  <c r="Y83" i="23"/>
  <c r="X75" i="19"/>
  <c r="W99" i="16" s="1"/>
  <c r="X80" i="19"/>
  <c r="X44" i="19"/>
  <c r="X49" i="19"/>
  <c r="W73" i="16" s="1"/>
  <c r="X81" i="19"/>
  <c r="W105" i="16" s="1"/>
  <c r="X55" i="19"/>
  <c r="W96" i="17"/>
  <c r="W79" i="17"/>
  <c r="W101" i="17"/>
  <c r="W76" i="17"/>
  <c r="X96" i="19"/>
  <c r="W36" i="17"/>
  <c r="Y47" i="23"/>
  <c r="Y42" i="23"/>
  <c r="X66" i="19"/>
  <c r="W90" i="16" s="1"/>
  <c r="X79" i="19"/>
  <c r="X103" i="19"/>
  <c r="W77" i="17"/>
  <c r="W128" i="17"/>
  <c r="W56" i="16"/>
  <c r="W56" i="17"/>
  <c r="W49" i="17"/>
  <c r="X23" i="19"/>
  <c r="W23" i="17"/>
  <c r="X24" i="19"/>
  <c r="X92" i="19"/>
  <c r="X76" i="19"/>
  <c r="W100" i="16" s="1"/>
  <c r="W99" i="17"/>
  <c r="W48" i="17"/>
  <c r="W118" i="17"/>
  <c r="W29" i="17"/>
  <c r="X52" i="19"/>
  <c r="W76" i="16" s="1"/>
  <c r="W114" i="17"/>
  <c r="W64" i="17"/>
  <c r="Y52" i="23"/>
  <c r="W90" i="17"/>
  <c r="X99" i="19"/>
  <c r="Y55" i="23"/>
  <c r="Y41" i="23"/>
  <c r="Y75" i="23"/>
  <c r="Y69" i="23"/>
  <c r="Y74" i="23"/>
  <c r="Y45" i="23"/>
  <c r="Y44" i="23"/>
  <c r="X77" i="19"/>
  <c r="W33" i="16"/>
  <c r="W81" i="17"/>
  <c r="W69" i="17"/>
  <c r="W127" i="17"/>
  <c r="W140" i="17"/>
  <c r="X104" i="19"/>
  <c r="W55" i="17"/>
  <c r="W120" i="17"/>
  <c r="X116" i="19"/>
  <c r="W86" i="17"/>
  <c r="X64" i="19"/>
  <c r="X84" i="19"/>
  <c r="W108" i="16" s="1"/>
  <c r="X62" i="19"/>
  <c r="X61" i="19"/>
  <c r="Y71" i="23"/>
  <c r="W23" i="16"/>
  <c r="W28" i="17"/>
  <c r="W28" i="16"/>
  <c r="W83" i="16"/>
  <c r="W29" i="16"/>
  <c r="W37" i="17"/>
  <c r="W72" i="17"/>
  <c r="X95" i="19"/>
  <c r="X47" i="19"/>
  <c r="W70" i="16" s="1"/>
  <c r="W98" i="17"/>
  <c r="W52" i="17"/>
  <c r="W82" i="17"/>
  <c r="W102" i="17"/>
  <c r="W92" i="17"/>
  <c r="X91" i="19"/>
  <c r="X74" i="19"/>
  <c r="X17" i="19"/>
  <c r="Y73" i="23"/>
  <c r="X107" i="19"/>
  <c r="W55" i="16"/>
  <c r="W45" i="17"/>
  <c r="W74" i="17"/>
  <c r="W121" i="17"/>
  <c r="W115" i="17"/>
  <c r="X97" i="19"/>
  <c r="W48" i="16"/>
  <c r="X54" i="19"/>
  <c r="W44" i="17"/>
  <c r="W21" i="17"/>
  <c r="W24" i="16"/>
  <c r="W57" i="17"/>
  <c r="W24" i="17"/>
  <c r="W47" i="16"/>
  <c r="W57" i="16"/>
  <c r="W21" i="16"/>
  <c r="W52" i="16"/>
  <c r="Y54" i="23"/>
  <c r="Y50" i="23"/>
  <c r="X90" i="19"/>
  <c r="W68" i="17"/>
  <c r="Y56" i="23"/>
  <c r="X78" i="19"/>
  <c r="W102" i="16" s="1"/>
  <c r="W85" i="17"/>
  <c r="Y78" i="23"/>
  <c r="W91" i="17"/>
  <c r="W89" i="17"/>
  <c r="Y51" i="23"/>
  <c r="X68" i="19"/>
  <c r="W27" i="16"/>
  <c r="W40" i="17"/>
  <c r="W100" i="17"/>
  <c r="W104" i="17"/>
  <c r="X67" i="19"/>
  <c r="W27" i="17"/>
  <c r="W33" i="17"/>
  <c r="X65" i="19"/>
  <c r="W89" i="16" s="1"/>
  <c r="X42" i="19"/>
  <c r="W64" i="16" s="1"/>
  <c r="W126" i="17"/>
  <c r="X45" i="19"/>
  <c r="W68" i="16" s="1"/>
  <c r="W38" i="17"/>
  <c r="X102" i="19"/>
  <c r="W47" i="17"/>
  <c r="X115" i="19"/>
  <c r="W94" i="17"/>
  <c r="W40" i="16"/>
  <c r="W32" i="16"/>
  <c r="W46" i="17"/>
  <c r="W122" i="17"/>
  <c r="W46" i="16"/>
  <c r="W75" i="17"/>
  <c r="W78" i="17"/>
  <c r="W54" i="16"/>
  <c r="W41" i="16"/>
  <c r="W54" i="17"/>
  <c r="W41" i="17"/>
  <c r="W37" i="16"/>
  <c r="W32" i="17"/>
  <c r="X60" i="19"/>
  <c r="W84" i="16" s="1"/>
  <c r="W39" i="17"/>
  <c r="Y82" i="23"/>
  <c r="W116" i="17"/>
  <c r="X73" i="19"/>
  <c r="Y76" i="23"/>
  <c r="W103" i="17"/>
  <c r="X98" i="19"/>
  <c r="Y43" i="23"/>
  <c r="Y37" i="23"/>
  <c r="W65" i="16" s="1"/>
  <c r="Y59" i="23"/>
  <c r="Y39" i="23"/>
  <c r="W49" i="16"/>
  <c r="W39" i="16"/>
  <c r="W44" i="16"/>
  <c r="W72" i="16"/>
  <c r="X46" i="19"/>
  <c r="W69" i="16" s="1"/>
  <c r="W123" i="17"/>
  <c r="W108" i="17"/>
  <c r="W95" i="17"/>
  <c r="W34" i="17"/>
  <c r="W34" i="16"/>
  <c r="Y77" i="23"/>
  <c r="X70" i="19"/>
  <c r="Y46" i="23"/>
  <c r="W53" i="16"/>
  <c r="W53" i="17"/>
  <c r="Y84" i="23"/>
  <c r="W38" i="16"/>
  <c r="W45" i="16"/>
  <c r="U79" i="16"/>
  <c r="U92" i="16"/>
  <c r="U67" i="16"/>
  <c r="U123" i="16"/>
  <c r="U108" i="16"/>
  <c r="U128" i="16"/>
  <c r="U140" i="17"/>
  <c r="U126" i="16"/>
  <c r="U118" i="16"/>
  <c r="V71" i="19"/>
  <c r="U95" i="16" s="1"/>
  <c r="U95" i="17"/>
  <c r="U38" i="16"/>
  <c r="U139" i="17"/>
  <c r="U36" i="16"/>
  <c r="U115" i="16"/>
  <c r="Q30" i="23"/>
  <c r="O55" i="16" s="1"/>
  <c r="I50" i="44"/>
  <c r="X25" i="27" l="1"/>
  <c r="F26" i="5" s="1"/>
  <c r="W74" i="16"/>
  <c r="W35" i="16"/>
  <c r="W88" i="16"/>
  <c r="W104" i="16"/>
  <c r="W79" i="16"/>
  <c r="W97" i="16"/>
  <c r="W67" i="16"/>
  <c r="W119" i="16"/>
  <c r="W86" i="16"/>
  <c r="W101" i="16"/>
  <c r="W77" i="16"/>
  <c r="W103" i="16"/>
  <c r="W98" i="16"/>
  <c r="W94" i="16"/>
  <c r="W78" i="16"/>
  <c r="W120" i="16"/>
  <c r="W36" i="16"/>
  <c r="W92" i="16"/>
  <c r="W118" i="16"/>
  <c r="W123" i="16"/>
  <c r="W116" i="16"/>
  <c r="W85" i="16"/>
  <c r="W115" i="16"/>
  <c r="W128" i="16"/>
  <c r="W114" i="16"/>
  <c r="W91" i="16"/>
  <c r="W121" i="16"/>
  <c r="W131" i="16"/>
  <c r="X71" i="19"/>
  <c r="W95" i="16" s="1"/>
  <c r="W126" i="16"/>
  <c r="W139" i="17"/>
  <c r="W127" i="16"/>
  <c r="W122" i="16"/>
  <c r="J43" i="40"/>
  <c r="J35" i="40"/>
  <c r="J22" i="40"/>
  <c r="J16" i="40"/>
  <c r="J47" i="39"/>
  <c r="J38" i="39"/>
  <c r="J28" i="39"/>
  <c r="J22" i="39"/>
  <c r="P28" i="19" l="1"/>
  <c r="Q26" i="23"/>
  <c r="J24" i="40"/>
  <c r="J46" i="40" s="1"/>
  <c r="J30" i="39"/>
  <c r="J50" i="39" s="1"/>
  <c r="I23" i="17"/>
  <c r="Y30" i="26" l="1"/>
  <c r="B27" i="5" s="1"/>
  <c r="Y31" i="26"/>
  <c r="B28" i="5" s="1"/>
  <c r="O40" i="16"/>
  <c r="O40" i="17"/>
  <c r="R57" i="19"/>
  <c r="Q81" i="16" s="1"/>
  <c r="P91" i="19"/>
  <c r="J36" i="20"/>
  <c r="A43" i="14"/>
  <c r="A43" i="13"/>
  <c r="A43" i="12"/>
  <c r="A45" i="11"/>
  <c r="A45" i="10"/>
  <c r="A53" i="9"/>
  <c r="A52" i="8"/>
  <c r="R98" i="19" l="1"/>
  <c r="Q122" i="17"/>
  <c r="Q23" i="16"/>
  <c r="Q23" i="17"/>
  <c r="R60" i="19"/>
  <c r="Q84" i="16" s="1"/>
  <c r="Q84" i="17"/>
  <c r="R103" i="19"/>
  <c r="L21" i="19"/>
  <c r="L26" i="19"/>
  <c r="L57" i="19"/>
  <c r="K81" i="16" s="1"/>
  <c r="L22" i="19"/>
  <c r="K130" i="17"/>
  <c r="M21" i="23"/>
  <c r="L49" i="19"/>
  <c r="K73" i="16" s="1"/>
  <c r="M25" i="23"/>
  <c r="L20" i="19"/>
  <c r="L106" i="19"/>
  <c r="L32" i="19"/>
  <c r="L31" i="19"/>
  <c r="K84" i="17"/>
  <c r="K88" i="17"/>
  <c r="L28" i="19"/>
  <c r="M22" i="23"/>
  <c r="K105" i="17"/>
  <c r="L33" i="19"/>
  <c r="L17" i="19"/>
  <c r="L24" i="19"/>
  <c r="L35" i="19"/>
  <c r="K35" i="17"/>
  <c r="L58" i="19"/>
  <c r="K82" i="16" s="1"/>
  <c r="M27" i="23"/>
  <c r="M20" i="23"/>
  <c r="L34" i="19"/>
  <c r="M26" i="23"/>
  <c r="M30" i="23"/>
  <c r="M92" i="23"/>
  <c r="L59" i="19"/>
  <c r="L27" i="19"/>
  <c r="L62" i="19"/>
  <c r="L72" i="19"/>
  <c r="K96" i="16" s="1"/>
  <c r="M57" i="23"/>
  <c r="L45" i="19" l="1"/>
  <c r="K68" i="16" s="1"/>
  <c r="M51" i="23"/>
  <c r="M37" i="23"/>
  <c r="L96" i="19"/>
  <c r="M93" i="23"/>
  <c r="L65" i="19"/>
  <c r="L68" i="19"/>
  <c r="M47" i="23"/>
  <c r="M75" i="23"/>
  <c r="M76" i="23"/>
  <c r="K22" i="16"/>
  <c r="L78" i="19"/>
  <c r="M52" i="23"/>
  <c r="L44" i="19"/>
  <c r="K22" i="17"/>
  <c r="L70" i="19"/>
  <c r="L50" i="19"/>
  <c r="M59" i="23"/>
  <c r="M77" i="23"/>
  <c r="M74" i="23"/>
  <c r="L80" i="19"/>
  <c r="M49" i="23"/>
  <c r="L99" i="19"/>
  <c r="M82" i="23"/>
  <c r="M54" i="23"/>
  <c r="L67" i="19"/>
  <c r="K38" i="17"/>
  <c r="L54" i="19"/>
  <c r="L51" i="19"/>
  <c r="L97" i="19"/>
  <c r="L102" i="19"/>
  <c r="K73" i="17"/>
  <c r="M50" i="23"/>
  <c r="L91" i="19"/>
  <c r="L46" i="19"/>
  <c r="M70" i="23"/>
  <c r="M84" i="23"/>
  <c r="L60" i="19"/>
  <c r="K84" i="16" s="1"/>
  <c r="L100" i="20"/>
  <c r="L107" i="20" s="1"/>
  <c r="L75" i="19"/>
  <c r="L94" i="19"/>
  <c r="L55" i="19"/>
  <c r="L61" i="19"/>
  <c r="L79" i="19"/>
  <c r="M60" i="23"/>
  <c r="M41" i="23"/>
  <c r="K130" i="16"/>
  <c r="L23" i="19"/>
  <c r="L76" i="19"/>
  <c r="M39" i="23"/>
  <c r="M71" i="23"/>
  <c r="L81" i="19"/>
  <c r="K105" i="16" s="1"/>
  <c r="M56" i="23"/>
  <c r="L52" i="19"/>
  <c r="L74" i="19"/>
  <c r="L66" i="19"/>
  <c r="M31" i="23"/>
  <c r="M45" i="23"/>
  <c r="M44" i="23"/>
  <c r="M73" i="23"/>
  <c r="M43" i="23"/>
  <c r="M83" i="23"/>
  <c r="M55" i="23"/>
  <c r="K103" i="17"/>
  <c r="L53" i="19"/>
  <c r="L103" i="19"/>
  <c r="L47" i="19"/>
  <c r="L73" i="19"/>
  <c r="L95" i="19"/>
  <c r="L64" i="19"/>
  <c r="L115" i="19"/>
  <c r="L98" i="19"/>
  <c r="L104" i="19"/>
  <c r="L116" i="19"/>
  <c r="M23" i="23"/>
  <c r="M42" i="23"/>
  <c r="M94" i="23"/>
  <c r="K131" i="17"/>
  <c r="M58" i="23"/>
  <c r="L107" i="19"/>
  <c r="L116" i="20"/>
  <c r="K82" i="17"/>
  <c r="L42" i="19"/>
  <c r="L77" i="19"/>
  <c r="L90" i="19"/>
  <c r="M63" i="23"/>
  <c r="M69" i="23"/>
  <c r="L92" i="19"/>
  <c r="M46" i="23"/>
  <c r="M28" i="23"/>
  <c r="K38" i="16"/>
  <c r="L84" i="19"/>
  <c r="L82" i="20"/>
  <c r="K68" i="17"/>
  <c r="M81" i="23"/>
  <c r="M78" i="23"/>
  <c r="J29" i="36"/>
  <c r="X26" i="22" l="1"/>
  <c r="L55" i="15" s="1"/>
  <c r="X25" i="22"/>
  <c r="L53" i="15" s="1"/>
  <c r="X22" i="22"/>
  <c r="L45" i="15" s="1"/>
  <c r="AA23" i="22"/>
  <c r="K88" i="16"/>
  <c r="M96" i="23"/>
  <c r="K103" i="16"/>
  <c r="K131" i="16"/>
  <c r="M79" i="23"/>
  <c r="M86" i="23" s="1"/>
  <c r="K35" i="16"/>
  <c r="M61" i="23"/>
  <c r="L71" i="19"/>
  <c r="M33" i="23"/>
  <c r="Z96" i="20" l="1"/>
  <c r="H31" i="3" s="1"/>
  <c r="Z92" i="20"/>
  <c r="H27" i="3" s="1"/>
  <c r="Z60" i="21"/>
  <c r="S27" i="23"/>
  <c r="U27" i="23"/>
  <c r="S26" i="23"/>
  <c r="U26" i="23"/>
  <c r="O26" i="23"/>
  <c r="O21" i="23"/>
  <c r="N34" i="19"/>
  <c r="M25" i="17"/>
  <c r="K47" i="17"/>
  <c r="K47" i="16"/>
  <c r="M65" i="23"/>
  <c r="M89" i="23" s="1"/>
  <c r="M101" i="23" s="1"/>
  <c r="K75" i="16"/>
  <c r="K75" i="17"/>
  <c r="E83" i="17"/>
  <c r="E81" i="17"/>
  <c r="C83" i="17"/>
  <c r="C81" i="17"/>
  <c r="F29" i="43"/>
  <c r="F32" i="43"/>
  <c r="X23" i="37" l="1"/>
  <c r="X30" i="37"/>
  <c r="X21" i="37"/>
  <c r="X40" i="37"/>
  <c r="X20" i="37"/>
  <c r="X31" i="37"/>
  <c r="X28" i="37"/>
  <c r="X36" i="37"/>
  <c r="X37" i="37"/>
  <c r="X19" i="37"/>
  <c r="X39" i="37"/>
  <c r="X17" i="37"/>
  <c r="X18" i="37"/>
  <c r="X29" i="37"/>
  <c r="X22" i="37"/>
  <c r="X41" i="37"/>
  <c r="X32" i="37"/>
  <c r="M25" i="16"/>
  <c r="N91" i="19"/>
  <c r="H11" i="45"/>
  <c r="X24" i="37" l="1"/>
  <c r="P34" i="19"/>
  <c r="O47" i="16" s="1"/>
  <c r="E32" i="17"/>
  <c r="D42" i="37"/>
  <c r="D33" i="37"/>
  <c r="D25" i="37"/>
  <c r="Z74" i="18" l="1"/>
  <c r="Z90" i="18"/>
  <c r="Z111" i="18"/>
  <c r="D31" i="2" s="1"/>
  <c r="Z28" i="18"/>
  <c r="D28" i="15" s="1"/>
  <c r="Z43" i="18"/>
  <c r="Q34" i="17"/>
  <c r="R31" i="19"/>
  <c r="M22" i="17"/>
  <c r="N49" i="19"/>
  <c r="M73" i="16" s="1"/>
  <c r="N28" i="19"/>
  <c r="M53" i="17"/>
  <c r="D44" i="37"/>
  <c r="I20" i="23"/>
  <c r="G60" i="25"/>
  <c r="G67" i="25" s="1"/>
  <c r="G42" i="25"/>
  <c r="G46" i="25" s="1"/>
  <c r="G95" i="24"/>
  <c r="G78" i="24"/>
  <c r="G85" i="24" s="1"/>
  <c r="G60" i="24"/>
  <c r="G30" i="24"/>
  <c r="G27" i="24"/>
  <c r="G22" i="24"/>
  <c r="D71" i="22"/>
  <c r="D62" i="22"/>
  <c r="D50" i="22"/>
  <c r="D27" i="22"/>
  <c r="D23" i="22"/>
  <c r="D20" i="22"/>
  <c r="F88" i="21"/>
  <c r="F70" i="21"/>
  <c r="F79" i="21" s="1"/>
  <c r="F52" i="21"/>
  <c r="F56" i="21" s="1"/>
  <c r="F52" i="44"/>
  <c r="Z132" i="18" l="1"/>
  <c r="Y48" i="16"/>
  <c r="Y48" i="17"/>
  <c r="D45" i="15"/>
  <c r="R22" i="19"/>
  <c r="R94" i="19"/>
  <c r="M73" i="17"/>
  <c r="O30" i="23"/>
  <c r="M22" i="16"/>
  <c r="M53" i="16"/>
  <c r="M29" i="17"/>
  <c r="M29" i="16"/>
  <c r="G70" i="25"/>
  <c r="G80" i="25" s="1"/>
  <c r="G32" i="24"/>
  <c r="G64" i="24" s="1"/>
  <c r="G88" i="24" s="1"/>
  <c r="G100" i="24" s="1"/>
  <c r="I22" i="23"/>
  <c r="D29" i="22"/>
  <c r="D54" i="22" s="1"/>
  <c r="D65" i="22" s="1"/>
  <c r="D75" i="22" s="1"/>
  <c r="F82" i="21"/>
  <c r="F92" i="21" s="1"/>
  <c r="F43" i="40"/>
  <c r="F35" i="40"/>
  <c r="F22" i="40"/>
  <c r="F16" i="40"/>
  <c r="Q34" i="16" l="1"/>
  <c r="N53" i="19"/>
  <c r="N17" i="19"/>
  <c r="M67" i="17"/>
  <c r="N20" i="19"/>
  <c r="N57" i="19"/>
  <c r="M81" i="16" s="1"/>
  <c r="N61" i="19"/>
  <c r="N106" i="19"/>
  <c r="M105" i="17"/>
  <c r="O63" i="23"/>
  <c r="M45" i="17"/>
  <c r="O20" i="23"/>
  <c r="M35" i="17"/>
  <c r="O22" i="23"/>
  <c r="N33" i="19"/>
  <c r="M65" i="17"/>
  <c r="N115" i="19"/>
  <c r="M101" i="17"/>
  <c r="N44" i="19"/>
  <c r="N76" i="19"/>
  <c r="N59" i="19"/>
  <c r="M83" i="16" s="1"/>
  <c r="N24" i="19"/>
  <c r="O27" i="23"/>
  <c r="M52" i="17"/>
  <c r="M47" i="17"/>
  <c r="N81" i="19"/>
  <c r="M105" i="16" s="1"/>
  <c r="N116" i="19"/>
  <c r="O69" i="23"/>
  <c r="N31" i="19"/>
  <c r="M84" i="17"/>
  <c r="N55" i="19"/>
  <c r="O83" i="23"/>
  <c r="O78" i="23"/>
  <c r="N102" i="19"/>
  <c r="N26" i="19"/>
  <c r="O44" i="23"/>
  <c r="N84" i="19"/>
  <c r="N67" i="19"/>
  <c r="M49" i="17"/>
  <c r="O92" i="23"/>
  <c r="N72" i="19"/>
  <c r="M96" i="16" s="1"/>
  <c r="M69" i="17"/>
  <c r="M54" i="17"/>
  <c r="N79" i="19"/>
  <c r="M82" i="17"/>
  <c r="N21" i="19"/>
  <c r="O77" i="23"/>
  <c r="M24" i="16"/>
  <c r="M98" i="17"/>
  <c r="N46" i="19"/>
  <c r="O25" i="23"/>
  <c r="N97" i="19"/>
  <c r="N77" i="19"/>
  <c r="N22" i="19"/>
  <c r="O57" i="23"/>
  <c r="M94" i="17"/>
  <c r="N54" i="19"/>
  <c r="N27" i="19"/>
  <c r="O94" i="23"/>
  <c r="M88" i="17"/>
  <c r="O58" i="23"/>
  <c r="N104" i="19"/>
  <c r="M131" i="17"/>
  <c r="M91" i="17"/>
  <c r="N99" i="19"/>
  <c r="O76" i="23"/>
  <c r="N62" i="19"/>
  <c r="N60" i="19"/>
  <c r="M84" i="16" s="1"/>
  <c r="M40" i="17"/>
  <c r="M40" i="16"/>
  <c r="O45" i="23"/>
  <c r="O93" i="23"/>
  <c r="O55" i="23"/>
  <c r="O84" i="23"/>
  <c r="M48" i="16"/>
  <c r="M115" i="17"/>
  <c r="M48" i="17"/>
  <c r="M54" i="16"/>
  <c r="M21" i="16"/>
  <c r="M21" i="17"/>
  <c r="M130" i="16"/>
  <c r="G41" i="16"/>
  <c r="I84" i="23"/>
  <c r="G21" i="16"/>
  <c r="G21" i="17"/>
  <c r="I82" i="23"/>
  <c r="I81" i="23"/>
  <c r="F24" i="40"/>
  <c r="F46" i="40" l="1"/>
  <c r="Q20" i="23"/>
  <c r="Q22" i="23"/>
  <c r="M126" i="17"/>
  <c r="N107" i="19"/>
  <c r="M121" i="17"/>
  <c r="M47" i="16"/>
  <c r="O49" i="23"/>
  <c r="N42" i="19"/>
  <c r="M64" i="16" s="1"/>
  <c r="M55" i="17"/>
  <c r="O51" i="23"/>
  <c r="M91" i="16" s="1"/>
  <c r="M77" i="17"/>
  <c r="N51" i="19"/>
  <c r="M75" i="16" s="1"/>
  <c r="M140" i="17"/>
  <c r="M24" i="17"/>
  <c r="M55" i="16"/>
  <c r="O60" i="23"/>
  <c r="M64" i="17"/>
  <c r="O71" i="23"/>
  <c r="O73" i="23"/>
  <c r="M70" i="17"/>
  <c r="M130" i="17"/>
  <c r="M92" i="17"/>
  <c r="M27" i="17"/>
  <c r="N75" i="19"/>
  <c r="M99" i="16" s="1"/>
  <c r="N71" i="19"/>
  <c r="M95" i="16" s="1"/>
  <c r="M23" i="16"/>
  <c r="M23" i="17"/>
  <c r="N52" i="19"/>
  <c r="M76" i="16" s="1"/>
  <c r="M56" i="17"/>
  <c r="M56" i="16"/>
  <c r="M99" i="17"/>
  <c r="O75" i="23"/>
  <c r="M68" i="17"/>
  <c r="M72" i="17"/>
  <c r="M85" i="17"/>
  <c r="N73" i="19"/>
  <c r="M97" i="16" s="1"/>
  <c r="M69" i="16"/>
  <c r="N94" i="19"/>
  <c r="O54" i="23"/>
  <c r="N70" i="19"/>
  <c r="M79" i="17"/>
  <c r="N23" i="19"/>
  <c r="M35" i="16" s="1"/>
  <c r="M34" i="16"/>
  <c r="M72" i="16"/>
  <c r="M83" i="17"/>
  <c r="M28" i="17"/>
  <c r="M34" i="17"/>
  <c r="M28" i="16"/>
  <c r="M97" i="17"/>
  <c r="M100" i="16"/>
  <c r="O47" i="23"/>
  <c r="M86" i="16" s="1"/>
  <c r="M46" i="17"/>
  <c r="M78" i="17"/>
  <c r="N103" i="19"/>
  <c r="M79" i="16"/>
  <c r="M81" i="17"/>
  <c r="M75" i="17"/>
  <c r="M104" i="17"/>
  <c r="N45" i="19"/>
  <c r="M68" i="16" s="1"/>
  <c r="O41" i="23"/>
  <c r="M74" i="17"/>
  <c r="O82" i="23"/>
  <c r="N50" i="19"/>
  <c r="M86" i="17"/>
  <c r="O56" i="23"/>
  <c r="O39" i="23"/>
  <c r="M67" i="16" s="1"/>
  <c r="O50" i="23"/>
  <c r="O81" i="23"/>
  <c r="O37" i="23"/>
  <c r="M65" i="16" s="1"/>
  <c r="M44" i="16"/>
  <c r="M127" i="17"/>
  <c r="N66" i="19"/>
  <c r="M90" i="16" s="1"/>
  <c r="N98" i="19"/>
  <c r="M114" i="17"/>
  <c r="M89" i="17"/>
  <c r="N90" i="19"/>
  <c r="N58" i="19"/>
  <c r="M82" i="16" s="1"/>
  <c r="M38" i="17"/>
  <c r="N80" i="19"/>
  <c r="M38" i="16"/>
  <c r="N96" i="19"/>
  <c r="M128" i="17"/>
  <c r="M120" i="17"/>
  <c r="M108" i="16"/>
  <c r="M139" i="17"/>
  <c r="M57" i="17"/>
  <c r="N47" i="19"/>
  <c r="M70" i="16" s="1"/>
  <c r="N68" i="19"/>
  <c r="M76" i="17"/>
  <c r="M100" i="17"/>
  <c r="M122" i="17"/>
  <c r="O52" i="23"/>
  <c r="O74" i="23"/>
  <c r="M123" i="17"/>
  <c r="M90" i="17"/>
  <c r="O42" i="23"/>
  <c r="O70" i="23"/>
  <c r="O46" i="23"/>
  <c r="M85" i="16" s="1"/>
  <c r="M101" i="16"/>
  <c r="O59" i="23"/>
  <c r="M103" i="16" s="1"/>
  <c r="M121" i="16"/>
  <c r="M57" i="16"/>
  <c r="N64" i="19"/>
  <c r="N74" i="19"/>
  <c r="N78" i="19"/>
  <c r="M102" i="16" s="1"/>
  <c r="M103" i="17"/>
  <c r="M33" i="17"/>
  <c r="N95" i="19"/>
  <c r="M116" i="17"/>
  <c r="N92" i="19"/>
  <c r="M119" i="17"/>
  <c r="M33" i="16"/>
  <c r="M46" i="16"/>
  <c r="M108" i="17"/>
  <c r="M118" i="17"/>
  <c r="M52" i="16"/>
  <c r="M36" i="16"/>
  <c r="M32" i="17"/>
  <c r="M44" i="17"/>
  <c r="N35" i="19"/>
  <c r="O43" i="23"/>
  <c r="M77" i="16" s="1"/>
  <c r="M41" i="16"/>
  <c r="M32" i="16"/>
  <c r="N32" i="19"/>
  <c r="M45" i="16" s="1"/>
  <c r="M41" i="17"/>
  <c r="M36" i="17"/>
  <c r="N65" i="19"/>
  <c r="M89" i="16" s="1"/>
  <c r="M123" i="16"/>
  <c r="M39" i="16"/>
  <c r="M39" i="17"/>
  <c r="M102" i="17"/>
  <c r="M78" i="16"/>
  <c r="M128" i="16"/>
  <c r="H26" i="19"/>
  <c r="G88" i="17"/>
  <c r="I74" i="23"/>
  <c r="H49" i="19"/>
  <c r="G73" i="16" s="1"/>
  <c r="H23" i="19"/>
  <c r="G22" i="17"/>
  <c r="G54" i="16"/>
  <c r="G79" i="17"/>
  <c r="G53" i="17"/>
  <c r="I39" i="23"/>
  <c r="H32" i="19"/>
  <c r="H22" i="19"/>
  <c r="I27" i="23"/>
  <c r="I77" i="23"/>
  <c r="H27" i="19"/>
  <c r="H28" i="19"/>
  <c r="G65" i="17"/>
  <c r="I57" i="23"/>
  <c r="H72" i="19"/>
  <c r="G96" i="16" s="1"/>
  <c r="I26" i="23"/>
  <c r="G70" i="17"/>
  <c r="H58" i="19"/>
  <c r="G82" i="16" s="1"/>
  <c r="G105" i="17"/>
  <c r="H33" i="19"/>
  <c r="I30" i="23"/>
  <c r="H24" i="19"/>
  <c r="G24" i="17"/>
  <c r="I21" i="23"/>
  <c r="G29" i="16"/>
  <c r="H44" i="19"/>
  <c r="H106" i="19"/>
  <c r="G25" i="17"/>
  <c r="H35" i="19"/>
  <c r="I92" i="23"/>
  <c r="H21" i="19"/>
  <c r="G84" i="17"/>
  <c r="G123" i="17"/>
  <c r="G86" i="17"/>
  <c r="I25" i="23"/>
  <c r="H20" i="19"/>
  <c r="G83" i="17"/>
  <c r="H31" i="19"/>
  <c r="I78" i="23"/>
  <c r="I83" i="23"/>
  <c r="H34" i="19"/>
  <c r="G41" i="17"/>
  <c r="G130" i="16"/>
  <c r="G56" i="17"/>
  <c r="G130" i="17"/>
  <c r="G56" i="16"/>
  <c r="F47" i="39"/>
  <c r="F38" i="39"/>
  <c r="F28" i="39"/>
  <c r="F22" i="39"/>
  <c r="X52" i="22" l="1"/>
  <c r="L19" i="2" s="1"/>
  <c r="Q53" i="16"/>
  <c r="Q53" i="17"/>
  <c r="P95" i="19"/>
  <c r="P60" i="19"/>
  <c r="O84" i="16" s="1"/>
  <c r="P98" i="19"/>
  <c r="M88" i="16"/>
  <c r="M131" i="16"/>
  <c r="M116" i="16"/>
  <c r="M118" i="16"/>
  <c r="M104" i="16"/>
  <c r="M95" i="17"/>
  <c r="M94" i="16"/>
  <c r="M127" i="16"/>
  <c r="M98" i="16"/>
  <c r="M74" i="16"/>
  <c r="M114" i="16"/>
  <c r="M126" i="16"/>
  <c r="M92" i="16"/>
  <c r="M115" i="16"/>
  <c r="M120" i="16"/>
  <c r="M122" i="16"/>
  <c r="M119" i="16"/>
  <c r="M49" i="16"/>
  <c r="G38" i="16"/>
  <c r="I94" i="23"/>
  <c r="H45" i="19"/>
  <c r="G68" i="16" s="1"/>
  <c r="I56" i="23"/>
  <c r="H57" i="19"/>
  <c r="G81" i="16" s="1"/>
  <c r="G81" i="17"/>
  <c r="H68" i="19"/>
  <c r="H103" i="19"/>
  <c r="G73" i="17"/>
  <c r="H60" i="19"/>
  <c r="G84" i="16" s="1"/>
  <c r="H90" i="19"/>
  <c r="G92" i="17"/>
  <c r="G22" i="16"/>
  <c r="G29" i="17"/>
  <c r="G101" i="17"/>
  <c r="G24" i="16"/>
  <c r="G74" i="17"/>
  <c r="H75" i="19"/>
  <c r="G99" i="16" s="1"/>
  <c r="H79" i="19"/>
  <c r="H52" i="19"/>
  <c r="G76" i="16" s="1"/>
  <c r="G100" i="17"/>
  <c r="I54" i="23"/>
  <c r="I59" i="23"/>
  <c r="I63" i="23"/>
  <c r="I41" i="23"/>
  <c r="I46" i="23"/>
  <c r="I44" i="23"/>
  <c r="I28" i="23"/>
  <c r="H95" i="19"/>
  <c r="H47" i="19"/>
  <c r="G70" i="16" s="1"/>
  <c r="H104" i="19"/>
  <c r="H96" i="19"/>
  <c r="G128" i="17"/>
  <c r="G38" i="17"/>
  <c r="G119" i="17"/>
  <c r="G36" i="17"/>
  <c r="G54" i="17"/>
  <c r="H74" i="19"/>
  <c r="I69" i="23"/>
  <c r="G33" i="16"/>
  <c r="I43" i="23"/>
  <c r="I75" i="23"/>
  <c r="H91" i="19"/>
  <c r="G82" i="17"/>
  <c r="I55" i="23"/>
  <c r="G52" i="17"/>
  <c r="H50" i="19"/>
  <c r="G99" i="17"/>
  <c r="G35" i="16"/>
  <c r="G52" i="16"/>
  <c r="G57" i="16"/>
  <c r="I60" i="23"/>
  <c r="I42" i="23"/>
  <c r="H64" i="19"/>
  <c r="G34" i="16"/>
  <c r="G90" i="17"/>
  <c r="G104" i="17"/>
  <c r="G34" i="17"/>
  <c r="G35" i="17"/>
  <c r="G67" i="16"/>
  <c r="G39" i="17"/>
  <c r="H97" i="19"/>
  <c r="G121" i="17"/>
  <c r="G57" i="17"/>
  <c r="G120" i="17"/>
  <c r="G102" i="17"/>
  <c r="G28" i="17"/>
  <c r="G115" i="17"/>
  <c r="H107" i="19"/>
  <c r="H65" i="19"/>
  <c r="G89" i="16" s="1"/>
  <c r="G78" i="17"/>
  <c r="H92" i="19"/>
  <c r="H115" i="19"/>
  <c r="I93" i="23"/>
  <c r="I51" i="23"/>
  <c r="H76" i="19"/>
  <c r="G100" i="16" s="1"/>
  <c r="G67" i="17"/>
  <c r="G72" i="17"/>
  <c r="H54" i="19"/>
  <c r="G108" i="17"/>
  <c r="I37" i="23"/>
  <c r="G65" i="16" s="1"/>
  <c r="H81" i="19"/>
  <c r="G105" i="16" s="1"/>
  <c r="H116" i="19"/>
  <c r="H99" i="19"/>
  <c r="G33" i="17"/>
  <c r="G39" i="16"/>
  <c r="H94" i="19"/>
  <c r="G76" i="17"/>
  <c r="G140" i="17"/>
  <c r="H70" i="19"/>
  <c r="H46" i="19"/>
  <c r="G69" i="16" s="1"/>
  <c r="G68" i="17"/>
  <c r="H62" i="19"/>
  <c r="I73" i="23"/>
  <c r="G25" i="16"/>
  <c r="G55" i="16"/>
  <c r="G55" i="17"/>
  <c r="G131" i="17"/>
  <c r="G127" i="17"/>
  <c r="G36" i="16"/>
  <c r="G44" i="17"/>
  <c r="G40" i="16"/>
  <c r="G69" i="17"/>
  <c r="H53" i="19"/>
  <c r="G118" i="17"/>
  <c r="G53" i="16"/>
  <c r="H77" i="19"/>
  <c r="G45" i="17"/>
  <c r="G85" i="17"/>
  <c r="I50" i="23"/>
  <c r="I76" i="23"/>
  <c r="H66" i="19"/>
  <c r="G90" i="16" s="1"/>
  <c r="G91" i="17"/>
  <c r="G126" i="17"/>
  <c r="G32" i="16"/>
  <c r="H61" i="19"/>
  <c r="H55" i="19"/>
  <c r="G48" i="16"/>
  <c r="G48" i="17"/>
  <c r="G23" i="17"/>
  <c r="G26" i="17" s="1"/>
  <c r="G114" i="17"/>
  <c r="G32" i="17"/>
  <c r="I47" i="23"/>
  <c r="I45" i="23"/>
  <c r="G72" i="16"/>
  <c r="G77" i="17"/>
  <c r="G46" i="17"/>
  <c r="G122" i="17"/>
  <c r="G46" i="16"/>
  <c r="G89" i="17"/>
  <c r="H67" i="19"/>
  <c r="G94" i="17"/>
  <c r="H98" i="19"/>
  <c r="G97" i="17"/>
  <c r="H73" i="19"/>
  <c r="H78" i="19"/>
  <c r="G102" i="16" s="1"/>
  <c r="I31" i="23"/>
  <c r="G49" i="17"/>
  <c r="G23" i="16"/>
  <c r="G40" i="17"/>
  <c r="G49" i="16"/>
  <c r="G28" i="16"/>
  <c r="H59" i="19"/>
  <c r="G83" i="16" s="1"/>
  <c r="H80" i="19"/>
  <c r="I52" i="23"/>
  <c r="I49" i="23"/>
  <c r="H51" i="19"/>
  <c r="G75" i="16" s="1"/>
  <c r="G47" i="17"/>
  <c r="G64" i="17"/>
  <c r="H84" i="19"/>
  <c r="G139" i="17"/>
  <c r="H71" i="19"/>
  <c r="G95" i="16" s="1"/>
  <c r="I71" i="23"/>
  <c r="G75" i="17"/>
  <c r="G103" i="17"/>
  <c r="G98" i="17"/>
  <c r="G47" i="16"/>
  <c r="I23" i="23"/>
  <c r="I58" i="23"/>
  <c r="I70" i="23"/>
  <c r="H102" i="19"/>
  <c r="G44" i="16"/>
  <c r="G116" i="17"/>
  <c r="G45" i="16"/>
  <c r="F30" i="39"/>
  <c r="F50" i="39" s="1"/>
  <c r="E25" i="45"/>
  <c r="Q119" i="17" l="1"/>
  <c r="P35" i="19"/>
  <c r="Q39" i="23"/>
  <c r="P106" i="19"/>
  <c r="Q92" i="23"/>
  <c r="P24" i="19"/>
  <c r="P31" i="19"/>
  <c r="P33" i="19"/>
  <c r="O46" i="16" s="1"/>
  <c r="P72" i="19"/>
  <c r="O96" i="16" s="1"/>
  <c r="Q25" i="23"/>
  <c r="P115" i="19"/>
  <c r="P116" i="19"/>
  <c r="Q70" i="23"/>
  <c r="O115" i="16" s="1"/>
  <c r="P103" i="19"/>
  <c r="Q27" i="23"/>
  <c r="Q84" i="23"/>
  <c r="P68" i="19"/>
  <c r="Q49" i="23"/>
  <c r="P67" i="19"/>
  <c r="Q74" i="23"/>
  <c r="O119" i="16" s="1"/>
  <c r="Q57" i="23"/>
  <c r="P21" i="19"/>
  <c r="O33" i="16" s="1"/>
  <c r="P53" i="19"/>
  <c r="P74" i="19"/>
  <c r="Q78" i="23"/>
  <c r="P20" i="19"/>
  <c r="O32" i="16" s="1"/>
  <c r="P46" i="19"/>
  <c r="O69" i="16" s="1"/>
  <c r="P27" i="19"/>
  <c r="O39" i="16" s="1"/>
  <c r="P22" i="19"/>
  <c r="O34" i="16" s="1"/>
  <c r="P52" i="19"/>
  <c r="O76" i="16" s="1"/>
  <c r="Q94" i="23"/>
  <c r="P65" i="19"/>
  <c r="O89" i="16" s="1"/>
  <c r="Q21" i="23"/>
  <c r="Q82" i="23"/>
  <c r="G120" i="16"/>
  <c r="G94" i="16"/>
  <c r="G98" i="16"/>
  <c r="G92" i="16"/>
  <c r="G127" i="16"/>
  <c r="G103" i="16"/>
  <c r="G128" i="16"/>
  <c r="G74" i="16"/>
  <c r="G85" i="16"/>
  <c r="G104" i="16"/>
  <c r="G119" i="16"/>
  <c r="G97" i="16"/>
  <c r="G78" i="16"/>
  <c r="G114" i="16"/>
  <c r="G77" i="16"/>
  <c r="G101" i="16"/>
  <c r="G58" i="16"/>
  <c r="G58" i="17"/>
  <c r="G131" i="16"/>
  <c r="G26" i="16"/>
  <c r="G30" i="16" s="1"/>
  <c r="G91" i="16"/>
  <c r="G42" i="16"/>
  <c r="G122" i="16"/>
  <c r="H118" i="19"/>
  <c r="G121" i="16"/>
  <c r="I96" i="23"/>
  <c r="G86" i="16"/>
  <c r="G118" i="16"/>
  <c r="G123" i="16"/>
  <c r="H100" i="19"/>
  <c r="H109" i="19" s="1"/>
  <c r="G42" i="17"/>
  <c r="G124" i="17"/>
  <c r="G133" i="17" s="1"/>
  <c r="G79" i="16"/>
  <c r="G95" i="17"/>
  <c r="G106" i="17" s="1"/>
  <c r="I61" i="23"/>
  <c r="I79" i="23"/>
  <c r="I86" i="23" s="1"/>
  <c r="G126" i="16"/>
  <c r="G50" i="17"/>
  <c r="G142" i="17"/>
  <c r="G88" i="16"/>
  <c r="I33" i="23"/>
  <c r="G115" i="16"/>
  <c r="G116" i="16"/>
  <c r="G108" i="16"/>
  <c r="G50" i="16"/>
  <c r="X41" i="43"/>
  <c r="V41" i="43"/>
  <c r="T41" i="43"/>
  <c r="R41" i="43"/>
  <c r="P41" i="43"/>
  <c r="N41" i="43"/>
  <c r="L41" i="43"/>
  <c r="J41" i="43"/>
  <c r="H41" i="43"/>
  <c r="F41" i="43"/>
  <c r="D41" i="43"/>
  <c r="B41" i="43"/>
  <c r="X37" i="43"/>
  <c r="V37" i="43"/>
  <c r="T37" i="43"/>
  <c r="R37" i="43"/>
  <c r="P37" i="43"/>
  <c r="N37" i="43"/>
  <c r="L37" i="43"/>
  <c r="J37" i="43"/>
  <c r="H37" i="43"/>
  <c r="F37" i="43"/>
  <c r="D37" i="43"/>
  <c r="X17" i="43"/>
  <c r="V17" i="43"/>
  <c r="T17" i="43"/>
  <c r="R17" i="43"/>
  <c r="P17" i="43"/>
  <c r="N17" i="43"/>
  <c r="L17" i="43"/>
  <c r="J17" i="43"/>
  <c r="H17" i="43"/>
  <c r="F17" i="43"/>
  <c r="D17" i="43"/>
  <c r="AA30" i="41"/>
  <c r="Y35" i="41"/>
  <c r="W35" i="41"/>
  <c r="U35" i="41"/>
  <c r="S35" i="41"/>
  <c r="Q35" i="41"/>
  <c r="O35" i="41"/>
  <c r="M35" i="41"/>
  <c r="K35" i="41"/>
  <c r="I35" i="41"/>
  <c r="G35" i="41"/>
  <c r="E35" i="41"/>
  <c r="Y25" i="41"/>
  <c r="W25" i="41"/>
  <c r="U25" i="41"/>
  <c r="S25" i="41"/>
  <c r="Q25" i="41"/>
  <c r="O25" i="41"/>
  <c r="M25" i="41"/>
  <c r="K25" i="41"/>
  <c r="I25" i="41"/>
  <c r="G25" i="41"/>
  <c r="E25" i="41"/>
  <c r="O127" i="16" l="1"/>
  <c r="O36" i="16"/>
  <c r="O49" i="16"/>
  <c r="O44" i="16"/>
  <c r="P51" i="19"/>
  <c r="O75" i="16" s="1"/>
  <c r="P84" i="19"/>
  <c r="Q55" i="23"/>
  <c r="Q44" i="23"/>
  <c r="P61" i="19"/>
  <c r="Q47" i="23"/>
  <c r="Q63" i="23"/>
  <c r="Q43" i="23"/>
  <c r="O77" i="16" s="1"/>
  <c r="P73" i="19"/>
  <c r="P54" i="19"/>
  <c r="P62" i="19"/>
  <c r="Q71" i="23"/>
  <c r="Q56" i="23"/>
  <c r="O98" i="16" s="1"/>
  <c r="Q81" i="23"/>
  <c r="P79" i="19"/>
  <c r="P96" i="19"/>
  <c r="P78" i="19"/>
  <c r="O102" i="16" s="1"/>
  <c r="P42" i="19"/>
  <c r="O64" i="16" s="1"/>
  <c r="P104" i="19"/>
  <c r="P102" i="19"/>
  <c r="Q59" i="23"/>
  <c r="Q58" i="23"/>
  <c r="Q77" i="23"/>
  <c r="O122" i="16" s="1"/>
  <c r="P80" i="19"/>
  <c r="P75" i="19"/>
  <c r="O99" i="16" s="1"/>
  <c r="P50" i="19"/>
  <c r="P70" i="19"/>
  <c r="P17" i="19"/>
  <c r="Q45" i="23"/>
  <c r="Q93" i="23"/>
  <c r="P81" i="19"/>
  <c r="O105" i="16" s="1"/>
  <c r="P107" i="19"/>
  <c r="O131" i="16" s="1"/>
  <c r="Q50" i="23"/>
  <c r="Q41" i="23"/>
  <c r="P26" i="19"/>
  <c r="O38" i="16" s="1"/>
  <c r="Q76" i="23"/>
  <c r="P77" i="19"/>
  <c r="P55" i="19"/>
  <c r="P99" i="19"/>
  <c r="O123" i="16" s="1"/>
  <c r="Q52" i="23"/>
  <c r="O92" i="16" s="1"/>
  <c r="P32" i="19"/>
  <c r="O45" i="16" s="1"/>
  <c r="P76" i="19"/>
  <c r="O100" i="16" s="1"/>
  <c r="P97" i="19"/>
  <c r="P45" i="19"/>
  <c r="O68" i="16" s="1"/>
  <c r="P64" i="19"/>
  <c r="O88" i="16" s="1"/>
  <c r="Q42" i="23"/>
  <c r="P47" i="19"/>
  <c r="O70" i="16" s="1"/>
  <c r="Q46" i="23"/>
  <c r="P66" i="19"/>
  <c r="O90" i="16" s="1"/>
  <c r="Q54" i="23"/>
  <c r="P90" i="19"/>
  <c r="P44" i="19"/>
  <c r="O67" i="16" s="1"/>
  <c r="P23" i="19"/>
  <c r="O35" i="16" s="1"/>
  <c r="Q73" i="23"/>
  <c r="P58" i="19"/>
  <c r="O82" i="16" s="1"/>
  <c r="P57" i="19"/>
  <c r="O81" i="16" s="1"/>
  <c r="Q60" i="23"/>
  <c r="Q69" i="23"/>
  <c r="Q37" i="23"/>
  <c r="O65" i="16" s="1"/>
  <c r="P49" i="19"/>
  <c r="O73" i="16" s="1"/>
  <c r="P92" i="19"/>
  <c r="Q83" i="23"/>
  <c r="Q51" i="23"/>
  <c r="O91" i="16" s="1"/>
  <c r="P59" i="19"/>
  <c r="O83" i="16" s="1"/>
  <c r="Q75" i="23"/>
  <c r="P94" i="19"/>
  <c r="P71" i="19"/>
  <c r="O95" i="16" s="1"/>
  <c r="I130" i="17"/>
  <c r="I130" i="16"/>
  <c r="G60" i="16"/>
  <c r="I65" i="23"/>
  <c r="I89" i="23" s="1"/>
  <c r="I101" i="23" s="1"/>
  <c r="G124" i="16"/>
  <c r="G133" i="16" s="1"/>
  <c r="G38" i="41"/>
  <c r="W38" i="41"/>
  <c r="M38" i="41"/>
  <c r="O38" i="41"/>
  <c r="X43" i="43"/>
  <c r="I38" i="41"/>
  <c r="K38" i="41"/>
  <c r="Y38" i="41"/>
  <c r="E38" i="41"/>
  <c r="N43" i="43"/>
  <c r="P43" i="43"/>
  <c r="Q38" i="41"/>
  <c r="S38" i="41"/>
  <c r="U38" i="41"/>
  <c r="L43" i="43"/>
  <c r="R43" i="43"/>
  <c r="D43" i="43"/>
  <c r="T43" i="43"/>
  <c r="F43" i="43"/>
  <c r="V43" i="43"/>
  <c r="V45" i="43" s="1"/>
  <c r="X12" i="43" s="1"/>
  <c r="H43" i="43"/>
  <c r="J43" i="43"/>
  <c r="AA31" i="41"/>
  <c r="AA32" i="41"/>
  <c r="AA33" i="41"/>
  <c r="AA34" i="41"/>
  <c r="AA62" i="24" l="1"/>
  <c r="AA58" i="24"/>
  <c r="X45" i="43"/>
  <c r="O101" i="16"/>
  <c r="O79" i="16"/>
  <c r="O118" i="16"/>
  <c r="O116" i="16"/>
  <c r="O103" i="16"/>
  <c r="O85" i="16"/>
  <c r="O104" i="16"/>
  <c r="O120" i="16"/>
  <c r="O114" i="16"/>
  <c r="O121" i="16"/>
  <c r="O94" i="16"/>
  <c r="O126" i="16"/>
  <c r="O128" i="16"/>
  <c r="O86" i="16"/>
  <c r="O74" i="16"/>
  <c r="O78" i="16"/>
  <c r="O108" i="16"/>
  <c r="O97" i="16"/>
  <c r="J35" i="19"/>
  <c r="J20" i="19"/>
  <c r="AA35" i="41"/>
  <c r="Q12" i="40"/>
  <c r="Q12" i="39"/>
  <c r="B36" i="43"/>
  <c r="B20" i="43"/>
  <c r="D26" i="45"/>
  <c r="H25" i="45"/>
  <c r="I47" i="44"/>
  <c r="E47" i="44"/>
  <c r="H48" i="44"/>
  <c r="D48" i="44"/>
  <c r="I25" i="45" l="1"/>
  <c r="H52" i="44"/>
  <c r="D52" i="44"/>
  <c r="C48" i="44"/>
  <c r="G48" i="44"/>
  <c r="E13" i="45"/>
  <c r="I13" i="45"/>
  <c r="G52" i="44" l="1"/>
  <c r="C52" i="44"/>
  <c r="C26" i="45"/>
  <c r="G26" i="45"/>
  <c r="I19" i="44" l="1"/>
  <c r="E19" i="44"/>
  <c r="G57" i="23" l="1"/>
  <c r="G20" i="23"/>
  <c r="G30" i="23"/>
  <c r="G25" i="23"/>
  <c r="G22" i="23"/>
  <c r="G71" i="23"/>
  <c r="G92" i="23"/>
  <c r="G27" i="23"/>
  <c r="G21" i="23"/>
  <c r="G26" i="23"/>
  <c r="G52" i="23"/>
  <c r="G94" i="23"/>
  <c r="R24" i="19" l="1"/>
  <c r="R25" i="19"/>
  <c r="R116" i="19"/>
  <c r="R106" i="19"/>
  <c r="Q65" i="17"/>
  <c r="R28" i="19"/>
  <c r="R95" i="19"/>
  <c r="R44" i="19"/>
  <c r="R33" i="19"/>
  <c r="Q46" i="16" s="1"/>
  <c r="Q81" i="17"/>
  <c r="R21" i="19"/>
  <c r="R46" i="19"/>
  <c r="Q69" i="16" s="1"/>
  <c r="R26" i="19"/>
  <c r="R20" i="19"/>
  <c r="R99" i="19"/>
  <c r="R74" i="19"/>
  <c r="R45" i="19"/>
  <c r="R78" i="19"/>
  <c r="Q102" i="16" s="1"/>
  <c r="Q41" i="17"/>
  <c r="R52" i="19"/>
  <c r="R27" i="19"/>
  <c r="R34" i="19"/>
  <c r="R65" i="19"/>
  <c r="Q89" i="16" s="1"/>
  <c r="R75" i="19"/>
  <c r="R104" i="19"/>
  <c r="Q70" i="17"/>
  <c r="Q91" i="17"/>
  <c r="R54" i="19"/>
  <c r="R51" i="19"/>
  <c r="R53" i="19"/>
  <c r="Q127" i="17"/>
  <c r="Q102" i="17"/>
  <c r="Q97" i="17"/>
  <c r="Q67" i="17"/>
  <c r="Q44" i="17"/>
  <c r="R97" i="19"/>
  <c r="R72" i="19"/>
  <c r="Q96" i="16" s="1"/>
  <c r="R35" i="19"/>
  <c r="Q49" i="16" s="1"/>
  <c r="Q49" i="17"/>
  <c r="R59" i="19"/>
  <c r="Q83" i="16" s="1"/>
  <c r="Q83" i="17"/>
  <c r="Q46" i="17"/>
  <c r="R23" i="19"/>
  <c r="Q35" i="17"/>
  <c r="R91" i="19"/>
  <c r="Q90" i="17"/>
  <c r="R58" i="19"/>
  <c r="Q82" i="16" s="1"/>
  <c r="Q82" i="17"/>
  <c r="Q89" i="17"/>
  <c r="R102" i="19"/>
  <c r="Q64" i="17"/>
  <c r="Q101" i="17"/>
  <c r="Q88" i="17"/>
  <c r="R64" i="19"/>
  <c r="Q120" i="17"/>
  <c r="R49" i="19"/>
  <c r="Q73" i="16" s="1"/>
  <c r="Q73" i="17"/>
  <c r="R70" i="19"/>
  <c r="Q36" i="17"/>
  <c r="Q33" i="17"/>
  <c r="Q121" i="17"/>
  <c r="Q115" i="17"/>
  <c r="Q69" i="17"/>
  <c r="Q56" i="17"/>
  <c r="Q56" i="16"/>
  <c r="R66" i="19"/>
  <c r="Q90" i="16" s="1"/>
  <c r="R84" i="19"/>
  <c r="R32" i="19"/>
  <c r="Q45" i="17"/>
  <c r="Q41" i="16"/>
  <c r="Q54" i="17"/>
  <c r="Q54" i="16"/>
  <c r="R73" i="19"/>
  <c r="R81" i="19"/>
  <c r="Q105" i="16" s="1"/>
  <c r="Q105" i="17"/>
  <c r="Q29" i="16"/>
  <c r="Q94" i="17"/>
  <c r="R96" i="19"/>
  <c r="Q79" i="17"/>
  <c r="R55" i="19"/>
  <c r="Q131" i="17"/>
  <c r="R107" i="19"/>
  <c r="Q25" i="16"/>
  <c r="Q25" i="17"/>
  <c r="R115" i="19"/>
  <c r="R79" i="19"/>
  <c r="R61" i="19"/>
  <c r="R62" i="19"/>
  <c r="R42" i="19"/>
  <c r="Q64" i="16" s="1"/>
  <c r="H17" i="19"/>
  <c r="G27" i="17"/>
  <c r="G30" i="17" s="1"/>
  <c r="G60" i="17" s="1"/>
  <c r="G110" i="17" s="1"/>
  <c r="G136" i="17" s="1"/>
  <c r="G146" i="17" s="1"/>
  <c r="G45" i="23"/>
  <c r="G59" i="23"/>
  <c r="G69" i="23"/>
  <c r="G43" i="23"/>
  <c r="G82" i="23"/>
  <c r="G50" i="23"/>
  <c r="G73" i="23"/>
  <c r="G41" i="23"/>
  <c r="G78" i="23"/>
  <c r="G77" i="23"/>
  <c r="G47" i="23"/>
  <c r="G51" i="23"/>
  <c r="G39" i="23"/>
  <c r="G76" i="23"/>
  <c r="G37" i="23"/>
  <c r="G84" i="23"/>
  <c r="G56" i="23"/>
  <c r="G55" i="23"/>
  <c r="G58" i="23"/>
  <c r="G74" i="23"/>
  <c r="G46" i="23"/>
  <c r="G54" i="23"/>
  <c r="G93" i="23"/>
  <c r="G81" i="23"/>
  <c r="G75" i="23"/>
  <c r="G60" i="23"/>
  <c r="G44" i="23"/>
  <c r="G83" i="23"/>
  <c r="G49" i="23"/>
  <c r="G63" i="23"/>
  <c r="G42" i="23"/>
  <c r="E130" i="16"/>
  <c r="E130" i="17"/>
  <c r="G70" i="23"/>
  <c r="E98" i="17"/>
  <c r="E100" i="17"/>
  <c r="F59" i="19"/>
  <c r="E83" i="16" s="1"/>
  <c r="E84" i="17"/>
  <c r="F60" i="19"/>
  <c r="E84" i="16" s="1"/>
  <c r="F76" i="19"/>
  <c r="E100" i="16" s="1"/>
  <c r="F58" i="19"/>
  <c r="E82" i="16" s="1"/>
  <c r="E82" i="17"/>
  <c r="F57" i="19"/>
  <c r="E81" i="16" s="1"/>
  <c r="Q15" i="40"/>
  <c r="Q76" i="17" l="1"/>
  <c r="Q77" i="17"/>
  <c r="Q92" i="17"/>
  <c r="Q74" i="17"/>
  <c r="S74" i="23"/>
  <c r="Q119" i="16" s="1"/>
  <c r="Q104" i="17"/>
  <c r="Q75" i="17"/>
  <c r="Q103" i="17"/>
  <c r="Q32" i="17"/>
  <c r="Q86" i="17"/>
  <c r="S84" i="23"/>
  <c r="Q131" i="16" s="1"/>
  <c r="Q108" i="17"/>
  <c r="Q78" i="17"/>
  <c r="S93" i="23"/>
  <c r="Q75" i="16"/>
  <c r="R47" i="19"/>
  <c r="Q70" i="16" s="1"/>
  <c r="Q85" i="17"/>
  <c r="Q99" i="16"/>
  <c r="R68" i="19"/>
  <c r="R67" i="19"/>
  <c r="Q72" i="16"/>
  <c r="Q72" i="17"/>
  <c r="R17" i="19"/>
  <c r="Q55" i="17"/>
  <c r="Q21" i="16"/>
  <c r="Q21" i="17"/>
  <c r="Q27" i="17"/>
  <c r="Q100" i="17"/>
  <c r="R76" i="19"/>
  <c r="R92" i="19"/>
  <c r="Q52" i="16"/>
  <c r="Q52" i="17"/>
  <c r="Q118" i="17"/>
  <c r="Q99" i="17"/>
  <c r="Q47" i="17"/>
  <c r="Q47" i="16"/>
  <c r="P27" i="22"/>
  <c r="Q48" i="16"/>
  <c r="Q48" i="17"/>
  <c r="R50" i="19"/>
  <c r="R80" i="19"/>
  <c r="Q98" i="17"/>
  <c r="R77" i="19"/>
  <c r="Q114" i="17"/>
  <c r="Q37" i="16"/>
  <c r="Q37" i="17"/>
  <c r="Q22" i="17"/>
  <c r="Q22" i="16"/>
  <c r="Q24" i="17"/>
  <c r="Q24" i="16"/>
  <c r="Q39" i="17"/>
  <c r="Q40" i="17"/>
  <c r="Q40" i="16"/>
  <c r="Q57" i="17"/>
  <c r="Q57" i="16"/>
  <c r="Q116" i="17"/>
  <c r="Q38" i="17"/>
  <c r="Q38" i="16"/>
  <c r="Q29" i="17"/>
  <c r="Q126" i="17"/>
  <c r="Q76" i="16"/>
  <c r="Q128" i="17"/>
  <c r="Q68" i="17"/>
  <c r="Q68" i="16"/>
  <c r="R90" i="19"/>
  <c r="Q123" i="17"/>
  <c r="Q35" i="16"/>
  <c r="Q45" i="16"/>
  <c r="R71" i="19"/>
  <c r="Q95" i="16" s="1"/>
  <c r="Q95" i="17"/>
  <c r="Q140" i="17"/>
  <c r="E41" i="17"/>
  <c r="E41" i="16"/>
  <c r="E53" i="17"/>
  <c r="E53" i="16"/>
  <c r="E22" i="16"/>
  <c r="E22" i="17"/>
  <c r="E21" i="16"/>
  <c r="E21" i="17"/>
  <c r="Q15" i="39"/>
  <c r="S105" i="17" l="1"/>
  <c r="S65" i="17"/>
  <c r="T84" i="19"/>
  <c r="T21" i="19"/>
  <c r="S88" i="17"/>
  <c r="S21" i="23"/>
  <c r="Q36" i="16" s="1"/>
  <c r="T116" i="19"/>
  <c r="T20" i="19"/>
  <c r="S108" i="17"/>
  <c r="T90" i="19"/>
  <c r="S41" i="23"/>
  <c r="Q74" i="16" s="1"/>
  <c r="S42" i="23"/>
  <c r="T25" i="19"/>
  <c r="S81" i="17"/>
  <c r="S70" i="23"/>
  <c r="Q115" i="16" s="1"/>
  <c r="S131" i="17"/>
  <c r="T24" i="19"/>
  <c r="T95" i="19"/>
  <c r="S68" i="17"/>
  <c r="S39" i="23"/>
  <c r="Q67" i="16" s="1"/>
  <c r="T33" i="19"/>
  <c r="T106" i="19"/>
  <c r="S49" i="17"/>
  <c r="S77" i="23"/>
  <c r="Q122" i="16" s="1"/>
  <c r="U47" i="23"/>
  <c r="S56" i="17"/>
  <c r="T99" i="19"/>
  <c r="T28" i="19"/>
  <c r="T58" i="19"/>
  <c r="S82" i="16" s="1"/>
  <c r="S54" i="16"/>
  <c r="S25" i="16"/>
  <c r="S35" i="17"/>
  <c r="U74" i="23"/>
  <c r="S52" i="17"/>
  <c r="T45" i="19"/>
  <c r="S94" i="23"/>
  <c r="S30" i="23"/>
  <c r="S31" i="23" s="1"/>
  <c r="T34" i="19"/>
  <c r="S103" i="17"/>
  <c r="S71" i="23"/>
  <c r="Q116" i="16" s="1"/>
  <c r="U93" i="23"/>
  <c r="S25" i="23"/>
  <c r="Q44" i="16" s="1"/>
  <c r="S81" i="23"/>
  <c r="Q126" i="16" s="1"/>
  <c r="S54" i="23"/>
  <c r="Q94" i="16" s="1"/>
  <c r="S55" i="23"/>
  <c r="Q97" i="16" s="1"/>
  <c r="S49" i="23"/>
  <c r="Q88" i="16" s="1"/>
  <c r="T26" i="19"/>
  <c r="U84" i="23"/>
  <c r="S92" i="23"/>
  <c r="S37" i="23"/>
  <c r="Q65" i="16" s="1"/>
  <c r="S56" i="23"/>
  <c r="Q98" i="16" s="1"/>
  <c r="S73" i="23"/>
  <c r="Q118" i="16" s="1"/>
  <c r="S127" i="17"/>
  <c r="S29" i="16"/>
  <c r="S22" i="16"/>
  <c r="S47" i="23"/>
  <c r="Q86" i="16" s="1"/>
  <c r="T27" i="19"/>
  <c r="S83" i="23"/>
  <c r="Q128" i="16" s="1"/>
  <c r="S69" i="23"/>
  <c r="Q114" i="16" s="1"/>
  <c r="S22" i="23"/>
  <c r="Q39" i="16" s="1"/>
  <c r="S20" i="23"/>
  <c r="Q33" i="16" s="1"/>
  <c r="S59" i="23"/>
  <c r="Q103" i="16" s="1"/>
  <c r="S58" i="23"/>
  <c r="Q101" i="16" s="1"/>
  <c r="S82" i="23"/>
  <c r="Q127" i="16" s="1"/>
  <c r="S57" i="23"/>
  <c r="Q100" i="16" s="1"/>
  <c r="S44" i="17"/>
  <c r="S41" i="16"/>
  <c r="T49" i="19"/>
  <c r="S73" i="16" s="1"/>
  <c r="U21" i="23"/>
  <c r="U30" i="23"/>
  <c r="S75" i="23"/>
  <c r="Q120" i="16" s="1"/>
  <c r="Q130" i="17"/>
  <c r="Q130" i="16"/>
  <c r="S50" i="23"/>
  <c r="S52" i="23"/>
  <c r="Q92" i="16" s="1"/>
  <c r="Q32" i="16"/>
  <c r="S60" i="23"/>
  <c r="Q104" i="16" s="1"/>
  <c r="S44" i="23"/>
  <c r="Q78" i="16" s="1"/>
  <c r="S123" i="17"/>
  <c r="S43" i="23"/>
  <c r="Q77" i="16" s="1"/>
  <c r="S21" i="16"/>
  <c r="S21" i="17"/>
  <c r="S78" i="23"/>
  <c r="Q123" i="16" s="1"/>
  <c r="Q139" i="17"/>
  <c r="I43" i="44"/>
  <c r="E43" i="44"/>
  <c r="I41" i="44"/>
  <c r="E41" i="44"/>
  <c r="W76" i="25"/>
  <c r="W60" i="25"/>
  <c r="W67" i="25" s="1"/>
  <c r="W42" i="25"/>
  <c r="W46" i="25" s="1"/>
  <c r="W95" i="24"/>
  <c r="W78" i="24"/>
  <c r="W85" i="24" s="1"/>
  <c r="W60" i="24"/>
  <c r="W30" i="24"/>
  <c r="W27" i="24"/>
  <c r="W22" i="24"/>
  <c r="Z113" i="18" l="1"/>
  <c r="D33" i="2" s="1"/>
  <c r="T64" i="19"/>
  <c r="T102" i="19"/>
  <c r="S24" i="17"/>
  <c r="S56" i="16"/>
  <c r="S22" i="17"/>
  <c r="T55" i="19"/>
  <c r="S83" i="17"/>
  <c r="T72" i="19"/>
  <c r="S96" i="16" s="1"/>
  <c r="S96" i="17"/>
  <c r="S97" i="17"/>
  <c r="U71" i="23"/>
  <c r="S116" i="17"/>
  <c r="S98" i="17"/>
  <c r="S38" i="17"/>
  <c r="T77" i="19"/>
  <c r="S70" i="17"/>
  <c r="T65" i="19"/>
  <c r="S89" i="16" s="1"/>
  <c r="T46" i="19"/>
  <c r="S69" i="16" s="1"/>
  <c r="S52" i="16"/>
  <c r="S68" i="16"/>
  <c r="S79" i="17"/>
  <c r="S72" i="16"/>
  <c r="U49" i="23"/>
  <c r="U56" i="23"/>
  <c r="S104" i="17"/>
  <c r="S94" i="17"/>
  <c r="S77" i="17"/>
  <c r="S33" i="17"/>
  <c r="S47" i="16"/>
  <c r="T47" i="19"/>
  <c r="S70" i="16" s="1"/>
  <c r="Q55" i="16"/>
  <c r="S72" i="17"/>
  <c r="T96" i="19"/>
  <c r="T70" i="19"/>
  <c r="T50" i="19"/>
  <c r="S90" i="17"/>
  <c r="S75" i="17"/>
  <c r="S99" i="17"/>
  <c r="S25" i="17"/>
  <c r="T91" i="19"/>
  <c r="T51" i="19"/>
  <c r="S75" i="16" s="1"/>
  <c r="T35" i="19"/>
  <c r="S49" i="16" s="1"/>
  <c r="S78" i="17"/>
  <c r="S24" i="16"/>
  <c r="S41" i="17"/>
  <c r="S29" i="17"/>
  <c r="S139" i="17"/>
  <c r="T115" i="19"/>
  <c r="S115" i="17"/>
  <c r="U52" i="23"/>
  <c r="S86" i="17"/>
  <c r="S102" i="17"/>
  <c r="S47" i="17"/>
  <c r="S46" i="17"/>
  <c r="T81" i="19"/>
  <c r="S105" i="16" s="1"/>
  <c r="T53" i="19"/>
  <c r="S54" i="17"/>
  <c r="S39" i="17"/>
  <c r="S37" i="17"/>
  <c r="S55" i="17"/>
  <c r="S38" i="16"/>
  <c r="S126" i="17"/>
  <c r="S121" i="17"/>
  <c r="S128" i="17"/>
  <c r="T104" i="19"/>
  <c r="S32" i="16"/>
  <c r="S48" i="16"/>
  <c r="T42" i="19"/>
  <c r="S64" i="16" s="1"/>
  <c r="S64" i="17"/>
  <c r="T17" i="19"/>
  <c r="S27" i="17"/>
  <c r="S57" i="17"/>
  <c r="S57" i="16"/>
  <c r="S118" i="17"/>
  <c r="S100" i="17"/>
  <c r="T97" i="19"/>
  <c r="U57" i="23"/>
  <c r="S120" i="17"/>
  <c r="S46" i="16"/>
  <c r="S40" i="16"/>
  <c r="S40" i="17"/>
  <c r="S37" i="16"/>
  <c r="U83" i="23"/>
  <c r="S48" i="17"/>
  <c r="T61" i="19"/>
  <c r="S36" i="17"/>
  <c r="S74" i="17"/>
  <c r="S45" i="17"/>
  <c r="S140" i="17"/>
  <c r="S91" i="17"/>
  <c r="S67" i="17"/>
  <c r="S76" i="23"/>
  <c r="Q121" i="16" s="1"/>
  <c r="S119" i="16"/>
  <c r="T52" i="19"/>
  <c r="S76" i="16" s="1"/>
  <c r="S114" i="17"/>
  <c r="S82" i="17"/>
  <c r="S101" i="17"/>
  <c r="T32" i="19"/>
  <c r="S89" i="17"/>
  <c r="S73" i="17"/>
  <c r="T59" i="19"/>
  <c r="S83" i="16" s="1"/>
  <c r="U76" i="23"/>
  <c r="T67" i="19"/>
  <c r="U25" i="23"/>
  <c r="U81" i="23"/>
  <c r="T74" i="19"/>
  <c r="T66" i="19"/>
  <c r="S90" i="16" s="1"/>
  <c r="S76" i="17"/>
  <c r="S63" i="23"/>
  <c r="Q108" i="16" s="1"/>
  <c r="T75" i="19"/>
  <c r="S99" i="16" s="1"/>
  <c r="U92" i="23"/>
  <c r="T79" i="19"/>
  <c r="T76" i="19"/>
  <c r="U39" i="23"/>
  <c r="T107" i="19"/>
  <c r="T44" i="19"/>
  <c r="U59" i="23"/>
  <c r="T68" i="19"/>
  <c r="U22" i="23"/>
  <c r="U63" i="23"/>
  <c r="U42" i="23"/>
  <c r="U37" i="23"/>
  <c r="S65" i="16" s="1"/>
  <c r="U69" i="23"/>
  <c r="U73" i="23"/>
  <c r="U82" i="23"/>
  <c r="U58" i="23"/>
  <c r="S36" i="16"/>
  <c r="U55" i="23"/>
  <c r="U70" i="23"/>
  <c r="U41" i="23"/>
  <c r="U54" i="23"/>
  <c r="U20" i="23"/>
  <c r="T54" i="19"/>
  <c r="T80" i="19"/>
  <c r="T62" i="19"/>
  <c r="S86" i="16" s="1"/>
  <c r="S32" i="17"/>
  <c r="T92" i="19"/>
  <c r="S69" i="17"/>
  <c r="S92" i="17"/>
  <c r="S85" i="17"/>
  <c r="T23" i="19"/>
  <c r="U51" i="23"/>
  <c r="S51" i="23"/>
  <c r="Q91" i="16" s="1"/>
  <c r="S130" i="17"/>
  <c r="S130" i="16"/>
  <c r="U60" i="23"/>
  <c r="U45" i="23"/>
  <c r="S45" i="23"/>
  <c r="Q79" i="16" s="1"/>
  <c r="U44" i="23"/>
  <c r="U46" i="23"/>
  <c r="S46" i="23"/>
  <c r="Q85" i="16" s="1"/>
  <c r="T73" i="19"/>
  <c r="U50" i="23"/>
  <c r="U78" i="23"/>
  <c r="U77" i="23"/>
  <c r="U43" i="23"/>
  <c r="T78" i="19"/>
  <c r="S102" i="16" s="1"/>
  <c r="U75" i="23"/>
  <c r="U94" i="23"/>
  <c r="S55" i="16"/>
  <c r="S95" i="17"/>
  <c r="T71" i="19"/>
  <c r="S95" i="16" s="1"/>
  <c r="W70" i="25"/>
  <c r="W80" i="25" s="1"/>
  <c r="W32" i="24"/>
  <c r="W64" i="24" s="1"/>
  <c r="W88" i="24" s="1"/>
  <c r="T62" i="22"/>
  <c r="T50" i="22"/>
  <c r="T27" i="22"/>
  <c r="T23" i="22"/>
  <c r="T20" i="22"/>
  <c r="V88" i="21"/>
  <c r="V70" i="21"/>
  <c r="V79" i="21" s="1"/>
  <c r="V52" i="21"/>
  <c r="V56" i="21" s="1"/>
  <c r="V116" i="20"/>
  <c r="V100" i="20"/>
  <c r="V107" i="20" s="1"/>
  <c r="V82" i="20"/>
  <c r="V36" i="20"/>
  <c r="V29" i="20"/>
  <c r="AB8" i="18"/>
  <c r="S88" i="16" l="1"/>
  <c r="S79" i="16"/>
  <c r="S101" i="16"/>
  <c r="S98" i="16"/>
  <c r="S74" i="16"/>
  <c r="S94" i="16"/>
  <c r="S77" i="16"/>
  <c r="S92" i="16"/>
  <c r="S45" i="16"/>
  <c r="S128" i="16"/>
  <c r="S100" i="16"/>
  <c r="S131" i="16"/>
  <c r="S85" i="16"/>
  <c r="S126" i="16"/>
  <c r="S103" i="16"/>
  <c r="S91" i="16"/>
  <c r="S121" i="16"/>
  <c r="S44" i="16"/>
  <c r="S67" i="16"/>
  <c r="S39" i="16"/>
  <c r="S104" i="16"/>
  <c r="S35" i="16"/>
  <c r="S108" i="16"/>
  <c r="S78" i="16"/>
  <c r="S118" i="16"/>
  <c r="S127" i="16"/>
  <c r="S114" i="16"/>
  <c r="S97" i="16"/>
  <c r="S115" i="16"/>
  <c r="S33" i="16"/>
  <c r="S116" i="16"/>
  <c r="S123" i="16"/>
  <c r="S120" i="16"/>
  <c r="S122" i="16"/>
  <c r="T29" i="22"/>
  <c r="T54" i="22" s="1"/>
  <c r="T65" i="22" s="1"/>
  <c r="V82" i="21"/>
  <c r="V92" i="21" s="1"/>
  <c r="V38" i="20"/>
  <c r="V86" i="20" s="1"/>
  <c r="V110" i="20" s="1"/>
  <c r="V120" i="20" s="1"/>
  <c r="I16" i="44"/>
  <c r="E16" i="44"/>
  <c r="Z16" i="43" l="1"/>
  <c r="Z15" i="43"/>
  <c r="Z12" i="43"/>
  <c r="AF96" i="18" l="1"/>
  <c r="AD70" i="21"/>
  <c r="AC37" i="18"/>
  <c r="AF114" i="18"/>
  <c r="Z134" i="18"/>
  <c r="Z60" i="20"/>
  <c r="AA43" i="24"/>
  <c r="X32" i="29"/>
  <c r="F33" i="6" s="1"/>
  <c r="Z131" i="18"/>
  <c r="G39" i="9"/>
  <c r="Z118" i="18"/>
  <c r="Z79" i="20"/>
  <c r="Z97" i="20"/>
  <c r="G206" i="42"/>
  <c r="Z46" i="20"/>
  <c r="AA46" i="24"/>
  <c r="X32" i="28"/>
  <c r="B33" i="6" s="1"/>
  <c r="AA54" i="24"/>
  <c r="AA33" i="25"/>
  <c r="Z24" i="21"/>
  <c r="AD50" i="22"/>
  <c r="Z81" i="18"/>
  <c r="S21" i="18"/>
  <c r="Z21" i="18"/>
  <c r="Z92" i="18"/>
  <c r="Z57" i="20"/>
  <c r="Z42" i="21"/>
  <c r="Z76" i="21"/>
  <c r="Z106" i="19" s="1"/>
  <c r="H40" i="2" s="1"/>
  <c r="Z42" i="20"/>
  <c r="X58" i="22"/>
  <c r="L37" i="2" s="1"/>
  <c r="Z49" i="20"/>
  <c r="X42" i="22"/>
  <c r="Z51" i="18"/>
  <c r="Z39" i="18"/>
  <c r="AC45" i="18"/>
  <c r="Z98" i="18"/>
  <c r="AA24" i="25"/>
  <c r="Z33" i="21"/>
  <c r="X35" i="22"/>
  <c r="Z44" i="20"/>
  <c r="Z46" i="21"/>
  <c r="Z21" i="20"/>
  <c r="Z21" i="19" s="1"/>
  <c r="H29" i="15" s="1"/>
  <c r="AJ33" i="20"/>
  <c r="AL33" i="20" s="1"/>
  <c r="Z33" i="20"/>
  <c r="Z33" i="19" s="1"/>
  <c r="H43" i="15" s="1"/>
  <c r="Z82" i="18"/>
  <c r="Z64" i="21"/>
  <c r="X47" i="22"/>
  <c r="Z22" i="21"/>
  <c r="Y42" i="26"/>
  <c r="B36" i="5" s="1"/>
  <c r="AH42" i="26"/>
  <c r="AG60" i="24"/>
  <c r="Z71" i="18"/>
  <c r="K11" i="42"/>
  <c r="Z44" i="21"/>
  <c r="AF45" i="18"/>
  <c r="AA27" i="25"/>
  <c r="Z33" i="18"/>
  <c r="M178" i="42"/>
  <c r="Z51" i="21"/>
  <c r="G102" i="42"/>
  <c r="Z23" i="18"/>
  <c r="I211" i="42"/>
  <c r="X38" i="22"/>
  <c r="Z74" i="20"/>
  <c r="Z32" i="21"/>
  <c r="X49" i="22"/>
  <c r="Z30" i="18"/>
  <c r="M164" i="42"/>
  <c r="X23" i="29"/>
  <c r="F24" i="6" s="1"/>
  <c r="Z29" i="21"/>
  <c r="AE83" i="17"/>
  <c r="Z59" i="18"/>
  <c r="Y64" i="17" s="1"/>
  <c r="AC96" i="18"/>
  <c r="AD23" i="22"/>
  <c r="AA49" i="24"/>
  <c r="AG22" i="24"/>
  <c r="AA52" i="25"/>
  <c r="Z25" i="18"/>
  <c r="Z86" i="21"/>
  <c r="Z87" i="18"/>
  <c r="AA51" i="24"/>
  <c r="AA20" i="24"/>
  <c r="AA21" i="23" s="1"/>
  <c r="P32" i="15" s="1"/>
  <c r="AA82" i="24"/>
  <c r="Z133" i="18"/>
  <c r="AA81" i="24"/>
  <c r="Z32" i="20"/>
  <c r="Z99" i="20"/>
  <c r="AG29" i="20"/>
  <c r="AA56" i="24"/>
  <c r="AA57" i="23" s="1"/>
  <c r="Z77" i="21"/>
  <c r="Z98" i="20"/>
  <c r="H33" i="3" s="1"/>
  <c r="AA42" i="24"/>
  <c r="S19" i="18"/>
  <c r="Z19" i="18"/>
  <c r="AG115" i="19"/>
  <c r="AG42" i="25"/>
  <c r="Z61" i="20"/>
  <c r="Z61" i="19" s="1"/>
  <c r="Z78" i="20"/>
  <c r="AJ42" i="26"/>
  <c r="AA77" i="24"/>
  <c r="AA78" i="23" s="1"/>
  <c r="P33" i="2" s="1"/>
  <c r="AA31" i="25"/>
  <c r="AA74" i="25"/>
  <c r="Z106" i="18"/>
  <c r="K201" i="42"/>
  <c r="AA24" i="24"/>
  <c r="AA25" i="23" s="1"/>
  <c r="P41" i="15" s="1"/>
  <c r="AD27" i="24"/>
  <c r="Z70" i="18"/>
  <c r="Z62" i="20"/>
  <c r="Z62" i="19" s="1"/>
  <c r="AA19" i="27"/>
  <c r="X17" i="27"/>
  <c r="F18" i="5" s="1"/>
  <c r="Z72" i="20"/>
  <c r="Z85" i="21"/>
  <c r="AA73" i="25"/>
  <c r="AA93" i="23" s="1"/>
  <c r="P49" i="2" s="1"/>
  <c r="AA73" i="24"/>
  <c r="X44" i="22"/>
  <c r="AB34" i="2"/>
  <c r="M139" i="42"/>
  <c r="AA21" i="24"/>
  <c r="AA22" i="23" s="1"/>
  <c r="P35" i="15" s="1"/>
  <c r="X26" i="27"/>
  <c r="F27" i="5" s="1"/>
  <c r="Z28" i="21"/>
  <c r="Z55" i="20"/>
  <c r="AA23" i="25"/>
  <c r="X24" i="28"/>
  <c r="B25" i="6" s="1"/>
  <c r="Z22" i="20"/>
  <c r="Z22" i="19" s="1"/>
  <c r="H30" i="15" s="1"/>
  <c r="Z26" i="20"/>
  <c r="Z26" i="19" s="1"/>
  <c r="H34" i="15" s="1"/>
  <c r="Z50" i="18"/>
  <c r="Z89" i="18"/>
  <c r="Y98" i="17" s="1"/>
  <c r="Z45" i="20"/>
  <c r="Z45" i="19" s="1"/>
  <c r="Y29" i="26"/>
  <c r="B26" i="5" s="1"/>
  <c r="Z51" i="20"/>
  <c r="AD60" i="25"/>
  <c r="AA50" i="25"/>
  <c r="Z49" i="18"/>
  <c r="Z78" i="18"/>
  <c r="Z52" i="18"/>
  <c r="Y57" i="17" s="1"/>
  <c r="Y41" i="26"/>
  <c r="B35" i="5" s="1"/>
  <c r="AK44" i="18"/>
  <c r="K188" i="42"/>
  <c r="AG100" i="20"/>
  <c r="X24" i="29"/>
  <c r="F25" i="6" s="1"/>
  <c r="Z36" i="18"/>
  <c r="K102" i="42"/>
  <c r="Z67" i="20"/>
  <c r="AA40" i="25"/>
  <c r="AA59" i="23" s="1"/>
  <c r="Z47" i="18"/>
  <c r="X37" i="27"/>
  <c r="F36" i="5" s="1"/>
  <c r="AI84" i="23"/>
  <c r="X37" i="22"/>
  <c r="Z50" i="21"/>
  <c r="Z80" i="18"/>
  <c r="Z73" i="21"/>
  <c r="Z52" i="20"/>
  <c r="Z52" i="19" s="1"/>
  <c r="AA26" i="25"/>
  <c r="Z49" i="21"/>
  <c r="AA57" i="24"/>
  <c r="K258" i="42"/>
  <c r="X22" i="28"/>
  <c r="B23" i="6" s="1"/>
  <c r="Q22" i="28"/>
  <c r="Z48" i="21"/>
  <c r="AD60" i="24"/>
  <c r="AA36" i="24"/>
  <c r="AD20" i="22"/>
  <c r="Z53" i="20"/>
  <c r="Z35" i="20"/>
  <c r="Z35" i="19" s="1"/>
  <c r="H46" i="15" s="1"/>
  <c r="Z44" i="18"/>
  <c r="Z66" i="20"/>
  <c r="AA55" i="24"/>
  <c r="AA32" i="25"/>
  <c r="AA20" i="22"/>
  <c r="X19" i="22"/>
  <c r="X68" i="22"/>
  <c r="L49" i="2" s="1"/>
  <c r="Z70" i="20"/>
  <c r="AA45" i="24"/>
  <c r="X16" i="28"/>
  <c r="B18" i="6" s="1"/>
  <c r="Z77" i="18"/>
  <c r="I201" i="42"/>
  <c r="Z116" i="18"/>
  <c r="Z26" i="21"/>
  <c r="I102" i="42"/>
  <c r="Z105" i="20"/>
  <c r="AA80" i="24"/>
  <c r="Z28" i="20"/>
  <c r="Z28" i="19" s="1"/>
  <c r="H36" i="15" s="1"/>
  <c r="Z23" i="21"/>
  <c r="Z84" i="18"/>
  <c r="Z81" i="20"/>
  <c r="Z102" i="20"/>
  <c r="Z62" i="18"/>
  <c r="Y67" i="17" s="1"/>
  <c r="AA65" i="25"/>
  <c r="AA84" i="23" s="1"/>
  <c r="P41" i="2" s="1"/>
  <c r="Z84" i="20"/>
  <c r="AA28" i="25"/>
  <c r="AA63" i="25"/>
  <c r="Z65" i="18"/>
  <c r="AA55" i="25"/>
  <c r="Z72" i="21"/>
  <c r="AA41" i="24"/>
  <c r="AA42" i="23" s="1"/>
  <c r="X23" i="28"/>
  <c r="B24" i="6" s="1"/>
  <c r="N23" i="15"/>
  <c r="X16" i="22"/>
  <c r="Z91" i="20"/>
  <c r="Z86" i="18"/>
  <c r="Z68" i="20"/>
  <c r="Z67" i="18"/>
  <c r="M111" i="42"/>
  <c r="AK31" i="18"/>
  <c r="Z61" i="21"/>
  <c r="Z48" i="18"/>
  <c r="AG27" i="24"/>
  <c r="I188" i="42"/>
  <c r="X22" i="29"/>
  <c r="F23" i="6" s="1"/>
  <c r="AA25" i="29"/>
  <c r="AL25" i="20"/>
  <c r="AG25" i="19"/>
  <c r="AL25" i="19" s="1"/>
  <c r="Z42" i="18"/>
  <c r="D44" i="15" s="1"/>
  <c r="Z65" i="21"/>
  <c r="Z60" i="18"/>
  <c r="Y65" i="17" s="1"/>
  <c r="Z59" i="20"/>
  <c r="Z65" i="20"/>
  <c r="AA29" i="25"/>
  <c r="Z88" i="18"/>
  <c r="X39" i="22"/>
  <c r="Z23" i="20"/>
  <c r="AA76" i="24"/>
  <c r="AA64" i="25"/>
  <c r="AA21" i="25"/>
  <c r="Z64" i="20"/>
  <c r="Y88" i="17" s="1"/>
  <c r="Z21" i="21"/>
  <c r="AA40" i="24"/>
  <c r="AA41" i="23" s="1"/>
  <c r="AI92" i="23"/>
  <c r="AD48" i="2" s="1"/>
  <c r="AA50" i="24"/>
  <c r="AA51" i="23" s="1"/>
  <c r="AA74" i="24"/>
  <c r="K211" i="42"/>
  <c r="AG52" i="21"/>
  <c r="Y20" i="26"/>
  <c r="B19" i="5" s="1"/>
  <c r="AD29" i="20"/>
  <c r="Z20" i="20"/>
  <c r="Z20" i="19" s="1"/>
  <c r="Z114" i="20"/>
  <c r="Z27" i="21"/>
  <c r="Z51" i="19" s="1"/>
  <c r="Z66" i="21"/>
  <c r="Z96" i="19" s="1"/>
  <c r="H30" i="2" s="1"/>
  <c r="X41" i="22"/>
  <c r="Y85" i="17" s="1"/>
  <c r="Z113" i="20"/>
  <c r="AA68" i="24"/>
  <c r="AA69" i="23" s="1"/>
  <c r="P24" i="2" s="1"/>
  <c r="AD78" i="24"/>
  <c r="Z94" i="18"/>
  <c r="Z76" i="18"/>
  <c r="Z31" i="20"/>
  <c r="Z31" i="19" s="1"/>
  <c r="H41" i="15" s="1"/>
  <c r="Z128" i="18"/>
  <c r="Z94" i="20"/>
  <c r="Z43" i="21"/>
  <c r="Z112" i="18"/>
  <c r="D32" i="2" s="1"/>
  <c r="X31" i="29"/>
  <c r="F32" i="6" s="1"/>
  <c r="Y21" i="26"/>
  <c r="B20" i="5" s="1"/>
  <c r="Z54" i="20"/>
  <c r="AA37" i="25"/>
  <c r="AA53" i="24"/>
  <c r="AA44" i="24"/>
  <c r="AA45" i="23" s="1"/>
  <c r="Z64" i="18"/>
  <c r="Y69" i="17" s="1"/>
  <c r="AA70" i="24"/>
  <c r="AA26" i="24"/>
  <c r="AA27" i="23" s="1"/>
  <c r="P46" i="15" s="1"/>
  <c r="X60" i="22"/>
  <c r="AA93" i="24"/>
  <c r="AA94" i="23" s="1"/>
  <c r="P50" i="2" s="1"/>
  <c r="AA54" i="25"/>
  <c r="Z95" i="20"/>
  <c r="AA57" i="25"/>
  <c r="AD52" i="21"/>
  <c r="Z19" i="21"/>
  <c r="Z42" i="19" s="1"/>
  <c r="Y64" i="16" s="1"/>
  <c r="X45" i="22"/>
  <c r="Z75" i="20"/>
  <c r="Z34" i="18"/>
  <c r="X16" i="29"/>
  <c r="F18" i="6" s="1"/>
  <c r="Z37" i="21"/>
  <c r="AJ34" i="20"/>
  <c r="AL34" i="20" s="1"/>
  <c r="Z34" i="20"/>
  <c r="Z34" i="19" s="1"/>
  <c r="H44" i="15" s="1"/>
  <c r="Z72" i="18"/>
  <c r="Z58" i="20"/>
  <c r="X36" i="27"/>
  <c r="F35" i="5" s="1"/>
  <c r="Z73" i="20"/>
  <c r="X40" i="22"/>
  <c r="Z24" i="20"/>
  <c r="Z24" i="19" s="1"/>
  <c r="H32" i="15" s="1"/>
  <c r="Z35" i="18"/>
  <c r="Y40" i="17" s="1"/>
  <c r="AG116" i="19"/>
  <c r="Z69" i="18"/>
  <c r="AA34" i="25"/>
  <c r="Z40" i="18"/>
  <c r="AI41" i="22"/>
  <c r="Z91" i="18"/>
  <c r="Z104" i="20"/>
  <c r="X24" i="27"/>
  <c r="F25" i="5" s="1"/>
  <c r="AL41" i="21"/>
  <c r="Z109" i="18"/>
  <c r="Y119" i="17" s="1"/>
  <c r="AA25" i="25"/>
  <c r="AA43" i="23" s="1"/>
  <c r="Z117" i="18"/>
  <c r="D37" i="2" s="1"/>
  <c r="M184" i="42"/>
  <c r="Z41" i="21"/>
  <c r="Z70" i="19" s="1"/>
  <c r="Z29" i="18"/>
  <c r="I258" i="42"/>
  <c r="Z68" i="21"/>
  <c r="Z98" i="19" s="1"/>
  <c r="H32" i="2" s="1"/>
  <c r="Z73" i="18"/>
  <c r="X33" i="22"/>
  <c r="AA50" i="22"/>
  <c r="Z108" i="18"/>
  <c r="AA39" i="25"/>
  <c r="AA75" i="24"/>
  <c r="Z35" i="21"/>
  <c r="Z93" i="18"/>
  <c r="Y102" i="17" s="1"/>
  <c r="Z129" i="18"/>
  <c r="Z47" i="21"/>
  <c r="Z80" i="20"/>
  <c r="I206" i="42"/>
  <c r="Z25" i="20"/>
  <c r="Z25" i="19" s="1"/>
  <c r="AJ25" i="20"/>
  <c r="AG60" i="25"/>
  <c r="Z110" i="18"/>
  <c r="Z63" i="18"/>
  <c r="Z127" i="18"/>
  <c r="Z31" i="18"/>
  <c r="I11" i="42"/>
  <c r="AD100" i="20"/>
  <c r="Z90" i="20"/>
  <c r="G211" i="42"/>
  <c r="AG70" i="21"/>
  <c r="Z24" i="18"/>
  <c r="F23" i="15"/>
  <c r="AF22" i="18"/>
  <c r="AF26" i="18" s="1"/>
  <c r="Z45" i="21"/>
  <c r="AG21" i="19"/>
  <c r="X69" i="22"/>
  <c r="L50" i="2" s="1"/>
  <c r="AA62" i="25"/>
  <c r="Z54" i="21"/>
  <c r="X31" i="28"/>
  <c r="B32" i="6" s="1"/>
  <c r="Z76" i="20"/>
  <c r="F33" i="15"/>
  <c r="AI32" i="18"/>
  <c r="Z32" i="18"/>
  <c r="Y37" i="17" s="1"/>
  <c r="AB37" i="17" s="1"/>
  <c r="Z31" i="21"/>
  <c r="AA56" i="25"/>
  <c r="AA75" i="23" s="1"/>
  <c r="P30" i="2" s="1"/>
  <c r="Z83" i="18"/>
  <c r="Y91" i="17" s="1"/>
  <c r="Z105" i="18"/>
  <c r="AA58" i="25"/>
  <c r="Z103" i="20"/>
  <c r="Y127" i="17" s="1"/>
  <c r="Z50" i="20"/>
  <c r="Z50" i="19" s="1"/>
  <c r="G11" i="42"/>
  <c r="Z39" i="21"/>
  <c r="Z38" i="21"/>
  <c r="AA25" i="24"/>
  <c r="AA26" i="23" s="1"/>
  <c r="P42" i="15" s="1"/>
  <c r="Z69" i="21"/>
  <c r="AA44" i="25"/>
  <c r="AA63" i="23" s="1"/>
  <c r="P19" i="2" s="1"/>
  <c r="AA72" i="24"/>
  <c r="AG78" i="24"/>
  <c r="Z68" i="18"/>
  <c r="AA19" i="24"/>
  <c r="AA20" i="23" s="1"/>
  <c r="P29" i="15" s="1"/>
  <c r="AD22" i="24"/>
  <c r="Z36" i="21"/>
  <c r="AA38" i="25"/>
  <c r="AA36" i="25"/>
  <c r="X48" i="22"/>
  <c r="Z27" i="20"/>
  <c r="Z27" i="19" s="1"/>
  <c r="H35" i="15" s="1"/>
  <c r="Z30" i="21"/>
  <c r="Z54" i="19" s="1"/>
  <c r="G201" i="42"/>
  <c r="AA69" i="24"/>
  <c r="AA70" i="23" s="1"/>
  <c r="P25" i="2" s="1"/>
  <c r="AA59" i="24"/>
  <c r="AA38" i="24"/>
  <c r="AA39" i="23" s="1"/>
  <c r="AK32" i="18"/>
  <c r="AE37" i="17"/>
  <c r="AJ37" i="17" s="1"/>
  <c r="Y28" i="26"/>
  <c r="B25" i="5" s="1"/>
  <c r="AB33" i="26"/>
  <c r="K206" i="42"/>
  <c r="K261" i="42" s="1"/>
  <c r="Z20" i="18"/>
  <c r="S20" i="18"/>
  <c r="X36" i="22"/>
  <c r="Z67" i="21"/>
  <c r="Z97" i="19" s="1"/>
  <c r="AA41" i="25"/>
  <c r="F17" i="15"/>
  <c r="Z18" i="18"/>
  <c r="Y22" i="16" s="1"/>
  <c r="S18" i="18"/>
  <c r="AE48" i="17"/>
  <c r="AE48" i="16"/>
  <c r="AA19" i="25"/>
  <c r="AD42" i="25"/>
  <c r="AF37" i="18"/>
  <c r="AA48" i="24"/>
  <c r="AA49" i="23" s="1"/>
  <c r="AA51" i="25"/>
  <c r="Z41" i="18"/>
  <c r="Z95" i="18"/>
  <c r="Y104" i="17" s="1"/>
  <c r="AA91" i="24"/>
  <c r="AA92" i="23" s="1"/>
  <c r="P48" i="2" s="1"/>
  <c r="Z17" i="18"/>
  <c r="D16" i="15" s="1"/>
  <c r="AC22" i="18"/>
  <c r="AC26" i="18" s="1"/>
  <c r="F14" i="2" s="1"/>
  <c r="S17" i="18"/>
  <c r="U17" i="18"/>
  <c r="F16" i="15"/>
  <c r="G258" i="42"/>
  <c r="Z77" i="20"/>
  <c r="Z77" i="19" s="1"/>
  <c r="G188" i="42"/>
  <c r="Z74" i="21"/>
  <c r="Y19" i="26"/>
  <c r="B18" i="5" s="1"/>
  <c r="Z62" i="21"/>
  <c r="Z92" i="19" s="1"/>
  <c r="H26" i="2" s="1"/>
  <c r="Z47" i="20"/>
  <c r="Z47" i="19" s="1"/>
  <c r="Y70" i="16" s="1"/>
  <c r="AC114" i="18"/>
  <c r="Z104" i="18"/>
  <c r="D29" i="2"/>
  <c r="Y97" i="17"/>
  <c r="V44" i="15"/>
  <c r="Y140" i="17"/>
  <c r="AA71" i="23"/>
  <c r="AA82" i="23"/>
  <c r="P37" i="2" s="1"/>
  <c r="AG82" i="20"/>
  <c r="Z71" i="20"/>
  <c r="AD82" i="20"/>
  <c r="Z130" i="18"/>
  <c r="Y120" i="16"/>
  <c r="D50" i="2"/>
  <c r="Y40" i="16"/>
  <c r="D36" i="15"/>
  <c r="D17" i="15"/>
  <c r="Y56" i="16"/>
  <c r="Y56" i="17"/>
  <c r="D54" i="15"/>
  <c r="Y25" i="16"/>
  <c r="Y25" i="17"/>
  <c r="D20" i="15"/>
  <c r="Y68" i="17"/>
  <c r="Y68" i="16"/>
  <c r="AA46" i="23"/>
  <c r="Y85" i="16" s="1"/>
  <c r="Y116" i="17"/>
  <c r="D26" i="2"/>
  <c r="D41" i="15"/>
  <c r="Y21" i="17"/>
  <c r="Y21" i="16"/>
  <c r="Y79" i="17"/>
  <c r="Z55" i="19"/>
  <c r="Y79" i="16" s="1"/>
  <c r="H50" i="3"/>
  <c r="Z116" i="19"/>
  <c r="H50" i="2" s="1"/>
  <c r="Z65" i="19"/>
  <c r="Y89" i="16" s="1"/>
  <c r="Z64" i="19"/>
  <c r="Y122" i="17"/>
  <c r="AD50" i="2"/>
  <c r="Z49" i="19"/>
  <c r="Y73" i="16" s="1"/>
  <c r="Y73" i="17"/>
  <c r="AD49" i="2"/>
  <c r="D29" i="15"/>
  <c r="Y33" i="17"/>
  <c r="Y33" i="16"/>
  <c r="D51" i="15"/>
  <c r="Y53" i="16"/>
  <c r="Y53" i="17"/>
  <c r="Y57" i="16"/>
  <c r="D55" i="15"/>
  <c r="Y52" i="16"/>
  <c r="D50" i="15"/>
  <c r="Y52" i="17"/>
  <c r="Z81" i="19"/>
  <c r="Y105" i="16" s="1"/>
  <c r="Y105" i="17"/>
  <c r="Y24" i="16"/>
  <c r="D19" i="15"/>
  <c r="Y24" i="17"/>
  <c r="Z59" i="19"/>
  <c r="Y83" i="16" s="1"/>
  <c r="Y83" i="17"/>
  <c r="AA56" i="23"/>
  <c r="AA44" i="23"/>
  <c r="Y78" i="16" s="1"/>
  <c r="Z60" i="19"/>
  <c r="Y84" i="16" s="1"/>
  <c r="Y84" i="17"/>
  <c r="D23" i="15"/>
  <c r="Y28" i="16"/>
  <c r="Y28" i="17"/>
  <c r="D24" i="15"/>
  <c r="Y29" i="17"/>
  <c r="Y29" i="16"/>
  <c r="D53" i="15"/>
  <c r="Y55" i="16"/>
  <c r="Y55" i="17"/>
  <c r="Y76" i="17"/>
  <c r="H32" i="3"/>
  <c r="Y121" i="17"/>
  <c r="F99" i="19"/>
  <c r="F98" i="19"/>
  <c r="F97" i="19"/>
  <c r="F20" i="19"/>
  <c r="F106" i="19"/>
  <c r="F28" i="19"/>
  <c r="F94" i="19"/>
  <c r="F26" i="19"/>
  <c r="F74" i="19"/>
  <c r="E98" i="16" s="1"/>
  <c r="F33" i="19"/>
  <c r="F72" i="19"/>
  <c r="E96" i="16" s="1"/>
  <c r="F21" i="19"/>
  <c r="F27" i="19"/>
  <c r="F31" i="19"/>
  <c r="F35" i="19"/>
  <c r="F22" i="19"/>
  <c r="E85" i="17"/>
  <c r="H42" i="19"/>
  <c r="F34" i="19"/>
  <c r="Z73" i="19" l="1"/>
  <c r="Z53" i="19"/>
  <c r="Y77" i="16" s="1"/>
  <c r="Y22" i="17"/>
  <c r="H38" i="3"/>
  <c r="AH37" i="17"/>
  <c r="Y101" i="17"/>
  <c r="G261" i="42"/>
  <c r="AA50" i="23"/>
  <c r="AA81" i="23"/>
  <c r="P36" i="2" s="1"/>
  <c r="AA76" i="23"/>
  <c r="P31" i="2" s="1"/>
  <c r="Y74" i="16"/>
  <c r="Z75" i="19"/>
  <c r="Y99" i="16" s="1"/>
  <c r="AE37" i="16"/>
  <c r="AD33" i="15" s="1"/>
  <c r="AJ33" i="15" s="1"/>
  <c r="Z23" i="19"/>
  <c r="Y35" i="17"/>
  <c r="Y49" i="17"/>
  <c r="D46" i="15"/>
  <c r="Y49" i="16"/>
  <c r="D52" i="15"/>
  <c r="Y54" i="16"/>
  <c r="Y54" i="17"/>
  <c r="Y47" i="17"/>
  <c r="I261" i="42"/>
  <c r="D28" i="2"/>
  <c r="Y118" i="17"/>
  <c r="Y39" i="16"/>
  <c r="Y39" i="17"/>
  <c r="D35" i="15"/>
  <c r="Y77" i="17"/>
  <c r="Z107" i="19"/>
  <c r="Y131" i="17"/>
  <c r="H42" i="3"/>
  <c r="Y108" i="17"/>
  <c r="D19" i="2"/>
  <c r="Z79" i="19"/>
  <c r="Y103" i="16" s="1"/>
  <c r="H31" i="2"/>
  <c r="Y121" i="16"/>
  <c r="AA73" i="23"/>
  <c r="P28" i="2" s="1"/>
  <c r="D32" i="15"/>
  <c r="Y36" i="16"/>
  <c r="Z80" i="19"/>
  <c r="D42" i="15"/>
  <c r="Y130" i="16"/>
  <c r="L40" i="2"/>
  <c r="Y130" i="17"/>
  <c r="Y103" i="17"/>
  <c r="Y32" i="16"/>
  <c r="H28" i="15"/>
  <c r="AA58" i="23"/>
  <c r="Y101" i="16" s="1"/>
  <c r="Y75" i="16"/>
  <c r="Y75" i="17"/>
  <c r="AA83" i="23"/>
  <c r="P38" i="2" s="1"/>
  <c r="Y34" i="17"/>
  <c r="Y34" i="16"/>
  <c r="D30" i="15"/>
  <c r="Y128" i="17"/>
  <c r="D38" i="2"/>
  <c r="Y41" i="17"/>
  <c r="Y41" i="16"/>
  <c r="D37" i="15"/>
  <c r="Z103" i="19"/>
  <c r="AJ37" i="16"/>
  <c r="Z76" i="19"/>
  <c r="Y100" i="16" s="1"/>
  <c r="Y100" i="17"/>
  <c r="Z58" i="19"/>
  <c r="Y82" i="16" s="1"/>
  <c r="Y82" i="17"/>
  <c r="Y72" i="16"/>
  <c r="Y72" i="17"/>
  <c r="H37" i="3"/>
  <c r="Z102" i="19"/>
  <c r="Y32" i="17"/>
  <c r="L28" i="15"/>
  <c r="AA74" i="23"/>
  <c r="P29" i="2" s="1"/>
  <c r="Z78" i="19"/>
  <c r="Y102" i="16" s="1"/>
  <c r="Y44" i="16"/>
  <c r="Y81" i="17"/>
  <c r="Z57" i="19"/>
  <c r="Y81" i="16" s="1"/>
  <c r="AA55" i="23"/>
  <c r="Y97" i="16" s="1"/>
  <c r="H33" i="15"/>
  <c r="AD25" i="19"/>
  <c r="Y44" i="17"/>
  <c r="D25" i="2"/>
  <c r="Y115" i="17"/>
  <c r="Y78" i="17"/>
  <c r="Y74" i="17"/>
  <c r="Z68" i="19"/>
  <c r="D36" i="2"/>
  <c r="Y126" i="17"/>
  <c r="AA37" i="23"/>
  <c r="Y65" i="16" s="1"/>
  <c r="AA52" i="23"/>
  <c r="Y38" i="17"/>
  <c r="D34" i="15"/>
  <c r="Y38" i="16"/>
  <c r="H20" i="3"/>
  <c r="Z84" i="19"/>
  <c r="Y88" i="16"/>
  <c r="Y47" i="16"/>
  <c r="AA60" i="23"/>
  <c r="Y120" i="17"/>
  <c r="D30" i="2"/>
  <c r="H49" i="3"/>
  <c r="Z115" i="19"/>
  <c r="H49" i="2" s="1"/>
  <c r="Y94" i="17"/>
  <c r="Y70" i="17"/>
  <c r="Y92" i="17"/>
  <c r="Y76" i="16"/>
  <c r="Z74" i="19"/>
  <c r="Y98" i="16" s="1"/>
  <c r="Z44" i="19"/>
  <c r="Y67" i="16" s="1"/>
  <c r="AA47" i="23"/>
  <c r="Y86" i="16" s="1"/>
  <c r="Y37" i="16"/>
  <c r="AB37" i="16" s="1"/>
  <c r="D33" i="15"/>
  <c r="V33" i="15" s="1"/>
  <c r="Y46" i="17"/>
  <c r="D43" i="15"/>
  <c r="Y46" i="16"/>
  <c r="H29" i="3"/>
  <c r="Z94" i="19"/>
  <c r="H26" i="3"/>
  <c r="Z91" i="19"/>
  <c r="Z67" i="19"/>
  <c r="Y91" i="16" s="1"/>
  <c r="Z72" i="19"/>
  <c r="Y96" i="16" s="1"/>
  <c r="Y96" i="17"/>
  <c r="Y123" i="17"/>
  <c r="Z99" i="19"/>
  <c r="H34" i="3"/>
  <c r="Y99" i="17"/>
  <c r="Z46" i="19"/>
  <c r="Y69" i="16" s="1"/>
  <c r="D24" i="2"/>
  <c r="Y114" i="17"/>
  <c r="Y36" i="17"/>
  <c r="H25" i="3"/>
  <c r="Z90" i="19"/>
  <c r="H24" i="2" s="1"/>
  <c r="Z104" i="19"/>
  <c r="H39" i="3"/>
  <c r="H30" i="3"/>
  <c r="Z95" i="19"/>
  <c r="AA54" i="23"/>
  <c r="Y94" i="16" s="1"/>
  <c r="AA77" i="23"/>
  <c r="L23" i="15"/>
  <c r="L14" i="2"/>
  <c r="Z66" i="19"/>
  <c r="Y90" i="16" s="1"/>
  <c r="Y86" i="17"/>
  <c r="Y23" i="16"/>
  <c r="D18" i="15"/>
  <c r="Y23" i="17"/>
  <c r="Z32" i="19"/>
  <c r="H42" i="15" s="1"/>
  <c r="Y45" i="17"/>
  <c r="Y89" i="17"/>
  <c r="D22" i="15"/>
  <c r="Y27" i="16"/>
  <c r="Y27" i="17"/>
  <c r="Y90" i="17"/>
  <c r="P26" i="2"/>
  <c r="Y116" i="16"/>
  <c r="D49" i="2"/>
  <c r="Y139" i="17"/>
  <c r="Y95" i="17"/>
  <c r="Z71" i="19"/>
  <c r="Y95" i="16" s="1"/>
  <c r="H82" i="19"/>
  <c r="G64" i="16"/>
  <c r="G106" i="16" s="1"/>
  <c r="G110" i="16" s="1"/>
  <c r="G136" i="16" s="1"/>
  <c r="F77" i="19"/>
  <c r="E101" i="16" s="1"/>
  <c r="F78" i="19"/>
  <c r="E102" i="16" s="1"/>
  <c r="E104" i="17"/>
  <c r="F73" i="19"/>
  <c r="E97" i="16" s="1"/>
  <c r="F62" i="19"/>
  <c r="E86" i="16" s="1"/>
  <c r="F67" i="19"/>
  <c r="E91" i="16" s="1"/>
  <c r="F52" i="19"/>
  <c r="E76" i="16" s="1"/>
  <c r="F80" i="19"/>
  <c r="E104" i="16" s="1"/>
  <c r="E74" i="17"/>
  <c r="F42" i="19"/>
  <c r="E64" i="16" s="1"/>
  <c r="F50" i="19"/>
  <c r="E74" i="16" s="1"/>
  <c r="F44" i="19"/>
  <c r="E67" i="16" s="1"/>
  <c r="F65" i="19"/>
  <c r="E89" i="16" s="1"/>
  <c r="F47" i="19"/>
  <c r="E70" i="16" s="1"/>
  <c r="E99" i="17"/>
  <c r="E101" i="17"/>
  <c r="E103" i="17"/>
  <c r="F79" i="19"/>
  <c r="E103" i="16" s="1"/>
  <c r="F68" i="19"/>
  <c r="E92" i="16" s="1"/>
  <c r="E90" i="17"/>
  <c r="F66" i="19"/>
  <c r="E90" i="16" s="1"/>
  <c r="F75" i="19"/>
  <c r="E99" i="16" s="1"/>
  <c r="F54" i="19"/>
  <c r="E78" i="16" s="1"/>
  <c r="E78" i="17"/>
  <c r="E67" i="17"/>
  <c r="F32" i="19"/>
  <c r="F53" i="19"/>
  <c r="E77" i="16" s="1"/>
  <c r="F49" i="19"/>
  <c r="E73" i="16" s="1"/>
  <c r="E73" i="17"/>
  <c r="E70" i="17"/>
  <c r="F46" i="19"/>
  <c r="E69" i="16" s="1"/>
  <c r="F24" i="19"/>
  <c r="E72" i="17"/>
  <c r="E72" i="16"/>
  <c r="E89" i="17"/>
  <c r="E35" i="17"/>
  <c r="F23" i="19"/>
  <c r="E94" i="17"/>
  <c r="F70" i="19"/>
  <c r="E94" i="16" s="1"/>
  <c r="F64" i="19"/>
  <c r="E88" i="16" s="1"/>
  <c r="E88" i="17"/>
  <c r="E76" i="17"/>
  <c r="E79" i="17"/>
  <c r="F55" i="19"/>
  <c r="E79" i="16" s="1"/>
  <c r="E92" i="17"/>
  <c r="E77" i="17"/>
  <c r="F45" i="19"/>
  <c r="E68" i="16" s="1"/>
  <c r="E65" i="17"/>
  <c r="E65" i="16"/>
  <c r="F61" i="19"/>
  <c r="E85" i="16" s="1"/>
  <c r="E86" i="17"/>
  <c r="E91" i="17"/>
  <c r="E102" i="17"/>
  <c r="E69" i="17"/>
  <c r="F81" i="19"/>
  <c r="E105" i="16" s="1"/>
  <c r="E105" i="17"/>
  <c r="E75" i="17"/>
  <c r="F51" i="19"/>
  <c r="E75" i="16" s="1"/>
  <c r="E64" i="17"/>
  <c r="E97" i="17"/>
  <c r="E68" i="17"/>
  <c r="T71" i="22"/>
  <c r="Y104" i="16" l="1"/>
  <c r="AH37" i="16"/>
  <c r="Y114" i="16"/>
  <c r="H29" i="2"/>
  <c r="Y119" i="16"/>
  <c r="H19" i="2"/>
  <c r="Y108" i="16"/>
  <c r="Y45" i="16"/>
  <c r="H25" i="2"/>
  <c r="Y115" i="16"/>
  <c r="Y92" i="16"/>
  <c r="Y126" i="16"/>
  <c r="H36" i="2"/>
  <c r="H38" i="2"/>
  <c r="Y128" i="16"/>
  <c r="P32" i="2"/>
  <c r="Y122" i="16"/>
  <c r="H28" i="2"/>
  <c r="Y118" i="16"/>
  <c r="Y123" i="16"/>
  <c r="H33" i="2"/>
  <c r="Y131" i="16"/>
  <c r="H41" i="2"/>
  <c r="H37" i="2"/>
  <c r="Y127" i="16"/>
  <c r="Y35" i="16"/>
  <c r="H31" i="15"/>
  <c r="J33" i="15"/>
  <c r="X33" i="15" s="1"/>
  <c r="AH33" i="15" s="1"/>
  <c r="AJ25" i="19"/>
  <c r="E118" i="17"/>
  <c r="F17" i="19"/>
  <c r="F91" i="19"/>
  <c r="F84" i="19"/>
  <c r="F116" i="19"/>
  <c r="E35" i="16"/>
  <c r="F115" i="19"/>
  <c r="E28" i="17"/>
  <c r="F104" i="19"/>
  <c r="E120" i="17"/>
  <c r="E44" i="17"/>
  <c r="E36" i="17"/>
  <c r="E45" i="17"/>
  <c r="F95" i="19"/>
  <c r="E40" i="17"/>
  <c r="E32" i="16"/>
  <c r="E27" i="17"/>
  <c r="F96" i="19"/>
  <c r="E44" i="16"/>
  <c r="E127" i="17"/>
  <c r="F103" i="19"/>
  <c r="E95" i="17"/>
  <c r="F71" i="19"/>
  <c r="E95" i="16" s="1"/>
  <c r="F90" i="19"/>
  <c r="E114" i="17"/>
  <c r="E38" i="17"/>
  <c r="E38" i="16"/>
  <c r="E122" i="17"/>
  <c r="E122" i="16"/>
  <c r="E57" i="17"/>
  <c r="E57" i="16"/>
  <c r="E126" i="17"/>
  <c r="F102" i="19"/>
  <c r="E115" i="17"/>
  <c r="E46" i="17"/>
  <c r="E46" i="16"/>
  <c r="E28" i="16"/>
  <c r="E128" i="17"/>
  <c r="E119" i="17"/>
  <c r="E39" i="17"/>
  <c r="E39" i="16"/>
  <c r="E116" i="17"/>
  <c r="F92" i="19"/>
  <c r="E55" i="17"/>
  <c r="E55" i="16"/>
  <c r="E56" i="17"/>
  <c r="E56" i="16"/>
  <c r="E33" i="16"/>
  <c r="E33" i="17"/>
  <c r="E108" i="17"/>
  <c r="F107" i="19"/>
  <c r="E131" i="17"/>
  <c r="E121" i="16"/>
  <c r="E121" i="17"/>
  <c r="E118" i="16"/>
  <c r="E54" i="17"/>
  <c r="E54" i="16"/>
  <c r="E52" i="17"/>
  <c r="E52" i="16"/>
  <c r="E47" i="16"/>
  <c r="E47" i="17"/>
  <c r="E36" i="16"/>
  <c r="E45" i="16"/>
  <c r="E40" i="16"/>
  <c r="E48" i="16"/>
  <c r="E48" i="17"/>
  <c r="E34" i="16"/>
  <c r="E34" i="17"/>
  <c r="E123" i="17"/>
  <c r="E123" i="16"/>
  <c r="E49" i="17"/>
  <c r="E49" i="16"/>
  <c r="E29" i="16"/>
  <c r="E29" i="17"/>
  <c r="E25" i="17"/>
  <c r="E25" i="16"/>
  <c r="E23" i="17"/>
  <c r="E23" i="16"/>
  <c r="E24" i="17"/>
  <c r="E24" i="16"/>
  <c r="D59" i="19"/>
  <c r="C83" i="16" s="1"/>
  <c r="E119" i="16" l="1"/>
  <c r="E108" i="16"/>
  <c r="E128" i="16"/>
  <c r="E131" i="16"/>
  <c r="E127" i="16"/>
  <c r="E116" i="16"/>
  <c r="E140" i="17"/>
  <c r="E115" i="16"/>
  <c r="E120" i="16"/>
  <c r="E139" i="17"/>
  <c r="E114" i="16"/>
  <c r="E126" i="16"/>
  <c r="V118" i="19"/>
  <c r="E124" i="16" l="1"/>
  <c r="U50" i="17"/>
  <c r="U42" i="17"/>
  <c r="U58" i="17"/>
  <c r="U26" i="17"/>
  <c r="U30" i="17" s="1"/>
  <c r="U124" i="17"/>
  <c r="U133" i="17" s="1"/>
  <c r="U26" i="16"/>
  <c r="U30" i="16" s="1"/>
  <c r="U106" i="17"/>
  <c r="U142" i="17"/>
  <c r="V100" i="19"/>
  <c r="V109" i="19" s="1"/>
  <c r="J24" i="19" l="1"/>
  <c r="I22" i="16"/>
  <c r="I22" i="17"/>
  <c r="U60" i="17"/>
  <c r="U110" i="17" s="1"/>
  <c r="U136" i="17" s="1"/>
  <c r="U146" i="17" s="1"/>
  <c r="E92" i="23"/>
  <c r="C48" i="16" l="1"/>
  <c r="C48" i="17"/>
  <c r="P23" i="22"/>
  <c r="N23" i="22"/>
  <c r="L23" i="22"/>
  <c r="J23" i="22"/>
  <c r="H23" i="22"/>
  <c r="F23" i="22"/>
  <c r="B23" i="22"/>
  <c r="D43" i="40" l="1"/>
  <c r="D35" i="40"/>
  <c r="D22" i="40"/>
  <c r="D16" i="40"/>
  <c r="D47" i="39"/>
  <c r="D38" i="39"/>
  <c r="D28" i="39"/>
  <c r="D22" i="39"/>
  <c r="D30" i="39" l="1"/>
  <c r="D50" i="39" s="1"/>
  <c r="D24" i="40"/>
  <c r="D46" i="40" s="1"/>
  <c r="I12" i="44"/>
  <c r="J98" i="19" l="1"/>
  <c r="W26" i="16"/>
  <c r="G22" i="12"/>
  <c r="N45" i="15"/>
  <c r="X36" i="20"/>
  <c r="W26" i="17"/>
  <c r="X82" i="20"/>
  <c r="W142" i="17" l="1"/>
  <c r="L47" i="15"/>
  <c r="X23" i="22"/>
  <c r="L16" i="2" s="1"/>
  <c r="Y28" i="23"/>
  <c r="Y23" i="23"/>
  <c r="N16" i="2"/>
  <c r="N17" i="3" s="1"/>
  <c r="Y96" i="23"/>
  <c r="W58" i="17"/>
  <c r="X29" i="20"/>
  <c r="X100" i="20"/>
  <c r="X107" i="20" s="1"/>
  <c r="V23" i="22"/>
  <c r="X118" i="19"/>
  <c r="Y31" i="23"/>
  <c r="X38" i="20" l="1"/>
  <c r="X86" i="20" s="1"/>
  <c r="X110" i="20" s="1"/>
  <c r="W58" i="16"/>
  <c r="L17" i="3"/>
  <c r="W106" i="17"/>
  <c r="X82" i="19"/>
  <c r="Y33" i="23"/>
  <c r="W30" i="17"/>
  <c r="W30" i="16"/>
  <c r="Y79" i="23"/>
  <c r="Y86" i="23" s="1"/>
  <c r="Y61" i="23"/>
  <c r="W42" i="17"/>
  <c r="W50" i="17"/>
  <c r="X100" i="19"/>
  <c r="X109" i="19" s="1"/>
  <c r="W124" i="17"/>
  <c r="W133" i="17" s="1"/>
  <c r="X29" i="19"/>
  <c r="W42" i="16"/>
  <c r="W50" i="16"/>
  <c r="X36" i="19"/>
  <c r="Y26" i="16"/>
  <c r="Y65" i="23" l="1"/>
  <c r="Y89" i="23" s="1"/>
  <c r="Y101" i="23" s="1"/>
  <c r="W106" i="16"/>
  <c r="W124" i="16"/>
  <c r="W133" i="16" s="1"/>
  <c r="W60" i="17"/>
  <c r="W110" i="17" s="1"/>
  <c r="W136" i="17" s="1"/>
  <c r="W146" i="17" s="1"/>
  <c r="W60" i="16"/>
  <c r="X38" i="19"/>
  <c r="X86" i="19" s="1"/>
  <c r="X112" i="19" s="1"/>
  <c r="X122" i="19" s="1"/>
  <c r="K123" i="17" l="1"/>
  <c r="K127" i="17"/>
  <c r="K120" i="17"/>
  <c r="K108" i="17"/>
  <c r="K128" i="17"/>
  <c r="K122" i="17"/>
  <c r="K118" i="17"/>
  <c r="K121" i="17"/>
  <c r="K114" i="17"/>
  <c r="K116" i="17"/>
  <c r="K115" i="17"/>
  <c r="K126" i="17"/>
  <c r="K119" i="17"/>
  <c r="K39" i="23"/>
  <c r="I131" i="17"/>
  <c r="AG23" i="19"/>
  <c r="J32" i="19"/>
  <c r="K84" i="23"/>
  <c r="J102" i="19"/>
  <c r="K77" i="23"/>
  <c r="AK81" i="18"/>
  <c r="I52" i="17"/>
  <c r="AD95" i="24"/>
  <c r="K92" i="23"/>
  <c r="K22" i="23"/>
  <c r="I101" i="17"/>
  <c r="K63" i="23"/>
  <c r="J76" i="19"/>
  <c r="I95" i="17"/>
  <c r="K76" i="23"/>
  <c r="J75" i="19"/>
  <c r="J60" i="19"/>
  <c r="I84" i="16" s="1"/>
  <c r="K55" i="23"/>
  <c r="J71" i="19"/>
  <c r="J58" i="19"/>
  <c r="I82" i="16" s="1"/>
  <c r="F45" i="15"/>
  <c r="X45" i="15" s="1"/>
  <c r="I48" i="16"/>
  <c r="J21" i="19"/>
  <c r="J77" i="19"/>
  <c r="J115" i="19"/>
  <c r="K94" i="23"/>
  <c r="K74" i="23"/>
  <c r="J95" i="19"/>
  <c r="K30" i="23"/>
  <c r="AE21" i="16"/>
  <c r="AE21" i="17"/>
  <c r="J33" i="19"/>
  <c r="K26" i="23"/>
  <c r="K46" i="23"/>
  <c r="K47" i="23"/>
  <c r="H26" i="5"/>
  <c r="I55" i="17"/>
  <c r="J94" i="19"/>
  <c r="I100" i="17"/>
  <c r="K59" i="23"/>
  <c r="K50" i="23"/>
  <c r="J72" i="19"/>
  <c r="I96" i="16" s="1"/>
  <c r="I72" i="17"/>
  <c r="J18" i="6"/>
  <c r="K51" i="23"/>
  <c r="K42" i="23"/>
  <c r="I41" i="16"/>
  <c r="K27" i="23"/>
  <c r="K25" i="23"/>
  <c r="K52" i="23"/>
  <c r="J61" i="19"/>
  <c r="K21" i="23"/>
  <c r="J31" i="19"/>
  <c r="I56" i="17"/>
  <c r="H27" i="5"/>
  <c r="J104" i="19"/>
  <c r="I99" i="17"/>
  <c r="I116" i="17"/>
  <c r="I81" i="17"/>
  <c r="I65" i="17"/>
  <c r="J28" i="19"/>
  <c r="I90" i="17"/>
  <c r="K93" i="23"/>
  <c r="I85" i="17"/>
  <c r="J22" i="19"/>
  <c r="I57" i="16"/>
  <c r="I94" i="17"/>
  <c r="K58" i="23"/>
  <c r="K20" i="23"/>
  <c r="J106" i="19"/>
  <c r="F24" i="15"/>
  <c r="K57" i="23"/>
  <c r="J74" i="19"/>
  <c r="I24" i="17"/>
  <c r="J80" i="19"/>
  <c r="J70" i="19"/>
  <c r="J66" i="19"/>
  <c r="I90" i="16" s="1"/>
  <c r="J92" i="19"/>
  <c r="J96" i="19"/>
  <c r="J26" i="19"/>
  <c r="J27" i="19"/>
  <c r="I70" i="17"/>
  <c r="I68" i="17"/>
  <c r="J50" i="19"/>
  <c r="I21" i="16"/>
  <c r="I97" i="17"/>
  <c r="I128" i="17"/>
  <c r="I127" i="17"/>
  <c r="I89" i="17"/>
  <c r="I48" i="17"/>
  <c r="I105" i="17"/>
  <c r="J81" i="19"/>
  <c r="I105" i="16" s="1"/>
  <c r="I49" i="17"/>
  <c r="I75" i="17"/>
  <c r="J49" i="19"/>
  <c r="I73" i="16" s="1"/>
  <c r="I73" i="17"/>
  <c r="I126" i="17"/>
  <c r="I88" i="17"/>
  <c r="J64" i="19"/>
  <c r="J103" i="19"/>
  <c r="J34" i="19"/>
  <c r="I47" i="17"/>
  <c r="J57" i="19"/>
  <c r="I81" i="16" s="1"/>
  <c r="J79" i="19"/>
  <c r="I103" i="17"/>
  <c r="W110" i="16"/>
  <c r="W136" i="16" s="1"/>
  <c r="K27" i="17" l="1"/>
  <c r="K21" i="17"/>
  <c r="V16" i="15"/>
  <c r="K139" i="17"/>
  <c r="K25" i="16"/>
  <c r="K25" i="17"/>
  <c r="K29" i="16"/>
  <c r="K29" i="17"/>
  <c r="K97" i="16"/>
  <c r="K97" i="17"/>
  <c r="K69" i="16"/>
  <c r="K69" i="17"/>
  <c r="K53" i="16"/>
  <c r="K53" i="17"/>
  <c r="K48" i="16"/>
  <c r="AB48" i="16" s="1"/>
  <c r="K48" i="17"/>
  <c r="AB48" i="17" s="1"/>
  <c r="K91" i="16"/>
  <c r="K91" i="17"/>
  <c r="K94" i="16"/>
  <c r="K94" i="17"/>
  <c r="K34" i="16"/>
  <c r="K34" i="17"/>
  <c r="K28" i="16"/>
  <c r="K28" i="17"/>
  <c r="K104" i="16"/>
  <c r="K104" i="17"/>
  <c r="K57" i="16"/>
  <c r="K57" i="17"/>
  <c r="K99" i="16"/>
  <c r="K99" i="17"/>
  <c r="K79" i="16"/>
  <c r="K79" i="17"/>
  <c r="K89" i="16"/>
  <c r="K89" i="17"/>
  <c r="K67" i="16"/>
  <c r="K67" i="17"/>
  <c r="K52" i="16"/>
  <c r="K52" i="17"/>
  <c r="K39" i="16"/>
  <c r="K39" i="17"/>
  <c r="K102" i="16"/>
  <c r="K102" i="17"/>
  <c r="K98" i="16"/>
  <c r="K98" i="17"/>
  <c r="K100" i="16"/>
  <c r="K100" i="17"/>
  <c r="K78" i="16"/>
  <c r="K78" i="17"/>
  <c r="K40" i="16"/>
  <c r="K40" i="17"/>
  <c r="K95" i="16"/>
  <c r="K95" i="17"/>
  <c r="K140" i="17"/>
  <c r="K70" i="16"/>
  <c r="K70" i="17"/>
  <c r="K85" i="16"/>
  <c r="K85" i="17"/>
  <c r="K45" i="16"/>
  <c r="K45" i="17"/>
  <c r="K41" i="16"/>
  <c r="K41" i="17"/>
  <c r="K44" i="16"/>
  <c r="K44" i="17"/>
  <c r="K90" i="16"/>
  <c r="K90" i="17"/>
  <c r="K32" i="16"/>
  <c r="K32" i="17"/>
  <c r="K92" i="16"/>
  <c r="K92" i="17"/>
  <c r="K23" i="16"/>
  <c r="K23" i="17"/>
  <c r="K56" i="16"/>
  <c r="K56" i="17"/>
  <c r="K49" i="16"/>
  <c r="K49" i="17"/>
  <c r="K55" i="16"/>
  <c r="K55" i="17"/>
  <c r="K64" i="16"/>
  <c r="K64" i="17"/>
  <c r="K33" i="16"/>
  <c r="K33" i="17"/>
  <c r="K54" i="16"/>
  <c r="K54" i="17"/>
  <c r="K24" i="16"/>
  <c r="K24" i="17"/>
  <c r="K65" i="16"/>
  <c r="K65" i="17"/>
  <c r="K46" i="16"/>
  <c r="K46" i="17"/>
  <c r="K72" i="16"/>
  <c r="K72" i="17"/>
  <c r="K77" i="16"/>
  <c r="K77" i="17"/>
  <c r="K86" i="16"/>
  <c r="K86" i="17"/>
  <c r="K36" i="16"/>
  <c r="K36" i="17"/>
  <c r="K83" i="16"/>
  <c r="K83" i="17"/>
  <c r="K81" i="17"/>
  <c r="K74" i="16"/>
  <c r="K74" i="17"/>
  <c r="K76" i="16"/>
  <c r="K76" i="17"/>
  <c r="K101" i="16"/>
  <c r="K101" i="17"/>
  <c r="D50" i="3"/>
  <c r="D49" i="3"/>
  <c r="K128" i="16"/>
  <c r="D39" i="3"/>
  <c r="K119" i="16"/>
  <c r="D30" i="3"/>
  <c r="K116" i="16"/>
  <c r="D27" i="3"/>
  <c r="K118" i="16"/>
  <c r="D29" i="3"/>
  <c r="K127" i="16"/>
  <c r="D38" i="3"/>
  <c r="K126" i="16"/>
  <c r="D37" i="3"/>
  <c r="K114" i="16"/>
  <c r="D25" i="3"/>
  <c r="K108" i="16"/>
  <c r="D20" i="3"/>
  <c r="K115" i="16"/>
  <c r="D26" i="3"/>
  <c r="K123" i="16"/>
  <c r="D34" i="3"/>
  <c r="K122" i="16"/>
  <c r="D33" i="3"/>
  <c r="K120" i="16"/>
  <c r="D31" i="3"/>
  <c r="K121" i="16"/>
  <c r="D32" i="3"/>
  <c r="I36" i="16"/>
  <c r="K21" i="16"/>
  <c r="L22" i="18"/>
  <c r="J54" i="19"/>
  <c r="I34" i="16"/>
  <c r="J84" i="19"/>
  <c r="I108" i="16" s="1"/>
  <c r="I46" i="16"/>
  <c r="I78" i="17"/>
  <c r="I21" i="17"/>
  <c r="K73" i="23"/>
  <c r="I118" i="16" s="1"/>
  <c r="I34" i="17"/>
  <c r="I101" i="16"/>
  <c r="I57" i="17"/>
  <c r="J44" i="19"/>
  <c r="I67" i="16" s="1"/>
  <c r="I85" i="16"/>
  <c r="I46" i="17"/>
  <c r="I115" i="17"/>
  <c r="V45" i="15"/>
  <c r="I24" i="16"/>
  <c r="K71" i="23"/>
  <c r="I44" i="17"/>
  <c r="I55" i="16"/>
  <c r="I76" i="17"/>
  <c r="J97" i="19"/>
  <c r="K81" i="23"/>
  <c r="I140" i="17"/>
  <c r="J47" i="19"/>
  <c r="I70" i="16" s="1"/>
  <c r="I29" i="16"/>
  <c r="I36" i="17"/>
  <c r="I82" i="17"/>
  <c r="I108" i="17"/>
  <c r="J116" i="19"/>
  <c r="I56" i="16"/>
  <c r="I52" i="16"/>
  <c r="K44" i="23"/>
  <c r="K70" i="23"/>
  <c r="K83" i="23"/>
  <c r="K56" i="23"/>
  <c r="I98" i="16" s="1"/>
  <c r="I49" i="16"/>
  <c r="J42" i="19"/>
  <c r="I64" i="16" s="1"/>
  <c r="J67" i="19"/>
  <c r="I91" i="16" s="1"/>
  <c r="I72" i="16"/>
  <c r="K60" i="23"/>
  <c r="I104" i="16" s="1"/>
  <c r="I83" i="17"/>
  <c r="J45" i="19"/>
  <c r="I68" i="16" s="1"/>
  <c r="I95" i="16"/>
  <c r="J91" i="19"/>
  <c r="I91" i="17"/>
  <c r="J78" i="19"/>
  <c r="I102" i="16" s="1"/>
  <c r="J62" i="19"/>
  <c r="I86" i="16" s="1"/>
  <c r="K45" i="23"/>
  <c r="J59" i="19"/>
  <c r="AD59" i="19" s="1"/>
  <c r="I67" i="17"/>
  <c r="J107" i="19"/>
  <c r="I86" i="17"/>
  <c r="I102" i="17"/>
  <c r="I44" i="16"/>
  <c r="I33" i="16"/>
  <c r="I33" i="17"/>
  <c r="I41" i="17"/>
  <c r="I29" i="17"/>
  <c r="I38" i="17"/>
  <c r="I122" i="17"/>
  <c r="K43" i="23"/>
  <c r="K41" i="23"/>
  <c r="I74" i="16" s="1"/>
  <c r="K78" i="23"/>
  <c r="K69" i="23"/>
  <c r="K82" i="23"/>
  <c r="I122" i="16"/>
  <c r="I139" i="17"/>
  <c r="J68" i="19"/>
  <c r="I92" i="16" s="1"/>
  <c r="J55" i="19"/>
  <c r="J73" i="19"/>
  <c r="I97" i="16" s="1"/>
  <c r="I45" i="16"/>
  <c r="I118" i="17"/>
  <c r="I40" i="16"/>
  <c r="I64" i="17"/>
  <c r="I92" i="17"/>
  <c r="J51" i="19"/>
  <c r="I75" i="16" s="1"/>
  <c r="I45" i="17"/>
  <c r="I84" i="17"/>
  <c r="I40" i="17"/>
  <c r="I69" i="17"/>
  <c r="I100" i="16"/>
  <c r="I119" i="17"/>
  <c r="I119" i="16"/>
  <c r="K37" i="23"/>
  <c r="I65" i="16" s="1"/>
  <c r="J53" i="19"/>
  <c r="I98" i="17"/>
  <c r="I35" i="17"/>
  <c r="J23" i="19"/>
  <c r="J52" i="19"/>
  <c r="I76" i="16" s="1"/>
  <c r="I74" i="17"/>
  <c r="I99" i="16"/>
  <c r="J90" i="19"/>
  <c r="I123" i="17"/>
  <c r="K54" i="23"/>
  <c r="I94" i="16" s="1"/>
  <c r="I23" i="16"/>
  <c r="J17" i="19"/>
  <c r="J65" i="19"/>
  <c r="I89" i="16" s="1"/>
  <c r="I28" i="17"/>
  <c r="I28" i="16"/>
  <c r="I104" i="17"/>
  <c r="I32" i="16"/>
  <c r="I32" i="17"/>
  <c r="I54" i="16"/>
  <c r="I54" i="17"/>
  <c r="I39" i="17"/>
  <c r="I39" i="16"/>
  <c r="I114" i="17"/>
  <c r="I121" i="17"/>
  <c r="J46" i="19"/>
  <c r="I69" i="16" s="1"/>
  <c r="K49" i="23"/>
  <c r="I88" i="16" s="1"/>
  <c r="I53" i="16"/>
  <c r="I53" i="17"/>
  <c r="I120" i="17"/>
  <c r="J99" i="19"/>
  <c r="I77" i="17"/>
  <c r="I27" i="17"/>
  <c r="I25" i="17"/>
  <c r="I25" i="16"/>
  <c r="I79" i="17"/>
  <c r="K75" i="23"/>
  <c r="I38" i="16"/>
  <c r="I47" i="16"/>
  <c r="I103" i="16"/>
  <c r="E28" i="45"/>
  <c r="AB83" i="17" l="1"/>
  <c r="K50" i="16"/>
  <c r="K58" i="16"/>
  <c r="K106" i="16"/>
  <c r="K42" i="16"/>
  <c r="K26" i="16"/>
  <c r="K30" i="16" s="1"/>
  <c r="K124" i="16"/>
  <c r="K133" i="16" s="1"/>
  <c r="I78" i="16"/>
  <c r="I116" i="16"/>
  <c r="I128" i="16"/>
  <c r="I121" i="16"/>
  <c r="I83" i="16"/>
  <c r="AB83" i="16" s="1"/>
  <c r="I126" i="16"/>
  <c r="I131" i="16"/>
  <c r="I115" i="16"/>
  <c r="I127" i="16"/>
  <c r="I79" i="16"/>
  <c r="I77" i="16"/>
  <c r="I35" i="16"/>
  <c r="I123" i="16"/>
  <c r="I114" i="16"/>
  <c r="I120" i="16"/>
  <c r="Z21" i="43"/>
  <c r="Z28" i="43"/>
  <c r="K60" i="16" l="1"/>
  <c r="K110" i="16" s="1"/>
  <c r="K136" i="16" s="1"/>
  <c r="E24" i="45"/>
  <c r="K95" i="24" l="1"/>
  <c r="K78" i="24" l="1"/>
  <c r="K85" i="24" s="1"/>
  <c r="K60" i="24"/>
  <c r="K30" i="24"/>
  <c r="K27" i="24"/>
  <c r="K22" i="24"/>
  <c r="O31" i="23" l="1"/>
  <c r="F18" i="2" l="1"/>
  <c r="Q26" i="14"/>
  <c r="T36" i="19"/>
  <c r="G35" i="9"/>
  <c r="U31" i="23"/>
  <c r="O28" i="23"/>
  <c r="O23" i="23"/>
  <c r="N36" i="19"/>
  <c r="W31" i="23" l="1"/>
  <c r="U58" i="16"/>
  <c r="U42" i="16"/>
  <c r="W23" i="23"/>
  <c r="W28" i="23"/>
  <c r="Z25" i="37"/>
  <c r="AC137" i="18"/>
  <c r="U28" i="23"/>
  <c r="T29" i="19"/>
  <c r="O96" i="23"/>
  <c r="O79" i="23"/>
  <c r="O86" i="23" s="1"/>
  <c r="O61" i="23"/>
  <c r="O33" i="23"/>
  <c r="J116" i="20"/>
  <c r="J100" i="20"/>
  <c r="J107" i="20" s="1"/>
  <c r="J82" i="20"/>
  <c r="J29" i="20"/>
  <c r="U50" i="16" l="1"/>
  <c r="U60" i="16" s="1"/>
  <c r="W96" i="23"/>
  <c r="U106" i="16"/>
  <c r="W79" i="23"/>
  <c r="W86" i="23" s="1"/>
  <c r="W61" i="23"/>
  <c r="W33" i="23"/>
  <c r="S106" i="17"/>
  <c r="S142" i="17"/>
  <c r="S124" i="17"/>
  <c r="S133" i="17" s="1"/>
  <c r="S42" i="17"/>
  <c r="T100" i="19"/>
  <c r="T109" i="19" s="1"/>
  <c r="S50" i="17"/>
  <c r="U61" i="23"/>
  <c r="U79" i="23"/>
  <c r="U86" i="23" s="1"/>
  <c r="S58" i="17"/>
  <c r="S26" i="17"/>
  <c r="S30" i="17" s="1"/>
  <c r="T38" i="19"/>
  <c r="U96" i="23"/>
  <c r="T118" i="19"/>
  <c r="T82" i="19"/>
  <c r="O65" i="23"/>
  <c r="O89" i="23" s="1"/>
  <c r="O101" i="23" s="1"/>
  <c r="N82" i="19"/>
  <c r="J38" i="20"/>
  <c r="J86" i="20" s="1"/>
  <c r="J110" i="20" s="1"/>
  <c r="J120" i="20" s="1"/>
  <c r="Z34" i="43"/>
  <c r="Z29" i="43"/>
  <c r="U124" i="16" l="1"/>
  <c r="U133" i="16" s="1"/>
  <c r="U110" i="16"/>
  <c r="W65" i="23"/>
  <c r="W89" i="23" s="1"/>
  <c r="W101" i="23" s="1"/>
  <c r="S60" i="17"/>
  <c r="S110" i="17" s="1"/>
  <c r="S136" i="17" s="1"/>
  <c r="S146" i="17" s="1"/>
  <c r="T86" i="19"/>
  <c r="T112" i="19" s="1"/>
  <c r="T122" i="19" s="1"/>
  <c r="L52" i="21"/>
  <c r="L56" i="21" s="1"/>
  <c r="L88" i="21"/>
  <c r="L70" i="21"/>
  <c r="L79" i="21" s="1"/>
  <c r="U136" i="16" l="1"/>
  <c r="L82" i="21"/>
  <c r="L92" i="21" s="1"/>
  <c r="D15" i="6"/>
  <c r="D14" i="6"/>
  <c r="D15" i="5"/>
  <c r="D14" i="5"/>
  <c r="AA71" i="22" l="1"/>
  <c r="N19" i="2"/>
  <c r="N50" i="2"/>
  <c r="AA62" i="22"/>
  <c r="AA27" i="22"/>
  <c r="AA29" i="22" s="1"/>
  <c r="AA54" i="22" s="1"/>
  <c r="F13" i="15"/>
  <c r="F12" i="15"/>
  <c r="P15" i="5" l="1"/>
  <c r="Z40" i="43" l="1"/>
  <c r="K58" i="17" l="1"/>
  <c r="K42" i="17"/>
  <c r="K106" i="17"/>
  <c r="K50" i="17"/>
  <c r="K26" i="17"/>
  <c r="K30" i="17" s="1"/>
  <c r="K142" i="17"/>
  <c r="K124" i="17"/>
  <c r="K60" i="17" l="1"/>
  <c r="K110" i="17" s="1"/>
  <c r="Z33" i="43" l="1"/>
  <c r="C65" i="34" l="1"/>
  <c r="Z36" i="43" l="1"/>
  <c r="Z26" i="43"/>
  <c r="Z24" i="43"/>
  <c r="Z23" i="43"/>
  <c r="Z22" i="43"/>
  <c r="G26" i="34" l="1"/>
  <c r="G48" i="34"/>
  <c r="G53" i="34"/>
  <c r="G16" i="34"/>
  <c r="H24" i="45" l="1"/>
  <c r="H22" i="45"/>
  <c r="H21" i="45"/>
  <c r="H20" i="45"/>
  <c r="H19" i="45"/>
  <c r="H18" i="45"/>
  <c r="H17" i="45"/>
  <c r="H16" i="45"/>
  <c r="H15" i="45"/>
  <c r="H14" i="45"/>
  <c r="H26" i="45" l="1"/>
  <c r="I15" i="45"/>
  <c r="I11" i="45"/>
  <c r="M42" i="25"/>
  <c r="M46" i="25" s="1"/>
  <c r="W10" i="41" l="1"/>
  <c r="Y10" i="41" s="1"/>
  <c r="I10" i="41"/>
  <c r="O10" i="41" s="1"/>
  <c r="G10" i="41"/>
  <c r="M10" i="41" s="1"/>
  <c r="S10" i="41" s="1"/>
  <c r="E10" i="41"/>
  <c r="K10" i="41" s="1"/>
  <c r="Q10" i="41" s="1"/>
  <c r="A6" i="41"/>
  <c r="Q10" i="40"/>
  <c r="AA10" i="41" s="1"/>
  <c r="B5" i="36"/>
  <c r="A7" i="31" l="1"/>
  <c r="A6" i="32" s="1"/>
  <c r="A6" i="33" s="1"/>
  <c r="D18" i="32" l="1"/>
  <c r="D52" i="39"/>
  <c r="F12" i="39" s="1"/>
  <c r="F52" i="39" s="1"/>
  <c r="Z31" i="43"/>
  <c r="H12" i="39" l="1"/>
  <c r="H52" i="39" s="1"/>
  <c r="J12" i="39" s="1"/>
  <c r="J52" i="39" s="1"/>
  <c r="L12" i="39" s="1"/>
  <c r="L52" i="39" s="1"/>
  <c r="N12" i="39" s="1"/>
  <c r="N52" i="39" s="1"/>
  <c r="AG20" i="19"/>
  <c r="AD40" i="2"/>
  <c r="AI20" i="23"/>
  <c r="AI43" i="18"/>
  <c r="AK43" i="18" s="1"/>
  <c r="AH48" i="17"/>
  <c r="AJ48" i="17" s="1"/>
  <c r="AJ57" i="20"/>
  <c r="AL57" i="20" s="1"/>
  <c r="AL34" i="25"/>
  <c r="AG42" i="19"/>
  <c r="AJ83" i="17"/>
  <c r="AG59" i="19"/>
  <c r="AE83" i="16" s="1"/>
  <c r="AH83" i="16" s="1"/>
  <c r="AJ83" i="16" s="1"/>
  <c r="AJ59" i="20"/>
  <c r="AL59" i="20" s="1"/>
  <c r="AJ73" i="25"/>
  <c r="AL73" i="25" s="1"/>
  <c r="AG23" i="22"/>
  <c r="AG22" i="22"/>
  <c r="AI22" i="22" s="1"/>
  <c r="AG20" i="22"/>
  <c r="AI76" i="18"/>
  <c r="AK76" i="18" s="1"/>
  <c r="AJ60" i="20"/>
  <c r="AL60" i="20" s="1"/>
  <c r="AL50" i="25"/>
  <c r="AJ58" i="20"/>
  <c r="AL58" i="20" s="1"/>
  <c r="AF137" i="18"/>
  <c r="AJ21" i="21"/>
  <c r="AI27" i="23"/>
  <c r="AD16" i="15"/>
  <c r="AE25" i="16"/>
  <c r="AG36" i="20"/>
  <c r="AA17" i="3" s="1"/>
  <c r="F50" i="2"/>
  <c r="F28" i="2"/>
  <c r="X99" i="18"/>
  <c r="K14" i="30" l="1"/>
  <c r="AI23" i="22"/>
  <c r="AJ59" i="19"/>
  <c r="AL59" i="19" s="1"/>
  <c r="AD45" i="15"/>
  <c r="AH48" i="16"/>
  <c r="AJ48" i="16" s="1"/>
  <c r="Q23" i="23"/>
  <c r="Q31" i="23"/>
  <c r="Q28" i="23"/>
  <c r="P36" i="19"/>
  <c r="P118" i="19"/>
  <c r="F49" i="2"/>
  <c r="Q42" i="40"/>
  <c r="Q39" i="40"/>
  <c r="Q38" i="40"/>
  <c r="Q34" i="40"/>
  <c r="Q33" i="40"/>
  <c r="Q32" i="40"/>
  <c r="Q31" i="40"/>
  <c r="Q29" i="40"/>
  <c r="Q28" i="40"/>
  <c r="Q21" i="40"/>
  <c r="Q20" i="40"/>
  <c r="Q19" i="40"/>
  <c r="Q46" i="39"/>
  <c r="Q45" i="39"/>
  <c r="Q44" i="39"/>
  <c r="Q42" i="39"/>
  <c r="Q41" i="39"/>
  <c r="Q37" i="39"/>
  <c r="Q35" i="39"/>
  <c r="Q34" i="39"/>
  <c r="Q27" i="39"/>
  <c r="Q26" i="39"/>
  <c r="Q25" i="39"/>
  <c r="Q16" i="39"/>
  <c r="Q17" i="39"/>
  <c r="Q18" i="39"/>
  <c r="Q19" i="39"/>
  <c r="Q20" i="39"/>
  <c r="Q21" i="39"/>
  <c r="Q96" i="23" l="1"/>
  <c r="Q33" i="23"/>
  <c r="Q79" i="23"/>
  <c r="Q86" i="23" s="1"/>
  <c r="P29" i="19"/>
  <c r="Q61" i="23"/>
  <c r="P100" i="19"/>
  <c r="P109" i="19" s="1"/>
  <c r="M191" i="42"/>
  <c r="P38" i="19" l="1"/>
  <c r="Q65" i="23"/>
  <c r="Q89" i="23" s="1"/>
  <c r="P82" i="19"/>
  <c r="Q60" i="25"/>
  <c r="P86" i="19" l="1"/>
  <c r="P112" i="19" s="1"/>
  <c r="P122" i="19" s="1"/>
  <c r="Q41" i="40"/>
  <c r="G7" i="45" l="1"/>
  <c r="C7" i="45"/>
  <c r="Z20" i="43" l="1"/>
  <c r="AC12" i="18" l="1"/>
  <c r="F57" i="2"/>
  <c r="M186" i="42"/>
  <c r="K89" i="30"/>
  <c r="M16" i="34"/>
  <c r="AD13" i="20"/>
  <c r="AI15" i="23"/>
  <c r="M173" i="42"/>
  <c r="M128" i="42"/>
  <c r="AI13" i="28"/>
  <c r="I23" i="45"/>
  <c r="I24" i="45"/>
  <c r="I19" i="45"/>
  <c r="I22" i="45"/>
  <c r="I21" i="45"/>
  <c r="I20" i="45"/>
  <c r="I18" i="45"/>
  <c r="I17" i="45"/>
  <c r="I16" i="45"/>
  <c r="I14" i="45"/>
  <c r="E19" i="45"/>
  <c r="E21" i="45"/>
  <c r="E20" i="45"/>
  <c r="E18" i="45"/>
  <c r="E17" i="45"/>
  <c r="E16" i="45"/>
  <c r="E15" i="45"/>
  <c r="E14" i="45"/>
  <c r="AD14" i="24" l="1"/>
  <c r="X96" i="18"/>
  <c r="I12" i="45"/>
  <c r="I26" i="45" l="1"/>
  <c r="E12" i="45"/>
  <c r="E11" i="45"/>
  <c r="I28" i="45"/>
  <c r="I32" i="44" l="1"/>
  <c r="I38" i="44"/>
  <c r="I33" i="44"/>
  <c r="I39" i="44"/>
  <c r="I28" i="44"/>
  <c r="I26" i="44"/>
  <c r="I22" i="44"/>
  <c r="I46" i="44"/>
  <c r="I45" i="44"/>
  <c r="I40" i="44"/>
  <c r="I36" i="44"/>
  <c r="I35" i="44"/>
  <c r="I34" i="44"/>
  <c r="I31" i="44"/>
  <c r="I30" i="44"/>
  <c r="I29" i="44"/>
  <c r="I27" i="44"/>
  <c r="I24" i="44"/>
  <c r="I23" i="44"/>
  <c r="I21" i="44"/>
  <c r="I20" i="44"/>
  <c r="I18" i="44"/>
  <c r="I17" i="44"/>
  <c r="I15" i="44"/>
  <c r="I13" i="44"/>
  <c r="I11" i="44"/>
  <c r="E39" i="44"/>
  <c r="E28" i="44"/>
  <c r="E26" i="44"/>
  <c r="E22" i="44"/>
  <c r="E50" i="44"/>
  <c r="E20" i="44"/>
  <c r="E33" i="44"/>
  <c r="E40" i="44"/>
  <c r="E46" i="44"/>
  <c r="E45" i="44"/>
  <c r="E38" i="44"/>
  <c r="E36" i="44"/>
  <c r="E35" i="44"/>
  <c r="E34" i="44"/>
  <c r="E31" i="44"/>
  <c r="E30" i="44"/>
  <c r="E29" i="44"/>
  <c r="E27" i="44"/>
  <c r="E24" i="44"/>
  <c r="E23" i="44"/>
  <c r="E21" i="44"/>
  <c r="E15" i="44"/>
  <c r="E17" i="44"/>
  <c r="E13" i="44"/>
  <c r="E12" i="44"/>
  <c r="E11" i="44"/>
  <c r="I14" i="44" l="1"/>
  <c r="E14" i="44"/>
  <c r="E37" i="44"/>
  <c r="E25" i="44"/>
  <c r="I37" i="44"/>
  <c r="E18" i="44"/>
  <c r="Q43" i="40" l="1"/>
  <c r="L96" i="18" l="1"/>
  <c r="E41" i="10" l="1"/>
  <c r="C41" i="10" l="1"/>
  <c r="B17" i="43" l="1"/>
  <c r="P22" i="18" l="1"/>
  <c r="P26" i="18" l="1"/>
  <c r="P96" i="18"/>
  <c r="P37" i="18"/>
  <c r="P45" i="18"/>
  <c r="P53" i="18"/>
  <c r="P114" i="18"/>
  <c r="P120" i="18" s="1"/>
  <c r="P55" i="18" l="1"/>
  <c r="AC9" i="21" l="1"/>
  <c r="D26" i="32" l="1"/>
  <c r="C28" i="31"/>
  <c r="H30" i="45"/>
  <c r="D106" i="19" l="1"/>
  <c r="AE40" i="17" l="1"/>
  <c r="AG106" i="19"/>
  <c r="R32" i="11"/>
  <c r="AD106" i="19"/>
  <c r="J40" i="2" s="1"/>
  <c r="AJ76" i="21"/>
  <c r="AL76" i="21" s="1"/>
  <c r="P100" i="18"/>
  <c r="P123" i="18" s="1"/>
  <c r="AE130" i="16" l="1"/>
  <c r="G32" i="10"/>
  <c r="K32" i="10" s="1"/>
  <c r="AI46" i="23"/>
  <c r="AG44" i="22"/>
  <c r="AI44" i="22" s="1"/>
  <c r="AE57" i="16"/>
  <c r="AD55" i="15" s="1"/>
  <c r="AE88" i="17"/>
  <c r="AJ106" i="19"/>
  <c r="AL106" i="19" s="1"/>
  <c r="P137" i="18"/>
  <c r="P141" i="18" s="1"/>
  <c r="Z17" i="43"/>
  <c r="Z27" i="43"/>
  <c r="AA65" i="22" l="1"/>
  <c r="AA75" i="22" s="1"/>
  <c r="B6" i="24" l="1"/>
  <c r="R33" i="11" l="1"/>
  <c r="J33" i="37" l="1"/>
  <c r="P100" i="20" l="1"/>
  <c r="P107" i="20" s="1"/>
  <c r="P116" i="20"/>
  <c r="I124" i="17" l="1"/>
  <c r="I133" i="17" s="1"/>
  <c r="Y23" i="26" l="1"/>
  <c r="J56" i="15" l="1"/>
  <c r="H56" i="15"/>
  <c r="X27" i="22" l="1"/>
  <c r="L17" i="2" s="1"/>
  <c r="V27" i="22"/>
  <c r="Y58" i="16" l="1"/>
  <c r="Y58" i="17"/>
  <c r="Z53" i="18" l="1"/>
  <c r="D17" i="2" s="1"/>
  <c r="X53" i="18" l="1"/>
  <c r="W33" i="26"/>
  <c r="Q22" i="40"/>
  <c r="Z35" i="43"/>
  <c r="AI80" i="18" l="1"/>
  <c r="AK80" i="18" s="1"/>
  <c r="D21" i="19" l="1"/>
  <c r="D35" i="19"/>
  <c r="AD35" i="19" s="1"/>
  <c r="D60" i="19"/>
  <c r="C25" i="16" l="1"/>
  <c r="I142" i="17" l="1"/>
  <c r="S58" i="16" l="1"/>
  <c r="AC9" i="20"/>
  <c r="AE28" i="16" l="1"/>
  <c r="AE57" i="17"/>
  <c r="R21" i="15"/>
  <c r="P21" i="15"/>
  <c r="N21" i="15"/>
  <c r="L21" i="15"/>
  <c r="J21" i="15"/>
  <c r="H21" i="15"/>
  <c r="X22" i="18"/>
  <c r="F53" i="18" l="1"/>
  <c r="Y95" i="24"/>
  <c r="M194" i="42" l="1"/>
  <c r="M192" i="42" l="1"/>
  <c r="D57" i="19" l="1"/>
  <c r="C81" i="16" s="1"/>
  <c r="D26" i="19"/>
  <c r="D61" i="19"/>
  <c r="AG28" i="19"/>
  <c r="AE40" i="16" s="1"/>
  <c r="D81" i="19"/>
  <c r="D74" i="19"/>
  <c r="D79" i="19"/>
  <c r="D115" i="19"/>
  <c r="AD115" i="19" s="1"/>
  <c r="D55" i="19"/>
  <c r="D47" i="32"/>
  <c r="D45" i="19"/>
  <c r="D33" i="19"/>
  <c r="D62" i="19"/>
  <c r="D28" i="19"/>
  <c r="AJ28" i="20"/>
  <c r="AL28" i="20" s="1"/>
  <c r="D70" i="19"/>
  <c r="D22" i="19"/>
  <c r="AI36" i="18"/>
  <c r="AK36" i="18" s="1"/>
  <c r="F37" i="15"/>
  <c r="X37" i="15" s="1"/>
  <c r="D44" i="19"/>
  <c r="D92" i="19"/>
  <c r="D32" i="19"/>
  <c r="D34" i="19"/>
  <c r="C57" i="16"/>
  <c r="AI35" i="18"/>
  <c r="F36" i="15"/>
  <c r="D49" i="19"/>
  <c r="D80" i="19"/>
  <c r="D53" i="19"/>
  <c r="D23" i="19"/>
  <c r="D97" i="19"/>
  <c r="D47" i="19"/>
  <c r="D27" i="19"/>
  <c r="D78" i="19"/>
  <c r="D90" i="19"/>
  <c r="AE41" i="17"/>
  <c r="AE41" i="16"/>
  <c r="AD37" i="15" s="1"/>
  <c r="D24" i="19"/>
  <c r="AD24" i="19" s="1"/>
  <c r="D54" i="19"/>
  <c r="D76" i="19"/>
  <c r="D64" i="19"/>
  <c r="D31" i="19"/>
  <c r="D65" i="19"/>
  <c r="D72" i="19"/>
  <c r="D42" i="19"/>
  <c r="D20" i="19"/>
  <c r="AD20" i="19" s="1"/>
  <c r="D107" i="19"/>
  <c r="D58" i="19"/>
  <c r="D67" i="19"/>
  <c r="AK35" i="18"/>
  <c r="D51" i="19"/>
  <c r="D77" i="19"/>
  <c r="D73" i="19"/>
  <c r="C22" i="17"/>
  <c r="D104" i="19"/>
  <c r="D103" i="19"/>
  <c r="D17" i="19"/>
  <c r="AD17" i="19" s="1"/>
  <c r="B27" i="22"/>
  <c r="D84" i="19"/>
  <c r="V22" i="18"/>
  <c r="V53" i="18"/>
  <c r="H21" i="36"/>
  <c r="AD72" i="19" l="1"/>
  <c r="C96" i="16"/>
  <c r="J28" i="15"/>
  <c r="AD28" i="19"/>
  <c r="J36" i="15" s="1"/>
  <c r="X36" i="15" s="1"/>
  <c r="V36" i="15"/>
  <c r="AH37" i="15"/>
  <c r="AJ37" i="15" s="1"/>
  <c r="AD36" i="15"/>
  <c r="C40" i="17"/>
  <c r="AB40" i="17" s="1"/>
  <c r="AH40" i="17" s="1"/>
  <c r="AJ40" i="17" s="1"/>
  <c r="D50" i="32"/>
  <c r="D75" i="19"/>
  <c r="D95" i="19"/>
  <c r="D46" i="19"/>
  <c r="D99" i="19"/>
  <c r="D98" i="19"/>
  <c r="D94" i="19"/>
  <c r="C131" i="17"/>
  <c r="D52" i="19"/>
  <c r="D96" i="19"/>
  <c r="D66" i="19"/>
  <c r="C57" i="17"/>
  <c r="D53" i="18"/>
  <c r="D71" i="19"/>
  <c r="D116" i="19"/>
  <c r="AD116" i="19" s="1"/>
  <c r="D102" i="19"/>
  <c r="C44" i="26"/>
  <c r="D68" i="19"/>
  <c r="D91" i="19"/>
  <c r="D50" i="19"/>
  <c r="C41" i="16"/>
  <c r="C41" i="17"/>
  <c r="AB41" i="17" s="1"/>
  <c r="AH41" i="17" s="1"/>
  <c r="AJ41" i="17" s="1"/>
  <c r="V37" i="15"/>
  <c r="C40" i="16"/>
  <c r="K12" i="34"/>
  <c r="M12" i="34" s="1"/>
  <c r="S12" i="34" s="1"/>
  <c r="K11" i="34"/>
  <c r="S11" i="34" s="1"/>
  <c r="L11" i="32"/>
  <c r="J13" i="33" s="1"/>
  <c r="D11" i="32"/>
  <c r="K14" i="31"/>
  <c r="C14" i="31"/>
  <c r="A8" i="31"/>
  <c r="A7" i="32" s="1"/>
  <c r="A7" i="33" s="1"/>
  <c r="F18" i="32" l="1"/>
  <c r="H18" i="32"/>
  <c r="J18" i="32"/>
  <c r="L16" i="32"/>
  <c r="AJ28" i="19"/>
  <c r="AL28" i="19" s="1"/>
  <c r="AH36" i="15"/>
  <c r="AJ36" i="15" s="1"/>
  <c r="D13" i="33"/>
  <c r="J17" i="33" l="1"/>
  <c r="N27" i="22"/>
  <c r="AB12" i="17"/>
  <c r="A40" i="14"/>
  <c r="A6" i="14"/>
  <c r="A6" i="13"/>
  <c r="A40" i="13"/>
  <c r="A40" i="12"/>
  <c r="A6" i="12"/>
  <c r="A6" i="11"/>
  <c r="A42" i="11"/>
  <c r="A42" i="10"/>
  <c r="A6" i="10"/>
  <c r="A50" i="9"/>
  <c r="A49" i="8"/>
  <c r="A6" i="9"/>
  <c r="A6" i="8"/>
  <c r="AE140" i="16" l="1"/>
  <c r="S26" i="16"/>
  <c r="AD11" i="2"/>
  <c r="X11" i="2"/>
  <c r="N11" i="2"/>
  <c r="J11" i="2"/>
  <c r="R11" i="2" s="1"/>
  <c r="X12" i="2"/>
  <c r="L15" i="6" s="1"/>
  <c r="V12" i="2"/>
  <c r="X13" i="15" s="1"/>
  <c r="P12" i="2"/>
  <c r="N12" i="2"/>
  <c r="L12" i="2"/>
  <c r="J12" i="2"/>
  <c r="H12" i="2"/>
  <c r="R12" i="2" l="1"/>
  <c r="L15" i="5"/>
  <c r="AA23" i="41"/>
  <c r="AI90" i="18" l="1"/>
  <c r="R22" i="18"/>
  <c r="Q26" i="16" l="1"/>
  <c r="H51" i="2"/>
  <c r="P62" i="22"/>
  <c r="R53" i="18"/>
  <c r="Q58" i="16" l="1"/>
  <c r="Q58" i="17"/>
  <c r="L27" i="22" l="1"/>
  <c r="O60" i="24"/>
  <c r="N53" i="18"/>
  <c r="N22" i="18"/>
  <c r="O60" i="25"/>
  <c r="O67" i="25" s="1"/>
  <c r="O42" i="25"/>
  <c r="L71" i="22"/>
  <c r="N88" i="21"/>
  <c r="N100" i="20"/>
  <c r="N107" i="20" s="1"/>
  <c r="N36" i="20"/>
  <c r="N29" i="20"/>
  <c r="N137" i="18"/>
  <c r="N96" i="18"/>
  <c r="N45" i="18"/>
  <c r="O58" i="17" l="1"/>
  <c r="O58" i="16"/>
  <c r="M58" i="17"/>
  <c r="M58" i="16"/>
  <c r="L33" i="37"/>
  <c r="M60" i="25"/>
  <c r="M67" i="25" s="1"/>
  <c r="M70" i="25" s="1"/>
  <c r="M60" i="24"/>
  <c r="L53" i="18"/>
  <c r="J27" i="22"/>
  <c r="N38" i="20"/>
  <c r="N17" i="28" l="1"/>
  <c r="C65" i="17"/>
  <c r="AE96" i="17" l="1"/>
  <c r="AJ72" i="20"/>
  <c r="AL72" i="20" s="1"/>
  <c r="AG72" i="19"/>
  <c r="AE96" i="16" s="1"/>
  <c r="AB96" i="17"/>
  <c r="AH96" i="17" l="1"/>
  <c r="AJ96" i="17" s="1"/>
  <c r="F22" i="18" l="1"/>
  <c r="E44" i="26"/>
  <c r="E58" i="16" l="1"/>
  <c r="E58" i="17"/>
  <c r="E50" i="16"/>
  <c r="R33" i="37" l="1"/>
  <c r="C127" i="17" l="1"/>
  <c r="Q16" i="40"/>
  <c r="Q35" i="40" l="1"/>
  <c r="Q24" i="40"/>
  <c r="A42" i="12" l="1"/>
  <c r="W23" i="26" l="1"/>
  <c r="F20" i="15" l="1"/>
  <c r="AI52" i="18"/>
  <c r="AK52" i="18" s="1"/>
  <c r="F55" i="15"/>
  <c r="N55" i="15"/>
  <c r="AG26" i="22"/>
  <c r="AI26" i="22" s="1"/>
  <c r="Y22" i="24"/>
  <c r="Y27" i="24"/>
  <c r="Y30" i="24"/>
  <c r="Y60" i="24"/>
  <c r="Y78" i="24"/>
  <c r="Y85" i="24" s="1"/>
  <c r="J22" i="18" l="1"/>
  <c r="J53" i="18"/>
  <c r="X55" i="15"/>
  <c r="AH55" i="15" s="1"/>
  <c r="AJ55" i="15" s="1"/>
  <c r="H27" i="22"/>
  <c r="V55" i="15"/>
  <c r="AB57" i="17"/>
  <c r="AH57" i="17" s="1"/>
  <c r="AJ57" i="17" s="1"/>
  <c r="AB57" i="16"/>
  <c r="AH57" i="16" s="1"/>
  <c r="AJ57" i="16" s="1"/>
  <c r="Y32" i="24"/>
  <c r="Y64" i="24" s="1"/>
  <c r="Y88" i="24" s="1"/>
  <c r="I58" i="17" l="1"/>
  <c r="I58" i="16"/>
  <c r="Z42" i="37" l="1"/>
  <c r="AE22" i="16"/>
  <c r="AD27" i="22"/>
  <c r="AD29" i="22" s="1"/>
  <c r="AC53" i="18"/>
  <c r="AF53" i="18"/>
  <c r="AA42" i="3"/>
  <c r="J42" i="3"/>
  <c r="T42" i="3" s="1"/>
  <c r="F27" i="22"/>
  <c r="C21" i="17"/>
  <c r="AB21" i="17" s="1"/>
  <c r="C21" i="16"/>
  <c r="AB21" i="16" s="1"/>
  <c r="C35" i="41"/>
  <c r="C25" i="41"/>
  <c r="AA24" i="41"/>
  <c r="AA22" i="41"/>
  <c r="AA21" i="41"/>
  <c r="AA20" i="41"/>
  <c r="AA19" i="41"/>
  <c r="AA17" i="41"/>
  <c r="AA16" i="41"/>
  <c r="AA15" i="41"/>
  <c r="AA14" i="41"/>
  <c r="L56" i="15" l="1"/>
  <c r="H22" i="18"/>
  <c r="I60" i="24"/>
  <c r="AD42" i="3"/>
  <c r="AF42" i="3" s="1"/>
  <c r="AB131" i="17"/>
  <c r="R42" i="3"/>
  <c r="H53" i="18"/>
  <c r="D18" i="3" s="1"/>
  <c r="AA25" i="41"/>
  <c r="C38" i="41"/>
  <c r="D56" i="15" l="1"/>
  <c r="C25" i="17"/>
  <c r="Q76" i="25"/>
  <c r="AA38" i="41"/>
  <c r="N42" i="37" l="1"/>
  <c r="N62" i="22"/>
  <c r="N50" i="22"/>
  <c r="P82" i="20"/>
  <c r="Q60" i="24"/>
  <c r="P52" i="21"/>
  <c r="P56" i="21" s="1"/>
  <c r="O44" i="26"/>
  <c r="N25" i="28"/>
  <c r="N28" i="28" s="1"/>
  <c r="P70" i="21"/>
  <c r="P79" i="21" s="1"/>
  <c r="N33" i="28"/>
  <c r="Q95" i="24"/>
  <c r="P82" i="21" l="1"/>
  <c r="N37" i="28"/>
  <c r="O26" i="17"/>
  <c r="O26" i="16"/>
  <c r="R45" i="18"/>
  <c r="O106" i="17"/>
  <c r="O142" i="17"/>
  <c r="Q26" i="17" l="1"/>
  <c r="A52" i="9"/>
  <c r="V45" i="18" l="1"/>
  <c r="V37" i="18"/>
  <c r="V96" i="18"/>
  <c r="V114" i="18"/>
  <c r="V120" i="18" s="1"/>
  <c r="V137" i="18" l="1"/>
  <c r="A42" i="14" l="1"/>
  <c r="A42" i="13"/>
  <c r="A44" i="11"/>
  <c r="A44" i="10"/>
  <c r="A51" i="8"/>
  <c r="M26" i="16" l="1"/>
  <c r="M26" i="17" l="1"/>
  <c r="C24" i="16" l="1"/>
  <c r="C24" i="17"/>
  <c r="AB24" i="17" s="1"/>
  <c r="AA31" i="23" l="1"/>
  <c r="P17" i="2" s="1"/>
  <c r="AA95" i="24" l="1"/>
  <c r="Z36" i="19"/>
  <c r="H16" i="2" s="1"/>
  <c r="Z37" i="18"/>
  <c r="D15" i="2" s="1"/>
  <c r="Z22" i="18"/>
  <c r="Z26" i="18" s="1"/>
  <c r="D14" i="2" s="1"/>
  <c r="Z29" i="19"/>
  <c r="H15" i="2" s="1"/>
  <c r="Z96" i="18"/>
  <c r="D18" i="2" s="1"/>
  <c r="AA60" i="24"/>
  <c r="AA23" i="23"/>
  <c r="P15" i="2" s="1"/>
  <c r="Z114" i="18"/>
  <c r="Z120" i="18" s="1"/>
  <c r="AA78" i="24"/>
  <c r="AA85" i="24" s="1"/>
  <c r="Z100" i="20"/>
  <c r="Z107" i="20" s="1"/>
  <c r="AA28" i="23"/>
  <c r="P16" i="2" s="1"/>
  <c r="Z45" i="18"/>
  <c r="D16" i="2" s="1"/>
  <c r="AA96" i="23" l="1"/>
  <c r="Y50" i="16"/>
  <c r="Y106" i="17"/>
  <c r="Y42" i="17"/>
  <c r="Z82" i="19"/>
  <c r="H18" i="2" s="1"/>
  <c r="Z82" i="20"/>
  <c r="H19" i="3" s="1"/>
  <c r="Y30" i="16"/>
  <c r="Y50" i="17"/>
  <c r="Y124" i="17"/>
  <c r="Y133" i="17" s="1"/>
  <c r="Y26" i="17"/>
  <c r="AA33" i="23"/>
  <c r="AA79" i="23"/>
  <c r="AA86" i="23" s="1"/>
  <c r="Y106" i="16"/>
  <c r="AA61" i="23"/>
  <c r="P18" i="2" s="1"/>
  <c r="Z100" i="19"/>
  <c r="Z109" i="19" s="1"/>
  <c r="Y42" i="16"/>
  <c r="B37" i="43"/>
  <c r="AD116" i="20" l="1"/>
  <c r="G28" i="9"/>
  <c r="P18" i="6"/>
  <c r="C29" i="16"/>
  <c r="C73" i="17"/>
  <c r="C82" i="17"/>
  <c r="C104" i="17"/>
  <c r="C113" i="30"/>
  <c r="P18" i="5"/>
  <c r="C23" i="16"/>
  <c r="AA39" i="27"/>
  <c r="C38" i="17"/>
  <c r="AL85" i="21"/>
  <c r="AG37" i="27"/>
  <c r="AI37" i="27" s="1"/>
  <c r="AE22" i="17"/>
  <c r="F19" i="6"/>
  <c r="C156" i="30"/>
  <c r="AD46" i="25"/>
  <c r="C54" i="17"/>
  <c r="C88" i="17"/>
  <c r="C35" i="17"/>
  <c r="C33" i="17"/>
  <c r="C97" i="17"/>
  <c r="B26" i="6"/>
  <c r="C121" i="17"/>
  <c r="C100" i="17"/>
  <c r="C99" i="17"/>
  <c r="AG95" i="24"/>
  <c r="AD67" i="25"/>
  <c r="C130" i="17"/>
  <c r="AC96" i="23"/>
  <c r="P25" i="5"/>
  <c r="AE99" i="17"/>
  <c r="L38" i="15"/>
  <c r="C105" i="17"/>
  <c r="AG103" i="19"/>
  <c r="C24" i="30"/>
  <c r="E94" i="23"/>
  <c r="AF94" i="23" s="1"/>
  <c r="B19" i="6"/>
  <c r="C102" i="17"/>
  <c r="D22" i="18"/>
  <c r="AD71" i="22"/>
  <c r="AG71" i="22" s="1"/>
  <c r="C84" i="17"/>
  <c r="AD62" i="22"/>
  <c r="C54" i="16"/>
  <c r="C118" i="17"/>
  <c r="C36" i="17"/>
  <c r="C23" i="17"/>
  <c r="AB23" i="17" s="1"/>
  <c r="C67" i="17"/>
  <c r="Y124" i="16"/>
  <c r="Y133" i="16" s="1"/>
  <c r="AA65" i="23"/>
  <c r="AA89" i="23" s="1"/>
  <c r="B29" i="6" l="1"/>
  <c r="AD70" i="25"/>
  <c r="AJ95" i="24"/>
  <c r="AI22" i="18"/>
  <c r="AK22" i="18" s="1"/>
  <c r="C74" i="17"/>
  <c r="C45" i="17"/>
  <c r="C70" i="17"/>
  <c r="B21" i="5"/>
  <c r="C94" i="17"/>
  <c r="C123" i="17"/>
  <c r="C101" i="17"/>
  <c r="C122" i="17"/>
  <c r="C76" i="17"/>
  <c r="C68" i="17"/>
  <c r="AB68" i="17" s="1"/>
  <c r="C46" i="17"/>
  <c r="C49" i="17"/>
  <c r="C90" i="17"/>
  <c r="C98" i="17"/>
  <c r="B29" i="5"/>
  <c r="D114" i="18"/>
  <c r="D120" i="18" s="1"/>
  <c r="E93" i="23"/>
  <c r="C140" i="17"/>
  <c r="C114" i="17"/>
  <c r="C89" i="17"/>
  <c r="C128" i="17"/>
  <c r="C91" i="17"/>
  <c r="C79" i="17"/>
  <c r="C103" i="17"/>
  <c r="C28" i="16"/>
  <c r="C108" i="17"/>
  <c r="C95" i="17"/>
  <c r="AE140" i="17"/>
  <c r="AA50" i="3"/>
  <c r="D137" i="18"/>
  <c r="C34" i="17"/>
  <c r="C27" i="17"/>
  <c r="C52" i="17"/>
  <c r="C28" i="17"/>
  <c r="C44" i="17"/>
  <c r="C130" i="16"/>
  <c r="C72" i="17"/>
  <c r="C72" i="16"/>
  <c r="C56" i="16"/>
  <c r="C56" i="17"/>
  <c r="C92" i="17"/>
  <c r="C85" i="17"/>
  <c r="C77" i="17"/>
  <c r="D96" i="18"/>
  <c r="C64" i="17"/>
  <c r="C39" i="17"/>
  <c r="C32" i="17"/>
  <c r="C52" i="16"/>
  <c r="C29" i="17"/>
  <c r="C69" i="17"/>
  <c r="C53" i="17"/>
  <c r="C53" i="16"/>
  <c r="C78" i="17"/>
  <c r="C75" i="17"/>
  <c r="C115" i="17"/>
  <c r="C116" i="17"/>
  <c r="C26" i="17"/>
  <c r="C22" i="16"/>
  <c r="C26" i="16" s="1"/>
  <c r="D21" i="15"/>
  <c r="D25" i="15" s="1"/>
  <c r="C47" i="17"/>
  <c r="C126" i="17"/>
  <c r="C55" i="17"/>
  <c r="C120" i="17"/>
  <c r="C119" i="17"/>
  <c r="C86" i="17"/>
  <c r="V17" i="29"/>
  <c r="V17" i="28"/>
  <c r="AF93" i="23" l="1"/>
  <c r="V49" i="2"/>
  <c r="Y140" i="16" s="1"/>
  <c r="C42" i="17"/>
  <c r="C58" i="17"/>
  <c r="D34" i="2"/>
  <c r="D42" i="2" s="1"/>
  <c r="D38" i="15"/>
  <c r="D47" i="15"/>
  <c r="C139" i="17"/>
  <c r="AB82" i="19"/>
  <c r="AB36" i="19"/>
  <c r="AB29" i="19"/>
  <c r="AB140" i="16" l="1"/>
  <c r="D58" i="15"/>
  <c r="AB38" i="19"/>
  <c r="AB86" i="19" s="1"/>
  <c r="AJ79" i="20" l="1"/>
  <c r="J70" i="21"/>
  <c r="J79" i="21" s="1"/>
  <c r="I34" i="10"/>
  <c r="P32" i="6"/>
  <c r="L25" i="37"/>
  <c r="L17" i="28"/>
  <c r="L20" i="22"/>
  <c r="Q78" i="24"/>
  <c r="Q85" i="24" s="1"/>
  <c r="Q30" i="24"/>
  <c r="L29" i="22" l="1"/>
  <c r="H25" i="29"/>
  <c r="J88" i="21"/>
  <c r="I26" i="17" l="1"/>
  <c r="I26" i="16"/>
  <c r="AB96" i="16"/>
  <c r="AH96" i="16" s="1"/>
  <c r="AJ96" i="16" s="1"/>
  <c r="AJ21" i="24"/>
  <c r="AL21" i="24" s="1"/>
  <c r="V50" i="22"/>
  <c r="V62" i="22"/>
  <c r="V33" i="29"/>
  <c r="V25" i="28"/>
  <c r="V28" i="28" s="1"/>
  <c r="V25" i="29"/>
  <c r="V28" i="29" s="1"/>
  <c r="P29" i="20"/>
  <c r="R50" i="2" l="1"/>
  <c r="L45" i="18"/>
  <c r="L114" i="18"/>
  <c r="L120" i="18" s="1"/>
  <c r="L26" i="18"/>
  <c r="L37" i="18"/>
  <c r="AL72" i="19"/>
  <c r="N70" i="21"/>
  <c r="N79" i="21" s="1"/>
  <c r="L25" i="29"/>
  <c r="L28" i="27"/>
  <c r="M23" i="26"/>
  <c r="O78" i="24"/>
  <c r="O85" i="24" s="1"/>
  <c r="L50" i="22"/>
  <c r="M33" i="26"/>
  <c r="L19" i="27"/>
  <c r="O30" i="24"/>
  <c r="L17" i="29"/>
  <c r="O27" i="24"/>
  <c r="L25" i="28"/>
  <c r="L28" i="28" s="1"/>
  <c r="N52" i="21"/>
  <c r="N56" i="21" s="1"/>
  <c r="V33" i="28"/>
  <c r="V37" i="28" s="1"/>
  <c r="V20" i="22"/>
  <c r="V71" i="22"/>
  <c r="V37" i="29"/>
  <c r="V29" i="22" l="1"/>
  <c r="N82" i="21"/>
  <c r="H35" i="3"/>
  <c r="H43" i="3" s="1"/>
  <c r="L55" i="18"/>
  <c r="L100" i="18" s="1"/>
  <c r="AG48" i="22"/>
  <c r="AI48" i="22" s="1"/>
  <c r="AE103" i="17"/>
  <c r="AK90" i="18"/>
  <c r="M30" i="16"/>
  <c r="L28" i="29"/>
  <c r="M37" i="26"/>
  <c r="M49" i="26" s="1"/>
  <c r="L32" i="27"/>
  <c r="M124" i="17"/>
  <c r="M30" i="17"/>
  <c r="L54" i="22"/>
  <c r="M42" i="17"/>
  <c r="M50" i="17"/>
  <c r="N29" i="19"/>
  <c r="M106" i="17"/>
  <c r="N82" i="20"/>
  <c r="AG13" i="19" l="1"/>
  <c r="M50" i="16"/>
  <c r="F29" i="19"/>
  <c r="F36" i="19"/>
  <c r="G23" i="23"/>
  <c r="G28" i="23"/>
  <c r="Y60" i="16"/>
  <c r="Y110" i="16" s="1"/>
  <c r="Y136" i="16" s="1"/>
  <c r="M106" i="16"/>
  <c r="M124" i="16"/>
  <c r="M60" i="17"/>
  <c r="M142" i="17"/>
  <c r="N86" i="20"/>
  <c r="N110" i="20" s="1"/>
  <c r="L34" i="2"/>
  <c r="Z55" i="18" l="1"/>
  <c r="Z100" i="18" s="1"/>
  <c r="Z123" i="18" s="1"/>
  <c r="G79" i="23"/>
  <c r="G86" i="23" s="1"/>
  <c r="G61" i="23"/>
  <c r="G31" i="23"/>
  <c r="F100" i="19"/>
  <c r="F109" i="19" s="1"/>
  <c r="G33" i="23" l="1"/>
  <c r="G65" i="23" s="1"/>
  <c r="G89" i="23" s="1"/>
  <c r="F82" i="19"/>
  <c r="N57" i="2" l="1"/>
  <c r="Q22" i="39"/>
  <c r="Q47" i="39"/>
  <c r="Q38" i="39"/>
  <c r="Q28" i="39"/>
  <c r="Q30" i="39" l="1"/>
  <c r="Q50" i="39" l="1"/>
  <c r="Q52" i="39" s="1"/>
  <c r="C47" i="16"/>
  <c r="X116" i="20" l="1"/>
  <c r="X120" i="20" s="1"/>
  <c r="Q46" i="40"/>
  <c r="Q48" i="40" s="1"/>
  <c r="D48" i="40" l="1"/>
  <c r="F12" i="40" s="1"/>
  <c r="F48" i="40" s="1"/>
  <c r="H12" i="40" s="1"/>
  <c r="H48" i="40" s="1"/>
  <c r="J12" i="40" s="1"/>
  <c r="E59" i="23"/>
  <c r="AF59" i="23" s="1"/>
  <c r="E60" i="23"/>
  <c r="AF60" i="23" s="1"/>
  <c r="AD55" i="19"/>
  <c r="J48" i="40" l="1"/>
  <c r="L12" i="40" s="1"/>
  <c r="L48" i="40" s="1"/>
  <c r="N12" i="40" s="1"/>
  <c r="N48" i="40" s="1"/>
  <c r="C34" i="16"/>
  <c r="C103" i="16"/>
  <c r="AB103" i="16" s="1"/>
  <c r="AD21" i="19"/>
  <c r="E52" i="23"/>
  <c r="AF52" i="23" s="1"/>
  <c r="AK68" i="18"/>
  <c r="E70" i="23"/>
  <c r="E49" i="23"/>
  <c r="AF49" i="23" s="1"/>
  <c r="AE35" i="17"/>
  <c r="E58" i="23"/>
  <c r="E30" i="23"/>
  <c r="P23" i="6"/>
  <c r="C102" i="16"/>
  <c r="AC55" i="18"/>
  <c r="AC100" i="18" s="1"/>
  <c r="AG22" i="19"/>
  <c r="AI68" i="18"/>
  <c r="E22" i="23"/>
  <c r="E77" i="23"/>
  <c r="AE95" i="17"/>
  <c r="E26" i="23"/>
  <c r="AJ19" i="25"/>
  <c r="F30" i="2"/>
  <c r="G24" i="12"/>
  <c r="C82" i="16"/>
  <c r="AC120" i="18"/>
  <c r="C95" i="16"/>
  <c r="C104" i="16"/>
  <c r="AI43" i="23"/>
  <c r="AI74" i="23"/>
  <c r="E63" i="23"/>
  <c r="C73" i="16"/>
  <c r="P35" i="5"/>
  <c r="E69" i="23"/>
  <c r="E74" i="23"/>
  <c r="I25" i="10"/>
  <c r="C68" i="16"/>
  <c r="E25" i="23"/>
  <c r="C84" i="16"/>
  <c r="E57" i="23"/>
  <c r="E43" i="23"/>
  <c r="AF43" i="23" s="1"/>
  <c r="E20" i="23"/>
  <c r="AF20" i="23" s="1"/>
  <c r="E27" i="23"/>
  <c r="E54" i="23"/>
  <c r="E21" i="23"/>
  <c r="AJ33" i="25"/>
  <c r="E81" i="23"/>
  <c r="AC79" i="23"/>
  <c r="AC86" i="23" s="1"/>
  <c r="AC61" i="23"/>
  <c r="AC31" i="23"/>
  <c r="AC28" i="23"/>
  <c r="AC23" i="23"/>
  <c r="AF22" i="23" l="1"/>
  <c r="AF21" i="23"/>
  <c r="AF63" i="23"/>
  <c r="AC123" i="18"/>
  <c r="AC141" i="18" s="1"/>
  <c r="AF27" i="23"/>
  <c r="P47" i="15"/>
  <c r="P56" i="15"/>
  <c r="C55" i="16"/>
  <c r="C58" i="16" s="1"/>
  <c r="J50" i="2"/>
  <c r="C46" i="16"/>
  <c r="C35" i="16"/>
  <c r="AB35" i="16" s="1"/>
  <c r="C38" i="16"/>
  <c r="C32" i="16"/>
  <c r="AD102" i="19"/>
  <c r="C44" i="16"/>
  <c r="C88" i="16"/>
  <c r="C33" i="16"/>
  <c r="C39" i="16"/>
  <c r="C115" i="16"/>
  <c r="C101" i="16"/>
  <c r="C119" i="16"/>
  <c r="C49" i="16"/>
  <c r="C126" i="16"/>
  <c r="C45" i="16"/>
  <c r="C36" i="16"/>
  <c r="AD52" i="19"/>
  <c r="C76" i="16"/>
  <c r="AD61" i="19"/>
  <c r="E106" i="16"/>
  <c r="E106" i="17"/>
  <c r="AB23" i="16"/>
  <c r="E42" i="16"/>
  <c r="E42" i="17"/>
  <c r="E124" i="17"/>
  <c r="E133" i="17" s="1"/>
  <c r="E50" i="17"/>
  <c r="E42" i="23"/>
  <c r="E82" i="23"/>
  <c r="C69" i="16"/>
  <c r="C105" i="16"/>
  <c r="C75" i="16"/>
  <c r="C92" i="16"/>
  <c r="C90" i="16"/>
  <c r="C89" i="16"/>
  <c r="E51" i="23"/>
  <c r="E73" i="23"/>
  <c r="E45" i="23"/>
  <c r="E41" i="23"/>
  <c r="C74" i="16" s="1"/>
  <c r="C64" i="16"/>
  <c r="D29" i="19"/>
  <c r="C99" i="16"/>
  <c r="D36" i="19"/>
  <c r="E56" i="23"/>
  <c r="E44" i="23"/>
  <c r="C78" i="16" s="1"/>
  <c r="E76" i="23"/>
  <c r="E39" i="23"/>
  <c r="C67" i="16" s="1"/>
  <c r="E84" i="23"/>
  <c r="AF84" i="23" s="1"/>
  <c r="E71" i="23"/>
  <c r="E37" i="23"/>
  <c r="C65" i="16" s="1"/>
  <c r="E50" i="23"/>
  <c r="E46" i="23"/>
  <c r="AF46" i="23" s="1"/>
  <c r="E83" i="23"/>
  <c r="C70" i="16"/>
  <c r="E55" i="23"/>
  <c r="C100" i="16"/>
  <c r="E78" i="23"/>
  <c r="AF78" i="23" s="1"/>
  <c r="E75" i="23"/>
  <c r="C94" i="16"/>
  <c r="C77" i="16"/>
  <c r="E47" i="23"/>
  <c r="AD44" i="19"/>
  <c r="AD103" i="19"/>
  <c r="AC33" i="23"/>
  <c r="AC65" i="23" s="1"/>
  <c r="AC89" i="23" s="1"/>
  <c r="AC101" i="23" s="1"/>
  <c r="C79" i="16" l="1"/>
  <c r="AF45" i="23"/>
  <c r="AF75" i="23"/>
  <c r="C42" i="16"/>
  <c r="D38" i="19"/>
  <c r="H47" i="15"/>
  <c r="H38" i="15"/>
  <c r="C118" i="16"/>
  <c r="C121" i="16"/>
  <c r="C128" i="16"/>
  <c r="C127" i="16"/>
  <c r="AF92" i="23"/>
  <c r="AF96" i="23" s="1"/>
  <c r="P51" i="2"/>
  <c r="C122" i="16"/>
  <c r="C114" i="16"/>
  <c r="C108" i="16"/>
  <c r="C98" i="16"/>
  <c r="AB22" i="17"/>
  <c r="E26" i="17"/>
  <c r="AB22" i="16"/>
  <c r="E26" i="16"/>
  <c r="AB26" i="16" s="1"/>
  <c r="C91" i="16"/>
  <c r="C116" i="16"/>
  <c r="C97" i="16"/>
  <c r="C131" i="16"/>
  <c r="C85" i="16"/>
  <c r="C120" i="16"/>
  <c r="C86" i="16"/>
  <c r="C123" i="16"/>
  <c r="AB123" i="16" s="1"/>
  <c r="Z33" i="37"/>
  <c r="Z44" i="37" s="1"/>
  <c r="E133" i="16"/>
  <c r="D82" i="19"/>
  <c r="C142" i="17"/>
  <c r="D100" i="19"/>
  <c r="D109" i="19" s="1"/>
  <c r="D118" i="19"/>
  <c r="C124" i="17"/>
  <c r="C133" i="17" s="1"/>
  <c r="D20" i="33"/>
  <c r="E30" i="17" l="1"/>
  <c r="E60" i="17" s="1"/>
  <c r="E110" i="17" s="1"/>
  <c r="E136" i="17" s="1"/>
  <c r="E30" i="16"/>
  <c r="E60" i="16" s="1"/>
  <c r="E110" i="16" s="1"/>
  <c r="E136" i="16" s="1"/>
  <c r="D86" i="19"/>
  <c r="D112" i="19" s="1"/>
  <c r="D122" i="19" s="1"/>
  <c r="P20" i="22"/>
  <c r="H29" i="36"/>
  <c r="AB33" i="16" l="1"/>
  <c r="N38" i="19"/>
  <c r="B34" i="6"/>
  <c r="B39" i="6" s="1"/>
  <c r="AE108" i="17"/>
  <c r="P50" i="22"/>
  <c r="P71" i="22"/>
  <c r="R52" i="21"/>
  <c r="R56" i="21" s="1"/>
  <c r="A6" i="34"/>
  <c r="F34" i="6" l="1"/>
  <c r="S23" i="23"/>
  <c r="AA49" i="3"/>
  <c r="G30" i="9"/>
  <c r="R36" i="19"/>
  <c r="S28" i="23"/>
  <c r="L51" i="2"/>
  <c r="S61" i="23"/>
  <c r="A6" i="37"/>
  <c r="B9" i="37"/>
  <c r="A5" i="44" l="1"/>
  <c r="A5" i="45" s="1"/>
  <c r="A6" i="38"/>
  <c r="A6" i="39" s="1"/>
  <c r="B6" i="40" s="1"/>
  <c r="S33" i="23"/>
  <c r="S65" i="23" s="1"/>
  <c r="R100" i="19"/>
  <c r="R109" i="19" s="1"/>
  <c r="R82" i="19"/>
  <c r="S79" i="23"/>
  <c r="S86" i="23" s="1"/>
  <c r="S96" i="23"/>
  <c r="R29" i="19"/>
  <c r="R38"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AB21" i="15" l="1"/>
  <c r="AB38" i="15"/>
  <c r="L123" i="18"/>
  <c r="B37" i="5"/>
  <c r="F29" i="15"/>
  <c r="AI51" i="23"/>
  <c r="AG17" i="19"/>
  <c r="AD14" i="2" s="1"/>
  <c r="AI87" i="18"/>
  <c r="AK87" i="18" s="1"/>
  <c r="AI56" i="23"/>
  <c r="AI60" i="23"/>
  <c r="AI26" i="23"/>
  <c r="AD36" i="20"/>
  <c r="AD38" i="20" s="1"/>
  <c r="AD107" i="20" l="1"/>
  <c r="Q50" i="17"/>
  <c r="Q33" i="26"/>
  <c r="P88" i="21"/>
  <c r="P92" i="21" s="1"/>
  <c r="Q42" i="17"/>
  <c r="N71" i="22"/>
  <c r="F29" i="5"/>
  <c r="V35" i="15"/>
  <c r="Q22" i="24"/>
  <c r="R26" i="18"/>
  <c r="F26" i="6"/>
  <c r="F29" i="6" s="1"/>
  <c r="F39" i="6" s="1"/>
  <c r="F37" i="5"/>
  <c r="AF57" i="23"/>
  <c r="M26" i="42" l="1"/>
  <c r="G43" i="34"/>
  <c r="M43" i="34" s="1"/>
  <c r="M110" i="17"/>
  <c r="Q106" i="17"/>
  <c r="R88" i="21"/>
  <c r="R118" i="19"/>
  <c r="R86" i="19"/>
  <c r="R112" i="19" s="1"/>
  <c r="Q124" i="17"/>
  <c r="Q133" i="17" s="1"/>
  <c r="Q124" i="16"/>
  <c r="Q50" i="16"/>
  <c r="R122" i="19" l="1"/>
  <c r="Q142" i="17"/>
  <c r="AD17" i="29" l="1"/>
  <c r="AA17" i="28"/>
  <c r="AD25" i="29"/>
  <c r="AA25" i="28"/>
  <c r="AD33" i="29"/>
  <c r="AD76" i="25" l="1"/>
  <c r="AF58" i="23"/>
  <c r="AA28" i="27"/>
  <c r="AB44" i="26"/>
  <c r="AF77" i="23"/>
  <c r="AD30" i="24"/>
  <c r="AF56" i="23"/>
  <c r="AD56" i="21"/>
  <c r="AF41" i="23"/>
  <c r="AD79" i="21"/>
  <c r="AF44" i="23"/>
  <c r="AF69" i="23"/>
  <c r="AD85" i="24"/>
  <c r="AB23" i="26"/>
  <c r="AF74" i="23"/>
  <c r="AF30" i="23"/>
  <c r="AF31" i="23" s="1"/>
  <c r="AF54" i="23"/>
  <c r="AF39" i="23"/>
  <c r="AF51" i="23"/>
  <c r="AF76" i="23"/>
  <c r="AF42" i="23"/>
  <c r="AD28" i="29"/>
  <c r="AF55" i="23"/>
  <c r="AA28" i="28"/>
  <c r="H42" i="37"/>
  <c r="F42" i="37"/>
  <c r="B42" i="37"/>
  <c r="H33" i="37"/>
  <c r="F33" i="37"/>
  <c r="B33" i="37"/>
  <c r="H25" i="37"/>
  <c r="F25" i="37"/>
  <c r="B25" i="37"/>
  <c r="AD37" i="29" l="1"/>
  <c r="AD80" i="25"/>
  <c r="AD82" i="21"/>
  <c r="AB37" i="26"/>
  <c r="AB49" i="26" s="1"/>
  <c r="AD86" i="20"/>
  <c r="AD110" i="20" s="1"/>
  <c r="AA32" i="27"/>
  <c r="AA44" i="27" s="1"/>
  <c r="N100" i="19"/>
  <c r="N109" i="19" s="1"/>
  <c r="AD32" i="24"/>
  <c r="AD64" i="24" s="1"/>
  <c r="AD88" i="24" s="1"/>
  <c r="AD100" i="24" s="1"/>
  <c r="AF26" i="23"/>
  <c r="AF50" i="23"/>
  <c r="AF81" i="23"/>
  <c r="AF47" i="23"/>
  <c r="AF70" i="23"/>
  <c r="AF73" i="23"/>
  <c r="AF71" i="23"/>
  <c r="AF83" i="23"/>
  <c r="AF82" i="23"/>
  <c r="H44" i="37"/>
  <c r="F44" i="37"/>
  <c r="B44" i="37"/>
  <c r="AB100" i="19" l="1"/>
  <c r="N86" i="19" l="1"/>
  <c r="N112"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E60" i="25"/>
  <c r="E67" i="25" s="1"/>
  <c r="K42" i="25"/>
  <c r="K46" i="25" s="1"/>
  <c r="I42" i="25"/>
  <c r="I46" i="25" s="1"/>
  <c r="E42" i="25"/>
  <c r="E46" i="25" s="1"/>
  <c r="I78" i="24"/>
  <c r="I85" i="24" s="1"/>
  <c r="E78" i="24"/>
  <c r="E85" i="24" s="1"/>
  <c r="E60" i="24"/>
  <c r="I30" i="24"/>
  <c r="E30" i="24"/>
  <c r="I27" i="24"/>
  <c r="E27" i="24"/>
  <c r="I22" i="24"/>
  <c r="E22" i="24"/>
  <c r="K31" i="23"/>
  <c r="E31" i="23"/>
  <c r="K28" i="23"/>
  <c r="H62" i="22"/>
  <c r="F62" i="22"/>
  <c r="B62" i="22"/>
  <c r="H50" i="22"/>
  <c r="F50" i="22"/>
  <c r="B50" i="22"/>
  <c r="H20" i="22"/>
  <c r="F20" i="22"/>
  <c r="B20" i="22"/>
  <c r="H70" i="21"/>
  <c r="H79" i="21" s="1"/>
  <c r="D70" i="21"/>
  <c r="D79" i="21" s="1"/>
  <c r="J52" i="21"/>
  <c r="J56" i="21" s="1"/>
  <c r="J82" i="21" s="1"/>
  <c r="H52" i="21"/>
  <c r="H56" i="21" s="1"/>
  <c r="D52" i="21"/>
  <c r="D56" i="21" s="1"/>
  <c r="H100" i="20"/>
  <c r="H107" i="20" s="1"/>
  <c r="F100" i="20"/>
  <c r="F107" i="20" s="1"/>
  <c r="D100" i="20"/>
  <c r="D107" i="20" s="1"/>
  <c r="H82" i="20"/>
  <c r="F82" i="20"/>
  <c r="D82" i="20"/>
  <c r="H36" i="20"/>
  <c r="F36" i="20"/>
  <c r="D36" i="20"/>
  <c r="H29" i="20"/>
  <c r="F29" i="20"/>
  <c r="D29" i="20"/>
  <c r="G112" i="19"/>
  <c r="J36" i="19"/>
  <c r="H36" i="19"/>
  <c r="J114" i="18"/>
  <c r="J120" i="18" s="1"/>
  <c r="H114" i="18"/>
  <c r="H120" i="18" s="1"/>
  <c r="F114" i="18"/>
  <c r="F120" i="18" s="1"/>
  <c r="J96" i="18"/>
  <c r="H96" i="18"/>
  <c r="F96" i="18"/>
  <c r="J45" i="18"/>
  <c r="H45" i="18"/>
  <c r="F45" i="18"/>
  <c r="D45" i="18"/>
  <c r="J37" i="18"/>
  <c r="H37" i="18"/>
  <c r="F37" i="18"/>
  <c r="D37" i="18"/>
  <c r="J26" i="18"/>
  <c r="H26" i="18"/>
  <c r="F26" i="18"/>
  <c r="H29" i="22" l="1"/>
  <c r="H54" i="22" s="1"/>
  <c r="H65" i="22" s="1"/>
  <c r="F29" i="22"/>
  <c r="F54" i="22" s="1"/>
  <c r="F65" i="22" s="1"/>
  <c r="B29" i="22"/>
  <c r="B54" i="22" s="1"/>
  <c r="B65" i="22" s="1"/>
  <c r="H82" i="21"/>
  <c r="H38" i="20"/>
  <c r="H86" i="20" s="1"/>
  <c r="H110" i="20" s="1"/>
  <c r="C37" i="26"/>
  <c r="C49" i="26" s="1"/>
  <c r="F38" i="20"/>
  <c r="F86" i="20" s="1"/>
  <c r="F110" i="20" s="1"/>
  <c r="D38" i="20"/>
  <c r="D86" i="20" s="1"/>
  <c r="D110" i="20" s="1"/>
  <c r="I70" i="25"/>
  <c r="D28" i="29"/>
  <c r="V54" i="22"/>
  <c r="V65" i="22" s="1"/>
  <c r="V75" i="22" s="1"/>
  <c r="F28" i="29"/>
  <c r="J55" i="18"/>
  <c r="J100" i="18" s="1"/>
  <c r="J123" i="18" s="1"/>
  <c r="F32" i="27"/>
  <c r="H28" i="29"/>
  <c r="K70" i="25"/>
  <c r="G37" i="26"/>
  <c r="D32" i="27"/>
  <c r="I37" i="26"/>
  <c r="D28" i="28"/>
  <c r="H32" i="27"/>
  <c r="H29" i="19"/>
  <c r="H55" i="18"/>
  <c r="H100" i="18" s="1"/>
  <c r="H123" i="18" s="1"/>
  <c r="J82" i="19"/>
  <c r="J29" i="19"/>
  <c r="F55" i="18"/>
  <c r="F100" i="18" s="1"/>
  <c r="F123" i="18" s="1"/>
  <c r="B32" i="27"/>
  <c r="E70" i="25"/>
  <c r="E37" i="26"/>
  <c r="E49" i="26" s="1"/>
  <c r="K23" i="23"/>
  <c r="E79" i="23"/>
  <c r="E86" i="23" s="1"/>
  <c r="J100" i="19"/>
  <c r="J109" i="19" s="1"/>
  <c r="E28" i="23"/>
  <c r="H28" i="28"/>
  <c r="B28" i="29"/>
  <c r="B28" i="28"/>
  <c r="F28" i="28"/>
  <c r="D82" i="21"/>
  <c r="I32" i="24"/>
  <c r="I64" i="24" s="1"/>
  <c r="I88" i="24" s="1"/>
  <c r="K32" i="24"/>
  <c r="K64" i="24" s="1"/>
  <c r="K88" i="24" s="1"/>
  <c r="K100" i="24" s="1"/>
  <c r="E32" i="24"/>
  <c r="E64" i="24" s="1"/>
  <c r="E88" i="24" s="1"/>
  <c r="K79" i="23"/>
  <c r="K86" i="23" s="1"/>
  <c r="E61" i="23"/>
  <c r="K61" i="23"/>
  <c r="AB40" i="16" l="1"/>
  <c r="AH40" i="16" s="1"/>
  <c r="AJ40" i="16" s="1"/>
  <c r="J38" i="19"/>
  <c r="J86" i="19" s="1"/>
  <c r="J112" i="19" s="1"/>
  <c r="H38" i="19"/>
  <c r="H86" i="19" s="1"/>
  <c r="H112" i="19" s="1"/>
  <c r="H122" i="19" s="1"/>
  <c r="K33" i="23"/>
  <c r="K65" i="23" s="1"/>
  <c r="A5" i="14"/>
  <c r="A5" i="13"/>
  <c r="A5" i="12"/>
  <c r="A5" i="11"/>
  <c r="A5" i="10"/>
  <c r="A5" i="9"/>
  <c r="A5" i="8"/>
  <c r="K40" i="9" l="1"/>
  <c r="K41" i="9"/>
  <c r="K28" i="9"/>
  <c r="K35" i="9"/>
  <c r="K39" i="9"/>
  <c r="K24" i="12"/>
  <c r="U22" i="14"/>
  <c r="V33" i="11"/>
  <c r="U26" i="14"/>
  <c r="V21" i="11"/>
  <c r="V22" i="11"/>
  <c r="V32" i="11"/>
  <c r="U25" i="14"/>
  <c r="U21" i="14"/>
  <c r="K32" i="11"/>
  <c r="K22" i="12"/>
  <c r="K89" i="23"/>
  <c r="C31" i="9" l="1"/>
  <c r="K30" i="9"/>
  <c r="K42" i="9"/>
  <c r="R41" i="15"/>
  <c r="K139" i="30" l="1"/>
  <c r="K136" i="30"/>
  <c r="R96" i="18" l="1"/>
  <c r="D19" i="3" l="1"/>
  <c r="O124" i="17"/>
  <c r="O133" i="17" s="1"/>
  <c r="V82" i="19"/>
  <c r="O50" i="17"/>
  <c r="I50" i="17" l="1"/>
  <c r="O42" i="17" l="1"/>
  <c r="P42" i="37" l="1"/>
  <c r="V42" i="37"/>
  <c r="X42" i="37"/>
  <c r="L42" i="37"/>
  <c r="L44" i="37" s="1"/>
  <c r="X33" i="37"/>
  <c r="V33" i="37"/>
  <c r="P33" i="37"/>
  <c r="S60" i="24"/>
  <c r="R42" i="37"/>
  <c r="T42" i="37"/>
  <c r="T33" i="37"/>
  <c r="N33" i="37"/>
  <c r="N44" i="37" s="1"/>
  <c r="U23" i="23"/>
  <c r="Y142" i="17"/>
  <c r="U33" i="23" l="1"/>
  <c r="U65" i="23" s="1"/>
  <c r="U89" i="23" s="1"/>
  <c r="U101" i="23" s="1"/>
  <c r="P44" i="37"/>
  <c r="I42" i="17"/>
  <c r="I30" i="17"/>
  <c r="I30" i="16"/>
  <c r="K96" i="23"/>
  <c r="B71" i="22"/>
  <c r="T44" i="37"/>
  <c r="S42" i="16"/>
  <c r="O42" i="16"/>
  <c r="S124" i="16"/>
  <c r="S133" i="16" s="1"/>
  <c r="R25" i="37"/>
  <c r="T25" i="37"/>
  <c r="V25" i="37"/>
  <c r="X25" i="37"/>
  <c r="N25" i="37"/>
  <c r="P25" i="37"/>
  <c r="V44" i="37"/>
  <c r="O50" i="16"/>
  <c r="R44" i="37"/>
  <c r="S50" i="16"/>
  <c r="X44" i="37"/>
  <c r="AA101" i="23" l="1"/>
  <c r="AI57" i="23"/>
  <c r="I124" i="16"/>
  <c r="I133" i="16" s="1"/>
  <c r="I50" i="16"/>
  <c r="I60" i="17"/>
  <c r="I42" i="16"/>
  <c r="I106" i="16"/>
  <c r="I106" i="17"/>
  <c r="I110" i="17" l="1"/>
  <c r="I136" i="17" s="1"/>
  <c r="I146" i="17" s="1"/>
  <c r="K101" i="23"/>
  <c r="I60" i="16"/>
  <c r="I110" i="16" s="1"/>
  <c r="I136" i="16" s="1"/>
  <c r="P28" i="5" l="1"/>
  <c r="J49" i="3" l="1"/>
  <c r="G25" i="11"/>
  <c r="K25" i="11" s="1"/>
  <c r="I42" i="10"/>
  <c r="I35" i="10"/>
  <c r="I40" i="13"/>
  <c r="N28" i="15" l="1"/>
  <c r="N38" i="15" s="1"/>
  <c r="G96" i="23" l="1"/>
  <c r="G101" i="23" l="1"/>
  <c r="AA51" i="3" l="1"/>
  <c r="R34" i="11" l="1"/>
  <c r="V34" i="11" s="1"/>
  <c r="AG31" i="19"/>
  <c r="AI55" i="23" l="1"/>
  <c r="AG55" i="19"/>
  <c r="AG61" i="19"/>
  <c r="AI52" i="23"/>
  <c r="AG57" i="19"/>
  <c r="AG24" i="19"/>
  <c r="AI50" i="23"/>
  <c r="AI71" i="23"/>
  <c r="AI58" i="23"/>
  <c r="AI49" i="23"/>
  <c r="P33" i="6"/>
  <c r="AG62" i="19"/>
  <c r="AG77" i="19"/>
  <c r="AG96" i="19"/>
  <c r="AG45" i="19"/>
  <c r="AI82" i="23"/>
  <c r="AG76" i="19"/>
  <c r="AG49" i="19"/>
  <c r="AI30" i="23"/>
  <c r="AG98" i="19"/>
  <c r="AI45" i="23"/>
  <c r="AI39" i="23"/>
  <c r="AI37" i="23"/>
  <c r="AG73" i="19"/>
  <c r="AG75" i="19"/>
  <c r="AE99" i="16" s="1"/>
  <c r="AG90" i="19"/>
  <c r="AI70" i="23"/>
  <c r="AG32" i="19"/>
  <c r="AG99" i="19"/>
  <c r="AG54" i="19"/>
  <c r="AI83" i="23"/>
  <c r="AG60" i="19"/>
  <c r="AE84" i="16" s="1"/>
  <c r="AG26" i="19"/>
  <c r="P24" i="6"/>
  <c r="AE35" i="16"/>
  <c r="AG97" i="19"/>
  <c r="AG52" i="19"/>
  <c r="P26" i="5"/>
  <c r="AG81" i="19"/>
  <c r="AG64" i="19"/>
  <c r="AG33" i="19"/>
  <c r="AG80" i="19"/>
  <c r="AI76" i="23"/>
  <c r="AG95" i="19"/>
  <c r="AG51" i="19"/>
  <c r="AG35" i="19"/>
  <c r="AG53" i="19"/>
  <c r="AI73" i="23"/>
  <c r="AI22" i="23"/>
  <c r="AI59" i="23"/>
  <c r="AI47" i="23"/>
  <c r="AE64" i="16"/>
  <c r="AI54" i="23"/>
  <c r="P20" i="5"/>
  <c r="AG102" i="19"/>
  <c r="AG34" i="19"/>
  <c r="AE47" i="16" s="1"/>
  <c r="AI69" i="23"/>
  <c r="P36" i="5"/>
  <c r="AG58" i="19"/>
  <c r="AG50" i="19"/>
  <c r="AG91" i="19"/>
  <c r="AI78" i="23"/>
  <c r="AG44" i="19"/>
  <c r="AI81" i="23"/>
  <c r="AI41" i="23"/>
  <c r="AI75" i="23"/>
  <c r="AG74" i="19"/>
  <c r="AG70" i="19"/>
  <c r="AG66" i="19"/>
  <c r="AI25" i="23"/>
  <c r="AG47" i="19"/>
  <c r="AI63" i="23"/>
  <c r="AI77" i="23"/>
  <c r="AG27" i="19"/>
  <c r="P25" i="6"/>
  <c r="AG92" i="19"/>
  <c r="AG84" i="19"/>
  <c r="AG67" i="19"/>
  <c r="P19" i="5"/>
  <c r="AG107" i="19"/>
  <c r="AE131" i="17" s="1"/>
  <c r="AG104" i="19"/>
  <c r="P27" i="5"/>
  <c r="AI42" i="23"/>
  <c r="AG65" i="19"/>
  <c r="AG79" i="19"/>
  <c r="AI44" i="23"/>
  <c r="AG94" i="19"/>
  <c r="AG78" i="19"/>
  <c r="AG46" i="19"/>
  <c r="AG68" i="19"/>
  <c r="AD54" i="22" l="1"/>
  <c r="AD65" i="22" s="1"/>
  <c r="AI96" i="23"/>
  <c r="AL96" i="23" s="1"/>
  <c r="AE88" i="16"/>
  <c r="AI31" i="23"/>
  <c r="AE55" i="16"/>
  <c r="AH131" i="17"/>
  <c r="AJ131" i="17" s="1"/>
  <c r="AE98" i="16"/>
  <c r="AL22" i="23"/>
  <c r="AN22" i="23" s="1"/>
  <c r="AE103" i="16"/>
  <c r="I26" i="13"/>
  <c r="I27" i="13" s="1"/>
  <c r="I32" i="13"/>
  <c r="I33" i="13" s="1"/>
  <c r="AD31" i="15"/>
  <c r="AI23" i="23"/>
  <c r="AI28" i="23"/>
  <c r="AI79" i="23"/>
  <c r="AI86" i="23" s="1"/>
  <c r="AI61" i="23"/>
  <c r="AD41" i="2"/>
  <c r="AD28" i="2"/>
  <c r="P26" i="6"/>
  <c r="AD30" i="2"/>
  <c r="AD33" i="2"/>
  <c r="AD29" i="2"/>
  <c r="AD25" i="2"/>
  <c r="AD38" i="2"/>
  <c r="AD36" i="2"/>
  <c r="AD32" i="2"/>
  <c r="AD37" i="2"/>
  <c r="AD24" i="2"/>
  <c r="AD31" i="2"/>
  <c r="AG71" i="19"/>
  <c r="AE139" i="17"/>
  <c r="AD19" i="2"/>
  <c r="AD26" i="2"/>
  <c r="AD51" i="2" l="1"/>
  <c r="AE139" i="16"/>
  <c r="AC103" i="23"/>
  <c r="AG82" i="19"/>
  <c r="AD18" i="2" s="1"/>
  <c r="AE95" i="16"/>
  <c r="AI33" i="23"/>
  <c r="AI65" i="23" s="1"/>
  <c r="AI89" i="23" s="1"/>
  <c r="AI101" i="23" s="1"/>
  <c r="V36" i="19"/>
  <c r="V29" i="19"/>
  <c r="V38" i="19" l="1"/>
  <c r="V86" i="19" s="1"/>
  <c r="V112" i="19" s="1"/>
  <c r="V122" i="19" s="1"/>
  <c r="F32" i="15"/>
  <c r="F35" i="15"/>
  <c r="AI64" i="18"/>
  <c r="J42" i="37"/>
  <c r="N53" i="15"/>
  <c r="N56" i="15" s="1"/>
  <c r="F34" i="15"/>
  <c r="AJ74" i="25"/>
  <c r="AL74" i="25" s="1"/>
  <c r="J44" i="37" l="1"/>
  <c r="J25" i="37"/>
  <c r="L36" i="19"/>
  <c r="L82" i="19"/>
  <c r="L29" i="19"/>
  <c r="L100" i="19"/>
  <c r="L109" i="19" s="1"/>
  <c r="L38" i="19" l="1"/>
  <c r="L86" i="19" s="1"/>
  <c r="L112" i="19" s="1"/>
  <c r="AB35" i="17"/>
  <c r="AH35" i="17" s="1"/>
  <c r="AJ35" i="17" s="1"/>
  <c r="AJ23" i="20"/>
  <c r="AL23" i="20" s="1"/>
  <c r="V31" i="15"/>
  <c r="AD23" i="19" l="1"/>
  <c r="AJ23" i="19" l="1"/>
  <c r="AL23" i="19" s="1"/>
  <c r="J31" i="15"/>
  <c r="AH35" i="16"/>
  <c r="AJ35" i="16" s="1"/>
  <c r="AE73" i="17" l="1"/>
  <c r="AB73" i="17" l="1"/>
  <c r="AH73" i="17" s="1"/>
  <c r="AJ73" i="17" s="1"/>
  <c r="AJ49" i="20" l="1"/>
  <c r="AL49" i="20" s="1"/>
  <c r="AE73" i="16" l="1"/>
  <c r="AD49" i="19"/>
  <c r="AJ49" i="19" s="1"/>
  <c r="AL49" i="19" s="1"/>
  <c r="AB73" i="16"/>
  <c r="AH73" i="16" l="1"/>
  <c r="AJ73" i="16" s="1"/>
  <c r="U95" i="24" l="1"/>
  <c r="U76" i="25"/>
  <c r="U100" i="24" l="1"/>
  <c r="M193" i="42" l="1"/>
  <c r="M198" i="42"/>
  <c r="V13" i="15"/>
  <c r="R13" i="15"/>
  <c r="P13" i="15"/>
  <c r="N13" i="15"/>
  <c r="L13" i="15"/>
  <c r="J13" i="15"/>
  <c r="H13" i="15"/>
  <c r="AD12" i="15"/>
  <c r="X12" i="15"/>
  <c r="R12" i="15"/>
  <c r="N12" i="15"/>
  <c r="J12" i="15"/>
  <c r="M197" i="42" l="1"/>
  <c r="AJ55" i="24"/>
  <c r="AL55" i="24" s="1"/>
  <c r="AJ38" i="25"/>
  <c r="AL38" i="25" s="1"/>
  <c r="AL56" i="23" l="1"/>
  <c r="AN56" i="23" s="1"/>
  <c r="E22" i="8" l="1"/>
  <c r="E32" i="10"/>
  <c r="O32" i="10" s="1"/>
  <c r="V20" i="11"/>
  <c r="U20" i="14"/>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4" i="15"/>
  <c r="V53" i="15"/>
  <c r="V52" i="15"/>
  <c r="V51" i="15"/>
  <c r="V50" i="15"/>
  <c r="N47" i="15"/>
  <c r="V46" i="15"/>
  <c r="V43" i="15"/>
  <c r="V42" i="15"/>
  <c r="V41" i="15"/>
  <c r="V34" i="15"/>
  <c r="V32" i="15"/>
  <c r="V30" i="15"/>
  <c r="V28" i="15"/>
  <c r="V24" i="15"/>
  <c r="R25" i="15"/>
  <c r="P25" i="15"/>
  <c r="N25" i="15"/>
  <c r="V56" i="15" l="1"/>
  <c r="V47" i="15"/>
  <c r="N58" i="15"/>
  <c r="AE44" i="26" l="1"/>
  <c r="F18" i="15" l="1"/>
  <c r="F19" i="15"/>
  <c r="F22" i="15"/>
  <c r="X23" i="15"/>
  <c r="X24" i="15"/>
  <c r="F28" i="15"/>
  <c r="F30" i="15"/>
  <c r="F41" i="15"/>
  <c r="F42" i="15"/>
  <c r="F43" i="15"/>
  <c r="F44" i="15"/>
  <c r="F51" i="15"/>
  <c r="X51" i="15" s="1"/>
  <c r="F52" i="15"/>
  <c r="X52" i="15" s="1"/>
  <c r="F54" i="15"/>
  <c r="X54" i="15" s="1"/>
  <c r="X16" i="15" l="1"/>
  <c r="F21" i="15"/>
  <c r="F25" i="15" s="1"/>
  <c r="X18" i="15"/>
  <c r="X19" i="15"/>
  <c r="X17" i="15"/>
  <c r="X20" i="15"/>
  <c r="X21" i="15" l="1"/>
  <c r="J33" i="28"/>
  <c r="AI132" i="18" l="1"/>
  <c r="AK132" i="18" s="1"/>
  <c r="K39" i="30" l="1"/>
  <c r="Z41" i="43"/>
  <c r="B43" i="43" l="1"/>
  <c r="B45" i="43" s="1"/>
  <c r="D12" i="43" s="1"/>
  <c r="D45" i="43" s="1"/>
  <c r="F12" i="43" s="1"/>
  <c r="F45" i="43" s="1"/>
  <c r="H12" i="43" s="1"/>
  <c r="H45" i="43" s="1"/>
  <c r="J12" i="43" s="1"/>
  <c r="J45" i="43" s="1"/>
  <c r="L12" i="43" s="1"/>
  <c r="L45" i="43" s="1"/>
  <c r="N12" i="43" s="1"/>
  <c r="N45" i="43" s="1"/>
  <c r="P12" i="43" s="1"/>
  <c r="P45" i="43" s="1"/>
  <c r="R12" i="43" s="1"/>
  <c r="R45" i="43" s="1"/>
  <c r="T12" i="43" s="1"/>
  <c r="T45" i="43" s="1"/>
  <c r="G28" i="31" l="1"/>
  <c r="AL57" i="23" l="1"/>
  <c r="AN57" i="23" s="1"/>
  <c r="M200" i="42" l="1"/>
  <c r="AJ56" i="24"/>
  <c r="AL56" i="24" s="1"/>
  <c r="AJ49" i="21" l="1"/>
  <c r="AL49" i="21" s="1"/>
  <c r="AD75" i="22" l="1"/>
  <c r="X71" i="22" l="1"/>
  <c r="X62" i="22"/>
  <c r="X50" i="22"/>
  <c r="L18" i="2" s="1"/>
  <c r="X20" i="22"/>
  <c r="L15" i="2" s="1"/>
  <c r="N20" i="22"/>
  <c r="J71" i="22"/>
  <c r="J50" i="22"/>
  <c r="J20" i="22"/>
  <c r="H71" i="22"/>
  <c r="F71" i="22"/>
  <c r="N29" i="22" l="1"/>
  <c r="J29" i="22"/>
  <c r="J54" i="22" s="1"/>
  <c r="X29" i="22"/>
  <c r="X54" i="22" s="1"/>
  <c r="X65" i="22" s="1"/>
  <c r="X75" i="22" s="1"/>
  <c r="T75" i="22"/>
  <c r="R75" i="22"/>
  <c r="H75" i="22"/>
  <c r="F75" i="22"/>
  <c r="P17" i="29"/>
  <c r="G25" i="14" l="1"/>
  <c r="K25" i="14" s="1"/>
  <c r="G25" i="13" l="1"/>
  <c r="G40" i="7"/>
  <c r="AN42" i="23" l="1"/>
  <c r="AJ24" i="25"/>
  <c r="AJ41" i="24"/>
  <c r="AL42" i="23" l="1"/>
  <c r="AA34" i="3" l="1"/>
  <c r="AI91" i="18" l="1"/>
  <c r="AK91" i="18" s="1"/>
  <c r="AI92" i="18"/>
  <c r="AK92" i="18" s="1"/>
  <c r="AE104" i="17"/>
  <c r="AE68" i="17"/>
  <c r="AG49" i="22" l="1"/>
  <c r="AI49" i="22" s="1"/>
  <c r="AG33" i="22"/>
  <c r="AI33" i="22" s="1"/>
  <c r="AE100" i="17" l="1"/>
  <c r="AN50" i="23" l="1"/>
  <c r="AJ32" i="25"/>
  <c r="AJ49" i="24"/>
  <c r="AL49" i="24" s="1"/>
  <c r="AL50" i="23" l="1"/>
  <c r="R82" i="20" l="1"/>
  <c r="AL25" i="23" l="1"/>
  <c r="AA42" i="25" l="1"/>
  <c r="Y42" i="25"/>
  <c r="S42" i="25"/>
  <c r="S46" i="25" s="1"/>
  <c r="A39" i="13" l="1"/>
  <c r="A41" i="11"/>
  <c r="A41" i="10"/>
  <c r="A49" i="9"/>
  <c r="Q31" i="14" l="1"/>
  <c r="U31" i="14" s="1"/>
  <c r="AL59" i="25"/>
  <c r="Q24" i="14"/>
  <c r="U24" i="14" s="1"/>
  <c r="G32" i="14"/>
  <c r="K32" i="14" s="1"/>
  <c r="R31" i="11"/>
  <c r="V31" i="11" s="1"/>
  <c r="G33" i="11"/>
  <c r="K33" i="11" s="1"/>
  <c r="G31" i="11"/>
  <c r="K31" i="11" s="1"/>
  <c r="G24" i="11"/>
  <c r="K24" i="11" s="1"/>
  <c r="AJ77" i="20"/>
  <c r="AL77" i="20" s="1"/>
  <c r="AJ65" i="20"/>
  <c r="AL65" i="20" s="1"/>
  <c r="G20" i="11"/>
  <c r="AE27" i="17"/>
  <c r="AE28" i="17"/>
  <c r="AE142" i="17"/>
  <c r="AE78" i="17"/>
  <c r="AE77" i="17"/>
  <c r="AE76" i="17"/>
  <c r="AE75" i="17"/>
  <c r="AE74" i="17"/>
  <c r="AE72" i="17"/>
  <c r="AE72" i="16"/>
  <c r="AG40" i="22"/>
  <c r="AI40" i="22" s="1"/>
  <c r="AG39" i="22"/>
  <c r="AI39" i="22" s="1"/>
  <c r="AG38" i="22"/>
  <c r="AI38" i="22" s="1"/>
  <c r="AG37" i="22"/>
  <c r="AI37" i="22" s="1"/>
  <c r="AG35" i="22"/>
  <c r="AI35" i="22" s="1"/>
  <c r="AE56" i="17"/>
  <c r="AE55" i="17"/>
  <c r="AE56" i="16"/>
  <c r="AE54" i="16"/>
  <c r="AE53" i="16"/>
  <c r="AE104" i="16"/>
  <c r="AE100" i="16"/>
  <c r="AE76" i="16"/>
  <c r="AE75" i="16"/>
  <c r="AE68" i="16"/>
  <c r="K20" i="11" l="1"/>
  <c r="G33" i="8"/>
  <c r="AD23" i="15"/>
  <c r="AH23" i="15" s="1"/>
  <c r="AJ23" i="15" s="1"/>
  <c r="AD52" i="15"/>
  <c r="AH52" i="15" s="1"/>
  <c r="AJ52" i="15" s="1"/>
  <c r="AD54" i="15"/>
  <c r="AD51" i="15"/>
  <c r="AH51" i="15" s="1"/>
  <c r="AJ51" i="15" s="1"/>
  <c r="G30" i="11"/>
  <c r="K30" i="11" s="1"/>
  <c r="R30" i="11"/>
  <c r="V30" i="11" s="1"/>
  <c r="AL54" i="21"/>
  <c r="R24" i="11"/>
  <c r="V24" i="11" s="1"/>
  <c r="G24" i="14"/>
  <c r="K24" i="14" s="1"/>
  <c r="G26" i="14"/>
  <c r="K26" i="14" s="1"/>
  <c r="G31" i="14"/>
  <c r="K31" i="14" s="1"/>
  <c r="AJ93" i="24"/>
  <c r="AL93" i="24" s="1"/>
  <c r="Q32" i="14"/>
  <c r="U32" i="14" s="1"/>
  <c r="R23" i="11"/>
  <c r="V23" i="11" s="1"/>
  <c r="N14" i="2"/>
  <c r="AE74" i="16"/>
  <c r="AE77" i="16"/>
  <c r="AG16" i="22"/>
  <c r="Q23" i="14"/>
  <c r="U23" i="14" s="1"/>
  <c r="G20" i="12"/>
  <c r="K20" i="12" s="1"/>
  <c r="AE78" i="16"/>
  <c r="AG36" i="22"/>
  <c r="AI36" i="22" s="1"/>
  <c r="G34" i="11"/>
  <c r="K34" i="11" s="1"/>
  <c r="AJ31" i="21"/>
  <c r="AL31" i="21" s="1"/>
  <c r="AH54" i="15" l="1"/>
  <c r="AJ54" i="15" s="1"/>
  <c r="AI16" i="22"/>
  <c r="G32" i="13"/>
  <c r="G31" i="13"/>
  <c r="G24" i="13"/>
  <c r="J28" i="5" l="1"/>
  <c r="J19" i="5"/>
  <c r="H14" i="5"/>
  <c r="P14" i="5" s="1"/>
  <c r="L14" i="5"/>
  <c r="F15" i="5"/>
  <c r="H15" i="5"/>
  <c r="J15" i="5"/>
  <c r="J20" i="5"/>
  <c r="P21" i="5"/>
  <c r="P29" i="5"/>
  <c r="P37" i="5"/>
  <c r="P32" i="5" l="1"/>
  <c r="P42" i="5" s="1"/>
  <c r="J27" i="5"/>
  <c r="J26" i="5"/>
  <c r="J36" i="5"/>
  <c r="J35" i="5"/>
  <c r="J25" i="5"/>
  <c r="L118" i="19"/>
  <c r="J37" i="5" l="1"/>
  <c r="J29" i="5"/>
  <c r="L122" i="19" l="1"/>
  <c r="AE141" i="16" l="1"/>
  <c r="Z36" i="20"/>
  <c r="H17" i="3" s="1"/>
  <c r="R36" i="20"/>
  <c r="P36" i="20"/>
  <c r="L36" i="20"/>
  <c r="Z29" i="20"/>
  <c r="H16" i="3" s="1"/>
  <c r="L29" i="20"/>
  <c r="AG38" i="20"/>
  <c r="P38" i="20" l="1"/>
  <c r="P86" i="20" s="1"/>
  <c r="P110" i="20" s="1"/>
  <c r="P120" i="20" s="1"/>
  <c r="AA13" i="28"/>
  <c r="M196" i="42"/>
  <c r="R38" i="20"/>
  <c r="L38" i="20"/>
  <c r="L86" i="20" s="1"/>
  <c r="L110" i="20" s="1"/>
  <c r="L120" i="20" s="1"/>
  <c r="AE105" i="17" l="1"/>
  <c r="AE102" i="17"/>
  <c r="AE101" i="17"/>
  <c r="AE98" i="17"/>
  <c r="AE97" i="17"/>
  <c r="AE94" i="17"/>
  <c r="AE92" i="17"/>
  <c r="AE86" i="17"/>
  <c r="AE91" i="17"/>
  <c r="AE90" i="17"/>
  <c r="AE89" i="17"/>
  <c r="AE85" i="17"/>
  <c r="AE84" i="17"/>
  <c r="AE82"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5" i="32" l="1"/>
  <c r="L18" i="32" s="1"/>
  <c r="G23" i="11"/>
  <c r="K23" i="11" s="1"/>
  <c r="X45" i="18" l="1"/>
  <c r="D17" i="3" s="1"/>
  <c r="AD17" i="2" l="1"/>
  <c r="AA18" i="3"/>
  <c r="AG30" i="24"/>
  <c r="AA30" i="24"/>
  <c r="S30" i="24"/>
  <c r="M30" i="24"/>
  <c r="AA22" i="24"/>
  <c r="S22" i="24"/>
  <c r="M22" i="24"/>
  <c r="AA27" i="24"/>
  <c r="S27" i="24"/>
  <c r="Q27" i="24"/>
  <c r="Q32" i="24" s="1"/>
  <c r="M27" i="24"/>
  <c r="AE52" i="16"/>
  <c r="AE29" i="16"/>
  <c r="AE24" i="16"/>
  <c r="AE23" i="16"/>
  <c r="AD18" i="15" s="1"/>
  <c r="AE54" i="17"/>
  <c r="AE53" i="17"/>
  <c r="AE52" i="17"/>
  <c r="AE47" i="17"/>
  <c r="AE46" i="17"/>
  <c r="AE44" i="17"/>
  <c r="AE38" i="17"/>
  <c r="AE34" i="17"/>
  <c r="AE32" i="17"/>
  <c r="AE29" i="17"/>
  <c r="AE25" i="17"/>
  <c r="AE24" i="17"/>
  <c r="AH24" i="17" s="1"/>
  <c r="AE23" i="17"/>
  <c r="AJ25" i="24"/>
  <c r="AL25" i="24" s="1"/>
  <c r="AJ24" i="24"/>
  <c r="AE58" i="16" l="1"/>
  <c r="AE58" i="17"/>
  <c r="AD50" i="15"/>
  <c r="AD17" i="15"/>
  <c r="AD24" i="15"/>
  <c r="AH24" i="15" s="1"/>
  <c r="AJ24" i="15" s="1"/>
  <c r="AH18" i="15"/>
  <c r="AJ18" i="15" s="1"/>
  <c r="AD53" i="15"/>
  <c r="AD19" i="15"/>
  <c r="AH19" i="15" s="1"/>
  <c r="AJ19" i="15" s="1"/>
  <c r="AD20" i="15"/>
  <c r="AH20" i="15" s="1"/>
  <c r="AJ20" i="15" s="1"/>
  <c r="G22" i="14"/>
  <c r="K22" i="14" s="1"/>
  <c r="AE50" i="17"/>
  <c r="AG32" i="24"/>
  <c r="C50" i="17"/>
  <c r="Q64" i="24"/>
  <c r="S32" i="24"/>
  <c r="S64" i="24" s="1"/>
  <c r="AA32" i="24"/>
  <c r="AA64" i="24" s="1"/>
  <c r="AJ29" i="24"/>
  <c r="AL29" i="24" s="1"/>
  <c r="M32" i="24"/>
  <c r="M64" i="24" s="1"/>
  <c r="AE42" i="17"/>
  <c r="C30" i="17"/>
  <c r="AH17" i="15" l="1"/>
  <c r="AJ17" i="15" s="1"/>
  <c r="G22" i="13"/>
  <c r="K22" i="13" s="1"/>
  <c r="AJ30" i="24"/>
  <c r="AL30" i="24" s="1"/>
  <c r="R42" i="15"/>
  <c r="R53" i="15"/>
  <c r="R56"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8" i="16"/>
  <c r="AE94" i="16"/>
  <c r="AE70" i="16"/>
  <c r="AG116" i="20"/>
  <c r="AJ35" i="20"/>
  <c r="AL35" i="20" s="1"/>
  <c r="AJ32" i="20"/>
  <c r="AL32" i="20" s="1"/>
  <c r="AJ27" i="20"/>
  <c r="AL27" i="20" s="1"/>
  <c r="AJ26" i="20"/>
  <c r="AL26" i="20" s="1"/>
  <c r="AJ24" i="20"/>
  <c r="AL24" i="20" s="1"/>
  <c r="AJ22" i="20"/>
  <c r="AL22" i="20" s="1"/>
  <c r="AJ21" i="20"/>
  <c r="AL21" i="20" s="1"/>
  <c r="AL27" i="23" l="1"/>
  <c r="AN27" i="23" s="1"/>
  <c r="R46" i="15"/>
  <c r="R47" i="15" s="1"/>
  <c r="AL21" i="23"/>
  <c r="AN21" i="23" s="1"/>
  <c r="R32" i="15"/>
  <c r="R35" i="15"/>
  <c r="B75" i="22"/>
  <c r="AJ42" i="25"/>
  <c r="AL42" i="25" s="1"/>
  <c r="AB27" i="16"/>
  <c r="AE27" i="16"/>
  <c r="AD22" i="15" s="1"/>
  <c r="C50" i="16"/>
  <c r="AL30" i="23"/>
  <c r="AN30" i="23" s="1"/>
  <c r="AE69" i="16"/>
  <c r="AE81" i="16"/>
  <c r="AE86" i="16"/>
  <c r="AE97" i="16"/>
  <c r="AE105" i="16"/>
  <c r="AJ31" i="20"/>
  <c r="AE79" i="16"/>
  <c r="AE85" i="16"/>
  <c r="AE33" i="16"/>
  <c r="AE39" i="16"/>
  <c r="AE46" i="16"/>
  <c r="AD43" i="15" s="1"/>
  <c r="AE67" i="16"/>
  <c r="AE90" i="16"/>
  <c r="AE32" i="16"/>
  <c r="AD28" i="15" s="1"/>
  <c r="AE38" i="16"/>
  <c r="AE45" i="16"/>
  <c r="AE101" i="16"/>
  <c r="AE34" i="16"/>
  <c r="AE91" i="16"/>
  <c r="AE82" i="16"/>
  <c r="AE89" i="16"/>
  <c r="AE92" i="16"/>
  <c r="AE102" i="16"/>
  <c r="AE36" i="16"/>
  <c r="AD32" i="15" s="1"/>
  <c r="AE49" i="16"/>
  <c r="AH45" i="15" s="1"/>
  <c r="AJ45" i="15" s="1"/>
  <c r="AD26" i="19"/>
  <c r="C60" i="17"/>
  <c r="AD27" i="19"/>
  <c r="AD22" i="19"/>
  <c r="AD34" i="19"/>
  <c r="AG36" i="19"/>
  <c r="AD16" i="2" s="1"/>
  <c r="AE44" i="16"/>
  <c r="AD41" i="15" s="1"/>
  <c r="AD33" i="19"/>
  <c r="AG118" i="19"/>
  <c r="AD31" i="19"/>
  <c r="AG100" i="19"/>
  <c r="AG109" i="19" s="1"/>
  <c r="AD32" i="19"/>
  <c r="AG29" i="19"/>
  <c r="AD15" i="2" s="1"/>
  <c r="AF28" i="23"/>
  <c r="AL26" i="23"/>
  <c r="AN26" i="23" s="1"/>
  <c r="AJ59" i="24"/>
  <c r="AL59" i="24" s="1"/>
  <c r="AJ43" i="24"/>
  <c r="AL43" i="24" s="1"/>
  <c r="AJ48" i="24"/>
  <c r="AL48" i="24" s="1"/>
  <c r="AJ46" i="24"/>
  <c r="AL46" i="24" s="1"/>
  <c r="AJ40" i="24"/>
  <c r="AL40" i="24" s="1"/>
  <c r="AJ36" i="24"/>
  <c r="AL36" i="24" s="1"/>
  <c r="AJ38" i="24"/>
  <c r="AL38" i="24" s="1"/>
  <c r="AJ17" i="20"/>
  <c r="AL17" i="20" s="1"/>
  <c r="AJ20" i="20"/>
  <c r="J15" i="3"/>
  <c r="AI51" i="18"/>
  <c r="AK51" i="18" s="1"/>
  <c r="AI49" i="18"/>
  <c r="AK49" i="18" s="1"/>
  <c r="AI48" i="18"/>
  <c r="AK48" i="18" s="1"/>
  <c r="F50" i="15"/>
  <c r="AI42" i="18"/>
  <c r="AK42" i="18" s="1"/>
  <c r="AI41" i="18"/>
  <c r="AK41" i="18" s="1"/>
  <c r="AI40" i="18"/>
  <c r="AK40" i="18" s="1"/>
  <c r="AI39" i="18"/>
  <c r="AK39" i="18" s="1"/>
  <c r="AI33" i="18"/>
  <c r="AK33" i="18" s="1"/>
  <c r="AI30" i="18"/>
  <c r="AK30" i="18" s="1"/>
  <c r="AI28" i="18"/>
  <c r="AK28" i="18" s="1"/>
  <c r="AI23" i="18"/>
  <c r="AK23" i="18" s="1"/>
  <c r="AI21" i="18"/>
  <c r="AK21" i="18" s="1"/>
  <c r="AI20" i="18"/>
  <c r="AK20" i="18" s="1"/>
  <c r="AI19" i="18"/>
  <c r="AK19" i="18" s="1"/>
  <c r="AI18" i="18"/>
  <c r="AK18" i="18" s="1"/>
  <c r="X37" i="18"/>
  <c r="R37" i="18"/>
  <c r="X26" i="18"/>
  <c r="AA13" i="3"/>
  <c r="Y13" i="3"/>
  <c r="F13" i="3"/>
  <c r="F12" i="3"/>
  <c r="D13" i="3"/>
  <c r="AB105" i="17"/>
  <c r="AE106" i="17"/>
  <c r="Z52" i="21"/>
  <c r="Z56" i="21" s="1"/>
  <c r="X52" i="21"/>
  <c r="AG86" i="20"/>
  <c r="AA46" i="25"/>
  <c r="Y46" i="25"/>
  <c r="O46" i="25"/>
  <c r="Y35" i="3" l="1"/>
  <c r="AA19" i="3"/>
  <c r="AE42" i="16"/>
  <c r="AG38" i="19"/>
  <c r="AG86" i="19" s="1"/>
  <c r="AG112" i="19" s="1"/>
  <c r="AG122" i="19" s="1"/>
  <c r="R55" i="18"/>
  <c r="R100" i="18" s="1"/>
  <c r="Q106" i="16" s="1"/>
  <c r="AD46" i="15"/>
  <c r="AD42" i="15"/>
  <c r="AD44" i="15"/>
  <c r="AD56" i="15"/>
  <c r="AD34" i="15"/>
  <c r="AD35" i="15"/>
  <c r="AD30" i="15"/>
  <c r="AD29" i="15"/>
  <c r="AA16" i="3"/>
  <c r="AJ34" i="19"/>
  <c r="AL34" i="19" s="1"/>
  <c r="J44" i="15"/>
  <c r="X44" i="15" s="1"/>
  <c r="AJ35" i="19"/>
  <c r="AL35" i="19" s="1"/>
  <c r="J46" i="15"/>
  <c r="AJ31" i="19"/>
  <c r="AL31" i="19" s="1"/>
  <c r="J41" i="15"/>
  <c r="AJ32" i="19"/>
  <c r="AL32" i="19" s="1"/>
  <c r="J42" i="15"/>
  <c r="X42" i="15" s="1"/>
  <c r="AJ33" i="19"/>
  <c r="AL33" i="19" s="1"/>
  <c r="J43" i="15"/>
  <c r="X43" i="15" s="1"/>
  <c r="AJ27" i="19"/>
  <c r="AL27" i="19" s="1"/>
  <c r="J35" i="15"/>
  <c r="AJ26" i="19"/>
  <c r="AL26" i="19" s="1"/>
  <c r="J34" i="15"/>
  <c r="AJ24" i="19"/>
  <c r="AL24" i="19" s="1"/>
  <c r="J32" i="15"/>
  <c r="X32" i="15" s="1"/>
  <c r="AJ22" i="19"/>
  <c r="AL22" i="19" s="1"/>
  <c r="J30" i="15"/>
  <c r="X30" i="15" s="1"/>
  <c r="AJ21" i="19"/>
  <c r="AL21" i="19" s="1"/>
  <c r="J29" i="15"/>
  <c r="AJ20" i="19"/>
  <c r="AL20" i="19" s="1"/>
  <c r="X50" i="15"/>
  <c r="AI29" i="18"/>
  <c r="AK29" i="18" s="1"/>
  <c r="AI34" i="18"/>
  <c r="AK34" i="18" s="1"/>
  <c r="AI31" i="18"/>
  <c r="X31" i="15"/>
  <c r="AH31" i="15" s="1"/>
  <c r="AJ31" i="15" s="1"/>
  <c r="AI44" i="18"/>
  <c r="F46" i="15"/>
  <c r="AI50" i="18"/>
  <c r="AK50" i="18" s="1"/>
  <c r="F53" i="15"/>
  <c r="X53" i="15" s="1"/>
  <c r="AH53" i="15" s="1"/>
  <c r="AJ53" i="15" s="1"/>
  <c r="J17" i="3"/>
  <c r="G22" i="11"/>
  <c r="K22" i="11" s="1"/>
  <c r="J16" i="3"/>
  <c r="G21" i="11"/>
  <c r="K21" i="11" s="1"/>
  <c r="G23" i="14"/>
  <c r="K23" i="14" s="1"/>
  <c r="AJ36" i="20"/>
  <c r="AL36" i="20" s="1"/>
  <c r="AL31" i="20"/>
  <c r="AJ29" i="20"/>
  <c r="AL29" i="20" s="1"/>
  <c r="AL20" i="20"/>
  <c r="AG56" i="21"/>
  <c r="AL52" i="21"/>
  <c r="G20" i="10"/>
  <c r="K20" i="10" s="1"/>
  <c r="X56" i="21"/>
  <c r="AI25" i="18"/>
  <c r="AK25" i="18" s="1"/>
  <c r="AH27" i="16"/>
  <c r="AJ27" i="16" s="1"/>
  <c r="C60" i="16"/>
  <c r="AI24" i="18"/>
  <c r="AK24" i="18" s="1"/>
  <c r="AE50" i="16"/>
  <c r="AG46" i="25"/>
  <c r="AL46" i="25" s="1"/>
  <c r="X55" i="18"/>
  <c r="X100" i="18" s="1"/>
  <c r="AI47" i="18"/>
  <c r="G23" i="9"/>
  <c r="K23" i="9" s="1"/>
  <c r="G22" i="9"/>
  <c r="K22" i="9" s="1"/>
  <c r="AG27" i="22"/>
  <c r="G23" i="12"/>
  <c r="K23" i="12" s="1"/>
  <c r="N17" i="2"/>
  <c r="AI20" i="22"/>
  <c r="G21" i="12"/>
  <c r="K21" i="12" s="1"/>
  <c r="N15" i="2"/>
  <c r="AD36" i="19"/>
  <c r="J16" i="2" s="1"/>
  <c r="R86" i="20"/>
  <c r="AL31" i="23"/>
  <c r="AN31" i="23" s="1"/>
  <c r="R17" i="2"/>
  <c r="R16" i="2"/>
  <c r="AG64" i="24"/>
  <c r="AL28" i="23"/>
  <c r="AN28" i="23" s="1"/>
  <c r="AE106" i="16"/>
  <c r="AJ60" i="24"/>
  <c r="AL60" i="24" s="1"/>
  <c r="AD29" i="19"/>
  <c r="AB81" i="17"/>
  <c r="AB84" i="17"/>
  <c r="AB99" i="17"/>
  <c r="AB82" i="17"/>
  <c r="AA41" i="3"/>
  <c r="AA39" i="3"/>
  <c r="AA38" i="3"/>
  <c r="AA37" i="3"/>
  <c r="AA33" i="3"/>
  <c r="AA32" i="3"/>
  <c r="AA31" i="3"/>
  <c r="AA30" i="3"/>
  <c r="AI27" i="22" l="1"/>
  <c r="AG29" i="22"/>
  <c r="AI29" i="22" s="1"/>
  <c r="AB41" i="16"/>
  <c r="AH41" i="16" s="1"/>
  <c r="AJ41" i="16" s="1"/>
  <c r="Q42" i="16"/>
  <c r="F56" i="15"/>
  <c r="AK47" i="18"/>
  <c r="AI53" i="18"/>
  <c r="AK53" i="18" s="1"/>
  <c r="G23" i="7"/>
  <c r="AJ38" i="20"/>
  <c r="AL38" i="20" s="1"/>
  <c r="J15" i="2"/>
  <c r="AD38" i="15"/>
  <c r="AH30" i="15"/>
  <c r="AJ30" i="15" s="1"/>
  <c r="AH42" i="15"/>
  <c r="AJ42" i="15" s="1"/>
  <c r="AH32" i="15"/>
  <c r="AJ32" i="15" s="1"/>
  <c r="AH44" i="15"/>
  <c r="AJ44" i="15" s="1"/>
  <c r="AH43" i="15"/>
  <c r="AJ43" i="15" s="1"/>
  <c r="AD47" i="15"/>
  <c r="G23" i="13"/>
  <c r="AI45" i="18"/>
  <c r="AJ36" i="19"/>
  <c r="AL36" i="19" s="1"/>
  <c r="J47" i="15"/>
  <c r="X41" i="15"/>
  <c r="AH41" i="15" s="1"/>
  <c r="AJ41" i="15" s="1"/>
  <c r="X34" i="15"/>
  <c r="AH34" i="15" s="1"/>
  <c r="AJ34" i="15" s="1"/>
  <c r="X35" i="15"/>
  <c r="AH35" i="15" s="1"/>
  <c r="AJ35" i="15" s="1"/>
  <c r="AJ29" i="19"/>
  <c r="AL29" i="19" s="1"/>
  <c r="J38" i="15"/>
  <c r="X28" i="15"/>
  <c r="AH28" i="15" s="1"/>
  <c r="AJ28" i="15" s="1"/>
  <c r="AI37" i="18"/>
  <c r="AH50" i="15"/>
  <c r="AJ50" i="15" s="1"/>
  <c r="X46" i="15"/>
  <c r="F47" i="15"/>
  <c r="G21" i="9"/>
  <c r="K21" i="9" s="1"/>
  <c r="G22" i="10"/>
  <c r="K22" i="10" s="1"/>
  <c r="G20" i="9"/>
  <c r="K20" i="9" s="1"/>
  <c r="G21" i="10"/>
  <c r="K21" i="10" s="1"/>
  <c r="X56" i="15" l="1"/>
  <c r="AH56" i="15" s="1"/>
  <c r="AJ56" i="15" s="1"/>
  <c r="K23" i="13"/>
  <c r="AH46" i="15"/>
  <c r="AJ46" i="15" s="1"/>
  <c r="X47" i="15"/>
  <c r="AH47" i="15" s="1"/>
  <c r="AJ47" i="15" s="1"/>
  <c r="F38" i="15"/>
  <c r="F58" i="15" s="1"/>
  <c r="G20" i="7"/>
  <c r="AJ114" i="20"/>
  <c r="AL114" i="20" s="1"/>
  <c r="J50" i="3"/>
  <c r="N29" i="5" l="1"/>
  <c r="AA29" i="3"/>
  <c r="AA27" i="3"/>
  <c r="AA26" i="3"/>
  <c r="AA25" i="3"/>
  <c r="AA20" i="3"/>
  <c r="AH105" i="17"/>
  <c r="AJ105" i="17" s="1"/>
  <c r="AH99" i="17"/>
  <c r="AJ99" i="17" s="1"/>
  <c r="AH84" i="17"/>
  <c r="AJ84" i="17" s="1"/>
  <c r="AH82" i="17"/>
  <c r="AJ82" i="17" s="1"/>
  <c r="AH81" i="17"/>
  <c r="AJ81" i="17" s="1"/>
  <c r="AJ51" i="21" l="1"/>
  <c r="AL51" i="21" s="1"/>
  <c r="AJ50" i="21"/>
  <c r="AL50" i="21" s="1"/>
  <c r="AJ48" i="21"/>
  <c r="AL48" i="21" s="1"/>
  <c r="AJ47" i="21"/>
  <c r="AL47" i="21" s="1"/>
  <c r="AJ46" i="21"/>
  <c r="AL46" i="21" s="1"/>
  <c r="AJ45" i="21"/>
  <c r="AL45" i="21" s="1"/>
  <c r="AJ44" i="21"/>
  <c r="AL44" i="21" s="1"/>
  <c r="AJ43" i="21"/>
  <c r="AL43" i="21" s="1"/>
  <c r="AJ42" i="21"/>
  <c r="AL42" i="21" s="1"/>
  <c r="AJ41" i="2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1" i="20"/>
  <c r="AL81" i="20" s="1"/>
  <c r="AJ80" i="20"/>
  <c r="AL80" i="20" s="1"/>
  <c r="AL79" i="20"/>
  <c r="AJ78" i="20"/>
  <c r="AL78" i="20" s="1"/>
  <c r="AJ76" i="20"/>
  <c r="AL76" i="20" s="1"/>
  <c r="AJ75" i="20"/>
  <c r="AL75" i="20" s="1"/>
  <c r="AJ74" i="20"/>
  <c r="AL74" i="20" s="1"/>
  <c r="AJ73" i="20"/>
  <c r="AL73" i="20" s="1"/>
  <c r="AJ71" i="20"/>
  <c r="AL71" i="20" s="1"/>
  <c r="AJ68" i="20"/>
  <c r="AL68" i="20" s="1"/>
  <c r="AJ62" i="20"/>
  <c r="AL62" i="20" s="1"/>
  <c r="AJ67" i="20"/>
  <c r="AL67" i="20" s="1"/>
  <c r="AJ66" i="20"/>
  <c r="AL66" i="20" s="1"/>
  <c r="AJ64" i="20"/>
  <c r="AL64" i="20" s="1"/>
  <c r="AJ61" i="20"/>
  <c r="AL61"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J118" i="19"/>
  <c r="AJ86" i="21" l="1"/>
  <c r="AL86" i="21" s="1"/>
  <c r="AL56" i="21"/>
  <c r="AJ19" i="21"/>
  <c r="AL19" i="21" s="1"/>
  <c r="AJ70" i="20"/>
  <c r="AL70" i="20" s="1"/>
  <c r="AB99" i="16"/>
  <c r="AB82" i="16"/>
  <c r="AB81" i="16"/>
  <c r="AB84" i="16"/>
  <c r="AB105" i="16"/>
  <c r="J122" i="19" l="1"/>
  <c r="AH105" i="16"/>
  <c r="AJ105" i="16" s="1"/>
  <c r="AH99" i="16"/>
  <c r="AJ99" i="16" s="1"/>
  <c r="AH84" i="16"/>
  <c r="AJ84" i="16" s="1"/>
  <c r="AH82" i="16"/>
  <c r="AJ82" i="16" s="1"/>
  <c r="AH81" i="16"/>
  <c r="AJ81" i="16" s="1"/>
  <c r="AJ52" i="21"/>
  <c r="J19" i="3"/>
  <c r="AJ82" i="20"/>
  <c r="J18" i="33" l="1"/>
  <c r="G26" i="11"/>
  <c r="G23" i="10"/>
  <c r="K23" i="10" s="1"/>
  <c r="AL82" i="20"/>
  <c r="O23" i="26" l="1"/>
  <c r="AD19" i="27"/>
  <c r="AD28" i="27"/>
  <c r="AD39" i="27"/>
  <c r="AG39" i="27" s="1"/>
  <c r="AD33" i="28"/>
  <c r="AG32" i="28"/>
  <c r="AI32" i="28" s="1"/>
  <c r="AG31" i="28"/>
  <c r="AI31" i="28" s="1"/>
  <c r="AD25" i="28"/>
  <c r="AG24" i="28"/>
  <c r="AI24" i="28" s="1"/>
  <c r="AG23" i="28"/>
  <c r="AI23" i="28" s="1"/>
  <c r="AG22" i="28"/>
  <c r="AI22" i="28" s="1"/>
  <c r="AE23" i="26"/>
  <c r="D26" i="5"/>
  <c r="AE33" i="26"/>
  <c r="A39"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5" i="22"/>
  <c r="AI45" i="22" s="1"/>
  <c r="AG42" i="22"/>
  <c r="AI42" i="22" s="1"/>
  <c r="AJ37" i="26" l="1"/>
  <c r="AH49" i="26"/>
  <c r="AJ49" i="26" s="1"/>
  <c r="U37" i="5"/>
  <c r="AG47" i="22"/>
  <c r="AI47" i="22" s="1"/>
  <c r="AL39" i="23"/>
  <c r="AN39" i="23" s="1"/>
  <c r="AL58" i="23"/>
  <c r="AN58" i="23" s="1"/>
  <c r="AL43" i="23"/>
  <c r="AN43" i="23" s="1"/>
  <c r="AL47" i="23"/>
  <c r="AN47" i="23" s="1"/>
  <c r="AL41" i="23"/>
  <c r="AN41" i="23" s="1"/>
  <c r="AL52" i="23"/>
  <c r="AN52" i="23" s="1"/>
  <c r="AL59" i="23"/>
  <c r="AN59" i="23" s="1"/>
  <c r="AL45" i="23"/>
  <c r="AN45" i="23" s="1"/>
  <c r="U25" i="5"/>
  <c r="S29" i="5"/>
  <c r="U29" i="5" s="1"/>
  <c r="L32" i="5"/>
  <c r="L42" i="5" s="1"/>
  <c r="S21" i="5"/>
  <c r="U21" i="5" s="1"/>
  <c r="U18" i="5"/>
  <c r="AG41" i="22"/>
  <c r="AG44" i="27"/>
  <c r="AI44" i="27" s="1"/>
  <c r="S32" i="5" l="1"/>
  <c r="U32" i="5" s="1"/>
  <c r="AG50" i="22"/>
  <c r="AI50" i="22" s="1"/>
  <c r="S42" i="5" l="1"/>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E142" i="17"/>
  <c r="K25" i="13" l="1"/>
  <c r="E146" i="17"/>
  <c r="AA35" i="3"/>
  <c r="AA43" i="3" s="1"/>
  <c r="AJ44" i="19" l="1"/>
  <c r="AL44" i="19" s="1"/>
  <c r="AD45" i="19"/>
  <c r="AJ45" i="19" s="1"/>
  <c r="AL45" i="19" s="1"/>
  <c r="AD47" i="19"/>
  <c r="AJ47" i="19" s="1"/>
  <c r="AL47" i="19" s="1"/>
  <c r="AD51" i="19"/>
  <c r="AJ51" i="19" s="1"/>
  <c r="AL51" i="19" s="1"/>
  <c r="AJ52" i="19"/>
  <c r="AL52" i="19" s="1"/>
  <c r="AD54" i="19"/>
  <c r="AJ54" i="19" s="1"/>
  <c r="AL54" i="19" s="1"/>
  <c r="AD58" i="19"/>
  <c r="AJ58" i="19" s="1"/>
  <c r="AL58" i="19" s="1"/>
  <c r="AD65" i="19"/>
  <c r="AJ65" i="19" s="1"/>
  <c r="AL65" i="19" s="1"/>
  <c r="AD67" i="19"/>
  <c r="AJ67" i="19" s="1"/>
  <c r="AL67" i="19" s="1"/>
  <c r="AD62" i="19"/>
  <c r="AJ62" i="19" s="1"/>
  <c r="AL62" i="19" s="1"/>
  <c r="AD68" i="19"/>
  <c r="AJ68" i="19" s="1"/>
  <c r="AL68" i="19" s="1"/>
  <c r="AD71" i="19"/>
  <c r="AJ71" i="19" s="1"/>
  <c r="AL71" i="19" s="1"/>
  <c r="AD74" i="19"/>
  <c r="AJ74" i="19" s="1"/>
  <c r="AL74" i="19" s="1"/>
  <c r="AD75" i="19"/>
  <c r="AJ75" i="19" s="1"/>
  <c r="AL75" i="19" s="1"/>
  <c r="AD76" i="19"/>
  <c r="AJ76" i="19" s="1"/>
  <c r="AL76" i="19" s="1"/>
  <c r="AD78" i="19"/>
  <c r="AJ78" i="19" s="1"/>
  <c r="AL78" i="19" s="1"/>
  <c r="AD81" i="19"/>
  <c r="AJ81" i="19" s="1"/>
  <c r="AL81" i="19" s="1"/>
  <c r="AD80" i="19"/>
  <c r="AJ80" i="19" s="1"/>
  <c r="AL80" i="19" s="1"/>
  <c r="AD60" i="19"/>
  <c r="AJ60" i="19" s="1"/>
  <c r="AL60" i="19" s="1"/>
  <c r="AD50" i="19"/>
  <c r="AJ50" i="19" s="1"/>
  <c r="AL50" i="19" s="1"/>
  <c r="AD64" i="19"/>
  <c r="AJ64" i="19" s="1"/>
  <c r="AL64" i="19" s="1"/>
  <c r="AD57" i="19"/>
  <c r="AJ57" i="19" s="1"/>
  <c r="AL57" i="19" s="1"/>
  <c r="AI94" i="18"/>
  <c r="AK94" i="18" s="1"/>
  <c r="AI78" i="18"/>
  <c r="AK78" i="18" s="1"/>
  <c r="AI77" i="18"/>
  <c r="AK77" i="18" s="1"/>
  <c r="AI63" i="18"/>
  <c r="AK63" i="18" s="1"/>
  <c r="AI62" i="18"/>
  <c r="AK62" i="18" s="1"/>
  <c r="AB88" i="17" l="1"/>
  <c r="AH88" i="17" s="1"/>
  <c r="AJ88" i="17" s="1"/>
  <c r="AI65" i="18"/>
  <c r="AK65" i="18" s="1"/>
  <c r="AK64" i="18"/>
  <c r="AI83" i="18"/>
  <c r="AK83" i="18" s="1"/>
  <c r="AI86" i="18"/>
  <c r="AK86" i="18" s="1"/>
  <c r="AB88" i="16"/>
  <c r="AI95" i="18"/>
  <c r="AK95" i="18" s="1"/>
  <c r="AD79" i="19"/>
  <c r="AJ79" i="19" s="1"/>
  <c r="AL79" i="19" s="1"/>
  <c r="AD77" i="19"/>
  <c r="AJ77" i="19" s="1"/>
  <c r="AL77" i="19" s="1"/>
  <c r="AD73" i="19"/>
  <c r="AJ73" i="19" s="1"/>
  <c r="AL73" i="19" s="1"/>
  <c r="AD70" i="19"/>
  <c r="AJ70" i="19" s="1"/>
  <c r="AL70" i="19" s="1"/>
  <c r="AD66" i="19"/>
  <c r="AJ66" i="19" s="1"/>
  <c r="AL66" i="19" s="1"/>
  <c r="AJ61" i="19"/>
  <c r="AL61" i="19" s="1"/>
  <c r="AJ55" i="19"/>
  <c r="AL55" i="19" s="1"/>
  <c r="AD53" i="19"/>
  <c r="AJ53" i="19" s="1"/>
  <c r="AL53" i="19" s="1"/>
  <c r="AD46" i="19"/>
  <c r="AJ46" i="19" s="1"/>
  <c r="AL46" i="19" s="1"/>
  <c r="AD42" i="19"/>
  <c r="AI93" i="18"/>
  <c r="AK93" i="18" s="1"/>
  <c r="AI89" i="18"/>
  <c r="AK89" i="18" s="1"/>
  <c r="AI88" i="18"/>
  <c r="AK88" i="18" s="1"/>
  <c r="AI84" i="18"/>
  <c r="AK84" i="18" s="1"/>
  <c r="AI82" i="18"/>
  <c r="AK82" i="18" s="1"/>
  <c r="AI81" i="18"/>
  <c r="AI74" i="18"/>
  <c r="AK74" i="18" s="1"/>
  <c r="AI73" i="18"/>
  <c r="AK73" i="18" s="1"/>
  <c r="AI72" i="18"/>
  <c r="AK72" i="18" s="1"/>
  <c r="AI71" i="18"/>
  <c r="AK71" i="18" s="1"/>
  <c r="AI70" i="18"/>
  <c r="AK70" i="18" s="1"/>
  <c r="AI69" i="18"/>
  <c r="AK69" i="18" s="1"/>
  <c r="AI67" i="18"/>
  <c r="AK67" i="18" s="1"/>
  <c r="AI60" i="18"/>
  <c r="AK60" i="18" s="1"/>
  <c r="AI59" i="18"/>
  <c r="AK59" i="18" s="1"/>
  <c r="AD82" i="19" l="1"/>
  <c r="AH88" i="16"/>
  <c r="AJ88" i="16" s="1"/>
  <c r="C106" i="17"/>
  <c r="C110" i="17" s="1"/>
  <c r="C136" i="17" s="1"/>
  <c r="C146" i="17" s="1"/>
  <c r="C106" i="16"/>
  <c r="AJ42" i="19"/>
  <c r="AL42" i="19" s="1"/>
  <c r="AI96" i="18"/>
  <c r="AK96" i="18" s="1"/>
  <c r="G24" i="9"/>
  <c r="K24" i="9" s="1"/>
  <c r="AJ82" i="19" l="1"/>
  <c r="F19" i="3" l="1"/>
  <c r="L50" i="3" l="1"/>
  <c r="L49" i="3"/>
  <c r="L19" i="3"/>
  <c r="L18" i="3"/>
  <c r="L16" i="3"/>
  <c r="L51" i="3" l="1"/>
  <c r="G25" i="10" l="1"/>
  <c r="L20" i="3"/>
  <c r="AG107" i="20" l="1"/>
  <c r="F15" i="6"/>
  <c r="AI128" i="18" l="1"/>
  <c r="AK128" i="18" s="1"/>
  <c r="AI129" i="18"/>
  <c r="AK129" i="18" s="1"/>
  <c r="G29" i="9"/>
  <c r="K29" i="9" s="1"/>
  <c r="AI130" i="18"/>
  <c r="AK130" i="18" s="1"/>
  <c r="X28" i="27" l="1"/>
  <c r="J38" i="3"/>
  <c r="J34" i="3"/>
  <c r="J33" i="3"/>
  <c r="J32" i="3"/>
  <c r="J31" i="3"/>
  <c r="J30" i="3"/>
  <c r="J29" i="3"/>
  <c r="J27" i="3"/>
  <c r="J26" i="3"/>
  <c r="J25" i="3"/>
  <c r="J20" i="3" l="1"/>
  <c r="AL86" i="20"/>
  <c r="J39" i="3"/>
  <c r="J37" i="3"/>
  <c r="J35" i="3"/>
  <c r="AJ82" i="24"/>
  <c r="AL82" i="24" s="1"/>
  <c r="AJ81" i="24"/>
  <c r="AL81" i="24" s="1"/>
  <c r="AJ80" i="24"/>
  <c r="AL80" i="24" s="1"/>
  <c r="AJ77" i="24"/>
  <c r="AL77" i="24" s="1"/>
  <c r="AJ75" i="24"/>
  <c r="AL75" i="24" s="1"/>
  <c r="AJ74" i="24"/>
  <c r="AL74" i="24" s="1"/>
  <c r="AJ73" i="24"/>
  <c r="AL73" i="24" s="1"/>
  <c r="AJ72" i="24"/>
  <c r="AL72" i="24" s="1"/>
  <c r="AG76" i="25"/>
  <c r="AJ76" i="25" s="1"/>
  <c r="AA76" i="25"/>
  <c r="Y76" i="25"/>
  <c r="S76" i="25"/>
  <c r="O76" i="25"/>
  <c r="M76" i="25"/>
  <c r="M80" i="25" s="1"/>
  <c r="K76" i="25"/>
  <c r="I76" i="25"/>
  <c r="E76" i="25"/>
  <c r="AA60" i="25"/>
  <c r="AA67" i="25" s="1"/>
  <c r="Y60" i="25"/>
  <c r="Y67" i="25" s="1"/>
  <c r="S60" i="25"/>
  <c r="S67" i="25" s="1"/>
  <c r="AJ64" i="25"/>
  <c r="AL64" i="25" s="1"/>
  <c r="AJ63" i="25"/>
  <c r="AL63" i="25" s="1"/>
  <c r="AJ62" i="25"/>
  <c r="AL62" i="25" s="1"/>
  <c r="AJ58" i="25"/>
  <c r="AL58" i="25" s="1"/>
  <c r="AJ57" i="25"/>
  <c r="AL57" i="25" s="1"/>
  <c r="AJ56" i="25"/>
  <c r="AL56" i="25" s="1"/>
  <c r="AJ55" i="25"/>
  <c r="AL55" i="25" s="1"/>
  <c r="AJ54" i="25"/>
  <c r="AL54" i="25" s="1"/>
  <c r="AJ52" i="25"/>
  <c r="AJ50" i="25"/>
  <c r="S95" i="24"/>
  <c r="O95" i="24"/>
  <c r="M95" i="24"/>
  <c r="I95" i="24"/>
  <c r="Y44" i="26"/>
  <c r="W44" i="26"/>
  <c r="U44" i="26"/>
  <c r="Q44" i="26"/>
  <c r="K44" i="26"/>
  <c r="I44" i="26"/>
  <c r="G44" i="26"/>
  <c r="Y33" i="26"/>
  <c r="U33" i="26"/>
  <c r="O33" i="26"/>
  <c r="O37" i="26" s="1"/>
  <c r="O49" i="26" s="1"/>
  <c r="K33" i="26"/>
  <c r="Q23" i="26"/>
  <c r="K23" i="26"/>
  <c r="AG32" i="29"/>
  <c r="AI32" i="29" s="1"/>
  <c r="AG31" i="29"/>
  <c r="AI31" i="29" s="1"/>
  <c r="X39" i="27"/>
  <c r="V39" i="27"/>
  <c r="T39" i="27"/>
  <c r="P39" i="27"/>
  <c r="N39" i="27"/>
  <c r="L39" i="27"/>
  <c r="L44" i="27" s="1"/>
  <c r="J39" i="27"/>
  <c r="H39" i="27"/>
  <c r="H44" i="27" s="1"/>
  <c r="F39" i="27"/>
  <c r="D39" i="27"/>
  <c r="B39" i="27"/>
  <c r="V28" i="27"/>
  <c r="T28" i="27"/>
  <c r="P28" i="27"/>
  <c r="N28" i="27"/>
  <c r="J28" i="27"/>
  <c r="X19" i="27"/>
  <c r="X32" i="27" s="1"/>
  <c r="V19" i="27"/>
  <c r="T19" i="27"/>
  <c r="N19" i="27"/>
  <c r="J19" i="27"/>
  <c r="X33" i="29"/>
  <c r="T33" i="29"/>
  <c r="P33" i="29"/>
  <c r="N33" i="29"/>
  <c r="L33" i="29"/>
  <c r="J33" i="29"/>
  <c r="H33" i="29"/>
  <c r="F33" i="29"/>
  <c r="D33" i="29"/>
  <c r="B33" i="29"/>
  <c r="AG24" i="29"/>
  <c r="AI24" i="29" s="1"/>
  <c r="AG23" i="29"/>
  <c r="AI23" i="29" s="1"/>
  <c r="AG22" i="29"/>
  <c r="AI22" i="29" s="1"/>
  <c r="X25" i="29"/>
  <c r="T25" i="29"/>
  <c r="P25" i="29"/>
  <c r="N25" i="29"/>
  <c r="J25" i="29"/>
  <c r="X33" i="28"/>
  <c r="T33" i="28"/>
  <c r="R33" i="28"/>
  <c r="P33" i="28"/>
  <c r="L33" i="28"/>
  <c r="L37" i="28" s="1"/>
  <c r="H33" i="28"/>
  <c r="F33" i="28"/>
  <c r="D33" i="28"/>
  <c r="B33" i="28"/>
  <c r="X25" i="28"/>
  <c r="T25" i="28"/>
  <c r="P25" i="28"/>
  <c r="J25" i="28"/>
  <c r="X17" i="28"/>
  <c r="T17" i="28"/>
  <c r="P17" i="28"/>
  <c r="J17" i="28"/>
  <c r="X17" i="29"/>
  <c r="T17" i="29"/>
  <c r="N17" i="29"/>
  <c r="J17" i="29"/>
  <c r="C42" i="31"/>
  <c r="AG85" i="24"/>
  <c r="S78" i="24"/>
  <c r="S85" i="24" s="1"/>
  <c r="M78" i="24"/>
  <c r="M85" i="24" s="1"/>
  <c r="E95" i="24"/>
  <c r="G32" i="12"/>
  <c r="K32" i="12" s="1"/>
  <c r="G26" i="12"/>
  <c r="K26" i="12" s="1"/>
  <c r="G30" i="12"/>
  <c r="K30" i="12" s="1"/>
  <c r="AG88" i="21"/>
  <c r="Z88" i="21"/>
  <c r="X88" i="21"/>
  <c r="H88" i="21"/>
  <c r="D88" i="21"/>
  <c r="G29" i="11"/>
  <c r="K29" i="11" s="1"/>
  <c r="Z116" i="20"/>
  <c r="T116" i="20"/>
  <c r="R116" i="20"/>
  <c r="N116" i="20"/>
  <c r="N120" i="20" s="1"/>
  <c r="H116" i="20"/>
  <c r="F116" i="20"/>
  <c r="R100" i="20"/>
  <c r="R107" i="20" s="1"/>
  <c r="D116" i="20"/>
  <c r="Z118" i="19"/>
  <c r="N118" i="19"/>
  <c r="F118" i="19"/>
  <c r="AF120" i="18"/>
  <c r="AL76" i="25" l="1"/>
  <c r="S49" i="26"/>
  <c r="E29" i="8"/>
  <c r="E31" i="10"/>
  <c r="E35" i="11"/>
  <c r="E29" i="10"/>
  <c r="E21" i="8"/>
  <c r="E32" i="8"/>
  <c r="E24" i="10"/>
  <c r="E30" i="8"/>
  <c r="E23" i="13"/>
  <c r="O23" i="13" s="1"/>
  <c r="E25" i="13"/>
  <c r="O25" i="13" s="1"/>
  <c r="E40" i="7"/>
  <c r="K40" i="7" s="1"/>
  <c r="E21" i="13"/>
  <c r="E20" i="13"/>
  <c r="E27" i="14"/>
  <c r="E21" i="10"/>
  <c r="O21" i="10" s="1"/>
  <c r="E24" i="13"/>
  <c r="E31" i="13"/>
  <c r="E23" i="10"/>
  <c r="O23" i="10" s="1"/>
  <c r="E25" i="8"/>
  <c r="E24" i="8"/>
  <c r="E22" i="13"/>
  <c r="O22" i="13" s="1"/>
  <c r="E30" i="10"/>
  <c r="P26" i="11"/>
  <c r="O33" i="14"/>
  <c r="E25" i="10"/>
  <c r="E26" i="13"/>
  <c r="E33" i="10"/>
  <c r="E33" i="8"/>
  <c r="K33" i="8" s="1"/>
  <c r="E30" i="13"/>
  <c r="E33" i="14"/>
  <c r="E23" i="8"/>
  <c r="O27" i="14"/>
  <c r="P35" i="11"/>
  <c r="E34" i="10"/>
  <c r="E31" i="8"/>
  <c r="E27" i="12"/>
  <c r="E20" i="8"/>
  <c r="E26" i="11"/>
  <c r="E20" i="10"/>
  <c r="O20" i="10" s="1"/>
  <c r="E32" i="13"/>
  <c r="E22" i="10"/>
  <c r="O22" i="10" s="1"/>
  <c r="E33" i="12"/>
  <c r="J43" i="3"/>
  <c r="Q67" i="25"/>
  <c r="J28" i="29"/>
  <c r="J37" i="29" s="1"/>
  <c r="V32" i="27"/>
  <c r="V44" i="27" s="1"/>
  <c r="T32" i="27"/>
  <c r="T44" i="27" s="1"/>
  <c r="Q37" i="26"/>
  <c r="Q49" i="26" s="1"/>
  <c r="J32" i="27"/>
  <c r="J44" i="27" s="1"/>
  <c r="Y37" i="26"/>
  <c r="Y49" i="26" s="1"/>
  <c r="R44" i="27"/>
  <c r="N32" i="27"/>
  <c r="N44" i="27" s="1"/>
  <c r="X28" i="28"/>
  <c r="X37" i="28" s="1"/>
  <c r="B37" i="28"/>
  <c r="G21" i="14"/>
  <c r="K21" i="14" s="1"/>
  <c r="R37" i="28"/>
  <c r="AL100" i="20"/>
  <c r="AG79" i="21"/>
  <c r="AG82" i="21" s="1"/>
  <c r="T28" i="28"/>
  <c r="T37" i="28" s="1"/>
  <c r="G31" i="10"/>
  <c r="K31" i="10" s="1"/>
  <c r="G33" i="10"/>
  <c r="F44" i="27"/>
  <c r="H37" i="28"/>
  <c r="G24" i="10"/>
  <c r="K24" i="10" s="1"/>
  <c r="E100" i="24"/>
  <c r="E80" i="25"/>
  <c r="W37" i="26"/>
  <c r="W49" i="26" s="1"/>
  <c r="T28" i="29"/>
  <c r="T37" i="29" s="1"/>
  <c r="T120" i="20"/>
  <c r="X44" i="27"/>
  <c r="P28" i="28"/>
  <c r="P37" i="28" s="1"/>
  <c r="D44" i="27"/>
  <c r="N28" i="29"/>
  <c r="N37" i="29" s="1"/>
  <c r="B37" i="29"/>
  <c r="H37" i="29"/>
  <c r="P28" i="29"/>
  <c r="P37" i="29" s="1"/>
  <c r="X28" i="29"/>
  <c r="X37" i="29" s="1"/>
  <c r="F37" i="29"/>
  <c r="J28" i="28"/>
  <c r="J37" i="28" s="1"/>
  <c r="G30" i="10"/>
  <c r="K30" i="10" s="1"/>
  <c r="N122" i="19"/>
  <c r="D120" i="20"/>
  <c r="AG52" i="22"/>
  <c r="AI52" i="22" s="1"/>
  <c r="G25" i="12"/>
  <c r="K25" i="12" s="1"/>
  <c r="AG33" i="29"/>
  <c r="AI33" i="29" s="1"/>
  <c r="AG25" i="29"/>
  <c r="AI25" i="29" s="1"/>
  <c r="R110" i="20"/>
  <c r="R120" i="20" s="1"/>
  <c r="AJ91" i="24"/>
  <c r="AL91" i="24" s="1"/>
  <c r="J21" i="3"/>
  <c r="Q88" i="24"/>
  <c r="Q100" i="24" s="1"/>
  <c r="S88" i="24"/>
  <c r="S100" i="24" s="1"/>
  <c r="AA88" i="24"/>
  <c r="AA100" i="24" s="1"/>
  <c r="W100" i="24"/>
  <c r="M88" i="24"/>
  <c r="Y100" i="24"/>
  <c r="AJ62" i="24"/>
  <c r="AL62" i="24" s="1"/>
  <c r="AJ83" i="24"/>
  <c r="AL83" i="24" s="1"/>
  <c r="O70" i="25"/>
  <c r="O80" i="25" s="1"/>
  <c r="K80" i="25"/>
  <c r="S70" i="25"/>
  <c r="S80" i="25" s="1"/>
  <c r="AA70" i="25"/>
  <c r="AA80" i="25" s="1"/>
  <c r="Y70" i="25"/>
  <c r="Y80" i="25" s="1"/>
  <c r="AJ51" i="25"/>
  <c r="AL51" i="25" s="1"/>
  <c r="I49" i="26"/>
  <c r="K37" i="26"/>
  <c r="K49" i="26" s="1"/>
  <c r="B44" i="27"/>
  <c r="D37" i="29"/>
  <c r="AG60" i="22"/>
  <c r="AI60" i="22" s="1"/>
  <c r="G31" i="12"/>
  <c r="K31" i="12" s="1"/>
  <c r="G49" i="26"/>
  <c r="AG69" i="22"/>
  <c r="AI69" i="22" s="1"/>
  <c r="AG68" i="22"/>
  <c r="AI68" i="22" s="1"/>
  <c r="F37" i="28"/>
  <c r="H120" i="20"/>
  <c r="AJ65" i="25"/>
  <c r="AL65" i="25" s="1"/>
  <c r="I80" i="25"/>
  <c r="AJ70" i="24"/>
  <c r="AL70" i="24" s="1"/>
  <c r="I100" i="24"/>
  <c r="AJ19" i="24"/>
  <c r="AL19" i="24" s="1"/>
  <c r="AJ26" i="24"/>
  <c r="AL26" i="24" s="1"/>
  <c r="AJ92" i="24"/>
  <c r="AL92" i="24" s="1"/>
  <c r="AJ20" i="24"/>
  <c r="AL20" i="24" s="1"/>
  <c r="D37" i="28"/>
  <c r="AJ76" i="24"/>
  <c r="AL76" i="24" s="1"/>
  <c r="AJ69" i="24"/>
  <c r="AL69" i="24" s="1"/>
  <c r="AJ68" i="24"/>
  <c r="AL68" i="24" s="1"/>
  <c r="AJ59" i="25"/>
  <c r="Q30" i="14"/>
  <c r="U30" i="14" s="1"/>
  <c r="AJ44" i="25"/>
  <c r="AL44" i="25" s="1"/>
  <c r="AG58" i="22"/>
  <c r="AI58" i="22" s="1"/>
  <c r="AG110" i="20"/>
  <c r="AG120" i="20" s="1"/>
  <c r="AJ100" i="20"/>
  <c r="F120" i="20"/>
  <c r="AL107" i="20"/>
  <c r="C45" i="31"/>
  <c r="AA33" i="29"/>
  <c r="N19" i="6"/>
  <c r="N34" i="2"/>
  <c r="C101" i="30"/>
  <c r="C91" i="30"/>
  <c r="O24" i="10" l="1"/>
  <c r="O30" i="10"/>
  <c r="O31" i="10"/>
  <c r="J46" i="3"/>
  <c r="K27" i="12"/>
  <c r="E22" i="7"/>
  <c r="C103" i="30"/>
  <c r="C158" i="30" s="1"/>
  <c r="AJ82" i="21"/>
  <c r="AG92" i="21"/>
  <c r="K33" i="12"/>
  <c r="E37" i="14"/>
  <c r="E40" i="14" s="1"/>
  <c r="M100" i="24"/>
  <c r="U33" i="14"/>
  <c r="U37" i="14" s="1"/>
  <c r="G32" i="7"/>
  <c r="K32" i="7" s="1"/>
  <c r="E30" i="7"/>
  <c r="E20" i="7"/>
  <c r="K20" i="7" s="1"/>
  <c r="E31" i="7"/>
  <c r="E37" i="12"/>
  <c r="E40" i="12" s="1"/>
  <c r="O37" i="14"/>
  <c r="O40" i="14" s="1"/>
  <c r="E35" i="10"/>
  <c r="E34" i="8"/>
  <c r="E39" i="11"/>
  <c r="E42" i="11" s="1"/>
  <c r="E24" i="7"/>
  <c r="E25" i="7"/>
  <c r="K26" i="11"/>
  <c r="K35" i="11"/>
  <c r="E29" i="7"/>
  <c r="E21" i="7"/>
  <c r="E26" i="10"/>
  <c r="E31" i="9"/>
  <c r="E43" i="9"/>
  <c r="E33" i="13"/>
  <c r="E26" i="8"/>
  <c r="P39" i="11"/>
  <c r="E33" i="7"/>
  <c r="E40" i="8"/>
  <c r="E41" i="7"/>
  <c r="E41" i="8"/>
  <c r="E42" i="7"/>
  <c r="E27" i="13"/>
  <c r="E23" i="7"/>
  <c r="K23" i="7" s="1"/>
  <c r="K33" i="10"/>
  <c r="O33" i="10" s="1"/>
  <c r="G33" i="7"/>
  <c r="O124" i="16"/>
  <c r="O133" i="16" s="1"/>
  <c r="AF79" i="23"/>
  <c r="AF86" i="23" s="1"/>
  <c r="G21" i="13"/>
  <c r="G22" i="7" s="1"/>
  <c r="K32" i="13"/>
  <c r="O32" i="13" s="1"/>
  <c r="G30" i="14"/>
  <c r="K30" i="14" s="1"/>
  <c r="G20" i="14"/>
  <c r="K20" i="14" s="1"/>
  <c r="G35" i="11"/>
  <c r="AL60" i="25"/>
  <c r="G33" i="12"/>
  <c r="G26" i="10"/>
  <c r="G27" i="12"/>
  <c r="K24" i="13"/>
  <c r="O24" i="13" s="1"/>
  <c r="Q27" i="14"/>
  <c r="AI71" i="22"/>
  <c r="K31" i="13"/>
  <c r="O31" i="13" s="1"/>
  <c r="AJ46" i="25"/>
  <c r="G24" i="7"/>
  <c r="AJ27" i="24"/>
  <c r="AL27" i="24" s="1"/>
  <c r="AJ22" i="24"/>
  <c r="AL22" i="24" s="1"/>
  <c r="AG54" i="22"/>
  <c r="AI54" i="22" s="1"/>
  <c r="AJ60" i="25"/>
  <c r="AJ78" i="24"/>
  <c r="AL78" i="24" s="1"/>
  <c r="AL95" i="24"/>
  <c r="AG62" i="22"/>
  <c r="AI62" i="22" s="1"/>
  <c r="AJ107" i="20"/>
  <c r="AG88" i="24"/>
  <c r="H24" i="6"/>
  <c r="AK37" i="18"/>
  <c r="G25" i="9"/>
  <c r="K25" i="9" s="1"/>
  <c r="AI105" i="18"/>
  <c r="AK105" i="18" s="1"/>
  <c r="AI108" i="18"/>
  <c r="AK108" i="18" s="1"/>
  <c r="AI109" i="18"/>
  <c r="AK109" i="18" s="1"/>
  <c r="AI110" i="18"/>
  <c r="AK110" i="18" s="1"/>
  <c r="AI111" i="18"/>
  <c r="AK111" i="18" s="1"/>
  <c r="AI112" i="18"/>
  <c r="AK112" i="18" s="1"/>
  <c r="AI113" i="18"/>
  <c r="AK113" i="18" s="1"/>
  <c r="R114" i="18"/>
  <c r="R120" i="18" s="1"/>
  <c r="Q133" i="16" s="1"/>
  <c r="AI116" i="18"/>
  <c r="AK116" i="18" s="1"/>
  <c r="G27" i="9"/>
  <c r="K27" i="9" s="1"/>
  <c r="AI134" i="18"/>
  <c r="AK134" i="18" s="1"/>
  <c r="F137" i="18"/>
  <c r="H137" i="18"/>
  <c r="J137" i="18"/>
  <c r="L137" i="18"/>
  <c r="R137" i="18"/>
  <c r="T137" i="18"/>
  <c r="X137" i="18"/>
  <c r="Z137" i="18"/>
  <c r="Z70" i="21"/>
  <c r="Z79" i="21" s="1"/>
  <c r="X70" i="21"/>
  <c r="X79" i="21" s="1"/>
  <c r="X82" i="21" s="1"/>
  <c r="R70" i="21"/>
  <c r="R79" i="21" s="1"/>
  <c r="K22" i="7" l="1"/>
  <c r="K33" i="7"/>
  <c r="K24" i="7"/>
  <c r="K39" i="11"/>
  <c r="G31" i="9"/>
  <c r="T92" i="21"/>
  <c r="R82" i="21"/>
  <c r="K27" i="14"/>
  <c r="K33" i="14"/>
  <c r="P42" i="11"/>
  <c r="K37" i="12"/>
  <c r="G37" i="12"/>
  <c r="E39" i="10"/>
  <c r="E42" i="10" s="1"/>
  <c r="E37" i="8"/>
  <c r="E37" i="13"/>
  <c r="E47" i="9"/>
  <c r="E26" i="7"/>
  <c r="E42" i="8"/>
  <c r="E46" i="8" s="1"/>
  <c r="K21" i="13"/>
  <c r="O21" i="13" s="1"/>
  <c r="G20" i="13"/>
  <c r="G30" i="13"/>
  <c r="G27" i="14"/>
  <c r="AG100" i="24"/>
  <c r="D92" i="21"/>
  <c r="G25" i="7"/>
  <c r="K25" i="7" s="1"/>
  <c r="Q33" i="14"/>
  <c r="Q37" i="14" s="1"/>
  <c r="AJ32" i="24"/>
  <c r="AL32" i="24" s="1"/>
  <c r="AI98" i="18"/>
  <c r="AK98" i="18" s="1"/>
  <c r="X92" i="21"/>
  <c r="N92" i="21"/>
  <c r="J92" i="21"/>
  <c r="AI133" i="18"/>
  <c r="AK133" i="18" s="1"/>
  <c r="G38" i="9"/>
  <c r="K38" i="9" s="1"/>
  <c r="AI131" i="18"/>
  <c r="AK131" i="18" s="1"/>
  <c r="AI118" i="18"/>
  <c r="AK118" i="18" s="1"/>
  <c r="G36" i="9"/>
  <c r="K36" i="9" s="1"/>
  <c r="AI117" i="18"/>
  <c r="AK117" i="18" s="1"/>
  <c r="G33" i="14"/>
  <c r="AK45" i="18"/>
  <c r="H92" i="21"/>
  <c r="AJ85" i="24"/>
  <c r="AL85" i="24" s="1"/>
  <c r="AI127" i="18"/>
  <c r="AK127" i="18" s="1"/>
  <c r="AJ110" i="20"/>
  <c r="AL110" i="20" s="1"/>
  <c r="R123" i="18"/>
  <c r="AI104" i="18"/>
  <c r="AK104" i="18" s="1"/>
  <c r="K37" i="14" l="1"/>
  <c r="R92" i="21"/>
  <c r="Z82" i="21"/>
  <c r="Z92" i="21" s="1"/>
  <c r="F49" i="3"/>
  <c r="K30" i="13"/>
  <c r="O30" i="13" s="1"/>
  <c r="G37" i="14"/>
  <c r="AI137" i="18"/>
  <c r="AK137" i="18" s="1"/>
  <c r="G31" i="7"/>
  <c r="K31" i="7" s="1"/>
  <c r="G30" i="7"/>
  <c r="K30" i="7" s="1"/>
  <c r="AJ64" i="24"/>
  <c r="AL64" i="24" s="1"/>
  <c r="AG65" i="22"/>
  <c r="AJ88" i="24"/>
  <c r="AL88" i="24" s="1"/>
  <c r="H33" i="6"/>
  <c r="H32" i="6"/>
  <c r="D33" i="6"/>
  <c r="D32" i="6"/>
  <c r="L32" i="6" l="1"/>
  <c r="S32" i="6" s="1"/>
  <c r="U32" i="6" s="1"/>
  <c r="O33" i="13"/>
  <c r="K33" i="13"/>
  <c r="G33" i="13"/>
  <c r="K20" i="13"/>
  <c r="O20" i="13" s="1"/>
  <c r="G27" i="13"/>
  <c r="G21" i="7"/>
  <c r="K21" i="7" s="1"/>
  <c r="AG75" i="22"/>
  <c r="AI75" i="22" s="1"/>
  <c r="AI65" i="22"/>
  <c r="AJ100" i="24"/>
  <c r="D34" i="6"/>
  <c r="L33" i="6"/>
  <c r="S33" i="6" s="1"/>
  <c r="U33" i="6" s="1"/>
  <c r="P34" i="6"/>
  <c r="J32" i="6"/>
  <c r="J33" i="6"/>
  <c r="H34" i="6"/>
  <c r="G34" i="10"/>
  <c r="K26" i="7" l="1"/>
  <c r="U34" i="6"/>
  <c r="K34" i="10"/>
  <c r="O34" i="10" s="1"/>
  <c r="AL100" i="24"/>
  <c r="G37" i="13"/>
  <c r="G26" i="7"/>
  <c r="S34" i="6"/>
  <c r="L34" i="6"/>
  <c r="J34" i="6"/>
  <c r="G42" i="7" l="1"/>
  <c r="K42" i="7" s="1"/>
  <c r="AE131" i="16" l="1"/>
  <c r="AJ74" i="21"/>
  <c r="AL74" i="21" s="1"/>
  <c r="AJ68" i="21"/>
  <c r="AJ96" i="20"/>
  <c r="AL96" i="20" s="1"/>
  <c r="R25" i="11"/>
  <c r="V25" i="11" s="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5" i="20"/>
  <c r="AL105" i="20" s="1"/>
  <c r="AJ104" i="20"/>
  <c r="AL104" i="20" s="1"/>
  <c r="AJ103" i="20"/>
  <c r="AL103" i="20" s="1"/>
  <c r="AJ102" i="20"/>
  <c r="AL102" i="20" s="1"/>
  <c r="AJ99" i="20"/>
  <c r="AL99" i="20" s="1"/>
  <c r="AJ98" i="20"/>
  <c r="AJ97" i="20"/>
  <c r="AL97" i="20" s="1"/>
  <c r="AJ95" i="20"/>
  <c r="AL95" i="20" s="1"/>
  <c r="AJ94" i="20"/>
  <c r="AL94" i="20" s="1"/>
  <c r="AJ92" i="20"/>
  <c r="AL92" i="20" s="1"/>
  <c r="AJ91" i="20"/>
  <c r="AL91" i="20" s="1"/>
  <c r="AJ90" i="20"/>
  <c r="AL90" i="20" s="1"/>
  <c r="AJ84" i="20"/>
  <c r="AL84" i="20" s="1"/>
  <c r="V26" i="11" l="1"/>
  <c r="AE121" i="16"/>
  <c r="AE119" i="16"/>
  <c r="AE116" i="16"/>
  <c r="AE115" i="16"/>
  <c r="AE114" i="16"/>
  <c r="R26" i="11"/>
  <c r="AE122" i="16"/>
  <c r="AE123" i="16"/>
  <c r="AE127" i="16"/>
  <c r="AE120" i="16"/>
  <c r="AE126" i="16"/>
  <c r="AE118" i="16"/>
  <c r="AE128" i="16"/>
  <c r="AJ86" i="20"/>
  <c r="J51" i="3"/>
  <c r="J55" i="3" s="1"/>
  <c r="AD88" i="21"/>
  <c r="AJ85" i="21"/>
  <c r="AJ113" i="20"/>
  <c r="AL113" i="20" s="1"/>
  <c r="AJ60" i="21"/>
  <c r="AL60" i="21" s="1"/>
  <c r="R29" i="11"/>
  <c r="V29" i="11" s="1"/>
  <c r="AL88" i="21" l="1"/>
  <c r="AD92" i="21"/>
  <c r="V35" i="11"/>
  <c r="V39" i="11" s="1"/>
  <c r="K59" i="30"/>
  <c r="I26" i="10"/>
  <c r="K25" i="10"/>
  <c r="O25" i="10" s="1"/>
  <c r="AL70" i="21"/>
  <c r="AD120" i="20"/>
  <c r="AL116" i="20"/>
  <c r="AE124" i="16"/>
  <c r="AJ88" i="21"/>
  <c r="AJ116" i="20"/>
  <c r="AJ120" i="20" s="1"/>
  <c r="G39" i="11"/>
  <c r="AL79" i="21"/>
  <c r="AJ70" i="21"/>
  <c r="O26" i="10" l="1"/>
  <c r="K26" i="10"/>
  <c r="AL120" i="20"/>
  <c r="G29" i="10"/>
  <c r="R35" i="11"/>
  <c r="R39" i="11" s="1"/>
  <c r="AJ79" i="21"/>
  <c r="AL82" i="21"/>
  <c r="K29" i="10" l="1"/>
  <c r="O29" i="10" s="1"/>
  <c r="G35" i="10"/>
  <c r="G39" i="10" s="1"/>
  <c r="AJ92" i="21"/>
  <c r="J15" i="6"/>
  <c r="O35" i="10" l="1"/>
  <c r="O39" i="10" s="1"/>
  <c r="AL92" i="21"/>
  <c r="K35" i="10"/>
  <c r="K39"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5" i="19"/>
  <c r="AJ95" i="19" s="1"/>
  <c r="AL95" i="19" s="1"/>
  <c r="AD107" i="19"/>
  <c r="AJ107" i="19" s="1"/>
  <c r="AL107" i="19" s="1"/>
  <c r="AD98" i="19"/>
  <c r="AD92" i="19"/>
  <c r="AJ92" i="19" s="1"/>
  <c r="AL92" i="19" s="1"/>
  <c r="AD90" i="19"/>
  <c r="AD99" i="19"/>
  <c r="AJ99" i="19" s="1"/>
  <c r="AL99" i="19" s="1"/>
  <c r="AD104" i="19"/>
  <c r="AD91" i="19"/>
  <c r="J25" i="2" s="1"/>
  <c r="AD96" i="19"/>
  <c r="AJ96" i="19" s="1"/>
  <c r="AL96" i="19" s="1"/>
  <c r="AJ102" i="19"/>
  <c r="AL102" i="19" s="1"/>
  <c r="AD84" i="19"/>
  <c r="AJ103" i="19"/>
  <c r="AL103" i="19" s="1"/>
  <c r="AD97" i="19"/>
  <c r="AJ97" i="19" s="1"/>
  <c r="AL97" i="19" s="1"/>
  <c r="AJ116" i="19"/>
  <c r="AL116" i="19" s="1"/>
  <c r="AD94" i="19"/>
  <c r="AB20" i="2"/>
  <c r="V48" i="2"/>
  <c r="Y139" i="16" s="1"/>
  <c r="Z141" i="18"/>
  <c r="R141" i="18"/>
  <c r="L141" i="18"/>
  <c r="J141" i="18"/>
  <c r="H141" i="18"/>
  <c r="F141" i="18"/>
  <c r="AC143" i="18" l="1"/>
  <c r="AJ104" i="19"/>
  <c r="AL104" i="19" s="1"/>
  <c r="J38" i="2"/>
  <c r="AJ91" i="19"/>
  <c r="AL91" i="19" s="1"/>
  <c r="AJ98" i="19"/>
  <c r="AL98" i="19" s="1"/>
  <c r="J32" i="2"/>
  <c r="AJ94" i="19"/>
  <c r="AL94" i="19" s="1"/>
  <c r="AD100" i="19"/>
  <c r="C110" i="16"/>
  <c r="AL94" i="23"/>
  <c r="AN94" i="23" s="1"/>
  <c r="AJ84" i="19"/>
  <c r="AL84" i="19" s="1"/>
  <c r="AL63" i="23"/>
  <c r="AN63" i="23" s="1"/>
  <c r="AL82" i="19"/>
  <c r="AJ115" i="19"/>
  <c r="AL115" i="19" s="1"/>
  <c r="AD118" i="19"/>
  <c r="AJ118" i="19" s="1"/>
  <c r="AL118" i="19" s="1"/>
  <c r="AJ90" i="19"/>
  <c r="AL90" i="19" s="1"/>
  <c r="AL84" i="23"/>
  <c r="AN84" i="23" s="1"/>
  <c r="AL71" i="23"/>
  <c r="AN71" i="23" s="1"/>
  <c r="AN96" i="23"/>
  <c r="P34" i="2"/>
  <c r="P42" i="2" s="1"/>
  <c r="H34" i="2"/>
  <c r="H42" i="2" s="1"/>
  <c r="M199" i="42" l="1"/>
  <c r="I20" i="11"/>
  <c r="AL79" i="23"/>
  <c r="AJ100" i="19"/>
  <c r="AD109" i="19"/>
  <c r="AN79" i="23" l="1"/>
  <c r="AL86" i="23"/>
  <c r="N37" i="5"/>
  <c r="AJ109" i="19"/>
  <c r="AL109" i="19" s="1"/>
  <c r="AL100" i="19"/>
  <c r="AG67" i="25"/>
  <c r="AG70" i="25" l="1"/>
  <c r="AL70" i="25" s="1"/>
  <c r="AL67" i="25"/>
  <c r="AJ67" i="25"/>
  <c r="AJ70" i="25" l="1"/>
  <c r="AG80" i="25"/>
  <c r="AL80" i="25" l="1"/>
  <c r="AJ80" i="25"/>
  <c r="E43" i="7" l="1"/>
  <c r="E34" i="7"/>
  <c r="E37" i="7" l="1"/>
  <c r="E47" i="7"/>
  <c r="AD34" i="2" l="1"/>
  <c r="AD42" i="2" s="1"/>
  <c r="AE143" i="16" l="1"/>
  <c r="N26" i="6" l="1"/>
  <c r="N29" i="6" s="1"/>
  <c r="H25" i="6" l="1"/>
  <c r="H23" i="6" l="1"/>
  <c r="H26" i="6" s="1"/>
  <c r="H26" i="32" l="1"/>
  <c r="O201" i="42"/>
  <c r="K50" i="30"/>
  <c r="K15" i="30"/>
  <c r="K142" i="30"/>
  <c r="D25" i="6"/>
  <c r="L25" i="6" s="1"/>
  <c r="S25" i="6" s="1"/>
  <c r="U25" i="6" s="1"/>
  <c r="D24" i="6"/>
  <c r="L24" i="6" s="1"/>
  <c r="D23" i="6"/>
  <c r="D18" i="6"/>
  <c r="D19" i="6" l="1"/>
  <c r="D26" i="6"/>
  <c r="D29" i="6" l="1"/>
  <c r="D39" i="6" s="1"/>
  <c r="W28" i="27"/>
  <c r="F20" i="33" l="1"/>
  <c r="F26" i="32"/>
  <c r="E28" i="31"/>
  <c r="M238" i="42"/>
  <c r="M231" i="42"/>
  <c r="M30" i="42"/>
  <c r="M56" i="42"/>
  <c r="T32" i="11"/>
  <c r="M47" i="42"/>
  <c r="M92" i="42"/>
  <c r="S30" i="14"/>
  <c r="M43" i="42"/>
  <c r="I35" i="9"/>
  <c r="I21" i="14"/>
  <c r="T30" i="11"/>
  <c r="T21" i="11"/>
  <c r="M222" i="42"/>
  <c r="S23" i="14"/>
  <c r="S20" i="14"/>
  <c r="T29" i="11"/>
  <c r="K88" i="30"/>
  <c r="M64" i="42"/>
  <c r="M46" i="42"/>
  <c r="K116" i="30"/>
  <c r="G39" i="34"/>
  <c r="M39" i="34" s="1"/>
  <c r="M31" i="42"/>
  <c r="M19" i="42"/>
  <c r="K95" i="30"/>
  <c r="M50" i="42"/>
  <c r="I31" i="12"/>
  <c r="I33" i="11"/>
  <c r="C22" i="8"/>
  <c r="I22" i="9"/>
  <c r="L22" i="32"/>
  <c r="J26" i="32"/>
  <c r="M24" i="42"/>
  <c r="S26" i="14"/>
  <c r="M81" i="42"/>
  <c r="I20" i="9"/>
  <c r="G34" i="34"/>
  <c r="M34" i="34" s="1"/>
  <c r="K27" i="31"/>
  <c r="M175" i="42"/>
  <c r="M25" i="42"/>
  <c r="M45" i="42"/>
  <c r="I29" i="11"/>
  <c r="G52" i="34"/>
  <c r="M52" i="34" s="1"/>
  <c r="M65" i="42"/>
  <c r="M68" i="42"/>
  <c r="I20" i="14"/>
  <c r="I23" i="12"/>
  <c r="M23" i="42"/>
  <c r="G22" i="34"/>
  <c r="M22" i="34" s="1"/>
  <c r="M58" i="42"/>
  <c r="G57" i="34"/>
  <c r="M57" i="34" s="1"/>
  <c r="M42" i="42"/>
  <c r="M36" i="42"/>
  <c r="M54" i="42"/>
  <c r="M51" i="42"/>
  <c r="G49" i="34"/>
  <c r="M49" i="34" s="1"/>
  <c r="M41" i="42"/>
  <c r="J19" i="33"/>
  <c r="M127" i="42"/>
  <c r="M126" i="42"/>
  <c r="M39" i="42"/>
  <c r="G29" i="34"/>
  <c r="M29" i="34" s="1"/>
  <c r="I22" i="14"/>
  <c r="M71" i="42"/>
  <c r="I24" i="9"/>
  <c r="I30" i="11"/>
  <c r="I23" i="14"/>
  <c r="M67" i="42"/>
  <c r="S25" i="14"/>
  <c r="T33" i="11"/>
  <c r="G50" i="34"/>
  <c r="M50" i="34" s="1"/>
  <c r="G63" i="34"/>
  <c r="T24" i="11"/>
  <c r="G59" i="34"/>
  <c r="M59" i="34" s="1"/>
  <c r="I30" i="12"/>
  <c r="M48" i="34"/>
  <c r="G19" i="34"/>
  <c r="M19" i="34" s="1"/>
  <c r="E65" i="34"/>
  <c r="M27" i="42"/>
  <c r="I29" i="9"/>
  <c r="T25" i="11"/>
  <c r="J16" i="33"/>
  <c r="H20" i="33"/>
  <c r="M226" i="42"/>
  <c r="K117" i="30"/>
  <c r="I30" i="14"/>
  <c r="G31" i="34"/>
  <c r="M31" i="34" s="1"/>
  <c r="I25" i="9"/>
  <c r="I24" i="11"/>
  <c r="T22" i="11"/>
  <c r="K85" i="30"/>
  <c r="M55" i="42"/>
  <c r="I26" i="14"/>
  <c r="I32" i="12"/>
  <c r="M34" i="42"/>
  <c r="K107" i="30"/>
  <c r="M228" i="42"/>
  <c r="I40" i="9"/>
  <c r="T23" i="11"/>
  <c r="M35" i="42"/>
  <c r="M52" i="42"/>
  <c r="K64" i="30"/>
  <c r="M53" i="42"/>
  <c r="S22" i="14"/>
  <c r="T31" i="11"/>
  <c r="G20" i="34"/>
  <c r="Z12" i="37"/>
  <c r="I23" i="11"/>
  <c r="M59" i="42"/>
  <c r="I27" i="9"/>
  <c r="M90" i="42"/>
  <c r="M57" i="42"/>
  <c r="K112" i="30"/>
  <c r="M218" i="42"/>
  <c r="I25" i="14"/>
  <c r="I32" i="14"/>
  <c r="S21" i="14"/>
  <c r="S24" i="14"/>
  <c r="M18" i="42"/>
  <c r="M88" i="42"/>
  <c r="I23" i="9"/>
  <c r="I21" i="9"/>
  <c r="M61" i="42"/>
  <c r="G51" i="34"/>
  <c r="M51" i="34" s="1"/>
  <c r="M38" i="42"/>
  <c r="I25" i="12"/>
  <c r="M100" i="42"/>
  <c r="M40" i="42"/>
  <c r="M21" i="42"/>
  <c r="M22" i="42"/>
  <c r="I22" i="12"/>
  <c r="I24" i="14"/>
  <c r="M26" i="34"/>
  <c r="M69" i="42"/>
  <c r="M66" i="42"/>
  <c r="G56" i="34"/>
  <c r="M56" i="34" s="1"/>
  <c r="I26" i="12"/>
  <c r="I36" i="9"/>
  <c r="G45" i="34"/>
  <c r="T20" i="11"/>
  <c r="I24" i="12"/>
  <c r="M87" i="42"/>
  <c r="I32" i="11"/>
  <c r="C32" i="10"/>
  <c r="M32" i="10" s="1"/>
  <c r="I39" i="9"/>
  <c r="I28" i="31"/>
  <c r="K18" i="31"/>
  <c r="G23" i="34"/>
  <c r="M23" i="34" s="1"/>
  <c r="M73" i="42"/>
  <c r="T34" i="11"/>
  <c r="M98" i="42"/>
  <c r="M60" i="42"/>
  <c r="M49" i="42"/>
  <c r="I31" i="11"/>
  <c r="I28" i="9"/>
  <c r="M17" i="42"/>
  <c r="G30" i="34"/>
  <c r="M30" i="34" s="1"/>
  <c r="I20" i="12"/>
  <c r="K149" i="30"/>
  <c r="M48" i="42"/>
  <c r="M215" i="42"/>
  <c r="G38" i="34"/>
  <c r="M38" i="34" s="1"/>
  <c r="M63" i="42"/>
  <c r="M44" i="42"/>
  <c r="M53" i="34"/>
  <c r="M16" i="42"/>
  <c r="I31" i="14"/>
  <c r="M32" i="42"/>
  <c r="I41" i="9"/>
  <c r="M29" i="42"/>
  <c r="I21" i="12"/>
  <c r="G21" i="34"/>
  <c r="M21" i="34" s="1"/>
  <c r="M232" i="42"/>
  <c r="M33" i="42"/>
  <c r="M74" i="42"/>
  <c r="M227" i="42"/>
  <c r="S31" i="14"/>
  <c r="I34" i="11"/>
  <c r="S32" i="14"/>
  <c r="M20" i="42"/>
  <c r="M10" i="42"/>
  <c r="G41" i="34"/>
  <c r="G35" i="34"/>
  <c r="M35" i="34" s="1"/>
  <c r="M72" i="42"/>
  <c r="M28" i="42"/>
  <c r="G62" i="34"/>
  <c r="M62" i="34" s="1"/>
  <c r="I25" i="11"/>
  <c r="I21" i="11"/>
  <c r="M37" i="42"/>
  <c r="I38" i="9"/>
  <c r="I22" i="11"/>
  <c r="K31" i="9"/>
  <c r="R48" i="2"/>
  <c r="R30" i="2"/>
  <c r="R37" i="2"/>
  <c r="R36" i="2"/>
  <c r="R28" i="2"/>
  <c r="R38" i="2"/>
  <c r="R41" i="2"/>
  <c r="R33" i="2"/>
  <c r="R32" i="2"/>
  <c r="R31" i="2"/>
  <c r="R29" i="2"/>
  <c r="R26" i="2"/>
  <c r="R24" i="2"/>
  <c r="R19" i="2"/>
  <c r="J20" i="33" l="1"/>
  <c r="I42" i="9"/>
  <c r="I30" i="9"/>
  <c r="X48" i="2"/>
  <c r="R49" i="2"/>
  <c r="R51" i="2" s="1"/>
  <c r="R25" i="2"/>
  <c r="R34" i="2" s="1"/>
  <c r="R42" i="2" s="1"/>
  <c r="AB139" i="16" l="1"/>
  <c r="AN86" i="23" l="1"/>
  <c r="AH139" i="16"/>
  <c r="AJ139" i="16" s="1"/>
  <c r="N50" i="3" l="1"/>
  <c r="N49" i="2"/>
  <c r="N49" i="3" s="1"/>
  <c r="T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40" i="8"/>
  <c r="AD49" i="3"/>
  <c r="G32" i="8"/>
  <c r="K32" i="8" s="1"/>
  <c r="AD41" i="3"/>
  <c r="AF41" i="3" s="1"/>
  <c r="N45" i="2"/>
  <c r="N55" i="2" s="1"/>
  <c r="K40" i="8" l="1"/>
  <c r="N46" i="3"/>
  <c r="N55" i="3" s="1"/>
  <c r="Y51" i="3"/>
  <c r="AF49" i="3"/>
  <c r="J49" i="2" l="1"/>
  <c r="X49" i="2" s="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T50" i="3" s="1"/>
  <c r="AG36" i="2" l="1"/>
  <c r="AI36" i="2"/>
  <c r="AG32" i="2"/>
  <c r="AI32" i="2"/>
  <c r="AG31" i="2"/>
  <c r="AI31" i="2"/>
  <c r="AG30" i="2"/>
  <c r="AI30" i="2"/>
  <c r="AG29" i="2"/>
  <c r="AI29" i="2"/>
  <c r="AG28" i="2"/>
  <c r="AI28" i="2"/>
  <c r="AG33" i="2"/>
  <c r="AD16" i="3"/>
  <c r="AF16" i="3" s="1"/>
  <c r="G21" i="8"/>
  <c r="K21" i="8" s="1"/>
  <c r="F51" i="3"/>
  <c r="AD50" i="3"/>
  <c r="AD51" i="3" s="1"/>
  <c r="AF51" i="3" s="1"/>
  <c r="T25" i="3"/>
  <c r="AD18" i="3"/>
  <c r="AF18" i="3" s="1"/>
  <c r="G23" i="8"/>
  <c r="K23" i="8" s="1"/>
  <c r="AG37" i="2"/>
  <c r="AD20" i="3"/>
  <c r="AF20" i="3" s="1"/>
  <c r="G25" i="8"/>
  <c r="K25" i="8" s="1"/>
  <c r="F17" i="3"/>
  <c r="T17" i="3" s="1"/>
  <c r="AD37" i="3"/>
  <c r="AF37" i="3" s="1"/>
  <c r="G30" i="8"/>
  <c r="K30" i="8" s="1"/>
  <c r="F51" i="2"/>
  <c r="X24" i="2"/>
  <c r="AG19" i="2"/>
  <c r="X50" i="2"/>
  <c r="AG49" i="2"/>
  <c r="AG38" i="2"/>
  <c r="X25" i="2"/>
  <c r="AI25" i="2" s="1"/>
  <c r="AG17" i="2"/>
  <c r="X16" i="2"/>
  <c r="AI16" i="2" s="1"/>
  <c r="AI24" i="2" l="1"/>
  <c r="X51" i="2"/>
  <c r="AI50" i="2"/>
  <c r="AI49" i="2"/>
  <c r="AD25" i="3"/>
  <c r="AF25" i="3" s="1"/>
  <c r="G22" i="8"/>
  <c r="AD17" i="3"/>
  <c r="AF17" i="3" s="1"/>
  <c r="G41" i="8"/>
  <c r="K41" i="8" s="1"/>
  <c r="K42" i="8" s="1"/>
  <c r="T51" i="3"/>
  <c r="AG24" i="2"/>
  <c r="AG50" i="2"/>
  <c r="AG25" i="2"/>
  <c r="AG16" i="2"/>
  <c r="I22" i="8" l="1"/>
  <c r="K22" i="8"/>
  <c r="G42" i="8"/>
  <c r="AF50" i="3"/>
  <c r="AE133" i="16"/>
  <c r="J25" i="6" l="1"/>
  <c r="S24" i="6"/>
  <c r="U24" i="6" s="1"/>
  <c r="J24" i="6"/>
  <c r="L23" i="6"/>
  <c r="S23" i="6" s="1"/>
  <c r="U23" i="6" s="1"/>
  <c r="J23" i="6"/>
  <c r="J19" i="6"/>
  <c r="H15" i="6"/>
  <c r="L14" i="6"/>
  <c r="H14" i="6"/>
  <c r="P14" i="6" s="1"/>
  <c r="S26" i="6" l="1"/>
  <c r="U26" i="6" s="1"/>
  <c r="J26" i="6"/>
  <c r="J29" i="6" s="1"/>
  <c r="J39" i="6" s="1"/>
  <c r="L26" i="6"/>
  <c r="AG48" i="2" l="1"/>
  <c r="AI48" i="2" s="1"/>
  <c r="AB131" i="16"/>
  <c r="AA12" i="3"/>
  <c r="AG51" i="2" l="1"/>
  <c r="AI51" i="2" s="1"/>
  <c r="C124" i="16"/>
  <c r="C133" i="16" s="1"/>
  <c r="AH131" i="16"/>
  <c r="AJ131" i="16" s="1"/>
  <c r="F15" i="3" l="1"/>
  <c r="F20" i="2"/>
  <c r="F21" i="3" l="1"/>
  <c r="T15" i="3"/>
  <c r="C136" i="16"/>
  <c r="G20" i="8" l="1"/>
  <c r="K20" i="8" s="1"/>
  <c r="T21" i="3"/>
  <c r="G26" i="8" l="1"/>
  <c r="K26" i="8"/>
  <c r="L37" i="29" l="1"/>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H26" i="16" s="1"/>
  <c r="AI17" i="18"/>
  <c r="AK17" i="18" s="1"/>
  <c r="AE26" i="17"/>
  <c r="AA15" i="3" l="1"/>
  <c r="AF55" i="18"/>
  <c r="AF100" i="18" s="1"/>
  <c r="AF123" i="18" s="1"/>
  <c r="AD21" i="15"/>
  <c r="AE30" i="17"/>
  <c r="AE60" i="17" s="1"/>
  <c r="AE110" i="17" s="1"/>
  <c r="AH21" i="15" l="1"/>
  <c r="AJ21" i="15" s="1"/>
  <c r="AF141" i="18"/>
  <c r="K110" i="30"/>
  <c r="AH16" i="15"/>
  <c r="AJ16" i="15" s="1"/>
  <c r="AD25" i="15"/>
  <c r="AE30" i="16"/>
  <c r="AE60" i="16" s="1"/>
  <c r="AI26" i="18"/>
  <c r="AD20" i="2"/>
  <c r="AD15" i="3"/>
  <c r="AA21" i="3"/>
  <c r="AA46" i="3" s="1"/>
  <c r="AA55" i="3" s="1"/>
  <c r="AE136" i="17"/>
  <c r="AE146" i="17" s="1"/>
  <c r="AF143" i="18" l="1"/>
  <c r="AD58" i="15"/>
  <c r="AE110" i="16"/>
  <c r="AF15" i="3"/>
  <c r="AD21" i="3"/>
  <c r="AI55" i="18"/>
  <c r="AK26" i="18"/>
  <c r="AD45" i="2"/>
  <c r="AD55" i="2" s="1"/>
  <c r="AI141" i="18" l="1"/>
  <c r="AK141" i="18" s="1"/>
  <c r="AD38" i="28"/>
  <c r="AE136" i="16"/>
  <c r="AI100" i="18"/>
  <c r="AK100" i="18" s="1"/>
  <c r="AK55" i="18"/>
  <c r="AF21" i="3"/>
  <c r="AE147" i="16" l="1"/>
  <c r="Z25" i="43" l="1"/>
  <c r="Z32" i="43"/>
  <c r="Z30" i="43"/>
  <c r="Z37" i="43" l="1"/>
  <c r="F26" i="2" l="1"/>
  <c r="X26" i="2" s="1"/>
  <c r="X34" i="2" s="1"/>
  <c r="G34" i="9"/>
  <c r="K34" i="9" s="1"/>
  <c r="AI106" i="18"/>
  <c r="AK106" i="18" s="1"/>
  <c r="I34" i="9" l="1"/>
  <c r="K43" i="9"/>
  <c r="K47" i="9" s="1"/>
  <c r="G43" i="9"/>
  <c r="G47" i="9" s="1"/>
  <c r="AI34" i="2"/>
  <c r="X42" i="2"/>
  <c r="X114" i="18"/>
  <c r="X120" i="18" s="1"/>
  <c r="F34" i="2"/>
  <c r="F42" i="2" s="1"/>
  <c r="F45" i="2" s="1"/>
  <c r="F27" i="3"/>
  <c r="AI123" i="18"/>
  <c r="AK123" i="18" s="1"/>
  <c r="AI26" i="2"/>
  <c r="AG26" i="2"/>
  <c r="AG34" i="2" s="1"/>
  <c r="AG42" i="2" s="1"/>
  <c r="G29" i="7"/>
  <c r="K29" i="7" s="1"/>
  <c r="AI114" i="18"/>
  <c r="K34" i="7" l="1"/>
  <c r="K37" i="7" s="1"/>
  <c r="F55" i="2"/>
  <c r="AI42" i="2"/>
  <c r="F35" i="3"/>
  <c r="T27" i="3"/>
  <c r="AK114" i="18"/>
  <c r="AI120" i="18"/>
  <c r="AK120" i="18" s="1"/>
  <c r="G34" i="7"/>
  <c r="F43" i="3" l="1"/>
  <c r="F46" i="3" s="1"/>
  <c r="F55" i="3" s="1"/>
  <c r="V50" i="2"/>
  <c r="Y141" i="16" s="1"/>
  <c r="AD27" i="3"/>
  <c r="T35" i="3"/>
  <c r="T43" i="3" s="1"/>
  <c r="G37" i="7"/>
  <c r="S143" i="16" l="1"/>
  <c r="U143" i="16"/>
  <c r="U147" i="16" s="1"/>
  <c r="Q143" i="16"/>
  <c r="K143" i="16"/>
  <c r="K147" i="16" s="1"/>
  <c r="G143" i="16"/>
  <c r="G147" i="16" s="1"/>
  <c r="V51" i="2"/>
  <c r="G29" i="8"/>
  <c r="K29" i="8" s="1"/>
  <c r="T46" i="3"/>
  <c r="T55" i="3" s="1"/>
  <c r="AF27" i="3"/>
  <c r="AD35" i="3"/>
  <c r="AD43" i="3" s="1"/>
  <c r="AB141" i="16" l="1"/>
  <c r="W143" i="16"/>
  <c r="W147" i="16" s="1"/>
  <c r="AF43" i="3"/>
  <c r="AD46" i="3"/>
  <c r="AF46" i="3" s="1"/>
  <c r="G34" i="8"/>
  <c r="K34" i="8"/>
  <c r="K46" i="8" s="1"/>
  <c r="AF35" i="3"/>
  <c r="AD55" i="3" l="1"/>
  <c r="AF55" i="3" s="1"/>
  <c r="G46" i="8"/>
  <c r="G37" i="8"/>
  <c r="K37" i="8"/>
  <c r="D26" i="18" l="1"/>
  <c r="K94" i="30" l="1"/>
  <c r="E101" i="30"/>
  <c r="D55" i="18"/>
  <c r="D100" i="18" s="1"/>
  <c r="D123" i="18" s="1"/>
  <c r="D141" i="18" s="1"/>
  <c r="N21" i="5" l="1"/>
  <c r="N32" i="5" l="1"/>
  <c r="N42" i="5" s="1"/>
  <c r="E23" i="23"/>
  <c r="E33" i="23" l="1"/>
  <c r="E65" i="23" s="1"/>
  <c r="E89" i="23" s="1"/>
  <c r="E101" i="23" s="1"/>
  <c r="AB118" i="19" l="1"/>
  <c r="AB122" i="19" s="1"/>
  <c r="AB124" i="19" s="1"/>
  <c r="N26" i="18" l="1"/>
  <c r="N37" i="18" l="1"/>
  <c r="D16" i="3" s="1"/>
  <c r="N55" i="18" l="1"/>
  <c r="N100" i="18" s="1"/>
  <c r="N114" i="18" l="1"/>
  <c r="N120" i="18" s="1"/>
  <c r="N123" i="18" l="1"/>
  <c r="N141" i="18" l="1"/>
  <c r="V20" i="15" l="1"/>
  <c r="V18" i="15"/>
  <c r="V17" i="15"/>
  <c r="V19" i="15"/>
  <c r="V21" i="15" l="1"/>
  <c r="T141" i="18"/>
  <c r="S30" i="16" l="1"/>
  <c r="S60" i="16" l="1"/>
  <c r="U80" i="25" l="1"/>
  <c r="S106" i="16" l="1"/>
  <c r="S110" i="16" s="1"/>
  <c r="S136" i="16" s="1"/>
  <c r="S147" i="16" s="1"/>
  <c r="R34" i="3" l="1"/>
  <c r="AB44" i="17"/>
  <c r="AH44" i="17" s="1"/>
  <c r="V30" i="2"/>
  <c r="V16" i="2"/>
  <c r="V31" i="2"/>
  <c r="AB55" i="17"/>
  <c r="AH55" i="17" s="1"/>
  <c r="AJ55" i="17" s="1"/>
  <c r="AB139" i="17"/>
  <c r="AH139"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AJ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140" i="17"/>
  <c r="AH140" i="17" s="1"/>
  <c r="AJ140" i="17"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R50" i="3"/>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H95" i="17" s="1"/>
  <c r="AJ95" i="17" s="1"/>
  <c r="AB78" i="16"/>
  <c r="AH78" i="16" s="1"/>
  <c r="AJ78" i="16" s="1"/>
  <c r="AB108" i="16"/>
  <c r="AB94" i="17"/>
  <c r="AH94" i="17" s="1"/>
  <c r="AJ94" i="17" s="1"/>
  <c r="AB92" i="16"/>
  <c r="AH92" i="16" s="1"/>
  <c r="AJ92" i="16" s="1"/>
  <c r="AB128" i="16"/>
  <c r="AH128" i="16" s="1"/>
  <c r="AJ128" i="16" s="1"/>
  <c r="AB47" i="17"/>
  <c r="AH47" i="17" s="1"/>
  <c r="AJ47" i="17" s="1"/>
  <c r="AB33" i="17"/>
  <c r="AH33" i="17" s="1"/>
  <c r="AJ33" i="17" s="1"/>
  <c r="AB121" i="16"/>
  <c r="AH121" i="16" s="1"/>
  <c r="AJ121" i="16" s="1"/>
  <c r="AH103" i="16"/>
  <c r="AJ103" i="16" s="1"/>
  <c r="AB120" i="17"/>
  <c r="AH120" i="17" s="1"/>
  <c r="AJ120" i="17" s="1"/>
  <c r="V26" i="18"/>
  <c r="D15" i="3" s="1"/>
  <c r="AB79" i="16"/>
  <c r="AH79" i="16" s="1"/>
  <c r="AJ79" i="16" s="1"/>
  <c r="AB49" i="16"/>
  <c r="AH49" i="16" s="1"/>
  <c r="AJ49" i="16" s="1"/>
  <c r="AB70" i="17"/>
  <c r="AH70" i="17" s="1"/>
  <c r="AJ70" i="17" s="1"/>
  <c r="AB123" i="17"/>
  <c r="AH123" i="17" s="1"/>
  <c r="AJ123" i="17" s="1"/>
  <c r="AB116" i="17"/>
  <c r="AH116" i="17" s="1"/>
  <c r="AJ116" i="17" s="1"/>
  <c r="AB104" i="16"/>
  <c r="AH104" i="16" s="1"/>
  <c r="AJ104" i="16" s="1"/>
  <c r="AB76" i="16"/>
  <c r="AH76" i="16" s="1"/>
  <c r="AJ76" i="16" s="1"/>
  <c r="AB89" i="17"/>
  <c r="AH89" i="17" s="1"/>
  <c r="AJ89" i="17" s="1"/>
  <c r="AB98" i="17"/>
  <c r="AH98" i="17" s="1"/>
  <c r="AJ98" i="17" s="1"/>
  <c r="AB52" i="17"/>
  <c r="AH142" i="17" l="1"/>
  <c r="AJ142" i="17" s="1"/>
  <c r="AH24" i="16"/>
  <c r="AJ24" i="16" s="1"/>
  <c r="AB58" i="17"/>
  <c r="AH23" i="17"/>
  <c r="AJ23" i="17" s="1"/>
  <c r="AB26" i="17"/>
  <c r="V55" i="18"/>
  <c r="V100" i="18" s="1"/>
  <c r="R30" i="3"/>
  <c r="V33" i="2"/>
  <c r="R26" i="3"/>
  <c r="R17" i="3"/>
  <c r="R32" i="3"/>
  <c r="R31" i="3"/>
  <c r="V36" i="2"/>
  <c r="AH52" i="17"/>
  <c r="AH58" i="17" s="1"/>
  <c r="R18" i="3"/>
  <c r="V17" i="2"/>
  <c r="AB106" i="17"/>
  <c r="AH65" i="17"/>
  <c r="D51" i="2"/>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AJ139" i="17"/>
  <c r="V19" i="2"/>
  <c r="R20" i="3"/>
  <c r="R37" i="3"/>
  <c r="V26" i="2"/>
  <c r="R27" i="3"/>
  <c r="R16" i="3"/>
  <c r="AB142" i="17"/>
  <c r="V32" i="2"/>
  <c r="V123" i="18" l="1"/>
  <c r="V141" i="18" s="1"/>
  <c r="X123" i="18"/>
  <c r="X141" i="18" s="1"/>
  <c r="M143" i="16"/>
  <c r="E143" i="16"/>
  <c r="E147" i="16" s="1"/>
  <c r="C143" i="16"/>
  <c r="C147" i="16" s="1"/>
  <c r="Y143" i="16"/>
  <c r="Y147" i="16" s="1"/>
  <c r="AH32" i="17"/>
  <c r="AB42" i="17"/>
  <c r="V34" i="2"/>
  <c r="AJ64" i="16"/>
  <c r="D51" i="3"/>
  <c r="R49" i="3"/>
  <c r="R51" i="3" s="1"/>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O143" i="16" l="1"/>
  <c r="D45" i="2"/>
  <c r="D55" i="2" s="1"/>
  <c r="I143" i="16"/>
  <c r="I147" i="16" s="1"/>
  <c r="AJ26" i="16"/>
  <c r="AJ52" i="16"/>
  <c r="AH42" i="17"/>
  <c r="AJ42" i="17" s="1"/>
  <c r="AJ32" i="17"/>
  <c r="D21" i="3"/>
  <c r="D46" i="3" s="1"/>
  <c r="D55" i="3" s="1"/>
  <c r="AH141" i="16" l="1"/>
  <c r="AJ141" i="16" s="1"/>
  <c r="AB143" i="16"/>
  <c r="K108" i="30"/>
  <c r="AH140" i="16"/>
  <c r="AJ58" i="16"/>
  <c r="AJ140" i="16" l="1"/>
  <c r="AH143" i="16"/>
  <c r="AJ143" i="16" s="1"/>
  <c r="U23" i="26" l="1"/>
  <c r="U37" i="26" s="1"/>
  <c r="U49" i="26" s="1"/>
  <c r="B32" i="5"/>
  <c r="B42" i="5" s="1"/>
  <c r="O30" i="17" l="1"/>
  <c r="O60" i="17" s="1"/>
  <c r="N54" i="22"/>
  <c r="N65" i="22" s="1"/>
  <c r="N75" i="22" s="1"/>
  <c r="O110" i="17" l="1"/>
  <c r="O136" i="17" s="1"/>
  <c r="O146" i="17" s="1"/>
  <c r="O30" i="16"/>
  <c r="O60" i="16" l="1"/>
  <c r="E40" i="13" l="1"/>
  <c r="N45" i="5" l="1"/>
  <c r="K46" i="30" l="1"/>
  <c r="K96" i="30"/>
  <c r="K38" i="31" l="1"/>
  <c r="O22" i="24" l="1"/>
  <c r="O32" i="24" s="1"/>
  <c r="O64" i="24" s="1"/>
  <c r="O88" i="24" s="1"/>
  <c r="O100" i="24" s="1"/>
  <c r="V29" i="15" l="1"/>
  <c r="V38" i="15" s="1"/>
  <c r="P38" i="15"/>
  <c r="P58" i="15" s="1"/>
  <c r="AF23" i="23"/>
  <c r="AB42" i="16" l="1"/>
  <c r="M42" i="16"/>
  <c r="M60" i="16" s="1"/>
  <c r="M110" i="16" s="1"/>
  <c r="R29" i="15"/>
  <c r="AL20" i="23"/>
  <c r="AN20" i="23" s="1"/>
  <c r="AH33" i="16" l="1"/>
  <c r="X29" i="15"/>
  <c r="R38" i="15"/>
  <c r="R58" i="15" s="1"/>
  <c r="AL23" i="23"/>
  <c r="AN23" i="23" s="1"/>
  <c r="R15" i="2"/>
  <c r="AF33" i="23"/>
  <c r="V15" i="2"/>
  <c r="AH42" i="16" l="1"/>
  <c r="AJ42" i="16" s="1"/>
  <c r="AJ33" i="16"/>
  <c r="AH29" i="15"/>
  <c r="AJ29" i="15" s="1"/>
  <c r="X38" i="15"/>
  <c r="AL33" i="23"/>
  <c r="X15" i="2"/>
  <c r="AH38" i="15" l="1"/>
  <c r="AJ38" i="15" s="1"/>
  <c r="AG15" i="2"/>
  <c r="AI15" i="2"/>
  <c r="AN33" i="23"/>
  <c r="G65" i="34" l="1"/>
  <c r="AB25" i="15" l="1"/>
  <c r="R19" i="35"/>
  <c r="V19" i="35" s="1"/>
  <c r="H40" i="35"/>
  <c r="Q42" i="25"/>
  <c r="Q46" i="25" l="1"/>
  <c r="Q70" i="25" s="1"/>
  <c r="Q80" i="25" s="1"/>
  <c r="K39" i="31"/>
  <c r="AF37" i="23"/>
  <c r="AL37" i="23" s="1"/>
  <c r="AN37" i="23" s="1"/>
  <c r="Q101" i="23"/>
  <c r="AL61" i="23" l="1"/>
  <c r="AN61" i="23" s="1"/>
  <c r="AB65" i="16"/>
  <c r="O106" i="16"/>
  <c r="O110" i="16" s="1"/>
  <c r="O136" i="16" s="1"/>
  <c r="O147" i="16" s="1"/>
  <c r="V18" i="2"/>
  <c r="P20" i="2"/>
  <c r="P45" i="2" s="1"/>
  <c r="P55" i="2" s="1"/>
  <c r="AF61" i="23"/>
  <c r="AF65" i="23" l="1"/>
  <c r="AF89" i="23" s="1"/>
  <c r="AF101" i="23" s="1"/>
  <c r="AL65" i="23"/>
  <c r="AL89" i="23" s="1"/>
  <c r="AN89" i="23" s="1"/>
  <c r="R18" i="2"/>
  <c r="AH65" i="16"/>
  <c r="AB106" i="16"/>
  <c r="X18" i="2" l="1"/>
  <c r="AI18" i="2" s="1"/>
  <c r="R20" i="2"/>
  <c r="R45" i="2" s="1"/>
  <c r="R55" i="2" s="1"/>
  <c r="AL101" i="23"/>
  <c r="AN101" i="23" s="1"/>
  <c r="AN65" i="23"/>
  <c r="AH106" i="16"/>
  <c r="AJ106" i="16" s="1"/>
  <c r="AJ65" i="16"/>
  <c r="AG18" i="2" l="1"/>
  <c r="R23" i="35"/>
  <c r="V23" i="35" s="1"/>
  <c r="P19" i="27" l="1"/>
  <c r="P32" i="27" s="1"/>
  <c r="P44" i="27" s="1"/>
  <c r="F21" i="5"/>
  <c r="F32" i="5" s="1"/>
  <c r="F42" i="5" s="1"/>
  <c r="J18" i="5" l="1"/>
  <c r="J21" i="5" s="1"/>
  <c r="J32" i="5" s="1"/>
  <c r="J42" i="5" s="1"/>
  <c r="Z43" i="43" l="1"/>
  <c r="Z45" i="43" s="1"/>
  <c r="Z38" i="20" l="1"/>
  <c r="Z86" i="20" s="1"/>
  <c r="Z110" i="20" s="1"/>
  <c r="Z120" i="20" s="1"/>
  <c r="AB27" i="17"/>
  <c r="H21" i="3" l="1"/>
  <c r="H46" i="3" s="1"/>
  <c r="H55" i="3" s="1"/>
  <c r="H20" i="2"/>
  <c r="H45" i="2" s="1"/>
  <c r="H55" i="2" s="1"/>
  <c r="AH27" i="17"/>
  <c r="Y30" i="17"/>
  <c r="Y60" i="17" s="1"/>
  <c r="Z38" i="19"/>
  <c r="Z86" i="19" s="1"/>
  <c r="Z112" i="19" s="1"/>
  <c r="Z122" i="19" s="1"/>
  <c r="AJ27" i="17" l="1"/>
  <c r="Y110" i="17"/>
  <c r="Y136" i="17" s="1"/>
  <c r="Y146" i="17" s="1"/>
  <c r="AD46" i="27" l="1"/>
  <c r="AG122" i="20" l="1"/>
  <c r="AG124" i="19"/>
  <c r="Z46" i="37"/>
  <c r="B46" i="37"/>
  <c r="D12" i="37" s="1"/>
  <c r="D46" i="37" s="1"/>
  <c r="F12" i="37" s="1"/>
  <c r="AG102" i="24"/>
  <c r="AB47" i="15"/>
  <c r="AG94" i="21"/>
  <c r="M14" i="42" l="1"/>
  <c r="D143" i="18"/>
  <c r="F12" i="18" s="1"/>
  <c r="G49" i="9" l="1"/>
  <c r="K49" i="9" s="1"/>
  <c r="AI143" i="18"/>
  <c r="AK143" i="18" s="1"/>
  <c r="F46" i="37"/>
  <c r="H12" i="37" s="1"/>
  <c r="M201" i="42"/>
  <c r="AI12" i="18"/>
  <c r="AK12" i="18" s="1"/>
  <c r="AJ13" i="20"/>
  <c r="D122" i="20"/>
  <c r="F13" i="20" s="1"/>
  <c r="J57" i="3"/>
  <c r="J59" i="3" s="1"/>
  <c r="G41" i="11"/>
  <c r="D13" i="19"/>
  <c r="D94" i="21"/>
  <c r="F13" i="21" s="1"/>
  <c r="F94" i="21" s="1"/>
  <c r="H13" i="21" s="1"/>
  <c r="AD13" i="21"/>
  <c r="AJ13" i="21" s="1"/>
  <c r="AL13" i="21" s="1"/>
  <c r="R41" i="11"/>
  <c r="E50" i="9"/>
  <c r="F57" i="3"/>
  <c r="F59" i="2"/>
  <c r="C49" i="7"/>
  <c r="E49" i="7" s="1"/>
  <c r="E50" i="7" s="1"/>
  <c r="C48" i="8"/>
  <c r="E48" i="8" s="1"/>
  <c r="V41" i="11" l="1"/>
  <c r="V42" i="11" s="1"/>
  <c r="T41" i="11"/>
  <c r="K41" i="11"/>
  <c r="K42" i="11" s="1"/>
  <c r="I41" i="11"/>
  <c r="I49" i="9"/>
  <c r="K50" i="9"/>
  <c r="J57" i="2"/>
  <c r="G50" i="9"/>
  <c r="E49" i="8"/>
  <c r="H46" i="37"/>
  <c r="J12" i="37" s="1"/>
  <c r="F143" i="18"/>
  <c r="H12" i="18" s="1"/>
  <c r="AD94" i="21"/>
  <c r="G42" i="11"/>
  <c r="AD122" i="20"/>
  <c r="G41" i="10"/>
  <c r="K41" i="10" s="1"/>
  <c r="R42" i="11"/>
  <c r="AD13" i="19"/>
  <c r="D124" i="19"/>
  <c r="F13" i="19" s="1"/>
  <c r="F59" i="3"/>
  <c r="AL13" i="20"/>
  <c r="AJ122" i="20"/>
  <c r="AL122" i="20" s="1"/>
  <c r="M41" i="10" l="1"/>
  <c r="O41" i="10"/>
  <c r="O42" i="10" s="1"/>
  <c r="AJ94" i="21"/>
  <c r="AL94" i="21" s="1"/>
  <c r="J46" i="37"/>
  <c r="L12" i="37" s="1"/>
  <c r="H94" i="21"/>
  <c r="J13" i="21" s="1"/>
  <c r="F122" i="20"/>
  <c r="H13" i="20" s="1"/>
  <c r="G42" i="10"/>
  <c r="AL13" i="19"/>
  <c r="AJ13" i="19"/>
  <c r="K42" i="10"/>
  <c r="L46" i="37" l="1"/>
  <c r="N12" i="37" s="1"/>
  <c r="J94" i="21"/>
  <c r="L13" i="21" s="1"/>
  <c r="H143" i="18"/>
  <c r="J12" i="18" s="1"/>
  <c r="L94" i="21" l="1"/>
  <c r="N13" i="21" s="1"/>
  <c r="H122" i="20"/>
  <c r="J13" i="20" s="1"/>
  <c r="K34" i="31"/>
  <c r="J122" i="20" l="1"/>
  <c r="L13" i="20" s="1"/>
  <c r="N46" i="37"/>
  <c r="P12" i="37" s="1"/>
  <c r="N94" i="21"/>
  <c r="P13" i="21" s="1"/>
  <c r="J143" i="18"/>
  <c r="L12" i="18" s="1"/>
  <c r="K40" i="30"/>
  <c r="P46" i="37" l="1"/>
  <c r="P94" i="21"/>
  <c r="R13" i="21" s="1"/>
  <c r="R12" i="37" l="1"/>
  <c r="R46" i="37" s="1"/>
  <c r="T12" i="37" s="1"/>
  <c r="T46" i="37" s="1"/>
  <c r="V12" i="37" s="1"/>
  <c r="L122" i="20"/>
  <c r="N13" i="20" s="1"/>
  <c r="R94" i="21"/>
  <c r="T13" i="21" s="1"/>
  <c r="L143" i="18"/>
  <c r="N12" i="18" s="1"/>
  <c r="G42" i="31"/>
  <c r="G45" i="31" s="1"/>
  <c r="V46" i="37" l="1"/>
  <c r="X12" i="37" s="1"/>
  <c r="T94" i="21"/>
  <c r="V13" i="21" s="1"/>
  <c r="V94" i="21" s="1"/>
  <c r="X13" i="21" s="1"/>
  <c r="K97" i="30"/>
  <c r="X46" i="37" l="1"/>
  <c r="N143" i="18"/>
  <c r="P12" i="18" s="1"/>
  <c r="K153" i="30"/>
  <c r="X94" i="21" l="1"/>
  <c r="Z13" i="21" s="1"/>
  <c r="N122" i="20"/>
  <c r="P13" i="20" s="1"/>
  <c r="K60" i="30"/>
  <c r="Z94" i="21" l="1"/>
  <c r="P143" i="18"/>
  <c r="R12" i="18" s="1"/>
  <c r="K40" i="31"/>
  <c r="R143" i="18" l="1"/>
  <c r="T12" i="18" s="1"/>
  <c r="P122" i="20"/>
  <c r="R13" i="20" s="1"/>
  <c r="R30" i="35" l="1"/>
  <c r="V30" i="35" s="1"/>
  <c r="T143" i="18" l="1"/>
  <c r="V12" i="18" s="1"/>
  <c r="R122" i="20"/>
  <c r="T13" i="20" s="1"/>
  <c r="I30" i="45"/>
  <c r="G30" i="45"/>
  <c r="Y43" i="3" l="1"/>
  <c r="Y21" i="3"/>
  <c r="V143" i="18" l="1"/>
  <c r="X12" i="18" s="1"/>
  <c r="T122" i="20"/>
  <c r="V13" i="20" s="1"/>
  <c r="N59" i="2"/>
  <c r="B77" i="22"/>
  <c r="D12" i="22" s="1"/>
  <c r="C16" i="17"/>
  <c r="AB16" i="17" s="1"/>
  <c r="AA12" i="22"/>
  <c r="Y46" i="3"/>
  <c r="Y55" i="3" s="1"/>
  <c r="D77" i="22" l="1"/>
  <c r="F12" i="22" s="1"/>
  <c r="V122" i="20"/>
  <c r="X13" i="20" s="1"/>
  <c r="AA77" i="22"/>
  <c r="G39" i="12"/>
  <c r="C148" i="17"/>
  <c r="E16" i="17" s="1"/>
  <c r="N57" i="3"/>
  <c r="I39" i="12" l="1"/>
  <c r="K39" i="12"/>
  <c r="K40" i="12" s="1"/>
  <c r="T57" i="3"/>
  <c r="T59" i="3" s="1"/>
  <c r="N59" i="3"/>
  <c r="E148" i="17"/>
  <c r="G16" i="17" s="1"/>
  <c r="G148" i="17" s="1"/>
  <c r="I16" i="17" s="1"/>
  <c r="X143" i="18"/>
  <c r="Y59" i="3"/>
  <c r="G40" i="12"/>
  <c r="Z12" i="18" l="1"/>
  <c r="D57" i="2" s="1"/>
  <c r="D57" i="3" s="1"/>
  <c r="G48" i="8"/>
  <c r="D59" i="2" l="1"/>
  <c r="I48" i="8"/>
  <c r="K48" i="8"/>
  <c r="K49" i="8" s="1"/>
  <c r="I148" i="17"/>
  <c r="K16" i="17" s="1"/>
  <c r="G49" i="8"/>
  <c r="F77" i="22"/>
  <c r="H12" i="22" s="1"/>
  <c r="Z143" i="18"/>
  <c r="X122" i="20"/>
  <c r="Z13" i="20" s="1"/>
  <c r="H57" i="3" s="1"/>
  <c r="Z122" i="20" l="1"/>
  <c r="H59" i="3"/>
  <c r="D59" i="3"/>
  <c r="G101" i="30"/>
  <c r="K98" i="30"/>
  <c r="H77" i="22" l="1"/>
  <c r="J12" i="22" s="1"/>
  <c r="E32" i="44" l="1"/>
  <c r="E48" i="44" l="1"/>
  <c r="K118" i="30"/>
  <c r="E52" i="44" l="1"/>
  <c r="I25" i="44"/>
  <c r="I48" i="44" l="1"/>
  <c r="K45" i="30"/>
  <c r="I52" i="44" l="1"/>
  <c r="R15" i="35"/>
  <c r="V15" i="35" s="1"/>
  <c r="L30" i="32" l="1"/>
  <c r="R24" i="35" l="1"/>
  <c r="R38" i="35" l="1"/>
  <c r="R22" i="35"/>
  <c r="R21" i="35"/>
  <c r="R35" i="35"/>
  <c r="V35" i="35" s="1"/>
  <c r="K151" i="30"/>
  <c r="E22" i="45" l="1"/>
  <c r="C30" i="45" l="1"/>
  <c r="E23" i="45"/>
  <c r="D30" i="45"/>
  <c r="E26" i="45" l="1"/>
  <c r="I65" i="34"/>
  <c r="Q65" i="34"/>
  <c r="R20" i="35"/>
  <c r="V20" i="35" s="1"/>
  <c r="L40" i="35"/>
  <c r="K109" i="30"/>
  <c r="S65" i="34"/>
  <c r="K111" i="30"/>
  <c r="I113" i="30"/>
  <c r="E30" i="45" l="1"/>
  <c r="E156" i="30" l="1"/>
  <c r="T40" i="35"/>
  <c r="I156" i="30"/>
  <c r="E24" i="30"/>
  <c r="J47" i="32"/>
  <c r="R18" i="35"/>
  <c r="V18" i="35" s="1"/>
  <c r="E91" i="30"/>
  <c r="E103" i="30" s="1"/>
  <c r="H47" i="32"/>
  <c r="H50" i="32" s="1"/>
  <c r="K65" i="34"/>
  <c r="I42" i="31"/>
  <c r="G91" i="30"/>
  <c r="G103" i="30" s="1"/>
  <c r="I101" i="30"/>
  <c r="G24" i="30"/>
  <c r="F40" i="35"/>
  <c r="I24" i="30"/>
  <c r="F47" i="32"/>
  <c r="F50" i="32" s="1"/>
  <c r="G156" i="30"/>
  <c r="E42" i="31"/>
  <c r="E45" i="31" s="1"/>
  <c r="N40" i="35"/>
  <c r="R25" i="35"/>
  <c r="V25" i="35" s="1"/>
  <c r="M155" i="42"/>
  <c r="M140" i="42"/>
  <c r="AB16" i="26"/>
  <c r="D44" i="5" s="1"/>
  <c r="C51" i="26"/>
  <c r="E16" i="26" s="1"/>
  <c r="M148" i="42"/>
  <c r="K29" i="30"/>
  <c r="C25" i="8"/>
  <c r="I25" i="8" s="1"/>
  <c r="M153" i="42"/>
  <c r="K121" i="30"/>
  <c r="E82" i="25"/>
  <c r="G14" i="25" s="1"/>
  <c r="G82" i="25" s="1"/>
  <c r="I14" i="25" s="1"/>
  <c r="Q39" i="14"/>
  <c r="U39" i="14" s="1"/>
  <c r="AD14" i="25"/>
  <c r="AD82" i="25" s="1"/>
  <c r="K20" i="31"/>
  <c r="M182" i="42"/>
  <c r="C34" i="10"/>
  <c r="M34" i="10" s="1"/>
  <c r="K53" i="30"/>
  <c r="R26" i="35"/>
  <c r="V26" i="35" s="1"/>
  <c r="J40" i="35"/>
  <c r="L45" i="32"/>
  <c r="K23" i="30"/>
  <c r="K69" i="30"/>
  <c r="C30" i="10"/>
  <c r="M30" i="10" s="1"/>
  <c r="K21" i="31"/>
  <c r="V38" i="35"/>
  <c r="K150" i="30"/>
  <c r="M120" i="42"/>
  <c r="R37" i="35"/>
  <c r="V37" i="35" s="1"/>
  <c r="M255" i="42"/>
  <c r="M224" i="42"/>
  <c r="K84" i="30"/>
  <c r="K65" i="30"/>
  <c r="M254" i="42"/>
  <c r="M167" i="42"/>
  <c r="M234" i="42"/>
  <c r="M130" i="42"/>
  <c r="M94" i="42"/>
  <c r="M169" i="42"/>
  <c r="O258" i="42"/>
  <c r="M214" i="42"/>
  <c r="M117" i="42"/>
  <c r="K17" i="30"/>
  <c r="K133" i="30"/>
  <c r="M250" i="42"/>
  <c r="M158" i="42"/>
  <c r="R36" i="35"/>
  <c r="V36" i="35" s="1"/>
  <c r="D40" i="35"/>
  <c r="K128" i="30"/>
  <c r="K82" i="30"/>
  <c r="C23" i="13"/>
  <c r="M23" i="13" s="1"/>
  <c r="K18" i="30"/>
  <c r="M185" i="42"/>
  <c r="K19" i="31"/>
  <c r="M147" i="42"/>
  <c r="M116" i="42"/>
  <c r="K129" i="30"/>
  <c r="C24" i="13"/>
  <c r="M24" i="13" s="1"/>
  <c r="L31" i="32"/>
  <c r="M41" i="34"/>
  <c r="M109" i="42"/>
  <c r="P40" i="35"/>
  <c r="K130" i="30"/>
  <c r="C31" i="10"/>
  <c r="M31" i="10" s="1"/>
  <c r="L43" i="32"/>
  <c r="M165" i="42"/>
  <c r="K86" i="30"/>
  <c r="M137" i="42"/>
  <c r="K43" i="30"/>
  <c r="K147" i="30"/>
  <c r="L35" i="32"/>
  <c r="M257" i="42"/>
  <c r="M129" i="42"/>
  <c r="M112" i="42"/>
  <c r="M132" i="42"/>
  <c r="K36" i="30"/>
  <c r="M123" i="42"/>
  <c r="M144" i="42"/>
  <c r="K54" i="30"/>
  <c r="C21" i="13"/>
  <c r="M21" i="13" s="1"/>
  <c r="K22" i="30"/>
  <c r="K32" i="30"/>
  <c r="K47" i="30"/>
  <c r="L44" i="32"/>
  <c r="M205" i="42"/>
  <c r="M145" i="42"/>
  <c r="K140" i="30"/>
  <c r="L38" i="32"/>
  <c r="L37" i="32"/>
  <c r="K52" i="30"/>
  <c r="L40" i="32"/>
  <c r="M159" i="42"/>
  <c r="K120" i="30"/>
  <c r="M183" i="42"/>
  <c r="L39" i="32"/>
  <c r="M138" i="42"/>
  <c r="K155" i="30"/>
  <c r="C22" i="10"/>
  <c r="M22" i="10" s="1"/>
  <c r="M131" i="42"/>
  <c r="M84" i="42"/>
  <c r="M161" i="42"/>
  <c r="K123" i="30"/>
  <c r="M135" i="42"/>
  <c r="M243" i="42"/>
  <c r="M233" i="42"/>
  <c r="M20" i="34"/>
  <c r="L33" i="32"/>
  <c r="K55" i="30"/>
  <c r="M114" i="42"/>
  <c r="M83" i="42"/>
  <c r="R32" i="35"/>
  <c r="V32" i="35" s="1"/>
  <c r="C32" i="13"/>
  <c r="M32" i="13" s="1"/>
  <c r="O11" i="42"/>
  <c r="M11" i="42"/>
  <c r="E113" i="30"/>
  <c r="K106" i="30"/>
  <c r="M75" i="42"/>
  <c r="K41" i="30"/>
  <c r="M157" i="42"/>
  <c r="M187" i="42"/>
  <c r="M76" i="42"/>
  <c r="K90" i="30"/>
  <c r="M247" i="42"/>
  <c r="M124" i="42"/>
  <c r="K33" i="30"/>
  <c r="M219" i="42"/>
  <c r="M240" i="42"/>
  <c r="M101" i="42"/>
  <c r="K31" i="30"/>
  <c r="K21" i="30"/>
  <c r="K154" i="30"/>
  <c r="V22" i="35"/>
  <c r="C24" i="8"/>
  <c r="I24" i="8" s="1"/>
  <c r="C23" i="8"/>
  <c r="I23" i="8" s="1"/>
  <c r="M27" i="14"/>
  <c r="K71" i="30"/>
  <c r="M166" i="42"/>
  <c r="M172" i="42"/>
  <c r="M225" i="42"/>
  <c r="B38" i="28"/>
  <c r="D13" i="28" s="1"/>
  <c r="D41" i="6"/>
  <c r="C24" i="10"/>
  <c r="M24" i="10" s="1"/>
  <c r="C25" i="10"/>
  <c r="M25" i="10" s="1"/>
  <c r="M151" i="42"/>
  <c r="K80" i="30"/>
  <c r="K135" i="30"/>
  <c r="M216" i="42"/>
  <c r="M15" i="42"/>
  <c r="M154" i="42"/>
  <c r="M63" i="34"/>
  <c r="M162" i="42"/>
  <c r="K63" i="30"/>
  <c r="L32" i="32"/>
  <c r="K26" i="13"/>
  <c r="O26" i="13" s="1"/>
  <c r="C26" i="13"/>
  <c r="M122" i="42"/>
  <c r="C35" i="11"/>
  <c r="C29" i="10"/>
  <c r="M29" i="10" s="1"/>
  <c r="M141" i="42"/>
  <c r="M244" i="42"/>
  <c r="K36" i="31"/>
  <c r="AB56" i="15"/>
  <c r="AB58" i="15" s="1"/>
  <c r="K30" i="30"/>
  <c r="C32" i="7"/>
  <c r="I32" i="7" s="1"/>
  <c r="C32" i="8"/>
  <c r="I32" i="8" s="1"/>
  <c r="K37" i="31"/>
  <c r="L36" i="32"/>
  <c r="M77" i="42"/>
  <c r="M181" i="42"/>
  <c r="C29" i="8"/>
  <c r="I29" i="8" s="1"/>
  <c r="B46" i="27"/>
  <c r="D14" i="27" s="1"/>
  <c r="AA14" i="27"/>
  <c r="K20" i="30"/>
  <c r="K145" i="30"/>
  <c r="K138" i="30"/>
  <c r="K79" i="30"/>
  <c r="M149" i="42"/>
  <c r="C30" i="13"/>
  <c r="M30" i="13" s="1"/>
  <c r="C33" i="14"/>
  <c r="K23" i="31"/>
  <c r="C20" i="13"/>
  <c r="M20" i="13" s="1"/>
  <c r="C27" i="14"/>
  <c r="C25" i="13"/>
  <c r="M25" i="13" s="1"/>
  <c r="C40" i="7"/>
  <c r="I40" i="7" s="1"/>
  <c r="K58" i="30"/>
  <c r="M108" i="42"/>
  <c r="M210" i="42"/>
  <c r="V21" i="35"/>
  <c r="K134" i="30"/>
  <c r="M180" i="42"/>
  <c r="K77" i="30"/>
  <c r="M204" i="42"/>
  <c r="O206" i="42"/>
  <c r="M134" i="42"/>
  <c r="C31" i="13"/>
  <c r="M31" i="13" s="1"/>
  <c r="K37" i="30"/>
  <c r="K148" i="30"/>
  <c r="M78" i="42"/>
  <c r="M86" i="42"/>
  <c r="M229" i="42"/>
  <c r="M160" i="42"/>
  <c r="C22" i="13"/>
  <c r="M22" i="13" s="1"/>
  <c r="K66" i="30"/>
  <c r="R28" i="35"/>
  <c r="V28" i="35" s="1"/>
  <c r="K35" i="30"/>
  <c r="M223" i="42"/>
  <c r="N35" i="11"/>
  <c r="C33" i="8"/>
  <c r="I33" i="8" s="1"/>
  <c r="C33" i="10"/>
  <c r="M33" i="10" s="1"/>
  <c r="M217" i="42"/>
  <c r="K68" i="30"/>
  <c r="M143" i="42"/>
  <c r="M107" i="42"/>
  <c r="M113" i="42"/>
  <c r="K146" i="30"/>
  <c r="M118" i="42"/>
  <c r="M236" i="42"/>
  <c r="K73" i="30"/>
  <c r="K81" i="30"/>
  <c r="L41" i="32"/>
  <c r="AD77" i="22"/>
  <c r="AG12" i="22"/>
  <c r="AI12" i="22" s="1"/>
  <c r="AA57" i="3"/>
  <c r="AE16" i="17"/>
  <c r="AE148" i="17" s="1"/>
  <c r="M171" i="42"/>
  <c r="K99" i="30"/>
  <c r="AI103" i="23"/>
  <c r="AG82" i="25"/>
  <c r="M256" i="42"/>
  <c r="M70" i="42"/>
  <c r="M115" i="42"/>
  <c r="P41" i="6"/>
  <c r="P42" i="6" s="1"/>
  <c r="AD38" i="29"/>
  <c r="M177" i="42"/>
  <c r="K72" i="30"/>
  <c r="AE51" i="26"/>
  <c r="P44" i="5"/>
  <c r="P45" i="5" s="1"/>
  <c r="M121" i="42"/>
  <c r="M174" i="42"/>
  <c r="M237" i="42"/>
  <c r="M150" i="42"/>
  <c r="M85" i="42"/>
  <c r="C23" i="10"/>
  <c r="M23" i="10" s="1"/>
  <c r="K131" i="30"/>
  <c r="K16" i="30"/>
  <c r="M170" i="42"/>
  <c r="K51" i="30"/>
  <c r="K152" i="30"/>
  <c r="C21" i="8"/>
  <c r="I21" i="8" s="1"/>
  <c r="M106" i="42"/>
  <c r="C27" i="12"/>
  <c r="R17" i="35"/>
  <c r="V17" i="35" s="1"/>
  <c r="N26" i="11"/>
  <c r="K56" i="30"/>
  <c r="M95" i="42"/>
  <c r="R34" i="35"/>
  <c r="V34" i="35" s="1"/>
  <c r="M146" i="42"/>
  <c r="M91" i="42"/>
  <c r="K49" i="30"/>
  <c r="M239" i="42"/>
  <c r="M179" i="42"/>
  <c r="K42" i="30"/>
  <c r="K87" i="30"/>
  <c r="M221" i="42"/>
  <c r="E102" i="24"/>
  <c r="G14" i="24" s="1"/>
  <c r="G102" i="24" s="1"/>
  <c r="I14" i="24" s="1"/>
  <c r="G39" i="14"/>
  <c r="E15" i="23"/>
  <c r="AD102" i="24"/>
  <c r="M133" i="42"/>
  <c r="M251" i="42"/>
  <c r="M79" i="42"/>
  <c r="B38" i="29"/>
  <c r="D13" i="29" s="1"/>
  <c r="AA13" i="29"/>
  <c r="AG13" i="29" s="1"/>
  <c r="AI13" i="29" s="1"/>
  <c r="M136" i="42"/>
  <c r="C20" i="10"/>
  <c r="M20" i="10" s="1"/>
  <c r="C26" i="11"/>
  <c r="K44" i="30"/>
  <c r="K57" i="30"/>
  <c r="M80" i="42"/>
  <c r="M119" i="42"/>
  <c r="V24" i="35"/>
  <c r="C33" i="12"/>
  <c r="K19" i="30"/>
  <c r="K22" i="31"/>
  <c r="M252" i="42"/>
  <c r="N34" i="6"/>
  <c r="N39" i="6" s="1"/>
  <c r="M110" i="42"/>
  <c r="M96" i="42"/>
  <c r="M220" i="42"/>
  <c r="K78" i="30"/>
  <c r="K122" i="30"/>
  <c r="M99" i="42"/>
  <c r="M45" i="34"/>
  <c r="M163" i="42"/>
  <c r="K25" i="31"/>
  <c r="M97" i="42"/>
  <c r="M241" i="42"/>
  <c r="K38" i="30"/>
  <c r="C20" i="8"/>
  <c r="I20" i="8" s="1"/>
  <c r="K125" i="30"/>
  <c r="K24" i="31"/>
  <c r="M156" i="42"/>
  <c r="M62" i="42"/>
  <c r="K126" i="30"/>
  <c r="L42" i="32"/>
  <c r="M93" i="42"/>
  <c r="M246" i="42"/>
  <c r="M125" i="42"/>
  <c r="L34" i="32"/>
  <c r="M235" i="42"/>
  <c r="M242" i="42"/>
  <c r="C31" i="8"/>
  <c r="I31" i="8" s="1"/>
  <c r="G113" i="30"/>
  <c r="K70" i="30"/>
  <c r="M89" i="42"/>
  <c r="O102" i="42" s="1"/>
  <c r="R31" i="35"/>
  <c r="V31" i="35" s="1"/>
  <c r="K41" i="31"/>
  <c r="O211" i="42"/>
  <c r="M209" i="42"/>
  <c r="L24" i="32"/>
  <c r="K141" i="30"/>
  <c r="M142" i="42"/>
  <c r="I91" i="30"/>
  <c r="K28" i="30"/>
  <c r="K144" i="30"/>
  <c r="K119" i="30"/>
  <c r="K83" i="30"/>
  <c r="C21" i="10"/>
  <c r="M21" i="10" s="1"/>
  <c r="M249" i="42"/>
  <c r="C30" i="8"/>
  <c r="I30" i="8" s="1"/>
  <c r="K127" i="30"/>
  <c r="M33" i="14"/>
  <c r="M253" i="42"/>
  <c r="L23" i="32"/>
  <c r="M248" i="42"/>
  <c r="K75" i="30"/>
  <c r="M105" i="42"/>
  <c r="O188" i="42"/>
  <c r="K76" i="30"/>
  <c r="K35" i="31"/>
  <c r="M230" i="42"/>
  <c r="M245" i="42"/>
  <c r="AB51" i="2"/>
  <c r="AB55" i="2" s="1"/>
  <c r="K100" i="30"/>
  <c r="K48" i="30"/>
  <c r="M82" i="42"/>
  <c r="M168" i="42"/>
  <c r="K143" i="30"/>
  <c r="K124" i="30"/>
  <c r="K26" i="31"/>
  <c r="M152" i="42"/>
  <c r="D45" i="5" l="1"/>
  <c r="I39" i="14"/>
  <c r="K39" i="14"/>
  <c r="K40" i="14" s="1"/>
  <c r="O261" i="42"/>
  <c r="Q40" i="14"/>
  <c r="S39" i="14"/>
  <c r="M26" i="13"/>
  <c r="M27" i="13" s="1"/>
  <c r="R57" i="2"/>
  <c r="X57" i="2" s="1"/>
  <c r="AF15" i="23"/>
  <c r="M26" i="10"/>
  <c r="C22" i="7"/>
  <c r="I22" i="7" s="1"/>
  <c r="H44" i="5"/>
  <c r="H45" i="5" s="1"/>
  <c r="AA46" i="27"/>
  <c r="AG46" i="27" s="1"/>
  <c r="AI46" i="27" s="1"/>
  <c r="U40" i="14"/>
  <c r="G40" i="14"/>
  <c r="K27" i="13"/>
  <c r="K37" i="13" s="1"/>
  <c r="L26" i="32"/>
  <c r="K101" i="30"/>
  <c r="AA38" i="28"/>
  <c r="AG38" i="28" s="1"/>
  <c r="AI38" i="28" s="1"/>
  <c r="K113" i="30"/>
  <c r="G158" i="30"/>
  <c r="M211" i="42"/>
  <c r="M206" i="42"/>
  <c r="S33" i="14"/>
  <c r="AG77" i="22"/>
  <c r="AI77" i="22" s="1"/>
  <c r="K28" i="31"/>
  <c r="AJ14" i="24"/>
  <c r="AJ102" i="24" s="1"/>
  <c r="AL102" i="24" s="1"/>
  <c r="AA59" i="3"/>
  <c r="I35" i="11"/>
  <c r="C23" i="7"/>
  <c r="I23" i="7" s="1"/>
  <c r="C33" i="13"/>
  <c r="I33" i="12"/>
  <c r="AG13" i="28"/>
  <c r="M65" i="34"/>
  <c r="K24" i="30"/>
  <c r="I103" i="30"/>
  <c r="I158" i="30" s="1"/>
  <c r="K42" i="31"/>
  <c r="AG14" i="27"/>
  <c r="AI14" i="27" s="1"/>
  <c r="I27" i="12"/>
  <c r="C37" i="14"/>
  <c r="C40" i="14" s="1"/>
  <c r="I45" i="31"/>
  <c r="N39" i="11"/>
  <c r="N42" i="11" s="1"/>
  <c r="C39" i="11"/>
  <c r="C42" i="11" s="1"/>
  <c r="AB51" i="26"/>
  <c r="AH51" i="26" s="1"/>
  <c r="AJ51" i="26" s="1"/>
  <c r="J50" i="32"/>
  <c r="AJ14" i="25"/>
  <c r="AL14" i="25" s="1"/>
  <c r="G39" i="13"/>
  <c r="G49" i="7" s="1"/>
  <c r="E103" i="23"/>
  <c r="G15" i="23" s="1"/>
  <c r="M33" i="13"/>
  <c r="I33" i="14"/>
  <c r="V40" i="35"/>
  <c r="I27" i="14"/>
  <c r="T35" i="11"/>
  <c r="E158" i="30"/>
  <c r="G41" i="7"/>
  <c r="K41" i="7" s="1"/>
  <c r="K43" i="7" s="1"/>
  <c r="K47" i="7" s="1"/>
  <c r="T26" i="11"/>
  <c r="I26" i="11"/>
  <c r="M37" i="14"/>
  <c r="M40" i="14" s="1"/>
  <c r="C37" i="12"/>
  <c r="C40" i="12" s="1"/>
  <c r="AL82" i="25"/>
  <c r="R40" i="35"/>
  <c r="L47" i="32"/>
  <c r="K156" i="30"/>
  <c r="H41" i="6"/>
  <c r="H42" i="6" s="1"/>
  <c r="AA38" i="29"/>
  <c r="AG38" i="29" s="1"/>
  <c r="AI38" i="29" s="1"/>
  <c r="AH16" i="26"/>
  <c r="AJ16" i="26" s="1"/>
  <c r="S27" i="14"/>
  <c r="O27" i="13"/>
  <c r="O37" i="13" s="1"/>
  <c r="AD57" i="2"/>
  <c r="AD59" i="2" s="1"/>
  <c r="AE16" i="16"/>
  <c r="AE149" i="16" s="1"/>
  <c r="C16" i="16"/>
  <c r="AB16" i="16" s="1"/>
  <c r="I26" i="8"/>
  <c r="K91" i="30"/>
  <c r="M258" i="42"/>
  <c r="M35" i="10"/>
  <c r="I34" i="8"/>
  <c r="C27" i="13"/>
  <c r="C21" i="7"/>
  <c r="I21" i="7" s="1"/>
  <c r="C30" i="7"/>
  <c r="I30" i="7" s="1"/>
  <c r="C34" i="8"/>
  <c r="C43" i="9"/>
  <c r="C47" i="9" s="1"/>
  <c r="C50" i="9" s="1"/>
  <c r="C29" i="7"/>
  <c r="I29" i="7" s="1"/>
  <c r="C33" i="7"/>
  <c r="I33" i="7" s="1"/>
  <c r="M188" i="42"/>
  <c r="M102" i="42"/>
  <c r="C26" i="10"/>
  <c r="C25" i="7"/>
  <c r="I25" i="7" s="1"/>
  <c r="C35" i="10"/>
  <c r="C24" i="7"/>
  <c r="I24" i="7" s="1"/>
  <c r="C31" i="7"/>
  <c r="I31" i="7" s="1"/>
  <c r="C26" i="8"/>
  <c r="C20" i="7"/>
  <c r="I20" i="7" s="1"/>
  <c r="AD57" i="3"/>
  <c r="AD59" i="3" s="1"/>
  <c r="I43" i="9"/>
  <c r="C42" i="7"/>
  <c r="I42" i="7" s="1"/>
  <c r="C41" i="8"/>
  <c r="I41" i="8" s="1"/>
  <c r="C41" i="7"/>
  <c r="I31" i="9"/>
  <c r="C40" i="8"/>
  <c r="I40" i="8" s="1"/>
  <c r="AH16" i="17"/>
  <c r="AJ16" i="17" s="1"/>
  <c r="D42" i="6"/>
  <c r="L44" i="5" l="1"/>
  <c r="L45" i="5" s="1"/>
  <c r="I42" i="8"/>
  <c r="I26" i="7"/>
  <c r="I49" i="7"/>
  <c r="K49" i="7"/>
  <c r="K50" i="7" s="1"/>
  <c r="I39" i="11"/>
  <c r="I42" i="11" s="1"/>
  <c r="AF103" i="23"/>
  <c r="AN103" i="23" s="1"/>
  <c r="I41" i="7"/>
  <c r="I43" i="7" s="1"/>
  <c r="AB59" i="2"/>
  <c r="I82" i="25"/>
  <c r="K14" i="25" s="1"/>
  <c r="I102" i="24"/>
  <c r="K14" i="24" s="1"/>
  <c r="E51" i="26"/>
  <c r="G16" i="26" s="1"/>
  <c r="D46" i="27"/>
  <c r="F14" i="27" s="1"/>
  <c r="D38" i="29"/>
  <c r="F13" i="29" s="1"/>
  <c r="D38" i="28"/>
  <c r="F13" i="28" s="1"/>
  <c r="K103" i="30"/>
  <c r="K158" i="30" s="1"/>
  <c r="S37" i="14"/>
  <c r="S40" i="14" s="1"/>
  <c r="AL14" i="24"/>
  <c r="AF59" i="3"/>
  <c r="C37" i="13"/>
  <c r="C40" i="13" s="1"/>
  <c r="K45" i="31"/>
  <c r="AJ82" i="25"/>
  <c r="I37" i="12"/>
  <c r="I40" i="12" s="1"/>
  <c r="AL15" i="23"/>
  <c r="AN15" i="23" s="1"/>
  <c r="G40" i="13"/>
  <c r="K39" i="13"/>
  <c r="L50" i="32"/>
  <c r="M37" i="13"/>
  <c r="I37" i="14"/>
  <c r="I40" i="14" s="1"/>
  <c r="T39" i="11"/>
  <c r="T42" i="11" s="1"/>
  <c r="G43" i="7"/>
  <c r="G47" i="7" s="1"/>
  <c r="I47" i="9"/>
  <c r="I50" i="9" s="1"/>
  <c r="L41" i="6"/>
  <c r="S41" i="6" s="1"/>
  <c r="I37" i="8"/>
  <c r="C37" i="8"/>
  <c r="C42" i="8"/>
  <c r="C46" i="8" s="1"/>
  <c r="C49" i="8" s="1"/>
  <c r="AH16" i="16"/>
  <c r="AJ16" i="16" s="1"/>
  <c r="R59" i="2"/>
  <c r="AI57" i="2"/>
  <c r="AG57" i="2"/>
  <c r="C149" i="16"/>
  <c r="E16" i="16" s="1"/>
  <c r="M261" i="42"/>
  <c r="I34" i="7"/>
  <c r="M39" i="10"/>
  <c r="M42" i="10" s="1"/>
  <c r="C34" i="7"/>
  <c r="AF57" i="3"/>
  <c r="C39" i="10"/>
  <c r="C42" i="10" s="1"/>
  <c r="C26" i="7"/>
  <c r="C43" i="7"/>
  <c r="I47" i="7" l="1"/>
  <c r="I50" i="7" s="1"/>
  <c r="M39" i="13"/>
  <c r="M40" i="13" s="1"/>
  <c r="O39" i="13"/>
  <c r="O40" i="13" s="1"/>
  <c r="I46" i="8"/>
  <c r="I49" i="8" s="1"/>
  <c r="C47" i="7"/>
  <c r="C50" i="7" s="1"/>
  <c r="S44" i="5"/>
  <c r="U44" i="5" s="1"/>
  <c r="K40" i="13"/>
  <c r="K82" i="25"/>
  <c r="M14" i="25" s="1"/>
  <c r="K102" i="24"/>
  <c r="M14" i="24" s="1"/>
  <c r="E149" i="16"/>
  <c r="G16" i="16" s="1"/>
  <c r="G149" i="16" s="1"/>
  <c r="I16" i="16" s="1"/>
  <c r="G103" i="23"/>
  <c r="I15" i="23" s="1"/>
  <c r="AL103" i="23"/>
  <c r="L42" i="6"/>
  <c r="G50" i="7"/>
  <c r="I37" i="7"/>
  <c r="C37" i="7"/>
  <c r="U41" i="6"/>
  <c r="S42" i="6"/>
  <c r="U42" i="6" s="1"/>
  <c r="V22" i="15"/>
  <c r="F38" i="19"/>
  <c r="F86" i="19" s="1"/>
  <c r="F112" i="19" s="1"/>
  <c r="F122" i="19" s="1"/>
  <c r="F124" i="19" s="1"/>
  <c r="H13" i="19" s="1"/>
  <c r="AD38" i="19"/>
  <c r="AD86" i="19" s="1"/>
  <c r="AD112" i="19" s="1"/>
  <c r="AD122" i="19" s="1"/>
  <c r="H124" i="19" l="1"/>
  <c r="J13" i="19" s="1"/>
  <c r="I103" i="23"/>
  <c r="K15" i="23" s="1"/>
  <c r="S45" i="5"/>
  <c r="U45" i="5" s="1"/>
  <c r="M82" i="25"/>
  <c r="O14" i="25" s="1"/>
  <c r="F38" i="29"/>
  <c r="H13" i="29" s="1"/>
  <c r="F38" i="28"/>
  <c r="H13" i="28" s="1"/>
  <c r="F46" i="27"/>
  <c r="H14" i="27" s="1"/>
  <c r="G51" i="26"/>
  <c r="I16" i="26" s="1"/>
  <c r="AJ122" i="19"/>
  <c r="AL122" i="19" s="1"/>
  <c r="AD124" i="19"/>
  <c r="AJ124" i="19" s="1"/>
  <c r="AL124" i="19" s="1"/>
  <c r="AJ17" i="19"/>
  <c r="J14" i="2"/>
  <c r="H25" i="15"/>
  <c r="H58" i="15" s="1"/>
  <c r="J22" i="15"/>
  <c r="O82" i="25" l="1"/>
  <c r="Q14" i="25" s="1"/>
  <c r="AJ38" i="19"/>
  <c r="AL38" i="19" s="1"/>
  <c r="AL17" i="19"/>
  <c r="J124" i="19"/>
  <c r="L13" i="19" s="1"/>
  <c r="X22" i="15"/>
  <c r="J25" i="15"/>
  <c r="J58" i="15" s="1"/>
  <c r="X14" i="2"/>
  <c r="J20" i="2"/>
  <c r="J45" i="2" s="1"/>
  <c r="J55" i="2" s="1"/>
  <c r="J59" i="2" s="1"/>
  <c r="Q82" i="25" l="1"/>
  <c r="S14" i="25" s="1"/>
  <c r="AJ86" i="19"/>
  <c r="AL86" i="19" s="1"/>
  <c r="L124" i="19"/>
  <c r="N13" i="19" s="1"/>
  <c r="H38" i="28"/>
  <c r="J13" i="28" s="1"/>
  <c r="H38" i="29"/>
  <c r="J13" i="29" s="1"/>
  <c r="I51" i="26"/>
  <c r="K16" i="26" s="1"/>
  <c r="H46" i="27"/>
  <c r="J14" i="27" s="1"/>
  <c r="I149" i="16"/>
  <c r="K16" i="16" s="1"/>
  <c r="K149" i="16" s="1"/>
  <c r="M16" i="16" s="1"/>
  <c r="AG14" i="2"/>
  <c r="AG20" i="2" s="1"/>
  <c r="AI14" i="2"/>
  <c r="X20" i="2"/>
  <c r="X25" i="15"/>
  <c r="AH22" i="15"/>
  <c r="AJ22" i="15" s="1"/>
  <c r="S82" i="25" l="1"/>
  <c r="U14" i="25" s="1"/>
  <c r="AJ112" i="19"/>
  <c r="AL112" i="19" s="1"/>
  <c r="N124" i="19"/>
  <c r="P13" i="19" s="1"/>
  <c r="K103" i="23"/>
  <c r="M15" i="23" s="1"/>
  <c r="X58" i="15"/>
  <c r="AH58" i="15" s="1"/>
  <c r="AJ58" i="15" s="1"/>
  <c r="AH25" i="15"/>
  <c r="AJ25" i="15" s="1"/>
  <c r="AI20" i="2"/>
  <c r="X45" i="2"/>
  <c r="M103" i="23" l="1"/>
  <c r="O15" i="23" s="1"/>
  <c r="U82" i="25"/>
  <c r="W14" i="25" s="1"/>
  <c r="P124" i="19"/>
  <c r="R13" i="19" s="1"/>
  <c r="K51" i="26"/>
  <c r="M16" i="26" s="1"/>
  <c r="J46" i="27"/>
  <c r="L14" i="27" s="1"/>
  <c r="J38" i="28"/>
  <c r="L13" i="28" s="1"/>
  <c r="J38" i="29"/>
  <c r="L13" i="29" s="1"/>
  <c r="AG45" i="2"/>
  <c r="AG55" i="2" s="1"/>
  <c r="AG59" i="2" s="1"/>
  <c r="AI45" i="2"/>
  <c r="X55" i="2"/>
  <c r="W82" i="25" l="1"/>
  <c r="Y14" i="25" s="1"/>
  <c r="R124" i="19"/>
  <c r="T13" i="19" s="1"/>
  <c r="AI55" i="2"/>
  <c r="X59" i="2"/>
  <c r="AI59" i="2" s="1"/>
  <c r="N42" i="6"/>
  <c r="M102" i="24"/>
  <c r="O14" i="24" l="1"/>
  <c r="O102" i="24" s="1"/>
  <c r="Y82" i="25"/>
  <c r="AA14" i="25" s="1"/>
  <c r="T124" i="19"/>
  <c r="V13" i="19" s="1"/>
  <c r="M51" i="26"/>
  <c r="O16" i="26" s="1"/>
  <c r="L46" i="27"/>
  <c r="N14" i="27" s="1"/>
  <c r="L38" i="28"/>
  <c r="N13" i="28" s="1"/>
  <c r="L38" i="29"/>
  <c r="N13" i="29" s="1"/>
  <c r="J62" i="22"/>
  <c r="J65" i="22" s="1"/>
  <c r="J75" i="22" s="1"/>
  <c r="J77" i="22" s="1"/>
  <c r="L12" i="22" s="1"/>
  <c r="V37" i="2"/>
  <c r="L41" i="3"/>
  <c r="R41" i="3" s="1"/>
  <c r="Q14" i="24" l="1"/>
  <c r="Q102" i="24" s="1"/>
  <c r="AA82" i="25"/>
  <c r="V124" i="19"/>
  <c r="X13" i="19" s="1"/>
  <c r="AB130" i="17"/>
  <c r="AH130" i="17" s="1"/>
  <c r="AJ130" i="17" s="1"/>
  <c r="O103" i="23"/>
  <c r="Q15" i="23" s="1"/>
  <c r="K133" i="17"/>
  <c r="K136" i="17" s="1"/>
  <c r="K146" i="17" s="1"/>
  <c r="K148" i="17" s="1"/>
  <c r="M16" i="17" s="1"/>
  <c r="V40" i="2"/>
  <c r="V42" i="2" s="1"/>
  <c r="AB127" i="16"/>
  <c r="AH127" i="16" s="1"/>
  <c r="AJ127" i="16" s="1"/>
  <c r="L38" i="3"/>
  <c r="L43" i="3" s="1"/>
  <c r="M133" i="17"/>
  <c r="M136" i="17" s="1"/>
  <c r="M146" i="17" s="1"/>
  <c r="AB127" i="17"/>
  <c r="AB130" i="16"/>
  <c r="AH130" i="16" s="1"/>
  <c r="AJ130" i="16" s="1"/>
  <c r="L62" i="22"/>
  <c r="L65" i="22" s="1"/>
  <c r="L75" i="22" s="1"/>
  <c r="L77" i="22" s="1"/>
  <c r="N12" i="22" s="1"/>
  <c r="L42" i="2"/>
  <c r="S14" i="24" l="1"/>
  <c r="S102" i="24" s="1"/>
  <c r="X124" i="19"/>
  <c r="Z13" i="19" s="1"/>
  <c r="H57" i="2" s="1"/>
  <c r="O51" i="26"/>
  <c r="Q16" i="26" s="1"/>
  <c r="N46" i="27"/>
  <c r="P14" i="27" s="1"/>
  <c r="N38" i="28"/>
  <c r="P13" i="28" s="1"/>
  <c r="N38" i="29"/>
  <c r="P13" i="29" s="1"/>
  <c r="N77" i="22"/>
  <c r="P12" i="22" s="1"/>
  <c r="Q103" i="23"/>
  <c r="S15" i="23" s="1"/>
  <c r="M148" i="17"/>
  <c r="O16" i="17" s="1"/>
  <c r="R38" i="3"/>
  <c r="R43" i="3" s="1"/>
  <c r="AB133" i="17"/>
  <c r="AH127" i="17"/>
  <c r="M133" i="16"/>
  <c r="M136" i="16" s="1"/>
  <c r="M147" i="16" s="1"/>
  <c r="M149" i="16" s="1"/>
  <c r="O16" i="16" s="1"/>
  <c r="O149" i="16" s="1"/>
  <c r="Q16" i="16" s="1"/>
  <c r="AB133" i="16"/>
  <c r="U14" i="24" l="1"/>
  <c r="U102" i="24" s="1"/>
  <c r="H59" i="2"/>
  <c r="Z124" i="19"/>
  <c r="O148" i="17"/>
  <c r="AH133" i="16"/>
  <c r="AJ133" i="16" s="1"/>
  <c r="AH133" i="17"/>
  <c r="AJ133" i="17" s="1"/>
  <c r="AJ127" i="17"/>
  <c r="W14" i="24" l="1"/>
  <c r="W102" i="24" s="1"/>
  <c r="Q16" i="17"/>
  <c r="P38" i="29"/>
  <c r="R13" i="29" s="1"/>
  <c r="P38" i="28"/>
  <c r="R13" i="28" s="1"/>
  <c r="P46" i="27"/>
  <c r="R14" i="27" s="1"/>
  <c r="Q51" i="26"/>
  <c r="S16" i="26" s="1"/>
  <c r="S103" i="23"/>
  <c r="U15" i="23" s="1"/>
  <c r="Y14" i="24" l="1"/>
  <c r="Y102" i="24" s="1"/>
  <c r="R38" i="29"/>
  <c r="T13" i="29" s="1"/>
  <c r="AA14" i="24" l="1"/>
  <c r="AA102" i="24" s="1"/>
  <c r="R38" i="28"/>
  <c r="T13" i="28" s="1"/>
  <c r="S51" i="26"/>
  <c r="U16" i="26" s="1"/>
  <c r="R46" i="27"/>
  <c r="T14" i="27" s="1"/>
  <c r="U103" i="23"/>
  <c r="W15" i="23" s="1"/>
  <c r="W103" i="23" l="1"/>
  <c r="Y15" i="23" s="1"/>
  <c r="Y103" i="23" l="1"/>
  <c r="AA15" i="23" s="1"/>
  <c r="P57" i="2" s="1"/>
  <c r="T38" i="28"/>
  <c r="V13" i="28" s="1"/>
  <c r="T46" i="27"/>
  <c r="V14" i="27" s="1"/>
  <c r="U51" i="26"/>
  <c r="W16" i="26" s="1"/>
  <c r="T38" i="29"/>
  <c r="V13" i="29" s="1"/>
  <c r="AA103" i="23" l="1"/>
  <c r="P59" i="2" l="1"/>
  <c r="V46" i="27"/>
  <c r="X14" i="27" s="1"/>
  <c r="F44" i="5" s="1"/>
  <c r="W51" i="26"/>
  <c r="Y16" i="26" s="1"/>
  <c r="B44" i="5" s="1"/>
  <c r="V38" i="28"/>
  <c r="X13" i="28" s="1"/>
  <c r="B41" i="6" s="1"/>
  <c r="V38" i="29"/>
  <c r="X13" i="29" s="1"/>
  <c r="F41" i="6" s="1"/>
  <c r="B42" i="6" l="1"/>
  <c r="F42" i="6"/>
  <c r="F45" i="5"/>
  <c r="X46" i="27"/>
  <c r="B45" i="5"/>
  <c r="Y51" i="26"/>
  <c r="X38" i="28" l="1"/>
  <c r="J41" i="6"/>
  <c r="J42" i="6" s="1"/>
  <c r="X38" i="29"/>
  <c r="J44" i="5"/>
  <c r="J45" i="5" s="1"/>
  <c r="L25" i="15"/>
  <c r="L58" i="15" s="1"/>
  <c r="P29" i="22"/>
  <c r="P54" i="22" s="1"/>
  <c r="P65" i="22" s="1"/>
  <c r="P75" i="22" s="1"/>
  <c r="P77" i="22" s="1"/>
  <c r="R12" i="22" s="1"/>
  <c r="Q28" i="17"/>
  <c r="Q30" i="17" s="1"/>
  <c r="Q60" i="17" s="1"/>
  <c r="Q28" i="16"/>
  <c r="Q30" i="16" s="1"/>
  <c r="AB30" i="16" s="1"/>
  <c r="V14" i="2"/>
  <c r="V20" i="2" s="1"/>
  <c r="V45" i="2" s="1"/>
  <c r="V55" i="2" s="1"/>
  <c r="R77" i="22" l="1"/>
  <c r="T12" i="22" s="1"/>
  <c r="L15" i="3"/>
  <c r="R15" i="3" s="1"/>
  <c r="R21" i="3" s="1"/>
  <c r="R46" i="3" s="1"/>
  <c r="R55" i="3" s="1"/>
  <c r="L20" i="2"/>
  <c r="L45" i="2" s="1"/>
  <c r="L55" i="2" s="1"/>
  <c r="Q60" i="16"/>
  <c r="Q110" i="16" s="1"/>
  <c r="Q136" i="16" s="1"/>
  <c r="Q147" i="16" s="1"/>
  <c r="Q149" i="16" s="1"/>
  <c r="S16" i="16" s="1"/>
  <c r="S149" i="16" s="1"/>
  <c r="U16" i="16" s="1"/>
  <c r="U149" i="16" s="1"/>
  <c r="W16" i="16" s="1"/>
  <c r="W149" i="16" s="1"/>
  <c r="AB60" i="16"/>
  <c r="AB110" i="16" s="1"/>
  <c r="AB136" i="16" s="1"/>
  <c r="Q110" i="17"/>
  <c r="Q136" i="17" s="1"/>
  <c r="Q146" i="17" s="1"/>
  <c r="Q148" i="17" s="1"/>
  <c r="S16" i="17" s="1"/>
  <c r="S148" i="17" s="1"/>
  <c r="U16" i="17" s="1"/>
  <c r="U148" i="17" s="1"/>
  <c r="W16" i="17" s="1"/>
  <c r="W148" i="17" s="1"/>
  <c r="Y16" i="17" s="1"/>
  <c r="Y148" i="17" s="1"/>
  <c r="AB60" i="17"/>
  <c r="AB28" i="16"/>
  <c r="AH28" i="16" s="1"/>
  <c r="V23" i="15"/>
  <c r="V25" i="15" s="1"/>
  <c r="V58" i="15" s="1"/>
  <c r="AB28" i="17"/>
  <c r="Y16" i="16" l="1"/>
  <c r="Y149" i="16" s="1"/>
  <c r="AH30" i="16"/>
  <c r="AH60" i="16" s="1"/>
  <c r="AJ28" i="16"/>
  <c r="T77" i="22"/>
  <c r="V12" i="22" s="1"/>
  <c r="L21" i="3"/>
  <c r="L46" i="3" s="1"/>
  <c r="L55" i="3" s="1"/>
  <c r="AB30" i="17"/>
  <c r="AH28" i="17"/>
  <c r="AH60" i="17"/>
  <c r="AB110" i="17"/>
  <c r="AB136" i="17" s="1"/>
  <c r="AB147" i="16"/>
  <c r="AH136" i="16"/>
  <c r="AJ136" i="16" s="1"/>
  <c r="V77" i="22" l="1"/>
  <c r="X12" i="22" s="1"/>
  <c r="AJ30" i="16"/>
  <c r="AH30" i="17"/>
  <c r="AJ30" i="17" s="1"/>
  <c r="AJ28" i="17"/>
  <c r="AH110" i="16"/>
  <c r="AJ110" i="16" s="1"/>
  <c r="AJ60" i="16"/>
  <c r="AB149" i="16"/>
  <c r="AH149" i="16" s="1"/>
  <c r="AJ149" i="16" s="1"/>
  <c r="AH147" i="16"/>
  <c r="AJ147" i="16" s="1"/>
  <c r="AJ60" i="17"/>
  <c r="AH110" i="17"/>
  <c r="AJ110" i="17" s="1"/>
  <c r="AH136" i="17"/>
  <c r="AJ136" i="17" s="1"/>
  <c r="AB146" i="17"/>
  <c r="X77" i="22" l="1"/>
  <c r="L57" i="2"/>
  <c r="L59" i="2" s="1"/>
  <c r="AH146" i="17"/>
  <c r="AJ146" i="17" s="1"/>
  <c r="AB148" i="17"/>
  <c r="AH148" i="17" s="1"/>
  <c r="AJ148" i="17" s="1"/>
  <c r="V57" i="2" l="1"/>
  <c r="V59" i="2" s="1"/>
  <c r="L57" i="3"/>
  <c r="R57" i="3" s="1"/>
  <c r="R59" i="3" s="1"/>
  <c r="L59" i="3" l="1"/>
</calcChain>
</file>

<file path=xl/sharedStrings.xml><?xml version="1.0" encoding="utf-8"?>
<sst xmlns="http://schemas.openxmlformats.org/spreadsheetml/2006/main" count="4354" uniqueCount="1613">
  <si>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</si>
  <si>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</si>
  <si>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</si>
  <si>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</si>
  <si>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</si>
  <si>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</si>
  <si>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</si>
  <si>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</si>
  <si>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</si>
  <si>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</si>
  <si>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</si>
  <si>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</si>
  <si>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</si>
  <si>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</si>
  <si>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</si>
  <si>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</si>
  <si>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</si>
  <si>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</si>
  <si>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</si>
  <si>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</si>
  <si>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</si>
  <si>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</si>
  <si>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</si>
  <si>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</si>
  <si>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</si>
  <si>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</si>
  <si>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</si>
  <si>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</si>
  <si>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</si>
  <si>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</si>
  <si>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</si>
  <si>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</si>
  <si>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</si>
  <si>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</si>
  <si>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</si>
  <si>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</si>
  <si>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</si>
  <si>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</si>
  <si>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</si>
  <si>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</si>
  <si>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</si>
  <si>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</si>
  <si>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</si>
  <si>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</si>
  <si>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</si>
  <si>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</si>
  <si>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</si>
  <si>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</si>
  <si>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</si>
  <si>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</si>
  <si>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</si>
  <si>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</si>
  <si>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</si>
  <si>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</si>
  <si>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</si>
  <si>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</si>
  <si>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</si>
  <si>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</si>
  <si>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</si>
  <si>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</si>
  <si>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</si>
  <si>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</si>
  <si>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</si>
  <si>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</si>
  <si>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</si>
  <si>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</si>
  <si>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</si>
  <si>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</si>
  <si>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</si>
  <si>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</si>
  <si>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</si>
  <si>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</si>
  <si>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</si>
  <si>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</si>
  <si>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</si>
  <si>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</si>
  <si>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</si>
  <si>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</si>
  <si>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</si>
  <si>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</si>
  <si>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</si>
  <si>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</si>
  <si>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</si>
  <si>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</si>
  <si>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</si>
  <si>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</si>
  <si>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</si>
  <si>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</si>
  <si>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</si>
  <si>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</si>
  <si>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</si>
  <si>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</si>
  <si>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</si>
  <si>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</si>
  <si>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</si>
  <si>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</si>
  <si>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</si>
  <si>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</si>
  <si>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</si>
  <si>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</si>
  <si>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</si>
  <si>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</si>
  <si>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</si>
  <si>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</si>
  <si>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</si>
  <si>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</si>
  <si>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</si>
  <si>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</si>
  <si>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</si>
  <si>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</si>
  <si>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</si>
  <si>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</si>
  <si>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</si>
  <si>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</si>
  <si>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</si>
  <si>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</si>
  <si>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</si>
  <si>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</si>
  <si>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</si>
  <si>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</si>
  <si>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</si>
  <si>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</si>
  <si>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</si>
  <si>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</si>
  <si>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</si>
  <si>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</si>
  <si>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</si>
  <si>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</si>
  <si>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</si>
  <si>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</si>
  <si>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</si>
  <si>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</si>
  <si>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</si>
  <si>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</si>
  <si>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</si>
  <si>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</si>
  <si>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</si>
  <si>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</si>
  <si>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</si>
  <si>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</si>
  <si>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</si>
  <si>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</si>
  <si>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</si>
  <si>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</si>
  <si>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</si>
  <si>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</si>
  <si>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</si>
  <si>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</si>
  <si>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</si>
  <si>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</si>
  <si>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</si>
  <si>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</si>
  <si>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</si>
  <si>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</si>
  <si>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</si>
  <si>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</si>
  <si>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</si>
  <si>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</si>
  <si>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</si>
  <si>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</si>
  <si>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</si>
  <si>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</si>
  <si>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</si>
  <si>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</si>
  <si>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</si>
  <si>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</si>
  <si>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</si>
  <si>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</si>
  <si>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</si>
  <si>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</si>
  <si>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</si>
  <si>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</si>
  <si>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</si>
  <si>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</si>
  <si>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</si>
  <si>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</si>
  <si>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</si>
  <si>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</si>
  <si>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</si>
  <si>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</si>
  <si>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</si>
  <si>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</si>
  <si>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</si>
  <si>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</si>
  <si>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</si>
  <si>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</si>
  <si>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</si>
  <si>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</si>
  <si>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</si>
  <si>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</si>
  <si>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</si>
  <si>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</si>
  <si>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</si>
  <si>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</si>
  <si>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</si>
  <si>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</si>
  <si>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</si>
  <si>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</si>
  <si>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</si>
  <si>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</si>
  <si>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</si>
  <si>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</si>
  <si>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</si>
  <si>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</si>
  <si>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</si>
  <si>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</si>
  <si>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</si>
  <si>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</si>
  <si>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</si>
  <si>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</si>
  <si>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</si>
  <si>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</si>
  <si>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</si>
  <si>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</si>
  <si>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</si>
  <si>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</si>
  <si>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</si>
  <si>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</si>
  <si>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</si>
  <si>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</si>
  <si>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</si>
  <si>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</si>
  <si>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</si>
  <si>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</si>
  <si>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</si>
  <si>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</si>
  <si>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</si>
  <si>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</si>
  <si>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</si>
  <si>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</si>
  <si>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</si>
  <si>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</si>
  <si>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</si>
  <si>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</si>
  <si>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</si>
  <si>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</si>
  <si>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</si>
  <si>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</si>
  <si>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</si>
  <si>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</si>
  <si>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</si>
  <si>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</si>
  <si>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</si>
  <si>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</si>
  <si>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</si>
  <si>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</si>
  <si>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</si>
  <si>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</si>
  <si>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</si>
  <si>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</si>
  <si>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</si>
  <si>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</si>
  <si>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</si>
  <si>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</si>
  <si>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</si>
  <si>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</si>
  <si>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</si>
  <si>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</si>
  <si>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</si>
  <si>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</si>
  <si>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</si>
  <si>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</si>
  <si>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</si>
  <si>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</si>
  <si>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</si>
  <si>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</si>
  <si>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</si>
  <si>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</si>
  <si>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</si>
  <si>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</si>
  <si>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</si>
  <si>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</si>
  <si>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</si>
  <si>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</si>
  <si>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</si>
  <si>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</si>
  <si>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</si>
  <si>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</si>
  <si>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</si>
  <si>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</si>
  <si>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</si>
  <si>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</si>
  <si>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</si>
  <si>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</si>
  <si>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</si>
  <si>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</si>
  <si>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</si>
  <si>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</si>
  <si>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</si>
  <si>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</si>
  <si>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</si>
  <si>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</si>
  <si>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</si>
  <si>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</si>
  <si>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</si>
  <si>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</si>
  <si>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</si>
  <si>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</si>
  <si>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</si>
  <si>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</si>
  <si>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</si>
  <si>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</si>
  <si>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</si>
  <si>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</si>
  <si>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</si>
  <si>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</si>
  <si>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</si>
  <si>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</si>
  <si>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</si>
  <si>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</si>
  <si>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</si>
  <si>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</si>
  <si>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</si>
  <si>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</si>
  <si>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</si>
  <si>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</si>
  <si>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</si>
  <si>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</si>
  <si>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</si>
  <si>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</si>
  <si>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</si>
  <si>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</si>
  <si>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</si>
  <si>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</si>
  <si>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</si>
  <si>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</si>
  <si>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</si>
  <si>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</si>
  <si>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</si>
  <si>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</si>
  <si>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</si>
  <si>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</si>
  <si>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</si>
  <si>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</si>
  <si>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</si>
  <si>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</si>
  <si>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</si>
  <si>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</si>
  <si>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</si>
  <si>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</si>
  <si>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</si>
  <si>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</si>
  <si>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</si>
  <si>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</si>
  <si>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</si>
  <si>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</si>
  <si>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</si>
  <si>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</si>
  <si>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</si>
  <si>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</si>
  <si>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</si>
  <si>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</si>
  <si>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</si>
  <si>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</si>
  <si>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</si>
  <si>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</si>
  <si>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</si>
  <si>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</si>
  <si>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</si>
  <si>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</si>
  <si>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</si>
  <si>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</si>
  <si>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</si>
  <si>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</si>
  <si>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</si>
  <si>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</si>
  <si>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</si>
  <si>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</si>
  <si>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</si>
  <si>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</si>
  <si>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</si>
  <si>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</si>
  <si>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</si>
  <si>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</si>
  <si>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</si>
  <si>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</si>
  <si>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</si>
  <si>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</si>
  <si>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</si>
  <si>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</si>
  <si>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</si>
  <si>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</si>
  <si>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</si>
  <si>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</si>
  <si>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</si>
  <si>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</si>
  <si>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</si>
  <si>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</si>
  <si>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</si>
  <si>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</si>
  <si>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</si>
  <si>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</si>
  <si>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</si>
  <si>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</si>
  <si>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</si>
  <si>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</si>
  <si>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</si>
  <si>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</si>
  <si>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</si>
  <si>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</si>
  <si>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</si>
  <si>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</si>
  <si>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</si>
  <si>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</si>
  <si>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</si>
  <si>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</si>
  <si>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</si>
  <si>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</si>
  <si>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</si>
  <si>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</si>
  <si>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</si>
  <si>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</si>
  <si>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</si>
  <si>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</si>
  <si>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</si>
  <si>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</si>
  <si>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</si>
  <si>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</si>
  <si>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</si>
  <si>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</si>
  <si>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</si>
  <si>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</si>
  <si>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</si>
  <si>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</si>
  <si>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</si>
  <si>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</si>
  <si>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</si>
  <si>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</si>
  <si>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</si>
  <si>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</si>
  <si>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</si>
  <si>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</si>
  <si>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</si>
  <si>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</si>
  <si>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</si>
  <si>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</si>
  <si>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</si>
  <si>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</si>
  <si>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</si>
  <si>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</si>
  <si>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</si>
  <si>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</si>
  <si>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</si>
  <si>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</si>
  <si>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</si>
  <si>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</si>
  <si>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</si>
  <si>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</si>
  <si>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</si>
  <si>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</si>
  <si>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</si>
  <si>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</si>
  <si>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</si>
  <si>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</si>
  <si>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</si>
  <si>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</si>
  <si>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</si>
  <si>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</si>
  <si>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</si>
  <si>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</si>
  <si>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</si>
  <si>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</si>
  <si>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</si>
  <si>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</si>
  <si>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</si>
  <si>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</si>
  <si>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</si>
  <si>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</si>
  <si>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</si>
  <si>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</si>
  <si>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</si>
  <si>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</si>
  <si>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</si>
  <si>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</si>
  <si>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</si>
  <si>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</si>
  <si>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</si>
  <si>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</si>
  <si>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</si>
  <si>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</si>
  <si>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</si>
  <si>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</si>
  <si>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</si>
  <si>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</si>
  <si>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</si>
  <si>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</si>
  <si>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</si>
  <si>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</si>
  <si>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</si>
  <si>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</si>
  <si>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</si>
  <si>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</si>
  <si>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</si>
  <si>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</si>
  <si>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</si>
  <si>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</si>
  <si>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</si>
  <si>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</si>
  <si>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</si>
  <si>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</si>
  <si>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</si>
  <si>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</si>
  <si>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</si>
  <si>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</si>
  <si>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</si>
  <si>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</si>
  <si>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</si>
  <si>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</si>
  <si>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</si>
  <si>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</si>
  <si>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</si>
  <si>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</si>
  <si>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</si>
  <si>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</si>
  <si>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</si>
  <si>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</si>
  <si>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</si>
  <si>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</si>
  <si>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</si>
  <si>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</si>
  <si>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</si>
  <si>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</si>
  <si>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</si>
  <si>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</si>
  <si>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</si>
  <si>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</si>
  <si>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</si>
  <si>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</si>
  <si>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</si>
  <si>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</si>
  <si>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</si>
  <si>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</si>
  <si>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</si>
  <si>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</si>
  <si>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</si>
  <si>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</si>
  <si>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</si>
  <si>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</si>
  <si>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</si>
  <si>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</si>
  <si>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</si>
  <si>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</si>
  <si>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</si>
  <si>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</si>
  <si>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</si>
  <si>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</si>
  <si>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</si>
  <si>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</si>
  <si>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</si>
  <si>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</si>
  <si>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</si>
  <si>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</si>
  <si>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</si>
  <si>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</si>
  <si>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</si>
  <si>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</si>
  <si>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</si>
  <si>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</si>
  <si>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</si>
  <si>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</si>
  <si>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</si>
  <si>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</si>
  <si>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</si>
  <si>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</si>
  <si>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</si>
  <si>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</si>
  <si>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</si>
  <si>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</si>
  <si>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</si>
  <si>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</si>
  <si>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</si>
  <si>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</si>
  <si>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</si>
  <si>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</si>
  <si>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</si>
  <si>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</si>
  <si>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</si>
  <si>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</si>
  <si>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</si>
  <si>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</si>
  <si>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</si>
  <si>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</si>
  <si>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</si>
  <si>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</si>
  <si>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</si>
  <si>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</si>
  <si>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</si>
  <si>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</si>
  <si>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</si>
  <si>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</si>
  <si>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</si>
  <si>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</si>
  <si>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</si>
  <si>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</si>
  <si>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</si>
  <si>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</si>
  <si>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</si>
  <si>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</si>
  <si>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</si>
  <si>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</si>
  <si>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</si>
  <si>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</si>
  <si>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</si>
  <si>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</si>
  <si>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</si>
  <si>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</si>
  <si>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</si>
  <si>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</si>
  <si>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</si>
  <si>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</si>
  <si>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</si>
  <si>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</si>
  <si>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</si>
  <si>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</si>
  <si>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</si>
  <si>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</si>
  <si>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</si>
  <si>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</si>
  <si>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</si>
  <si>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</si>
  <si>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</si>
  <si>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</si>
  <si>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</si>
  <si>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</si>
  <si>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</si>
  <si>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</si>
  <si>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</si>
  <si>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</si>
  <si>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</si>
  <si>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</si>
  <si>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</si>
  <si>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</si>
  <si>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</si>
  <si>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</si>
  <si>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</si>
  <si>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</si>
  <si>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</si>
  <si>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</si>
  <si>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</si>
  <si>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</si>
  <si>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</si>
  <si>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</si>
  <si>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</si>
  <si>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</si>
  <si>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</si>
  <si>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</si>
  <si>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</si>
  <si>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</si>
  <si>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</si>
  <si>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</si>
  <si>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</si>
  <si>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</si>
  <si>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</si>
  <si>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</si>
  <si>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</si>
  <si>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</si>
  <si>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</si>
  <si>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</si>
  <si>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</si>
  <si>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</si>
  <si>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</si>
  <si>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</si>
  <si>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</si>
  <si>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</si>
  <si>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</si>
  <si>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</si>
  <si>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</si>
  <si>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</si>
  <si>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</si>
  <si>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</si>
  <si>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</si>
  <si>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</si>
  <si>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</si>
  <si>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</si>
  <si>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</si>
  <si>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</si>
  <si>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</si>
  <si>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</si>
  <si>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</si>
  <si>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</si>
  <si>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</si>
  <si>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</si>
  <si>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</si>
  <si>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</si>
  <si>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</si>
  <si>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</si>
  <si>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</si>
  <si>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</si>
  <si>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</si>
  <si>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</si>
  <si>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</si>
  <si>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</si>
  <si>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</si>
  <si>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</si>
  <si>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</si>
  <si>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</si>
  <si>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</si>
  <si>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</si>
  <si>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</si>
  <si>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</si>
  <si>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</si>
  <si>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</si>
  <si>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</si>
  <si>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</si>
  <si>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</si>
  <si>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</si>
  <si>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</si>
  <si>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</si>
  <si>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</si>
  <si>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</si>
  <si>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</si>
  <si>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</si>
  <si>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</si>
  <si>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</si>
  <si>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</si>
  <si>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</si>
  <si>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</si>
  <si>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</si>
  <si>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</si>
  <si>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</si>
  <si>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</si>
  <si>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</si>
  <si>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</si>
  <si>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</si>
  <si>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</si>
  <si>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</si>
  <si>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</si>
  <si>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</si>
  <si>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</si>
  <si>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</si>
  <si>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</si>
  <si>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</si>
  <si>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</si>
  <si>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</si>
  <si>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</si>
  <si>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</si>
  <si>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</si>
  <si>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</si>
  <si>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</si>
  <si>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</si>
  <si>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</si>
  <si>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</si>
  <si>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</si>
  <si>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</si>
  <si>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</si>
  <si>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</si>
  <si>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</si>
  <si>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</si>
  <si>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</si>
  <si>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</si>
  <si>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</si>
  <si>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</si>
  <si>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</si>
  <si>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</si>
  <si>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</si>
  <si>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</si>
  <si>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</si>
  <si>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</si>
  <si>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</si>
  <si>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</si>
  <si>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</si>
  <si>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</si>
  <si>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</si>
  <si>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</si>
  <si>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</si>
  <si>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</si>
  <si>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</si>
  <si>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</si>
  <si>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</si>
  <si>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</si>
  <si>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</si>
  <si>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</si>
  <si>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</si>
  <si>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</si>
  <si>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</si>
  <si>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</si>
  <si>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</si>
  <si>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</si>
  <si>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</si>
  <si>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</si>
  <si>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</si>
  <si>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</si>
  <si>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</si>
  <si>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</si>
  <si>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</si>
  <si>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</si>
  <si>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</si>
  <si>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</si>
  <si>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</si>
  <si>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</si>
  <si>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</si>
  <si>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</si>
  <si>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</si>
  <si>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</si>
  <si>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</si>
  <si>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</si>
  <si>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</si>
  <si>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</si>
  <si>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</si>
  <si>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</si>
  <si>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</si>
  <si>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</si>
  <si>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</si>
  <si>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</si>
  <si>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</si>
  <si>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</si>
  <si>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</si>
  <si>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</si>
  <si>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</si>
  <si>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</si>
  <si>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</si>
  <si>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</si>
  <si>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</si>
  <si>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</si>
  <si>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</si>
  <si>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</si>
  <si>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</si>
  <si>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</si>
  <si>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</si>
  <si>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</si>
  <si>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</si>
  <si>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</si>
  <si>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</si>
  <si>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</si>
  <si>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</si>
  <si>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</si>
  <si>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</si>
  <si>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</si>
  <si>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</si>
  <si>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</si>
  <si>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</si>
  <si>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</si>
  <si>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</si>
  <si>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</si>
  <si>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</si>
  <si>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</si>
  <si>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</si>
  <si>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</si>
  <si>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</si>
  <si>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</si>
  <si>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</si>
  <si>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</si>
  <si>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</si>
  <si>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</si>
  <si>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</si>
  <si>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</si>
  <si>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</si>
  <si>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</si>
  <si>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</si>
  <si>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</si>
  <si>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</si>
  <si>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</si>
  <si>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</si>
  <si>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</si>
  <si>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</si>
  <si>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</si>
  <si>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</si>
  <si>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</si>
  <si>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</si>
  <si>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</si>
  <si>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</si>
  <si>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</si>
  <si>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</si>
  <si>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</si>
  <si>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</si>
  <si>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</si>
  <si>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</si>
  <si>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</si>
  <si>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</si>
  <si>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</si>
  <si>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</si>
  <si>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</si>
  <si>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</si>
  <si>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</si>
  <si>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</si>
  <si>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</si>
  <si>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</si>
  <si>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</si>
  <si>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</si>
  <si>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</si>
  <si>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</si>
  <si>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</si>
  <si>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</si>
  <si>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</si>
  <si>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</si>
  <si>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</si>
  <si>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</si>
  <si>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</si>
  <si>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</si>
  <si>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</si>
  <si>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</si>
  <si>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</si>
  <si>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</si>
  <si>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</si>
  <si>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</si>
  <si>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</si>
  <si>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</si>
  <si>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</si>
  <si>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</si>
  <si>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</si>
  <si>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</si>
  <si>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</si>
  <si>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</si>
  <si>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</si>
  <si>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</si>
  <si>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</si>
  <si>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</si>
  <si>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</si>
  <si>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</si>
  <si>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</si>
  <si>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</si>
  <si>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</si>
  <si>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</si>
  <si>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</si>
  <si>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</si>
  <si>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</si>
  <si>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</si>
  <si>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</si>
  <si>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</si>
  <si>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</si>
  <si>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</si>
  <si>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</si>
  <si>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</si>
  <si>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</si>
  <si>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</si>
  <si>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</si>
  <si>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</si>
  <si>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</si>
  <si>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</si>
  <si>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</si>
  <si>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</si>
  <si>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</si>
  <si>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</si>
  <si>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</si>
  <si>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</si>
  <si>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</si>
  <si>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</si>
  <si>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</si>
  <si>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</si>
  <si>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</si>
  <si>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</si>
  <si>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</si>
  <si>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</si>
  <si>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</si>
  <si>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</si>
  <si>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</si>
  <si>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</si>
  <si>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</si>
  <si>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</si>
  <si>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</si>
  <si>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</si>
  <si>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</si>
  <si>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</si>
  <si>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</si>
  <si>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</si>
  <si>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</si>
  <si>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</si>
  <si>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</si>
  <si>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</si>
  <si>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</si>
  <si>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</si>
  <si>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</si>
  <si>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</si>
  <si>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</si>
  <si>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</si>
  <si>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</si>
  <si>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</si>
  <si>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</si>
  <si>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</si>
  <si>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</si>
  <si>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</si>
  <si>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</si>
  <si>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</si>
  <si>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</si>
  <si>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</si>
  <si>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</si>
  <si>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</si>
  <si>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</si>
  <si>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</si>
  <si>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</si>
  <si>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</si>
  <si>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</si>
  <si>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</si>
  <si>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</si>
  <si>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</si>
  <si>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</si>
  <si>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</si>
  <si>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</si>
  <si>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</si>
  <si>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</si>
  <si>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</si>
  <si>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</si>
  <si>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</si>
  <si>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</si>
  <si>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</si>
  <si>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</si>
  <si>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</si>
  <si>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</si>
  <si>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</si>
  <si>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</si>
  <si>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</si>
  <si>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</si>
  <si>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</si>
  <si>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</si>
  <si>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</si>
  <si>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</si>
  <si>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</si>
  <si>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</si>
  <si>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</si>
  <si>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</si>
  <si>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</si>
  <si>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</si>
  <si>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</si>
  <si>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</si>
  <si>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</si>
  <si>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</si>
  <si>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</si>
  <si>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</si>
  <si>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</si>
  <si>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</si>
  <si>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</si>
  <si>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</si>
  <si>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</si>
  <si>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</si>
  <si>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</si>
  <si>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</si>
  <si>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</si>
  <si>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</si>
  <si>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</si>
  <si>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</si>
  <si>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</si>
  <si>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</si>
  <si>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</si>
  <si>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</si>
  <si>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</si>
  <si>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</si>
  <si>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</si>
  <si>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</si>
  <si>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</si>
  <si>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</si>
  <si>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</si>
  <si>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</si>
  <si>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</si>
  <si>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</si>
  <si>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</si>
  <si>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</si>
  <si>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</si>
  <si>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</si>
  <si>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</si>
  <si>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</si>
  <si>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</si>
  <si>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</si>
  <si>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</si>
  <si>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</si>
  <si>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</si>
  <si>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</si>
  <si>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</si>
  <si>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</si>
  <si>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</si>
  <si>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</si>
  <si>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</si>
  <si>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</si>
  <si>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</si>
  <si>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</si>
  <si>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</si>
  <si>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</si>
  <si>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</si>
  <si>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</si>
  <si>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</si>
  <si>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</si>
  <si>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</si>
  <si>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</si>
  <si>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</si>
  <si>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</si>
  <si>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</si>
  <si>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</si>
  <si>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</si>
  <si>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</si>
  <si>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</si>
  <si>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</si>
  <si>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</si>
  <si>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</si>
  <si>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</si>
  <si>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</si>
  <si>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</si>
  <si>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</si>
  <si>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</si>
  <si>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</si>
  <si>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Community Capital Assistance Program (CCAP)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</si>
  <si>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</si>
  <si>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</si>
  <si>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</si>
  <si>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</si>
  <si>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</si>
  <si>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</si>
  <si>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</si>
  <si>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</si>
  <si>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</si>
  <si>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</si>
  <si>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</si>
  <si>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</si>
  <si>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</si>
  <si>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</si>
  <si>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</si>
  <si>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</si>
  <si>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</si>
  <si>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</si>
  <si>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</si>
  <si>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</si>
  <si>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</si>
  <si>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</si>
  <si>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</si>
  <si>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</si>
  <si>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</si>
  <si>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</si>
  <si>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</si>
  <si>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</si>
  <si>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</si>
  <si>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</si>
  <si>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</si>
  <si>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</si>
  <si>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</si>
  <si>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</si>
  <si>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</si>
  <si>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</si>
  <si>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</si>
  <si>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</si>
  <si>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</si>
  <si>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</si>
  <si>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</si>
  <si>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</si>
  <si>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</si>
  <si>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</si>
  <si>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</si>
  <si>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</si>
  <si>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</si>
  <si>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</si>
  <si>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</si>
  <si>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</si>
  <si>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</si>
  <si>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</si>
  <si>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</si>
  <si>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</si>
  <si>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</si>
  <si>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</si>
  <si>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</si>
  <si>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</si>
  <si>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</si>
  <si>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</si>
  <si>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</si>
  <si>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</si>
  <si>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</si>
  <si>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</si>
  <si>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</si>
  <si>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</si>
  <si>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</si>
  <si>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AVIATION PURPOSE ACCOUNT</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</si>
  <si>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</si>
  <si>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</si>
  <si>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</si>
  <si>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</si>
  <si>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</si>
  <si>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</si>
  <si>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</si>
  <si>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</si>
  <si>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</si>
  <si>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</si>
  <si>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</si>
  <si>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</si>
  <si>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</si>
  <si>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</si>
  <si>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</si>
  <si>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</si>
  <si>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</si>
  <si>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</si>
  <si>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</si>
  <si>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</si>
  <si>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</si>
  <si>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</si>
  <si>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</si>
  <si>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</si>
  <si>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</si>
  <si>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</si>
  <si>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</si>
  <si>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</si>
  <si>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</si>
  <si>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</si>
  <si>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</si>
  <si>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</si>
  <si>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</si>
  <si>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</si>
  <si>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</si>
  <si>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</si>
  <si>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</si>
  <si>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</si>
  <si>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</si>
  <si>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</si>
  <si>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</si>
  <si>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</si>
  <si>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</si>
  <si>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</si>
  <si>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</si>
  <si>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</si>
  <si>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</si>
  <si>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</si>
  <si>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</si>
  <si>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</si>
  <si>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</si>
  <si>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</si>
  <si>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</si>
  <si>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</si>
  <si>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</si>
  <si>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</si>
  <si>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</si>
  <si>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</si>
  <si>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</si>
  <si>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</si>
  <si>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</si>
  <si>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</si>
  <si>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</si>
  <si>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</si>
  <si>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</si>
  <si>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</si>
  <si>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</si>
  <si>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</si>
  <si>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</si>
  <si>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</si>
  <si>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</si>
  <si>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</si>
  <si>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</si>
  <si>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</si>
  <si>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</si>
  <si>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</si>
  <si>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</si>
  <si>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</si>
  <si>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</si>
  <si>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</si>
  <si>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</si>
  <si>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</si>
  <si>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</si>
  <si>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</si>
  <si>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</si>
  <si>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</si>
  <si>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</si>
  <si>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</si>
  <si>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</si>
  <si>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</si>
  <si>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</si>
  <si>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</si>
  <si>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</si>
  <si>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</si>
  <si>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</si>
  <si>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</si>
  <si>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</si>
  <si>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</si>
  <si>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</si>
  <si>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</si>
  <si>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</si>
  <si>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</si>
  <si>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</si>
  <si>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</si>
  <si>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</si>
  <si>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</si>
  <si>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</si>
  <si>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</si>
  <si>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</si>
  <si>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</si>
  <si>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</si>
  <si>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</si>
  <si>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</si>
  <si>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</si>
  <si>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</si>
  <si>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</si>
  <si>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</si>
  <si>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</si>
  <si>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</si>
  <si>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</si>
  <si>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</si>
  <si>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</si>
  <si>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</si>
  <si>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</si>
  <si>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</si>
  <si>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</si>
  <si>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</si>
  <si>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</si>
  <si>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</si>
  <si>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</si>
  <si>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</si>
  <si>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</si>
  <si>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</si>
  <si>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</si>
  <si>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</si>
  <si>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</si>
  <si>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</si>
  <si>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</si>
  <si>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</si>
  <si>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</si>
  <si>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</si>
  <si>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</si>
  <si>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</si>
  <si>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</si>
  <si>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</si>
  <si>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</si>
  <si>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</si>
  <si>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</si>
  <si>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</si>
  <si>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</si>
  <si>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</si>
  <si>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</si>
  <si>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</si>
  <si>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</si>
  <si>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</si>
  <si>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</si>
  <si>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</si>
  <si>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</si>
  <si>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</si>
  <si>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</si>
  <si>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</si>
  <si>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</si>
  <si>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</si>
  <si>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</si>
  <si>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</si>
  <si>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</si>
  <si>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</si>
  <si>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</si>
  <si>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</si>
  <si>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</si>
  <si>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</si>
  <si>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</si>
  <si>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</si>
  <si>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</si>
  <si>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</si>
  <si>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</si>
  <si>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</si>
  <si>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</si>
  <si>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</si>
  <si>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</si>
  <si>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</si>
  <si>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</si>
  <si>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</si>
  <si>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</si>
  <si>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</si>
  <si>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</si>
  <si>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</si>
  <si>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</si>
  <si>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</si>
  <si>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</si>
  <si>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</si>
  <si>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</si>
  <si>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</si>
  <si>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</si>
  <si>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</si>
  <si>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</si>
  <si>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</si>
  <si>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General Fund</t>
    </r>
    <r>
      <rPr>
        <sz val="9"/>
        <rFont val="Arial"/>
        <family val="2"/>
      </rPr>
      <t xml:space="preserve">  “Transfers to Other Funds” are as follows:</t>
    </r>
  </si>
  <si>
    <t>BEHAVIORAL HEALTH PARITY COMPLIANCE FUND</t>
  </si>
  <si>
    <t>CIVIL SERVICE ADMINISTRATION ACCOUNT</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</si>
  <si>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</si>
  <si>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</si>
  <si>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</si>
  <si>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</si>
  <si>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</si>
  <si>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</si>
  <si>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</si>
  <si>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</si>
  <si>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</si>
  <si>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</si>
  <si>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</si>
  <si>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</si>
  <si>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</si>
  <si>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</si>
  <si>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</si>
  <si>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</si>
  <si>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</si>
  <si>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</si>
  <si>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</si>
  <si>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</si>
  <si>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</si>
  <si>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</si>
  <si>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</si>
  <si>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</si>
  <si>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</si>
  <si>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</si>
  <si>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</si>
  <si>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</si>
  <si>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</si>
  <si>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</si>
  <si>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</si>
  <si>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</si>
  <si>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</si>
  <si>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</si>
  <si>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</si>
  <si>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</si>
  <si>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</si>
  <si>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</si>
  <si>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</si>
  <si>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</si>
  <si>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</si>
  <si>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</si>
  <si>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</si>
  <si>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</si>
  <si>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</si>
  <si>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</si>
  <si>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</si>
  <si>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</si>
  <si>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</si>
  <si>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</si>
  <si>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</si>
  <si>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</si>
  <si>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</si>
  <si>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</si>
  <si>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</si>
  <si>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</si>
  <si>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</si>
  <si>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</si>
  <si>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</si>
  <si>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</si>
  <si>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</si>
  <si>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</si>
  <si>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</si>
  <si>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</si>
  <si>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</si>
  <si>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</si>
  <si>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</si>
  <si>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</si>
  <si>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</si>
  <si>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</si>
  <si>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</si>
  <si>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</si>
  <si>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</si>
  <si>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</si>
  <si>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</si>
  <si>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</si>
  <si>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</si>
  <si>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EXHIBIT A</t>
  </si>
  <si>
    <t xml:space="preserve"> 23250-23449-CUNY Senior College Program</t>
  </si>
  <si>
    <t xml:space="preserve">  25950, 25952-25999-Unemployment Insurance Occupational Training </t>
  </si>
  <si>
    <t xml:space="preserve">  25300-25899, 25951-Federal Miscellaneous Operating Grants</t>
  </si>
  <si>
    <t xml:space="preserve">  24800-24849-NYS Cannabis Revenue</t>
  </si>
  <si>
    <t>all</t>
  </si>
  <si>
    <t xml:space="preserve">  Cannabis</t>
  </si>
  <si>
    <t xml:space="preserve">         Cannabis</t>
  </si>
  <si>
    <t xml:space="preserve">         Cannabis </t>
  </si>
  <si>
    <t xml:space="preserve">  23750-23799-Medical Cannabis Trust Fund</t>
  </si>
  <si>
    <t xml:space="preserve">  24950-24954-Interactive Fantasy Sports</t>
  </si>
  <si>
    <t xml:space="preserve">  24955-24959-Mobile Sports Wagering</t>
  </si>
  <si>
    <t xml:space="preserve">         Pass-Through Entity </t>
  </si>
  <si>
    <t xml:space="preserve">  Pass-Through Entity </t>
  </si>
  <si>
    <t xml:space="preserve">  Racing and Combative Sports </t>
  </si>
  <si>
    <t xml:space="preserve">         Racing and Combative Sports </t>
  </si>
  <si>
    <t xml:space="preserve">    Revenue Bond Tax Fund</t>
  </si>
  <si>
    <t xml:space="preserve">(**)  Eliminations between State and Federal Special Revenue Funds are not included.   </t>
  </si>
  <si>
    <t xml:space="preserve">       from dedicated revenue sources (including operating transfers from Federal funds) and Debt Service Funds. </t>
  </si>
  <si>
    <t>Nursing Home Transition &amp; Diversion</t>
  </si>
  <si>
    <t>Personal Care Workforce Recruitment and Retention</t>
  </si>
  <si>
    <t>Home Health Rate Increase</t>
  </si>
  <si>
    <t xml:space="preserve">  65050-65099-Retiree Health Benefit Trust</t>
  </si>
  <si>
    <t xml:space="preserve">    TOTAL TRUST FUNDS</t>
  </si>
  <si>
    <r>
      <t>TRUST</t>
    </r>
    <r>
      <rPr>
        <b/>
        <vertAlign val="superscript"/>
        <sz val="12"/>
        <rFont val="Arial"/>
        <family val="2"/>
      </rPr>
      <t>(*)</t>
    </r>
  </si>
  <si>
    <r>
      <rPr>
        <vertAlign val="superscript"/>
        <sz val="12"/>
        <rFont val="Arial"/>
        <family val="2"/>
      </rPr>
      <t>(*)</t>
    </r>
    <r>
      <rPr>
        <sz val="12"/>
        <rFont val="Arial"/>
        <family val="2"/>
      </rPr>
      <t xml:space="preserve"> Includes Common Retirement Administration and Retiree Health Benefit Trust.</t>
    </r>
  </si>
  <si>
    <t xml:space="preserve">Trust Funds - Statement of Cash Flow  </t>
  </si>
  <si>
    <t>2022</t>
  </si>
  <si>
    <t xml:space="preserve">FISCAL YEAR 2022-2023   </t>
  </si>
  <si>
    <t>FISCAL YEAR 2022-2023</t>
  </si>
  <si>
    <t>APRIL 1, 2022</t>
  </si>
  <si>
    <t>2022-2023</t>
  </si>
  <si>
    <t xml:space="preserve">    </t>
  </si>
  <si>
    <t xml:space="preserve">American Resuce Plan Act </t>
  </si>
  <si>
    <t>TRANSPORTATION AVIATION ACCOUNT</t>
  </si>
  <si>
    <t>Temporary Loans are authorized pursuant to Subdivision 5 of Section 4 of the State Finance Law and Chapter 56, Part FFF, Section 1, of the Laws of 2022-23.</t>
  </si>
  <si>
    <t xml:space="preserve">   Administrative Recoveries</t>
  </si>
  <si>
    <t xml:space="preserve">            Lottery</t>
  </si>
  <si>
    <t xml:space="preserve">            Mobile Sports</t>
  </si>
  <si>
    <t>NURSE LOAN REPAYMENT</t>
  </si>
  <si>
    <t>NYS WORKFORCE INNOVATION CTR</t>
  </si>
  <si>
    <t xml:space="preserve">(*) Includes amounts appropriated in SFY 2022-23, as well as prior year appropriations that were reappropriated.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</si>
  <si>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</si>
  <si>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Dormitory Authority and State University Income Fund</t>
  </si>
  <si>
    <t>New York State Cannabis Revenue</t>
  </si>
  <si>
    <t>NEW YORK STATE CANNABIS REVENUE FUND</t>
  </si>
  <si>
    <t xml:space="preserve">        Lottery</t>
  </si>
  <si>
    <t xml:space="preserve">        Mobile Sports</t>
  </si>
  <si>
    <t xml:space="preserve">SERVICES </t>
  </si>
  <si>
    <t xml:space="preserve">TAX </t>
  </si>
  <si>
    <t xml:space="preserve">       by activities from dedicated revenue sources (including operating transfers from Federal Funds) and Debt Service Funds. </t>
  </si>
  <si>
    <t>(*)    Source: 2022-23 Enacted Financial Plan dated May 20, 2022.</t>
  </si>
  <si>
    <t>Environmental Protection Fund</t>
  </si>
  <si>
    <t>Also included in Special Revenue funds are transfers to the General Fund from the following:</t>
  </si>
  <si>
    <t>Federal Health and Human Services Fund</t>
  </si>
  <si>
    <t>Federal USDA/Food and Nutrition</t>
  </si>
  <si>
    <r>
      <rPr>
        <vertAlign val="superscript"/>
        <sz val="10"/>
        <color theme="1"/>
        <rFont val="Arial"/>
        <family val="2"/>
      </rPr>
      <t xml:space="preserve">(**) </t>
    </r>
    <r>
      <rPr>
        <sz val="10"/>
        <color theme="1"/>
        <rFont val="Arial"/>
        <family val="2"/>
      </rPr>
      <t>Source: Statewide Financial System</t>
    </r>
  </si>
  <si>
    <t>Business Services Center</t>
  </si>
  <si>
    <t>Dedicated Highway &amp; Bridge Trust Fund</t>
  </si>
  <si>
    <t>Dedicated Infrastructure Investment Fund</t>
  </si>
  <si>
    <t>Dedicated Mass Transportation (Non MTA)</t>
  </si>
  <si>
    <t>Dedicated Mass Transportation - Railroad Account</t>
  </si>
  <si>
    <t>Dedicated Mass Transportation - Transit Authority Account</t>
  </si>
  <si>
    <t xml:space="preserve">Business &amp; Licensing Services Account </t>
  </si>
  <si>
    <t>Miscellaneous State Special Revenue Fund</t>
  </si>
  <si>
    <t>Public Service Account</t>
  </si>
  <si>
    <t>System and Technology Account</t>
  </si>
  <si>
    <t>Workers' Compensation Board</t>
  </si>
  <si>
    <t>State Lottery Fund</t>
  </si>
  <si>
    <t xml:space="preserve">Encon Special Revenue </t>
  </si>
  <si>
    <t>HESC Insurance Premium Account</t>
  </si>
  <si>
    <t>Fingerprint Identification Technology Account</t>
  </si>
  <si>
    <t>1st Quarter</t>
  </si>
  <si>
    <t>APRIL - JUNE</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</si>
  <si>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</si>
  <si>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</si>
  <si>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</si>
  <si>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t>
  </si>
  <si>
    <t>(****) Eliminations between Special Revenue - State and Federal Funds are not included.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</si>
  <si>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</si>
  <si>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</si>
  <si>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to Other Funds (***)</t>
  </si>
  <si>
    <t xml:space="preserve">  Transfers from Other Funds (***)</t>
  </si>
  <si>
    <t>Training and Education Program on OSHA</t>
  </si>
  <si>
    <t>Unemployment Insurance Administration</t>
  </si>
  <si>
    <t>-</t>
  </si>
  <si>
    <t>Unemployment Insurance, Interest &amp; Penalty</t>
  </si>
  <si>
    <t>DEPT OF LAW OIL SPILL</t>
  </si>
  <si>
    <t>Healthcare Worker Bonuses</t>
  </si>
  <si>
    <t>Vital Access Provider Services</t>
  </si>
  <si>
    <t>2nd Quarter</t>
  </si>
  <si>
    <t>JULY - SEPTEMBER</t>
  </si>
  <si>
    <t>(3)</t>
  </si>
  <si>
    <t>A portion of Personal Income Tax receipts is transferred to the State Special Revenue School Tax Relief (STAR)</t>
  </si>
  <si>
    <t>3.</t>
  </si>
  <si>
    <t>Housing Program Fund</t>
  </si>
  <si>
    <t xml:space="preserve">Fund to be used to reimburse school districts for the STAR property tax exemptions for homeowners and </t>
  </si>
  <si>
    <t xml:space="preserve">      Transportation Capital Plan</t>
  </si>
  <si>
    <t xml:space="preserve">  30720-30729-Clean Water, Clean Air, and Green Jobs Bond</t>
  </si>
  <si>
    <t>December 31, 2022</t>
  </si>
  <si>
    <t>Building Administration Account</t>
  </si>
  <si>
    <t>January 31, 2023</t>
  </si>
  <si>
    <t xml:space="preserve">  Peer-to-Peer Car Sharing</t>
  </si>
  <si>
    <t xml:space="preserve">         Peer-to-Peer Car Sharing</t>
  </si>
  <si>
    <t>3rd Quarter</t>
  </si>
  <si>
    <t>OCTOBER - DECEMBER</t>
  </si>
  <si>
    <t>State Police Motor Vehicle Law</t>
  </si>
  <si>
    <t>Federal Employment &amp; Training Grants</t>
  </si>
  <si>
    <t>Entertainment Diversity Job Training Development</t>
  </si>
  <si>
    <t xml:space="preserve">  Withholdings</t>
  </si>
  <si>
    <t>February 28, 2023</t>
  </si>
  <si>
    <t>DC37 &amp; Teamster Local 858</t>
  </si>
  <si>
    <t xml:space="preserve"> the General Debt Service Fund - Lease Purchase ($39.7m).</t>
  </si>
  <si>
    <t>(**)   Source: 2023-24 Executive Budget with 30-day amendments dated March 3, 2023.</t>
  </si>
  <si>
    <t>Criminal Justice Improvement Account</t>
  </si>
  <si>
    <t>Charter School Stimulus</t>
  </si>
  <si>
    <t>March 31, 2023</t>
  </si>
  <si>
    <t>MAR. 2023</t>
  </si>
  <si>
    <t>MAR. 31, 2023</t>
  </si>
  <si>
    <t>12 MOS. ENDED</t>
  </si>
  <si>
    <t>MAR. 2022</t>
  </si>
  <si>
    <t>MAR. 31, 2022</t>
  </si>
  <si>
    <t>MARCH 2023</t>
  </si>
  <si>
    <t xml:space="preserve">Fund Balances (Deficits) at March 31, 2023 </t>
  </si>
  <si>
    <t xml:space="preserve">FOR TWELVE MONTHS ENDED MARCH 31, 2023    </t>
  </si>
  <si>
    <t>12 Months Ended March 31</t>
  </si>
  <si>
    <t>FOR THE MONTH OF MARCH 2023</t>
  </si>
  <si>
    <t>MARCH 1, 2023</t>
  </si>
  <si>
    <t>MARCH 31, 2023</t>
  </si>
  <si>
    <t>12 MONTHS ENDED</t>
  </si>
  <si>
    <t xml:space="preserve">FOR THE TWELVE MONTHS ENDED MARCH 31, 2023    </t>
  </si>
  <si>
    <t>12 MONTHS ENDED MARCH 31</t>
  </si>
  <si>
    <t>MARCH 2022</t>
  </si>
  <si>
    <t>12 Months Ended</t>
  </si>
  <si>
    <t>12 Months Ended March 31, 2023 (**)</t>
  </si>
  <si>
    <t>March</t>
  </si>
  <si>
    <t>Correctional Facilities Capital Improvement Fund</t>
  </si>
  <si>
    <t>Correctional Industries Revolving Fund</t>
  </si>
  <si>
    <t>Data Center Account</t>
  </si>
  <si>
    <t>Hazardous Waste Oversight &amp; Assistance Account</t>
  </si>
  <si>
    <t>Tax Revenue Arrearage</t>
  </si>
  <si>
    <t>Neighborhood Work Project Account</t>
  </si>
  <si>
    <t>Batavia School For Blind</t>
  </si>
  <si>
    <t>Rome School for Deaf</t>
  </si>
  <si>
    <t xml:space="preserve">the current fiscal quarter.  As of March 31, 2023 - pursuant to a certification of the Budget Director - </t>
  </si>
  <si>
    <t>payment obligations were met out of these reserves and future payment amounts were scheduled</t>
  </si>
  <si>
    <t xml:space="preserve">payments to homeowners for the STAR Property Rebate Program.  School Tax Relief payments were ($1,781.2m) </t>
  </si>
  <si>
    <t>(4)</t>
  </si>
  <si>
    <t>4.</t>
  </si>
  <si>
    <t>State Housing Debt Service Fund</t>
  </si>
  <si>
    <t>Centralized Tech Services Account</t>
  </si>
  <si>
    <t>Medical Cannabis Health Operation and Oversight Account</t>
  </si>
  <si>
    <t>Recruitment Incentive Account</t>
  </si>
  <si>
    <t>for transfer at the commencement of the succeeding month.</t>
  </si>
  <si>
    <t>as of March 31, 2023.</t>
  </si>
  <si>
    <t xml:space="preserve">of Health ($120.8m). </t>
  </si>
  <si>
    <t>Combined Expendable Trust</t>
  </si>
  <si>
    <t>Spinal Cord Injury Account</t>
  </si>
  <si>
    <t>Helen Hayes Hospital</t>
  </si>
  <si>
    <t>New York City Veterans - St Albans</t>
  </si>
  <si>
    <t>New York State Veterans Home - Oxford</t>
  </si>
  <si>
    <t>Western NY Veterans - Batavia</t>
  </si>
  <si>
    <t>Montrose Veterans Home</t>
  </si>
  <si>
    <t>Health Insurance Revolving Fund</t>
  </si>
  <si>
    <r>
      <t>Capital Projects Funds</t>
    </r>
    <r>
      <rPr>
        <b/>
        <sz val="9"/>
        <rFont val="Arial"/>
        <family val="2"/>
      </rPr>
      <t xml:space="preserve"> </t>
    </r>
    <r>
      <rPr>
        <sz val="9"/>
        <rFont val="Arial"/>
        <family val="2"/>
      </rPr>
      <t xml:space="preserve">“Transfers To Other Funds” includes transfers to the General Fund ($1,193.0m) and </t>
    </r>
  </si>
  <si>
    <t xml:space="preserve">payments for patients residing in State-operated Health and Mental Hygiene facilities, SUNY Capital </t>
  </si>
  <si>
    <t>Surplus Property Account</t>
  </si>
  <si>
    <t>Patron Services Account</t>
  </si>
  <si>
    <t>Federal Operating Grants Fund</t>
  </si>
  <si>
    <r>
      <rPr>
        <b/>
        <u/>
        <sz val="9"/>
        <rFont val="Arial"/>
        <family val="2"/>
      </rPr>
      <t>General Fund</t>
    </r>
    <r>
      <rPr>
        <sz val="9"/>
        <rFont val="Arial"/>
        <family val="2"/>
      </rPr>
      <t xml:space="preserve"> (continued):</t>
    </r>
  </si>
  <si>
    <t xml:space="preserve">As of March 31, 2023, $9,770,208.72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</si>
  <si>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operated health, mental hygiene and State University facilities to Debt Service funds ($14.4m), and  </t>
  </si>
  <si>
    <t xml:space="preserve">the State University Income Fund ($314.5m). </t>
  </si>
  <si>
    <t xml:space="preserve">Fund and Department of Health Income Fund ($1,290.7m) representing the federal share of Medicaid </t>
  </si>
  <si>
    <t>SUNY Hospital IFR Account</t>
  </si>
  <si>
    <t>Recovery Funds (SLFRF).</t>
  </si>
  <si>
    <t xml:space="preserve">On March 31st, 2023, $2,350.0m was transferred to the General Fund from the State and Local Fiscal  </t>
  </si>
  <si>
    <t>Projects Fund ($41.7m), State Capital Projects Fund ($218.9m)  and All Other Capital Projects ($152.3m).</t>
  </si>
  <si>
    <t>Health Care Transformation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</si>
</sst>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 numFmtId="201" formatCode="_(* #,##0.00000000000000000000000000000000_);_(* \(#,##0.00000000000000000000000000000000\);_(* &quot;-&quot;?_);_(@_)"/>
  </numFmts>
  <fonts count="222">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s>
  <cellStyleXfs count="49833">
    <xf numFmtId="164" fontId="0" fillId="0" borderId="0"/>
    <xf numFmtId="43" fontId="42" fillId="0" borderId="0" applyFont="0" applyFill="0" applyBorder="0" applyAlignment="0" applyProtection="0"/>
    <xf numFmtId="0" fontId="40" fillId="0" borderId="0"/>
    <xf numFmtId="0" fontId="40" fillId="0" borderId="0"/>
    <xf numFmtId="0" fontId="88" fillId="0" borderId="0"/>
    <xf numFmtId="43" fontId="88"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0" fontId="100" fillId="0" borderId="0"/>
    <xf numFmtId="43" fontId="101" fillId="0" borderId="0" applyFont="0" applyFill="0" applyBorder="0" applyAlignment="0" applyProtection="0"/>
    <xf numFmtId="0" fontId="40" fillId="0" borderId="0"/>
    <xf numFmtId="43" fontId="45" fillId="0" borderId="0" applyFont="0" applyFill="0" applyBorder="0" applyAlignment="0" applyProtection="0"/>
    <xf numFmtId="40" fontId="106" fillId="33" borderId="0">
      <alignment horizontal="right"/>
    </xf>
    <xf numFmtId="0" fontId="107" fillId="33" borderId="0">
      <alignment horizontal="right"/>
    </xf>
    <xf numFmtId="0" fontId="108" fillId="33" borderId="13"/>
    <xf numFmtId="0" fontId="108" fillId="0" borderId="0" applyBorder="0">
      <alignment horizontal="centerContinuous"/>
    </xf>
    <xf numFmtId="0" fontId="109" fillId="0" borderId="0" applyBorder="0">
      <alignment horizontal="centerContinuous"/>
    </xf>
    <xf numFmtId="175" fontId="40" fillId="0" borderId="0"/>
    <xf numFmtId="175" fontId="42" fillId="0" borderId="0"/>
    <xf numFmtId="0" fontId="42" fillId="0" borderId="0"/>
    <xf numFmtId="0" fontId="23" fillId="0" borderId="0"/>
    <xf numFmtId="43" fontId="23" fillId="0" borderId="0" applyFont="0" applyFill="0" applyBorder="0" applyAlignment="0" applyProtection="0"/>
    <xf numFmtId="0" fontId="23" fillId="8" borderId="8" applyNumberFormat="0" applyFont="0" applyAlignment="0" applyProtection="0"/>
    <xf numFmtId="0" fontId="114" fillId="0" borderId="0"/>
    <xf numFmtId="43" fontId="115"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44" fontId="23" fillId="0" borderId="0" applyFont="0" applyFill="0" applyBorder="0" applyAlignment="0" applyProtection="0"/>
    <xf numFmtId="0" fontId="40" fillId="0" borderId="0"/>
    <xf numFmtId="0" fontId="101" fillId="0" borderId="0"/>
    <xf numFmtId="43" fontId="101" fillId="0" borderId="0" applyFont="0" applyFill="0" applyBorder="0" applyAlignment="0" applyProtection="0"/>
    <xf numFmtId="0" fontId="39" fillId="12"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39" fillId="16"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39" fillId="20"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39" fillId="24"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39" fillId="28"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39" fillId="32"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39" fillId="9"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39" fillId="1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39" fillId="17"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39" fillId="21"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39" fillId="25"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39" fillId="29"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29" fillId="3"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33" fillId="6" borderId="4" applyNumberFormat="0" applyAlignment="0" applyProtection="0"/>
    <xf numFmtId="0" fontId="120" fillId="47" borderId="58" applyNumberFormat="0" applyAlignment="0" applyProtection="0"/>
    <xf numFmtId="0" fontId="120" fillId="47" borderId="58" applyNumberFormat="0" applyAlignment="0" applyProtection="0"/>
    <xf numFmtId="0" fontId="35" fillId="7" borderId="7" applyNumberFormat="0" applyAlignment="0" applyProtection="0"/>
    <xf numFmtId="0" fontId="117" fillId="48" borderId="59" applyNumberFormat="0" applyAlignment="0" applyProtection="0"/>
    <xf numFmtId="0" fontId="117" fillId="48" borderId="59" applyNumberFormat="0" applyAlignment="0" applyProtection="0"/>
    <xf numFmtId="0" fontId="37"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28" fillId="2" borderId="0" applyNumberFormat="0" applyBorder="0" applyAlignment="0" applyProtection="0"/>
    <xf numFmtId="0" fontId="122" fillId="49" borderId="0" applyNumberFormat="0" applyBorder="0" applyAlignment="0" applyProtection="0"/>
    <xf numFmtId="0" fontId="122" fillId="49" borderId="0" applyNumberFormat="0" applyBorder="0" applyAlignment="0" applyProtection="0"/>
    <xf numFmtId="0" fontId="25" fillId="0" borderId="1" applyNumberFormat="0" applyFill="0" applyAlignment="0" applyProtection="0"/>
    <xf numFmtId="0" fontId="123" fillId="0" borderId="60" applyNumberFormat="0" applyFill="0" applyAlignment="0" applyProtection="0"/>
    <xf numFmtId="0" fontId="123" fillId="0" borderId="60" applyNumberFormat="0" applyFill="0" applyAlignment="0" applyProtection="0"/>
    <xf numFmtId="0" fontId="26" fillId="0" borderId="2" applyNumberFormat="0" applyFill="0" applyAlignment="0" applyProtection="0"/>
    <xf numFmtId="0" fontId="124" fillId="0" borderId="61" applyNumberFormat="0" applyFill="0" applyAlignment="0" applyProtection="0"/>
    <xf numFmtId="0" fontId="124" fillId="0" borderId="61" applyNumberFormat="0" applyFill="0" applyAlignment="0" applyProtection="0"/>
    <xf numFmtId="0" fontId="27" fillId="0" borderId="3" applyNumberFormat="0" applyFill="0" applyAlignment="0" applyProtection="0"/>
    <xf numFmtId="0" fontId="125" fillId="0" borderId="62" applyNumberFormat="0" applyFill="0" applyAlignment="0" applyProtection="0"/>
    <xf numFmtId="0" fontId="125" fillId="0" borderId="62" applyNumberFormat="0" applyFill="0" applyAlignment="0" applyProtection="0"/>
    <xf numFmtId="0" fontId="2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31" fillId="5" borderId="4" applyNumberFormat="0" applyAlignment="0" applyProtection="0"/>
    <xf numFmtId="0" fontId="126" fillId="50" borderId="58" applyNumberFormat="0" applyAlignment="0" applyProtection="0"/>
    <xf numFmtId="0" fontId="126" fillId="50" borderId="58" applyNumberFormat="0" applyAlignment="0" applyProtection="0"/>
    <xf numFmtId="0" fontId="34" fillId="0" borderId="6" applyNumberFormat="0" applyFill="0" applyAlignment="0" applyProtection="0"/>
    <xf numFmtId="0" fontId="127" fillId="0" borderId="63" applyNumberFormat="0" applyFill="0" applyAlignment="0" applyProtection="0"/>
    <xf numFmtId="0" fontId="127" fillId="0" borderId="63" applyNumberFormat="0" applyFill="0" applyAlignment="0" applyProtection="0"/>
    <xf numFmtId="0" fontId="30" fillId="4"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23" fillId="0" borderId="0"/>
    <xf numFmtId="0" fontId="32" fillId="6" borderId="5" applyNumberFormat="0" applyAlignment="0" applyProtection="0"/>
    <xf numFmtId="0" fontId="129" fillId="47" borderId="64" applyNumberFormat="0" applyAlignment="0" applyProtection="0"/>
    <xf numFmtId="0" fontId="129" fillId="47" borderId="64" applyNumberFormat="0" applyAlignment="0" applyProtection="0"/>
    <xf numFmtId="0" fontId="2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38" fillId="0" borderId="9"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36"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22" fillId="0" borderId="0"/>
    <xf numFmtId="0" fontId="40" fillId="0" borderId="0"/>
    <xf numFmtId="0" fontId="42" fillId="0" borderId="0"/>
    <xf numFmtId="0" fontId="40"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5" fillId="0" borderId="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43" fontId="42" fillId="0" borderId="0" applyFont="0" applyFill="0" applyBorder="0" applyAlignment="0" applyProtection="0"/>
    <xf numFmtId="0" fontId="42" fillId="0" borderId="0"/>
    <xf numFmtId="0" fontId="101" fillId="0" borderId="0"/>
    <xf numFmtId="0" fontId="40" fillId="0" borderId="0"/>
    <xf numFmtId="0" fontId="149" fillId="0" borderId="0" applyNumberFormat="0" applyFill="0" applyBorder="0" applyAlignment="0" applyProtection="0">
      <alignment vertical="top"/>
      <protection locked="0"/>
    </xf>
    <xf numFmtId="0" fontId="151" fillId="5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51" fillId="5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51"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51"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51" fillId="49"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51" fillId="49"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51" fillId="5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51" fillId="5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51" fillId="5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51" fillId="5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51" fillId="5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51" fillId="5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51"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51"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51" fillId="37"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51" fillId="37"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51" fillId="3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51" fillId="3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51" fillId="5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51" fillId="5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51" fillId="5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51" fillId="5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51" fillId="56"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151" fillId="56"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0" fillId="0" borderId="0" applyFont="0" applyFill="0" applyBorder="0" applyAlignment="0" applyProtection="0"/>
    <xf numFmtId="43"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0" fontId="153" fillId="0" borderId="0"/>
    <xf numFmtId="0" fontId="20" fillId="0" borderId="0"/>
    <xf numFmtId="0" fontId="20" fillId="0" borderId="0"/>
    <xf numFmtId="0" fontId="20" fillId="0" borderId="0"/>
    <xf numFmtId="0" fontId="100" fillId="0" borderId="0"/>
    <xf numFmtId="0" fontId="152"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0" fillId="0" borderId="0"/>
    <xf numFmtId="0" fontId="152" fillId="0" borderId="0"/>
    <xf numFmtId="0" fontId="152" fillId="0" borderId="0"/>
    <xf numFmtId="0" fontId="20" fillId="0" borderId="0"/>
    <xf numFmtId="0" fontId="40" fillId="0" borderId="0"/>
    <xf numFmtId="0" fontId="151" fillId="57" borderId="69"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51" fillId="57" borderId="69"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0" fillId="0" borderId="0"/>
    <xf numFmtId="0" fontId="154" fillId="0" borderId="0"/>
    <xf numFmtId="9" fontId="40" fillId="0" borderId="0" applyFont="0" applyFill="0" applyBorder="0" applyAlignment="0" applyProtection="0"/>
    <xf numFmtId="43" fontId="40" fillId="0" borderId="0" applyFont="0" applyFill="0" applyBorder="0" applyAlignment="0" applyProtection="0"/>
    <xf numFmtId="0" fontId="45" fillId="0" borderId="0"/>
    <xf numFmtId="43" fontId="45"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175" fontId="40"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100" fillId="0" borderId="0"/>
    <xf numFmtId="0" fontId="19" fillId="0" borderId="0"/>
    <xf numFmtId="0" fontId="19" fillId="0" borderId="0"/>
    <xf numFmtId="0" fontId="40" fillId="0" borderId="0"/>
    <xf numFmtId="0" fontId="19" fillId="0" borderId="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43" fontId="40" fillId="0" borderId="0" applyFont="0" applyFill="0" applyBorder="0" applyAlignment="0" applyProtection="0"/>
    <xf numFmtId="0" fontId="40" fillId="0" borderId="0"/>
    <xf numFmtId="0" fontId="100" fillId="0" borderId="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9" fontId="166" fillId="0" borderId="0" applyFont="0" applyFill="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0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5" fontId="40" fillId="0" borderId="0"/>
    <xf numFmtId="0" fontId="115" fillId="0" borderId="0"/>
    <xf numFmtId="0" fontId="115" fillId="0" borderId="0"/>
    <xf numFmtId="0" fontId="115" fillId="0" borderId="0"/>
    <xf numFmtId="0" fontId="40"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00"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08" fillId="33" borderId="73"/>
    <xf numFmtId="0" fontId="45" fillId="0" borderId="0"/>
    <xf numFmtId="0" fontId="108" fillId="33" borderId="73"/>
    <xf numFmtId="175" fontId="40"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40"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164" fontId="40" fillId="0" borderId="0"/>
    <xf numFmtId="0" fontId="176" fillId="0" borderId="0"/>
    <xf numFmtId="0" fontId="108" fillId="33" borderId="83"/>
    <xf numFmtId="0" fontId="176" fillId="0" borderId="0"/>
    <xf numFmtId="0" fontId="16" fillId="0" borderId="0"/>
    <xf numFmtId="0" fontId="176" fillId="0" borderId="0"/>
    <xf numFmtId="0" fontId="176" fillId="0" borderId="0"/>
    <xf numFmtId="0" fontId="15"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5"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5" fillId="0" borderId="0"/>
    <xf numFmtId="0" fontId="177" fillId="0" borderId="0"/>
    <xf numFmtId="0" fontId="179" fillId="0" borderId="0"/>
    <xf numFmtId="0" fontId="176" fillId="0" borderId="0"/>
    <xf numFmtId="0" fontId="176" fillId="0" borderId="0"/>
    <xf numFmtId="0" fontId="14" fillId="0" borderId="0"/>
    <xf numFmtId="0" fontId="176" fillId="0" borderId="0"/>
    <xf numFmtId="0" fontId="176" fillId="0" borderId="0"/>
    <xf numFmtId="0" fontId="14" fillId="0" borderId="0"/>
    <xf numFmtId="0" fontId="14" fillId="0" borderId="0"/>
    <xf numFmtId="0" fontId="45" fillId="0" borderId="0"/>
    <xf numFmtId="0" fontId="13" fillId="0" borderId="0"/>
    <xf numFmtId="0" fontId="177" fillId="0" borderId="0"/>
    <xf numFmtId="0" fontId="177" fillId="0" borderId="0"/>
    <xf numFmtId="0" fontId="177" fillId="0" borderId="0"/>
    <xf numFmtId="0" fontId="180" fillId="0" borderId="0"/>
    <xf numFmtId="0" fontId="180" fillId="0" borderId="0"/>
    <xf numFmtId="0" fontId="12" fillId="0" borderId="0"/>
    <xf numFmtId="0" fontId="12" fillId="0" borderId="0"/>
    <xf numFmtId="43" fontId="45" fillId="0" borderId="0" applyFont="0" applyFill="0" applyBorder="0" applyAlignment="0" applyProtection="0"/>
    <xf numFmtId="0" fontId="12" fillId="0" borderId="0"/>
    <xf numFmtId="0" fontId="180" fillId="0" borderId="0"/>
    <xf numFmtId="0" fontId="180" fillId="0" borderId="0"/>
    <xf numFmtId="0" fontId="11" fillId="0" borderId="0"/>
    <xf numFmtId="0" fontId="11" fillId="0" borderId="0"/>
    <xf numFmtId="0" fontId="11" fillId="0" borderId="0"/>
    <xf numFmtId="0" fontId="180" fillId="0" borderId="0"/>
    <xf numFmtId="0" fontId="177" fillId="0" borderId="0"/>
    <xf numFmtId="0" fontId="10" fillId="0" borderId="0"/>
    <xf numFmtId="0" fontId="177" fillId="0" borderId="0"/>
    <xf numFmtId="0" fontId="177" fillId="0" borderId="0"/>
    <xf numFmtId="0" fontId="177" fillId="0" borderId="0"/>
    <xf numFmtId="0" fontId="10" fillId="0" borderId="0"/>
    <xf numFmtId="0" fontId="177" fillId="0" borderId="0"/>
    <xf numFmtId="0" fontId="177" fillId="0" borderId="0"/>
    <xf numFmtId="164" fontId="181" fillId="0" borderId="0"/>
    <xf numFmtId="43" fontId="40" fillId="0" borderId="0" applyFont="0" applyFill="0" applyBorder="0" applyAlignment="0" applyProtection="0"/>
    <xf numFmtId="0" fontId="40" fillId="0" borderId="0"/>
    <xf numFmtId="0" fontId="40" fillId="0" borderId="0"/>
    <xf numFmtId="0" fontId="45" fillId="0" borderId="0"/>
    <xf numFmtId="43" fontId="45" fillId="0" borderId="0" applyFont="0" applyFill="0" applyBorder="0" applyAlignment="0" applyProtection="0"/>
    <xf numFmtId="0" fontId="100" fillId="0" borderId="0"/>
    <xf numFmtId="175" fontId="40"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20" fillId="47" borderId="88" applyNumberFormat="0" applyAlignment="0" applyProtection="0"/>
    <xf numFmtId="0" fontId="120" fillId="47" borderId="88" applyNumberFormat="0" applyAlignment="0" applyProtection="0"/>
    <xf numFmtId="0" fontId="126" fillId="50" borderId="88" applyNumberFormat="0" applyAlignment="0" applyProtection="0"/>
    <xf numFmtId="0" fontId="126" fillId="50" borderId="88" applyNumberFormat="0" applyAlignment="0" applyProtection="0"/>
    <xf numFmtId="0" fontId="10" fillId="0" borderId="0"/>
    <xf numFmtId="0" fontId="177" fillId="0" borderId="0"/>
    <xf numFmtId="0" fontId="129" fillId="47" borderId="89" applyNumberFormat="0" applyAlignment="0" applyProtection="0"/>
    <xf numFmtId="0" fontId="129" fillId="47" borderId="89" applyNumberFormat="0" applyAlignment="0" applyProtection="0"/>
    <xf numFmtId="0" fontId="60" fillId="0" borderId="90" applyNumberFormat="0" applyFill="0" applyAlignment="0" applyProtection="0"/>
    <xf numFmtId="0" fontId="60" fillId="0" borderId="90" applyNumberFormat="0" applyFill="0" applyAlignment="0" applyProtection="0"/>
    <xf numFmtId="0" fontId="18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1" fillId="57" borderId="91"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51" fillId="57" borderId="91"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77"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9" fontId="40" fillId="0" borderId="0" applyFont="0" applyFill="0" applyBorder="0" applyAlignment="0" applyProtection="0"/>
    <xf numFmtId="0" fontId="10" fillId="0" borderId="0"/>
    <xf numFmtId="0" fontId="108" fillId="33" borderId="83"/>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3" fontId="40" fillId="0" borderId="0" applyFont="0" applyFill="0" applyBorder="0" applyAlignment="0" applyProtection="0"/>
    <xf numFmtId="0" fontId="45" fillId="0" borderId="0"/>
    <xf numFmtId="0" fontId="177" fillId="0" borderId="0"/>
    <xf numFmtId="0" fontId="45" fillId="0" borderId="0"/>
    <xf numFmtId="0" fontId="10" fillId="0" borderId="0"/>
    <xf numFmtId="0" fontId="45" fillId="0" borderId="0"/>
    <xf numFmtId="0" fontId="45" fillId="0" borderId="0"/>
    <xf numFmtId="0" fontId="10" fillId="0" borderId="0"/>
    <xf numFmtId="0" fontId="10" fillId="0" borderId="0"/>
    <xf numFmtId="0" fontId="177" fillId="0" borderId="0"/>
    <xf numFmtId="0" fontId="10" fillId="0" borderId="0"/>
    <xf numFmtId="0" fontId="177" fillId="0" borderId="0"/>
    <xf numFmtId="0" fontId="45" fillId="0" borderId="0"/>
    <xf numFmtId="0" fontId="45" fillId="0" borderId="0"/>
    <xf numFmtId="0" fontId="10" fillId="0" borderId="0"/>
    <xf numFmtId="0" fontId="45" fillId="0" borderId="0"/>
    <xf numFmtId="0" fontId="45" fillId="0" borderId="0"/>
    <xf numFmtId="0" fontId="10" fillId="0" borderId="0"/>
    <xf numFmtId="0" fontId="10" fillId="0" borderId="0"/>
    <xf numFmtId="0" fontId="10" fillId="0" borderId="0"/>
    <xf numFmtId="0" fontId="182" fillId="0" borderId="0"/>
    <xf numFmtId="0" fontId="182" fillId="0" borderId="0"/>
    <xf numFmtId="0" fontId="9" fillId="0" borderId="0"/>
    <xf numFmtId="0" fontId="9" fillId="0" borderId="0"/>
    <xf numFmtId="175" fontId="40"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40" fillId="0" borderId="0"/>
    <xf numFmtId="0" fontId="183" fillId="0" borderId="0"/>
    <xf numFmtId="0" fontId="183" fillId="0" borderId="0"/>
    <xf numFmtId="0" fontId="8" fillId="0" borderId="0"/>
    <xf numFmtId="0" fontId="8" fillId="0" borderId="0"/>
    <xf numFmtId="0" fontId="183" fillId="0" borderId="0"/>
    <xf numFmtId="0" fontId="183" fillId="0" borderId="0"/>
    <xf numFmtId="0" fontId="183" fillId="0" borderId="0"/>
    <xf numFmtId="0" fontId="183" fillId="0" borderId="0"/>
    <xf numFmtId="0" fontId="183" fillId="0" borderId="0"/>
    <xf numFmtId="0" fontId="8" fillId="0" borderId="0"/>
    <xf numFmtId="0" fontId="185" fillId="0" borderId="0"/>
    <xf numFmtId="0" fontId="7" fillId="0" borderId="0"/>
    <xf numFmtId="0" fontId="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08" fillId="33" borderId="93"/>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45" fillId="0" borderId="0"/>
    <xf numFmtId="0" fontId="6" fillId="0" borderId="0"/>
    <xf numFmtId="0" fontId="6" fillId="0" borderId="0"/>
    <xf numFmtId="164" fontId="40"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45"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108" fillId="33" borderId="93"/>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45" fillId="0" borderId="0"/>
    <xf numFmtId="0" fontId="45" fillId="0" borderId="0"/>
    <xf numFmtId="0" fontId="45" fillId="0" borderId="0"/>
    <xf numFmtId="0" fontId="45" fillId="0" borderId="0"/>
    <xf numFmtId="0" fontId="45" fillId="0" borderId="0"/>
    <xf numFmtId="0" fontId="6" fillId="0" borderId="0"/>
    <xf numFmtId="43" fontId="187" fillId="0" borderId="0" applyFont="0" applyFill="0" applyBorder="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44" fontId="191" fillId="0" borderId="0" applyFont="0" applyFill="0" applyBorder="0" applyAlignment="0" applyProtection="0"/>
    <xf numFmtId="0" fontId="193" fillId="0" borderId="0"/>
    <xf numFmtId="0" fontId="46" fillId="0" borderId="97" applyNumberFormat="0" applyFont="0" applyBorder="0">
      <alignment horizontal="right"/>
    </xf>
    <xf numFmtId="0" fontId="197" fillId="0" borderId="0" applyFill="0"/>
    <xf numFmtId="0" fontId="45" fillId="0" borderId="0" applyNumberFormat="0" applyFont="0" applyBorder="0" applyAlignment="0"/>
    <xf numFmtId="0" fontId="198" fillId="0" borderId="0" applyFill="0">
      <alignment horizontal="left" indent="1"/>
    </xf>
    <xf numFmtId="44" fontId="193" fillId="0" borderId="0" applyFont="0" applyFill="0" applyBorder="0" applyAlignment="0" applyProtection="0"/>
    <xf numFmtId="43" fontId="193" fillId="0" borderId="0" applyFont="0" applyFill="0" applyBorder="0" applyAlignment="0" applyProtection="0"/>
    <xf numFmtId="4" fontId="116" fillId="0" borderId="10" applyFill="0"/>
    <xf numFmtId="0" fontId="47" fillId="0" borderId="0" applyFill="0"/>
    <xf numFmtId="0" fontId="45" fillId="0" borderId="0"/>
    <xf numFmtId="43" fontId="45" fillId="0" borderId="0" applyFont="0" applyFill="0" applyBorder="0" applyAlignment="0" applyProtection="0"/>
    <xf numFmtId="44" fontId="45" fillId="0" borderId="0" applyFont="0" applyFill="0" applyBorder="0" applyAlignment="0" applyProtection="0"/>
    <xf numFmtId="0" fontId="45" fillId="0" borderId="0"/>
    <xf numFmtId="0" fontId="100" fillId="0" borderId="0"/>
    <xf numFmtId="0" fontId="108" fillId="33" borderId="106"/>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6"/>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8"/>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8" fillId="33" borderId="108"/>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8"/>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8" fillId="33" borderId="108"/>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44" fontId="45" fillId="0" borderId="0" applyFont="0" applyFill="0" applyBorder="0" applyAlignment="0" applyProtection="0"/>
    <xf numFmtId="43" fontId="45"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7" fillId="0" borderId="0"/>
    <xf numFmtId="187" fontId="43" fillId="0" borderId="0" applyFill="0"/>
    <xf numFmtId="187" fontId="43" fillId="0" borderId="0">
      <alignment horizontal="center"/>
    </xf>
    <xf numFmtId="0" fontId="43" fillId="0" borderId="0" applyFill="0">
      <alignment horizontal="center"/>
    </xf>
    <xf numFmtId="187" fontId="69" fillId="0" borderId="42" applyFill="0"/>
    <xf numFmtId="0" fontId="45" fillId="0" borderId="0" applyFont="0" applyAlignment="0"/>
    <xf numFmtId="0" fontId="208" fillId="0" borderId="0" applyFill="0">
      <alignment vertical="top"/>
    </xf>
    <xf numFmtId="0" fontId="69" fillId="0" borderId="0" applyFill="0">
      <alignment horizontal="left" vertical="top"/>
    </xf>
    <xf numFmtId="187" fontId="47" fillId="0" borderId="103" applyFill="0"/>
    <xf numFmtId="0" fontId="45" fillId="0" borderId="0" applyNumberFormat="0" applyFont="0" applyAlignment="0"/>
    <xf numFmtId="0" fontId="208" fillId="0" borderId="0" applyFill="0">
      <alignment wrapText="1"/>
    </xf>
    <xf numFmtId="0" fontId="69" fillId="0" borderId="0" applyFill="0">
      <alignment horizontal="left" vertical="top" wrapText="1"/>
    </xf>
    <xf numFmtId="187" fontId="87" fillId="0" borderId="0" applyFill="0"/>
    <xf numFmtId="0" fontId="209" fillId="0" borderId="0" applyNumberFormat="0" applyFont="0" applyAlignment="0">
      <alignment horizontal="center"/>
    </xf>
    <xf numFmtId="0" fontId="163" fillId="0" borderId="0" applyFill="0">
      <alignment vertical="top" wrapText="1"/>
    </xf>
    <xf numFmtId="0" fontId="47" fillId="0" borderId="0" applyFill="0">
      <alignment horizontal="left" vertical="top" wrapText="1"/>
    </xf>
    <xf numFmtId="187" fontId="45" fillId="0" borderId="0" applyFill="0"/>
    <xf numFmtId="0" fontId="209" fillId="0" borderId="0" applyNumberFormat="0" applyFont="0" applyAlignment="0">
      <alignment horizontal="center"/>
    </xf>
    <xf numFmtId="0" fontId="95" fillId="0" borderId="0" applyFill="0">
      <alignment vertical="center" wrapText="1"/>
    </xf>
    <xf numFmtId="0" fontId="40" fillId="0" borderId="0">
      <alignment horizontal="left" vertical="center" wrapText="1"/>
    </xf>
    <xf numFmtId="187" fontId="52" fillId="0" borderId="0" applyFill="0"/>
    <xf numFmtId="0" fontId="209" fillId="0" borderId="0" applyNumberFormat="0" applyFont="0" applyAlignment="0">
      <alignment horizontal="center"/>
    </xf>
    <xf numFmtId="0" fontId="210" fillId="0" borderId="0" applyFill="0">
      <alignment horizontal="center" vertical="center" wrapText="1"/>
    </xf>
    <xf numFmtId="0" fontId="45" fillId="0" borderId="0" applyFill="0">
      <alignment horizontal="center" vertical="center" wrapText="1"/>
    </xf>
    <xf numFmtId="187" fontId="211" fillId="0" borderId="0" applyFill="0"/>
    <xf numFmtId="0" fontId="209" fillId="0" borderId="0" applyNumberFormat="0" applyFont="0" applyAlignment="0">
      <alignment horizontal="center"/>
    </xf>
    <xf numFmtId="0" fontId="212" fillId="0" borderId="0" applyFill="0">
      <alignment horizontal="center" vertical="center" wrapText="1"/>
    </xf>
    <xf numFmtId="0" fontId="213" fillId="0" borderId="0" applyFill="0">
      <alignment horizontal="center" vertical="center" wrapText="1"/>
    </xf>
    <xf numFmtId="187" fontId="214" fillId="0" borderId="0" applyFill="0"/>
    <xf numFmtId="0" fontId="209" fillId="0" borderId="0" applyNumberFormat="0" applyFont="0" applyAlignment="0">
      <alignment horizontal="center"/>
    </xf>
    <xf numFmtId="0" fontId="215" fillId="0" borderId="0">
      <alignment horizontal="center" wrapText="1"/>
    </xf>
    <xf numFmtId="0" fontId="211" fillId="0" borderId="0" applyFill="0">
      <alignment horizontal="center" wrapText="1"/>
    </xf>
    <xf numFmtId="4" fontId="43" fillId="35" borderId="0" applyFill="0"/>
    <xf numFmtId="0" fontId="216" fillId="0" borderId="0">
      <alignment horizontal="left" indent="7"/>
    </xf>
    <xf numFmtId="0" fontId="43" fillId="0" borderId="0" applyFill="0">
      <alignment horizontal="left" indent="7"/>
    </xf>
    <xf numFmtId="187" fontId="116" fillId="0" borderId="10" applyFill="0">
      <alignment horizontal="right"/>
    </xf>
    <xf numFmtId="0" fontId="163" fillId="0" borderId="0" applyFill="0">
      <alignment horizontal="left" indent="1"/>
    </xf>
    <xf numFmtId="4" fontId="52" fillId="0" borderId="0" applyFill="0"/>
    <xf numFmtId="0" fontId="45" fillId="0" borderId="0" applyNumberFormat="0" applyFont="0" applyFill="0" applyBorder="0" applyAlignment="0"/>
    <xf numFmtId="0" fontId="163" fillId="0" borderId="0" applyFill="0">
      <alignment horizontal="left" indent="2"/>
    </xf>
    <xf numFmtId="0" fontId="47" fillId="0" borderId="0" applyFill="0">
      <alignment horizontal="left" indent="2"/>
    </xf>
    <xf numFmtId="4" fontId="52" fillId="0" borderId="0" applyFill="0"/>
    <xf numFmtId="0" fontId="45" fillId="0" borderId="0" applyNumberFormat="0" applyFont="0" applyBorder="0" applyAlignment="0"/>
    <xf numFmtId="0" fontId="217" fillId="0" borderId="0">
      <alignment horizontal="left" indent="3"/>
    </xf>
    <xf numFmtId="0" fontId="85" fillId="0" borderId="0" applyFill="0">
      <alignment horizontal="left" indent="3"/>
    </xf>
    <xf numFmtId="4" fontId="52" fillId="0" borderId="0" applyFill="0"/>
    <xf numFmtId="0" fontId="45" fillId="0" borderId="0" applyNumberFormat="0" applyFont="0" applyBorder="0" applyAlignment="0"/>
    <xf numFmtId="0" fontId="210" fillId="0" borderId="0">
      <alignment horizontal="left" indent="4"/>
    </xf>
    <xf numFmtId="0" fontId="45" fillId="0" borderId="0" applyFill="0">
      <alignment horizontal="left" indent="4"/>
    </xf>
    <xf numFmtId="4" fontId="211" fillId="0" borderId="0" applyFill="0"/>
    <xf numFmtId="0" fontId="45" fillId="0" borderId="0" applyNumberFormat="0" applyFont="0" applyBorder="0" applyAlignment="0"/>
    <xf numFmtId="0" fontId="212" fillId="0" borderId="0">
      <alignment horizontal="left" indent="5"/>
    </xf>
    <xf numFmtId="0" fontId="213" fillId="0" borderId="0" applyFill="0">
      <alignment horizontal="left" indent="5"/>
    </xf>
    <xf numFmtId="4" fontId="214" fillId="0" borderId="0" applyFill="0"/>
    <xf numFmtId="0" fontId="45" fillId="0" borderId="0" applyNumberFormat="0" applyFont="0" applyFill="0" applyBorder="0" applyAlignment="0"/>
    <xf numFmtId="0" fontId="215" fillId="0" borderId="0" applyFill="0">
      <alignment horizontal="left" indent="6"/>
    </xf>
    <xf numFmtId="0" fontId="211" fillId="0" borderId="0" applyFill="0">
      <alignment horizontal="left" indent="6"/>
    </xf>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applyFill="0">
      <alignment horizontal="center" vertical="center" wrapText="1"/>
    </xf>
    <xf numFmtId="0" fontId="45" fillId="0" borderId="0" applyFill="0">
      <alignment horizontal="left" indent="4"/>
    </xf>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applyFill="0">
      <alignment horizontal="center" vertical="center" wrapText="1"/>
    </xf>
    <xf numFmtId="0" fontId="45" fillId="0" borderId="0" applyFill="0">
      <alignment horizontal="left" indent="4"/>
    </xf>
    <xf numFmtId="0" fontId="220"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20"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0" borderId="0"/>
  </cellStyleXfs>
  <cellXfs count="2349">
    <xf numFmtId="164" fontId="0" fillId="0" borderId="0" xfId="0"/>
    <xf numFmtId="166" fontId="45" fillId="0" borderId="0" xfId="0" applyNumberFormat="1" applyFont="1"/>
    <xf numFmtId="166" fontId="46" fillId="0" borderId="0" xfId="0" applyNumberFormat="1" applyFont="1"/>
    <xf numFmtId="166" fontId="47" fillId="0" borderId="10" xfId="0" applyNumberFormat="1" applyFont="1" applyBorder="1" applyAlignment="1">
      <alignment horizontal="centerContinuous"/>
    </xf>
    <xf numFmtId="166" fontId="47" fillId="0" borderId="0" xfId="0" quotePrefix="1" applyNumberFormat="1" applyFont="1" applyAlignment="1">
      <alignment horizontal="center"/>
    </xf>
    <xf numFmtId="166" fontId="47" fillId="0" borderId="0" xfId="0" applyNumberFormat="1" applyFont="1" applyAlignment="1">
      <alignment horizontal="center"/>
    </xf>
    <xf numFmtId="166" fontId="47" fillId="0" borderId="10" xfId="0" applyNumberFormat="1" applyFont="1" applyBorder="1" applyAlignment="1">
      <alignment horizontal="center"/>
    </xf>
    <xf numFmtId="166" fontId="42" fillId="0" borderId="0" xfId="0" applyNumberFormat="1" applyFont="1"/>
    <xf numFmtId="164" fontId="42" fillId="0" borderId="0" xfId="0" applyFont="1" applyProtection="1">
      <protection locked="0"/>
    </xf>
    <xf numFmtId="170" fontId="42" fillId="0" borderId="0" xfId="0" applyNumberFormat="1" applyFont="1"/>
    <xf numFmtId="170" fontId="42" fillId="0" borderId="0" xfId="0" applyNumberFormat="1" applyFont="1" applyAlignment="1">
      <alignment horizontal="center"/>
    </xf>
    <xf numFmtId="170" fontId="47" fillId="0" borderId="16" xfId="0" applyNumberFormat="1" applyFont="1" applyBorder="1" applyAlignment="1">
      <alignment horizontal="right"/>
    </xf>
    <xf numFmtId="170" fontId="47" fillId="0" borderId="16" xfId="0" applyNumberFormat="1" applyFont="1" applyBorder="1"/>
    <xf numFmtId="164" fontId="47" fillId="0" borderId="16" xfId="0" applyFont="1" applyBorder="1" applyProtection="1">
      <protection locked="0"/>
    </xf>
    <xf numFmtId="170" fontId="42" fillId="0" borderId="0" xfId="0" quotePrefix="1" applyNumberFormat="1" applyFont="1" applyAlignment="1">
      <alignment horizontal="center"/>
    </xf>
    <xf numFmtId="170" fontId="47" fillId="0" borderId="10" xfId="0" applyNumberFormat="1" applyFont="1" applyBorder="1"/>
    <xf numFmtId="170" fontId="47" fillId="0" borderId="0" xfId="0" applyNumberFormat="1" applyFont="1"/>
    <xf numFmtId="164" fontId="47" fillId="0" borderId="0" xfId="0" applyFont="1" applyProtection="1">
      <protection locked="0"/>
    </xf>
    <xf numFmtId="174" fontId="47" fillId="0" borderId="17" xfId="0" applyNumberFormat="1" applyFont="1" applyBorder="1"/>
    <xf numFmtId="0" fontId="47" fillId="0" borderId="0" xfId="2" applyFont="1"/>
    <xf numFmtId="165" fontId="42" fillId="0" borderId="0" xfId="2" applyNumberFormat="1" applyFont="1"/>
    <xf numFmtId="0" fontId="42" fillId="0" borderId="0" xfId="2" applyFont="1"/>
    <xf numFmtId="165" fontId="42" fillId="0" borderId="0" xfId="2" applyNumberFormat="1" applyFont="1" applyProtection="1">
      <protection locked="0"/>
    </xf>
    <xf numFmtId="0" fontId="47" fillId="0" borderId="0" xfId="2" quotePrefix="1" applyFont="1" applyAlignment="1">
      <alignment horizontal="left"/>
    </xf>
    <xf numFmtId="0" fontId="66" fillId="0" borderId="0" xfId="2" applyFont="1"/>
    <xf numFmtId="165" fontId="66" fillId="0" borderId="0" xfId="2" applyNumberFormat="1" applyFont="1" applyAlignment="1" applyProtection="1">
      <alignment horizontal="center"/>
      <protection locked="0"/>
    </xf>
    <xf numFmtId="165" fontId="66" fillId="0" borderId="0" xfId="2" applyNumberFormat="1" applyFont="1" applyProtection="1">
      <protection locked="0"/>
    </xf>
    <xf numFmtId="165" fontId="66" fillId="0" borderId="0" xfId="2" applyNumberFormat="1" applyFont="1"/>
    <xf numFmtId="0" fontId="42" fillId="0" borderId="20" xfId="2" applyFont="1" applyBorder="1"/>
    <xf numFmtId="165" fontId="42" fillId="0" borderId="20" xfId="2" applyNumberFormat="1" applyFont="1" applyBorder="1"/>
    <xf numFmtId="0" fontId="42" fillId="0" borderId="21" xfId="2" applyFont="1" applyBorder="1"/>
    <xf numFmtId="0" fontId="42" fillId="0" borderId="22" xfId="2" applyFont="1" applyBorder="1"/>
    <xf numFmtId="174" fontId="42" fillId="0" borderId="0" xfId="2" applyNumberFormat="1" applyFont="1"/>
    <xf numFmtId="169" fontId="42" fillId="0" borderId="0" xfId="2" applyNumberFormat="1" applyFont="1"/>
    <xf numFmtId="0" fontId="42" fillId="0" borderId="0" xfId="2" quotePrefix="1" applyFont="1" applyAlignment="1">
      <alignment horizontal="left"/>
    </xf>
    <xf numFmtId="170" fontId="66" fillId="0" borderId="0" xfId="2" applyNumberFormat="1" applyFont="1"/>
    <xf numFmtId="170" fontId="42" fillId="0" borderId="0" xfId="2" applyNumberFormat="1" applyFont="1"/>
    <xf numFmtId="170" fontId="42" fillId="0" borderId="21" xfId="2" applyNumberFormat="1" applyFont="1" applyBorder="1"/>
    <xf numFmtId="170" fontId="0" fillId="0" borderId="0" xfId="2" applyNumberFormat="1" applyFont="1"/>
    <xf numFmtId="166" fontId="42" fillId="0" borderId="0" xfId="2" applyNumberFormat="1" applyFont="1"/>
    <xf numFmtId="170" fontId="42" fillId="0" borderId="0" xfId="2" applyNumberFormat="1" applyFont="1" applyAlignment="1">
      <alignment horizontal="center"/>
    </xf>
    <xf numFmtId="170" fontId="47" fillId="0" borderId="16" xfId="2" applyNumberFormat="1" applyFont="1" applyBorder="1"/>
    <xf numFmtId="170" fontId="47" fillId="0" borderId="0" xfId="2" applyNumberFormat="1" applyFont="1"/>
    <xf numFmtId="170" fontId="47" fillId="0" borderId="26" xfId="2" applyNumberFormat="1" applyFont="1" applyBorder="1"/>
    <xf numFmtId="170" fontId="47" fillId="0" borderId="21" xfId="2" applyNumberFormat="1" applyFont="1" applyBorder="1"/>
    <xf numFmtId="165" fontId="67" fillId="0" borderId="0" xfId="2" applyNumberFormat="1" applyFont="1"/>
    <xf numFmtId="170" fontId="42" fillId="0" borderId="0" xfId="2" applyNumberFormat="1" applyFont="1" applyAlignment="1">
      <alignment horizontal="right"/>
    </xf>
    <xf numFmtId="170" fontId="47" fillId="0" borderId="29" xfId="2" applyNumberFormat="1" applyFont="1" applyBorder="1"/>
    <xf numFmtId="170" fontId="47" fillId="0" borderId="30" xfId="2" applyNumberFormat="1" applyFont="1" applyBorder="1"/>
    <xf numFmtId="170" fontId="47" fillId="0" borderId="10" xfId="2" quotePrefix="1" applyNumberFormat="1" applyFont="1" applyBorder="1" applyAlignment="1">
      <alignment horizontal="center"/>
    </xf>
    <xf numFmtId="170" fontId="47" fillId="0" borderId="10" xfId="2" applyNumberFormat="1" applyFont="1" applyBorder="1"/>
    <xf numFmtId="170" fontId="47" fillId="0" borderId="25" xfId="2" applyNumberFormat="1" applyFont="1" applyBorder="1"/>
    <xf numFmtId="170" fontId="42" fillId="0" borderId="13" xfId="2" applyNumberFormat="1" applyFont="1" applyBorder="1"/>
    <xf numFmtId="0" fontId="42" fillId="0" borderId="0" xfId="2" quotePrefix="1" applyFont="1"/>
    <xf numFmtId="170" fontId="47" fillId="0" borderId="0" xfId="2" quotePrefix="1" applyNumberFormat="1" applyFont="1" applyAlignment="1">
      <alignment horizontal="center"/>
    </xf>
    <xf numFmtId="170" fontId="47" fillId="0" borderId="0" xfId="2" applyNumberFormat="1" applyFont="1" applyAlignment="1">
      <alignment horizontal="center"/>
    </xf>
    <xf numFmtId="170" fontId="47" fillId="0" borderId="16" xfId="2" quotePrefix="1" applyNumberFormat="1" applyFont="1" applyBorder="1"/>
    <xf numFmtId="170" fontId="47" fillId="0" borderId="0" xfId="2" applyNumberFormat="1" applyFont="1" applyAlignment="1">
      <alignment horizontal="right"/>
    </xf>
    <xf numFmtId="170" fontId="47" fillId="0" borderId="32" xfId="2" quotePrefix="1" applyNumberFormat="1" applyFont="1" applyBorder="1" applyAlignment="1">
      <alignment horizontal="right"/>
    </xf>
    <xf numFmtId="170" fontId="47" fillId="0" borderId="27" xfId="2" quotePrefix="1" applyNumberFormat="1" applyFont="1" applyBorder="1"/>
    <xf numFmtId="0" fontId="42" fillId="0" borderId="0" xfId="2" quotePrefix="1" applyFont="1" applyAlignment="1">
      <alignment horizontal="right"/>
    </xf>
    <xf numFmtId="170" fontId="42" fillId="0" borderId="20" xfId="2" applyNumberFormat="1" applyFont="1" applyBorder="1"/>
    <xf numFmtId="170" fontId="47" fillId="0" borderId="0" xfId="2" applyNumberFormat="1" applyFont="1" applyAlignment="1">
      <alignment vertical="center"/>
    </xf>
    <xf numFmtId="170" fontId="47" fillId="0" borderId="14" xfId="2" applyNumberFormat="1" applyFont="1" applyBorder="1"/>
    <xf numFmtId="174" fontId="47" fillId="0" borderId="20" xfId="2" applyNumberFormat="1" applyFont="1" applyBorder="1"/>
    <xf numFmtId="174" fontId="47" fillId="0" borderId="0" xfId="2" applyNumberFormat="1" applyFont="1"/>
    <xf numFmtId="174" fontId="47" fillId="0" borderId="21" xfId="2" applyNumberFormat="1" applyFont="1" applyBorder="1"/>
    <xf numFmtId="174" fontId="47" fillId="0" borderId="22" xfId="2" applyNumberFormat="1" applyFont="1" applyBorder="1"/>
    <xf numFmtId="174" fontId="47" fillId="0" borderId="34" xfId="2" applyNumberFormat="1" applyFont="1" applyBorder="1"/>
    <xf numFmtId="174" fontId="47" fillId="0" borderId="35" xfId="2" applyNumberFormat="1" applyFont="1" applyBorder="1"/>
    <xf numFmtId="168" fontId="66" fillId="0" borderId="0" xfId="2" applyNumberFormat="1" applyFont="1" applyProtection="1">
      <protection locked="0"/>
    </xf>
    <xf numFmtId="0" fontId="0" fillId="0" borderId="0" xfId="2" applyFont="1"/>
    <xf numFmtId="166" fontId="68" fillId="0" borderId="0" xfId="2" applyNumberFormat="1" applyFont="1"/>
    <xf numFmtId="0" fontId="47" fillId="0" borderId="0" xfId="2" applyFont="1" applyAlignment="1">
      <alignment horizontal="centerContinuous"/>
    </xf>
    <xf numFmtId="170" fontId="47" fillId="0" borderId="16" xfId="2" applyNumberFormat="1" applyFont="1" applyBorder="1" applyAlignment="1">
      <alignment horizontal="right"/>
    </xf>
    <xf numFmtId="170" fontId="47" fillId="0" borderId="32" xfId="2" applyNumberFormat="1" applyFont="1" applyBorder="1" applyAlignment="1">
      <alignment horizontal="right"/>
    </xf>
    <xf numFmtId="170" fontId="47" fillId="0" borderId="27" xfId="2" applyNumberFormat="1" applyFont="1" applyBorder="1" applyAlignment="1">
      <alignment horizontal="right"/>
    </xf>
    <xf numFmtId="170" fontId="47" fillId="0" borderId="10" xfId="2" applyNumberFormat="1" applyFont="1" applyBorder="1" applyAlignment="1">
      <alignment horizontal="right"/>
    </xf>
    <xf numFmtId="170" fontId="47" fillId="0" borderId="12" xfId="2" applyNumberFormat="1" applyFont="1" applyBorder="1" applyAlignment="1">
      <alignment horizontal="right"/>
    </xf>
    <xf numFmtId="170" fontId="47" fillId="0" borderId="11" xfId="2" applyNumberFormat="1" applyFont="1" applyBorder="1" applyAlignment="1">
      <alignment horizontal="right"/>
    </xf>
    <xf numFmtId="170" fontId="47" fillId="0" borderId="16" xfId="2" applyNumberFormat="1" applyFont="1" applyBorder="1" applyAlignment="1">
      <alignment horizontal="center"/>
    </xf>
    <xf numFmtId="170" fontId="47" fillId="0" borderId="32" xfId="2" applyNumberFormat="1" applyFont="1" applyBorder="1" applyAlignment="1">
      <alignment horizontal="center"/>
    </xf>
    <xf numFmtId="170" fontId="47" fillId="0" borderId="27" xfId="2" applyNumberFormat="1" applyFont="1" applyBorder="1" applyAlignment="1">
      <alignment horizontal="center"/>
    </xf>
    <xf numFmtId="170" fontId="47" fillId="0" borderId="0" xfId="2" quotePrefix="1" applyNumberFormat="1" applyFont="1" applyAlignment="1">
      <alignment horizontal="right"/>
    </xf>
    <xf numFmtId="170" fontId="47" fillId="0" borderId="13" xfId="2" quotePrefix="1" applyNumberFormat="1" applyFont="1" applyBorder="1" applyAlignment="1">
      <alignment horizontal="right"/>
    </xf>
    <xf numFmtId="170" fontId="47" fillId="0" borderId="28" xfId="2" quotePrefix="1" applyNumberFormat="1" applyFont="1" applyBorder="1" applyAlignment="1">
      <alignment horizontal="right"/>
    </xf>
    <xf numFmtId="170" fontId="47" fillId="0" borderId="10" xfId="2" quotePrefix="1" applyNumberFormat="1" applyFont="1" applyBorder="1" applyAlignment="1">
      <alignment horizontal="right"/>
    </xf>
    <xf numFmtId="170" fontId="47" fillId="0" borderId="13" xfId="2" applyNumberFormat="1" applyFont="1" applyBorder="1" applyAlignment="1">
      <alignment horizontal="right"/>
    </xf>
    <xf numFmtId="170" fontId="47" fillId="0" borderId="28" xfId="2" applyNumberFormat="1" applyFont="1" applyBorder="1" applyAlignment="1">
      <alignment horizontal="right"/>
    </xf>
    <xf numFmtId="174" fontId="47" fillId="0" borderId="20" xfId="2" applyNumberFormat="1" applyFont="1" applyBorder="1" applyAlignment="1">
      <alignment horizontal="right"/>
    </xf>
    <xf numFmtId="174" fontId="47" fillId="0" borderId="0" xfId="2" applyNumberFormat="1" applyFont="1" applyAlignment="1">
      <alignment horizontal="center"/>
    </xf>
    <xf numFmtId="174" fontId="47" fillId="0" borderId="39" xfId="2" applyNumberFormat="1" applyFont="1" applyBorder="1" applyAlignment="1">
      <alignment horizontal="right"/>
    </xf>
    <xf numFmtId="0" fontId="69" fillId="33" borderId="0" xfId="2" applyFont="1" applyFill="1" applyAlignment="1">
      <alignment horizontal="left"/>
    </xf>
    <xf numFmtId="37" fontId="45" fillId="33" borderId="0" xfId="2" applyNumberFormat="1" applyFont="1" applyFill="1"/>
    <xf numFmtId="37" fontId="45" fillId="0" borderId="0" xfId="2" applyNumberFormat="1" applyFont="1"/>
    <xf numFmtId="37" fontId="70" fillId="0" borderId="0" xfId="2" applyNumberFormat="1" applyFont="1" applyAlignment="1">
      <alignment horizontal="center"/>
    </xf>
    <xf numFmtId="37" fontId="71" fillId="0" borderId="0" xfId="2" applyNumberFormat="1" applyFont="1" applyAlignment="1">
      <alignment horizontal="center"/>
    </xf>
    <xf numFmtId="37" fontId="72" fillId="0" borderId="0" xfId="2" applyNumberFormat="1" applyFont="1"/>
    <xf numFmtId="0" fontId="64" fillId="0" borderId="0" xfId="2" applyFont="1"/>
    <xf numFmtId="0" fontId="43" fillId="0" borderId="0" xfId="2" applyFont="1"/>
    <xf numFmtId="37" fontId="47" fillId="0" borderId="0" xfId="2" applyNumberFormat="1" applyFont="1"/>
    <xf numFmtId="37" fontId="47" fillId="0" borderId="0" xfId="2" applyNumberFormat="1" applyFont="1" applyAlignment="1">
      <alignment horizontal="center"/>
    </xf>
    <xf numFmtId="37" fontId="47" fillId="0" borderId="0" xfId="2" quotePrefix="1" applyNumberFormat="1" applyFont="1" applyAlignment="1">
      <alignment horizontal="center"/>
    </xf>
    <xf numFmtId="3" fontId="45" fillId="0" borderId="0" xfId="2" applyNumberFormat="1" applyFont="1"/>
    <xf numFmtId="37" fontId="45" fillId="0" borderId="20" xfId="2" applyNumberFormat="1" applyFont="1" applyBorder="1"/>
    <xf numFmtId="37" fontId="42" fillId="0" borderId="0" xfId="2" applyNumberFormat="1" applyFont="1"/>
    <xf numFmtId="37" fontId="42" fillId="0" borderId="0" xfId="2" applyNumberFormat="1" applyFont="1" applyAlignment="1">
      <alignment horizontal="right"/>
    </xf>
    <xf numFmtId="5" fontId="42" fillId="0" borderId="0" xfId="2" applyNumberFormat="1" applyFont="1"/>
    <xf numFmtId="0" fontId="42" fillId="0" borderId="0" xfId="2" applyFont="1" applyAlignment="1">
      <alignment horizontal="left"/>
    </xf>
    <xf numFmtId="174" fontId="42" fillId="0" borderId="0" xfId="2" applyNumberFormat="1" applyFont="1" applyAlignment="1">
      <alignment horizontal="right"/>
    </xf>
    <xf numFmtId="37" fontId="42" fillId="0" borderId="0" xfId="2" quotePrefix="1" applyNumberFormat="1" applyFont="1" applyAlignment="1">
      <alignment horizontal="center"/>
    </xf>
    <xf numFmtId="166" fontId="47" fillId="0" borderId="0" xfId="2" applyNumberFormat="1" applyFont="1"/>
    <xf numFmtId="166" fontId="0" fillId="0" borderId="0" xfId="2" applyNumberFormat="1" applyFont="1"/>
    <xf numFmtId="166" fontId="42" fillId="0" borderId="20" xfId="2" applyNumberFormat="1" applyFont="1" applyBorder="1"/>
    <xf numFmtId="166" fontId="42" fillId="0" borderId="0" xfId="2" applyNumberFormat="1" applyFont="1" applyAlignment="1">
      <alignment horizontal="right"/>
    </xf>
    <xf numFmtId="170" fontId="42" fillId="0" borderId="0" xfId="2" quotePrefix="1" applyNumberFormat="1" applyFont="1" applyAlignment="1">
      <alignment horizontal="center"/>
    </xf>
    <xf numFmtId="166" fontId="42" fillId="0" borderId="0" xfId="2" quotePrefix="1" applyNumberFormat="1" applyFont="1" applyAlignment="1">
      <alignment horizontal="center"/>
    </xf>
    <xf numFmtId="0" fontId="47" fillId="0" borderId="0" xfId="2" applyFont="1" applyAlignment="1">
      <alignment horizontal="left"/>
    </xf>
    <xf numFmtId="37" fontId="47" fillId="0" borderId="0" xfId="2" applyNumberFormat="1" applyFont="1" applyAlignment="1">
      <alignment horizontal="right"/>
    </xf>
    <xf numFmtId="3" fontId="42" fillId="0" borderId="0" xfId="2" applyNumberFormat="1" applyFont="1"/>
    <xf numFmtId="3" fontId="47" fillId="0" borderId="0" xfId="2" applyNumberFormat="1" applyFont="1" applyAlignment="1">
      <alignment horizontal="right"/>
    </xf>
    <xf numFmtId="174" fontId="47" fillId="0" borderId="0" xfId="2" applyNumberFormat="1" applyFont="1" applyAlignment="1">
      <alignment horizontal="right"/>
    </xf>
    <xf numFmtId="169" fontId="47" fillId="0" borderId="0" xfId="2" applyNumberFormat="1" applyFont="1"/>
    <xf numFmtId="166" fontId="66" fillId="0" borderId="0" xfId="2" quotePrefix="1" applyNumberFormat="1" applyFont="1" applyAlignment="1">
      <alignment horizontal="left"/>
    </xf>
    <xf numFmtId="166" fontId="74" fillId="0" borderId="0" xfId="2" quotePrefix="1" applyNumberFormat="1" applyFont="1" applyAlignment="1">
      <alignment horizontal="left"/>
    </xf>
    <xf numFmtId="0" fontId="75" fillId="0" borderId="0" xfId="2" applyFont="1"/>
    <xf numFmtId="37" fontId="68" fillId="0" borderId="0" xfId="2" applyNumberFormat="1" applyFont="1"/>
    <xf numFmtId="0" fontId="76" fillId="0" borderId="0" xfId="2" applyFont="1"/>
    <xf numFmtId="0" fontId="69" fillId="0" borderId="0" xfId="2" applyFont="1" applyAlignment="1">
      <alignment horizontal="left"/>
    </xf>
    <xf numFmtId="37" fontId="69" fillId="0" borderId="0" xfId="2" applyNumberFormat="1" applyFont="1" applyAlignment="1">
      <alignment horizontal="right"/>
    </xf>
    <xf numFmtId="37" fontId="47" fillId="0" borderId="0" xfId="2" applyNumberFormat="1" applyFont="1" applyAlignment="1">
      <alignment horizontal="centerContinuous"/>
    </xf>
    <xf numFmtId="37" fontId="47" fillId="0" borderId="0" xfId="2" applyNumberFormat="1" applyFont="1" applyAlignment="1">
      <alignment horizontal="left"/>
    </xf>
    <xf numFmtId="0" fontId="47" fillId="0" borderId="0" xfId="2" applyFont="1" applyAlignment="1">
      <alignment horizontal="center"/>
    </xf>
    <xf numFmtId="0" fontId="77" fillId="0" borderId="0" xfId="2" applyFont="1" applyAlignment="1">
      <alignment horizontal="center"/>
    </xf>
    <xf numFmtId="37" fontId="73" fillId="0" borderId="0" xfId="2" quotePrefix="1" applyNumberFormat="1" applyFont="1" applyAlignment="1">
      <alignment horizontal="centerContinuous"/>
    </xf>
    <xf numFmtId="37" fontId="66" fillId="0" borderId="0" xfId="2" applyNumberFormat="1" applyFont="1"/>
    <xf numFmtId="0" fontId="52" fillId="0" borderId="0" xfId="2" applyFont="1"/>
    <xf numFmtId="165" fontId="68" fillId="0" borderId="0" xfId="2" applyNumberFormat="1" applyFont="1"/>
    <xf numFmtId="165" fontId="47" fillId="0" borderId="0" xfId="2" applyNumberFormat="1" applyFont="1"/>
    <xf numFmtId="165" fontId="42" fillId="0" borderId="0" xfId="2" applyNumberFormat="1" applyFont="1" applyAlignment="1">
      <alignment horizontal="center"/>
    </xf>
    <xf numFmtId="165" fontId="42" fillId="0" borderId="21" xfId="2" applyNumberFormat="1" applyFont="1" applyBorder="1"/>
    <xf numFmtId="166" fontId="66" fillId="0" borderId="0" xfId="2" applyNumberFormat="1" applyFont="1"/>
    <xf numFmtId="170" fontId="47" fillId="0" borderId="20" xfId="2" applyNumberFormat="1" applyFont="1" applyBorder="1"/>
    <xf numFmtId="170" fontId="47" fillId="0" borderId="13" xfId="2" applyNumberFormat="1" applyFont="1" applyBorder="1"/>
    <xf numFmtId="165" fontId="78" fillId="0" borderId="0" xfId="2" applyNumberFormat="1" applyFont="1"/>
    <xf numFmtId="174" fontId="47" fillId="0" borderId="13" xfId="2" applyNumberFormat="1" applyFont="1" applyBorder="1"/>
    <xf numFmtId="165" fontId="42" fillId="0" borderId="0" xfId="2" quotePrefix="1" applyNumberFormat="1" applyFont="1" applyAlignment="1">
      <alignment horizontal="left"/>
    </xf>
    <xf numFmtId="166" fontId="79" fillId="0" borderId="0" xfId="2" applyNumberFormat="1" applyFont="1"/>
    <xf numFmtId="166" fontId="80" fillId="0" borderId="0" xfId="2" applyNumberFormat="1" applyFont="1"/>
    <xf numFmtId="166" fontId="81" fillId="0" borderId="0" xfId="2" applyNumberFormat="1" applyFont="1"/>
    <xf numFmtId="166" fontId="80" fillId="0" borderId="0" xfId="2" quotePrefix="1" applyNumberFormat="1" applyFont="1" applyAlignment="1">
      <alignment horizontal="left"/>
    </xf>
    <xf numFmtId="166" fontId="62" fillId="0" borderId="0" xfId="2" applyNumberFormat="1" applyFont="1"/>
    <xf numFmtId="166" fontId="79" fillId="0" borderId="20" xfId="2" applyNumberFormat="1" applyFont="1" applyBorder="1"/>
    <xf numFmtId="166" fontId="82" fillId="0" borderId="0" xfId="2" quotePrefix="1" applyNumberFormat="1" applyFont="1" applyAlignment="1">
      <alignment horizontal="left"/>
    </xf>
    <xf numFmtId="174" fontId="82" fillId="0" borderId="0" xfId="2" applyNumberFormat="1" applyFont="1"/>
    <xf numFmtId="174" fontId="82" fillId="0" borderId="21" xfId="2" applyNumberFormat="1" applyFont="1" applyBorder="1"/>
    <xf numFmtId="166" fontId="82" fillId="0" borderId="0" xfId="2" applyNumberFormat="1" applyFont="1"/>
    <xf numFmtId="166" fontId="79" fillId="0" borderId="0" xfId="2" applyNumberFormat="1" applyFont="1" applyAlignment="1">
      <alignment horizontal="right"/>
    </xf>
    <xf numFmtId="166" fontId="79" fillId="0" borderId="21" xfId="2" applyNumberFormat="1" applyFont="1" applyBorder="1"/>
    <xf numFmtId="170" fontId="79" fillId="0" borderId="0" xfId="2" applyNumberFormat="1" applyFont="1"/>
    <xf numFmtId="170" fontId="79" fillId="0" borderId="21" xfId="2" applyNumberFormat="1" applyFont="1" applyBorder="1"/>
    <xf numFmtId="170" fontId="82" fillId="0" borderId="0" xfId="2" applyNumberFormat="1" applyFont="1"/>
    <xf numFmtId="170" fontId="82" fillId="0" borderId="21" xfId="2" applyNumberFormat="1" applyFont="1" applyBorder="1"/>
    <xf numFmtId="170" fontId="64" fillId="0" borderId="0" xfId="2" applyNumberFormat="1" applyFont="1"/>
    <xf numFmtId="170" fontId="64" fillId="0" borderId="0" xfId="2" quotePrefix="1" applyNumberFormat="1" applyFont="1" applyAlignment="1">
      <alignment horizontal="center"/>
    </xf>
    <xf numFmtId="170" fontId="79" fillId="0" borderId="0" xfId="2" applyNumberFormat="1" applyFont="1" applyAlignment="1">
      <alignment horizontal="right"/>
    </xf>
    <xf numFmtId="170" fontId="82" fillId="0" borderId="0" xfId="2" applyNumberFormat="1" applyFont="1" applyAlignment="1">
      <alignment horizontal="right"/>
    </xf>
    <xf numFmtId="166" fontId="64" fillId="0" borderId="0" xfId="2" quotePrefix="1" applyNumberFormat="1" applyFont="1" applyAlignment="1">
      <alignment horizontal="left"/>
    </xf>
    <xf numFmtId="165" fontId="64" fillId="0" borderId="0" xfId="2" applyNumberFormat="1" applyFont="1"/>
    <xf numFmtId="165" fontId="45" fillId="0" borderId="0" xfId="2" applyNumberFormat="1" applyFont="1"/>
    <xf numFmtId="165" fontId="69" fillId="0" borderId="0" xfId="2" applyNumberFormat="1" applyFont="1"/>
    <xf numFmtId="0" fontId="69" fillId="0" borderId="0" xfId="2" applyFont="1"/>
    <xf numFmtId="164" fontId="69" fillId="0" borderId="0" xfId="2" applyNumberFormat="1" applyFont="1" applyAlignment="1">
      <alignment horizontal="right"/>
    </xf>
    <xf numFmtId="174" fontId="67" fillId="0" borderId="0" xfId="2" applyNumberFormat="1" applyFont="1"/>
    <xf numFmtId="166" fontId="42" fillId="0" borderId="21" xfId="2" applyNumberFormat="1" applyFont="1" applyBorder="1"/>
    <xf numFmtId="166" fontId="47" fillId="0" borderId="13" xfId="2" applyNumberFormat="1" applyFont="1" applyBorder="1"/>
    <xf numFmtId="3" fontId="42" fillId="0" borderId="0" xfId="2" applyNumberFormat="1" applyFont="1" applyAlignment="1">
      <alignment vertical="center"/>
    </xf>
    <xf numFmtId="3" fontId="42" fillId="0" borderId="0" xfId="2" applyNumberFormat="1" applyFont="1" applyAlignment="1">
      <alignment horizontal="left" vertical="center"/>
    </xf>
    <xf numFmtId="170" fontId="47" fillId="0" borderId="45" xfId="2" applyNumberFormat="1" applyFont="1" applyBorder="1"/>
    <xf numFmtId="0" fontId="47" fillId="0" borderId="21" xfId="2" applyFont="1" applyBorder="1"/>
    <xf numFmtId="166" fontId="42" fillId="0" borderId="13" xfId="2" applyNumberFormat="1" applyFont="1" applyBorder="1"/>
    <xf numFmtId="174" fontId="47" fillId="0" borderId="17" xfId="2" applyNumberFormat="1" applyFont="1" applyBorder="1"/>
    <xf numFmtId="164" fontId="42" fillId="0" borderId="0" xfId="2" applyNumberFormat="1" applyFont="1"/>
    <xf numFmtId="0" fontId="45" fillId="0" borderId="0" xfId="2" applyFont="1"/>
    <xf numFmtId="0" fontId="78" fillId="0" borderId="0" xfId="2" applyFont="1"/>
    <xf numFmtId="168" fontId="42" fillId="0" borderId="0" xfId="2" applyNumberFormat="1" applyFont="1"/>
    <xf numFmtId="0" fontId="41" fillId="0" borderId="0" xfId="2" applyFont="1" applyAlignment="1">
      <alignment horizontal="right"/>
    </xf>
    <xf numFmtId="165" fontId="42" fillId="0" borderId="15" xfId="2" applyNumberFormat="1" applyFont="1" applyBorder="1"/>
    <xf numFmtId="174" fontId="47" fillId="0" borderId="47" xfId="2" applyNumberFormat="1" applyFont="1" applyBorder="1"/>
    <xf numFmtId="164" fontId="47" fillId="0" borderId="0" xfId="2" applyNumberFormat="1" applyFont="1"/>
    <xf numFmtId="165" fontId="42" fillId="0" borderId="47" xfId="2" applyNumberFormat="1" applyFont="1" applyBorder="1"/>
    <xf numFmtId="170" fontId="42" fillId="0" borderId="47" xfId="2" applyNumberFormat="1" applyFont="1" applyBorder="1"/>
    <xf numFmtId="170" fontId="42" fillId="0" borderId="0" xfId="2" quotePrefix="1" applyNumberFormat="1" applyFont="1" applyAlignment="1">
      <alignment horizontal="right"/>
    </xf>
    <xf numFmtId="170" fontId="42" fillId="0" borderId="0" xfId="2" quotePrefix="1" applyNumberFormat="1" applyFont="1"/>
    <xf numFmtId="170" fontId="42" fillId="0" borderId="47" xfId="2" applyNumberFormat="1" applyFont="1" applyBorder="1" applyAlignment="1">
      <alignment horizontal="center"/>
    </xf>
    <xf numFmtId="165" fontId="42" fillId="0" borderId="0" xfId="2" applyNumberFormat="1" applyFont="1" applyAlignment="1">
      <alignment horizontal="left"/>
    </xf>
    <xf numFmtId="170" fontId="42" fillId="0" borderId="10" xfId="2" applyNumberFormat="1" applyFont="1" applyBorder="1" applyAlignment="1">
      <alignment horizontal="right"/>
    </xf>
    <xf numFmtId="170" fontId="47" fillId="0" borderId="47" xfId="2" applyNumberFormat="1" applyFont="1" applyBorder="1"/>
    <xf numFmtId="166" fontId="47" fillId="0" borderId="0" xfId="2" applyNumberFormat="1" applyFont="1" applyAlignment="1">
      <alignment horizontal="right"/>
    </xf>
    <xf numFmtId="164" fontId="47" fillId="0" borderId="16" xfId="2" applyNumberFormat="1" applyFont="1" applyBorder="1"/>
    <xf numFmtId="164" fontId="47" fillId="0" borderId="17" xfId="2" applyNumberFormat="1" applyFont="1" applyBorder="1"/>
    <xf numFmtId="168" fontId="43" fillId="0" borderId="0" xfId="2" applyNumberFormat="1" applyFont="1"/>
    <xf numFmtId="0" fontId="41" fillId="0" borderId="0" xfId="2" applyFont="1" applyAlignment="1">
      <alignment horizontal="left"/>
    </xf>
    <xf numFmtId="165" fontId="42" fillId="0" borderId="18" xfId="2" applyNumberFormat="1" applyFont="1" applyBorder="1"/>
    <xf numFmtId="165" fontId="42" fillId="0" borderId="0" xfId="2" applyNumberFormat="1" applyFont="1" applyAlignment="1">
      <alignment horizontal="right"/>
    </xf>
    <xf numFmtId="166" fontId="42" fillId="0" borderId="47" xfId="2" applyNumberFormat="1" applyFont="1" applyBorder="1" applyAlignment="1">
      <alignment horizontal="center"/>
    </xf>
    <xf numFmtId="170" fontId="47" fillId="0" borderId="40" xfId="2" applyNumberFormat="1" applyFont="1" applyBorder="1"/>
    <xf numFmtId="168" fontId="45" fillId="0" borderId="0" xfId="2" applyNumberFormat="1" applyFont="1"/>
    <xf numFmtId="0" fontId="87" fillId="0" borderId="0" xfId="2" applyFont="1"/>
    <xf numFmtId="164" fontId="42" fillId="0" borderId="0" xfId="2" applyNumberFormat="1" applyFont="1" applyAlignment="1">
      <alignment horizontal="right"/>
    </xf>
    <xf numFmtId="164" fontId="47" fillId="0" borderId="10" xfId="2" applyNumberFormat="1" applyFont="1" applyBorder="1"/>
    <xf numFmtId="0" fontId="45" fillId="0" borderId="0" xfId="4" applyFont="1"/>
    <xf numFmtId="0" fontId="69" fillId="0" borderId="0" xfId="4" applyFont="1"/>
    <xf numFmtId="0" fontId="42" fillId="0" borderId="0" xfId="4" applyFont="1"/>
    <xf numFmtId="166" fontId="42" fillId="0" borderId="0" xfId="4" applyNumberFormat="1" applyFont="1"/>
    <xf numFmtId="0" fontId="42" fillId="0" borderId="0" xfId="4" applyFont="1" applyAlignment="1">
      <alignment horizontal="center"/>
    </xf>
    <xf numFmtId="174" fontId="47" fillId="0" borderId="0" xfId="4" applyNumberFormat="1" applyFont="1"/>
    <xf numFmtId="0" fontId="47" fillId="0" borderId="0" xfId="4" applyFont="1"/>
    <xf numFmtId="166" fontId="42" fillId="0" borderId="15" xfId="4" applyNumberFormat="1" applyFont="1" applyBorder="1"/>
    <xf numFmtId="170" fontId="42" fillId="0" borderId="0" xfId="4" applyNumberFormat="1" applyFont="1"/>
    <xf numFmtId="170" fontId="47" fillId="0" borderId="10" xfId="4" applyNumberFormat="1" applyFont="1" applyBorder="1"/>
    <xf numFmtId="170" fontId="47" fillId="0" borderId="10" xfId="5" applyNumberFormat="1" applyFont="1" applyFill="1" applyBorder="1"/>
    <xf numFmtId="165" fontId="90" fillId="0" borderId="0" xfId="2" applyNumberFormat="1" applyFont="1" applyAlignment="1">
      <alignment horizontal="left"/>
    </xf>
    <xf numFmtId="165" fontId="91" fillId="0" borderId="0" xfId="2" applyNumberFormat="1" applyFont="1"/>
    <xf numFmtId="165" fontId="92" fillId="0" borderId="0" xfId="2" applyNumberFormat="1" applyFont="1"/>
    <xf numFmtId="165" fontId="93" fillId="0" borderId="0" xfId="2" applyNumberFormat="1" applyFont="1" applyAlignment="1">
      <alignment horizontal="centerContinuous"/>
    </xf>
    <xf numFmtId="165" fontId="90" fillId="0" borderId="0" xfId="2" applyNumberFormat="1" applyFont="1"/>
    <xf numFmtId="0" fontId="83" fillId="0" borderId="0" xfId="2" applyFont="1"/>
    <xf numFmtId="165" fontId="90" fillId="0" borderId="0" xfId="2" applyNumberFormat="1" applyFont="1" applyAlignment="1">
      <alignment horizontal="centerContinuous"/>
    </xf>
    <xf numFmtId="0" fontId="94" fillId="0" borderId="0" xfId="2" applyFont="1" applyAlignment="1">
      <alignment horizontal="left"/>
    </xf>
    <xf numFmtId="165" fontId="95" fillId="0" borderId="0" xfId="2" applyNumberFormat="1" applyFont="1"/>
    <xf numFmtId="166" fontId="47" fillId="0" borderId="15" xfId="2" applyNumberFormat="1" applyFont="1" applyBorder="1"/>
    <xf numFmtId="174" fontId="47" fillId="0" borderId="0" xfId="2" quotePrefix="1" applyNumberFormat="1" applyFont="1"/>
    <xf numFmtId="174" fontId="47" fillId="0" borderId="15" xfId="2" applyNumberFormat="1" applyFont="1" applyBorder="1"/>
    <xf numFmtId="166" fontId="0" fillId="0" borderId="0" xfId="2" applyNumberFormat="1" applyFont="1" applyAlignment="1">
      <alignment horizontal="center"/>
    </xf>
    <xf numFmtId="164" fontId="0" fillId="0" borderId="0" xfId="2" applyNumberFormat="1" applyFont="1"/>
    <xf numFmtId="170" fontId="47" fillId="0" borderId="15" xfId="2" applyNumberFormat="1" applyFont="1" applyBorder="1" applyAlignment="1">
      <alignment horizontal="right"/>
    </xf>
    <xf numFmtId="170" fontId="47" fillId="0" borderId="15" xfId="2" applyNumberFormat="1" applyFont="1" applyBorder="1"/>
    <xf numFmtId="170" fontId="0" fillId="0" borderId="10" xfId="2" applyNumberFormat="1" applyFont="1" applyBorder="1"/>
    <xf numFmtId="172" fontId="0" fillId="0" borderId="0" xfId="2" applyNumberFormat="1" applyFont="1"/>
    <xf numFmtId="170" fontId="47" fillId="0" borderId="15" xfId="2" applyNumberFormat="1" applyFont="1" applyBorder="1" applyAlignment="1">
      <alignment horizontal="center"/>
    </xf>
    <xf numFmtId="170" fontId="42" fillId="0" borderId="0" xfId="2" applyNumberFormat="1" applyFont="1" applyAlignment="1">
      <alignment horizontal="right" vertical="center"/>
    </xf>
    <xf numFmtId="170" fontId="42" fillId="0" borderId="21" xfId="2" applyNumberFormat="1" applyFont="1" applyBorder="1" applyAlignment="1">
      <alignment horizontal="right" vertical="center"/>
    </xf>
    <xf numFmtId="170" fontId="47" fillId="0" borderId="10" xfId="1" applyNumberFormat="1" applyFont="1" applyBorder="1" applyAlignment="1"/>
    <xf numFmtId="172" fontId="47" fillId="0" borderId="10" xfId="2" applyNumberFormat="1" applyFont="1" applyBorder="1"/>
    <xf numFmtId="7" fontId="47" fillId="0" borderId="0" xfId="2" applyNumberFormat="1" applyFont="1"/>
    <xf numFmtId="169" fontId="42" fillId="0" borderId="21" xfId="2" applyNumberFormat="1" applyFont="1" applyBorder="1"/>
    <xf numFmtId="166" fontId="85" fillId="0" borderId="0" xfId="2" applyNumberFormat="1" applyFont="1" applyAlignment="1">
      <alignment horizontal="left"/>
    </xf>
    <xf numFmtId="0" fontId="85" fillId="0" borderId="0" xfId="2" applyFont="1"/>
    <xf numFmtId="166" fontId="85" fillId="0" borderId="0" xfId="2" quotePrefix="1" applyNumberFormat="1" applyFont="1" applyAlignment="1">
      <alignment horizontal="left"/>
    </xf>
    <xf numFmtId="166" fontId="42" fillId="0" borderId="0" xfId="2" quotePrefix="1" applyNumberFormat="1" applyFont="1" applyAlignment="1">
      <alignment horizontal="left"/>
    </xf>
    <xf numFmtId="174" fontId="82" fillId="0" borderId="0" xfId="2" applyNumberFormat="1" applyFont="1" applyAlignment="1">
      <alignment horizontal="right"/>
    </xf>
    <xf numFmtId="166" fontId="78" fillId="0" borderId="0" xfId="2" applyNumberFormat="1" applyFont="1"/>
    <xf numFmtId="170" fontId="62" fillId="0" borderId="0" xfId="2" applyNumberFormat="1" applyFont="1" applyAlignment="1">
      <alignment horizontal="right"/>
    </xf>
    <xf numFmtId="170" fontId="79" fillId="0" borderId="20" xfId="2" applyNumberFormat="1" applyFont="1" applyBorder="1"/>
    <xf numFmtId="170" fontId="79" fillId="0" borderId="20" xfId="2" applyNumberFormat="1" applyFont="1" applyBorder="1" applyAlignment="1">
      <alignment horizontal="right"/>
    </xf>
    <xf numFmtId="170" fontId="82" fillId="0" borderId="0" xfId="2" applyNumberFormat="1" applyFont="1" applyAlignment="1">
      <alignment horizontal="center"/>
    </xf>
    <xf numFmtId="170" fontId="68" fillId="0" borderId="0" xfId="2" applyNumberFormat="1" applyFont="1" applyAlignment="1">
      <alignment horizontal="right"/>
    </xf>
    <xf numFmtId="166" fontId="82" fillId="0" borderId="20" xfId="2" applyNumberFormat="1" applyFont="1" applyBorder="1"/>
    <xf numFmtId="166" fontId="82" fillId="0" borderId="20" xfId="2" applyNumberFormat="1" applyFont="1" applyBorder="1" applyAlignment="1">
      <alignment horizontal="right"/>
    </xf>
    <xf numFmtId="166" fontId="82" fillId="0" borderId="0" xfId="2" applyNumberFormat="1" applyFont="1" applyAlignment="1">
      <alignment horizontal="right"/>
    </xf>
    <xf numFmtId="166" fontId="78" fillId="0" borderId="0" xfId="2" applyNumberFormat="1" applyFont="1" applyAlignment="1">
      <alignment horizontal="right"/>
    </xf>
    <xf numFmtId="166" fontId="82" fillId="0" borderId="21" xfId="2" applyNumberFormat="1" applyFont="1" applyBorder="1"/>
    <xf numFmtId="166" fontId="81" fillId="0" borderId="36" xfId="2" applyNumberFormat="1" applyFont="1" applyBorder="1"/>
    <xf numFmtId="165" fontId="81" fillId="0" borderId="0" xfId="2" applyNumberFormat="1" applyFont="1"/>
    <xf numFmtId="165" fontId="96" fillId="0" borderId="0" xfId="2" applyNumberFormat="1" applyFont="1"/>
    <xf numFmtId="165" fontId="64" fillId="0" borderId="20" xfId="2" applyNumberFormat="1" applyFont="1" applyBorder="1"/>
    <xf numFmtId="174" fontId="69" fillId="0" borderId="0" xfId="2" applyNumberFormat="1" applyFont="1"/>
    <xf numFmtId="170" fontId="64" fillId="0" borderId="20" xfId="2" applyNumberFormat="1" applyFont="1" applyBorder="1"/>
    <xf numFmtId="170" fontId="69" fillId="0" borderId="0" xfId="2" applyNumberFormat="1" applyFont="1"/>
    <xf numFmtId="170" fontId="69" fillId="0" borderId="0" xfId="2" applyNumberFormat="1" applyFont="1" applyAlignment="1">
      <alignment horizontal="right"/>
    </xf>
    <xf numFmtId="0" fontId="64" fillId="0" borderId="20" xfId="2" applyFont="1" applyBorder="1"/>
    <xf numFmtId="174" fontId="69" fillId="0" borderId="17" xfId="2" applyNumberFormat="1" applyFont="1" applyBorder="1"/>
    <xf numFmtId="0" fontId="64" fillId="0" borderId="36" xfId="2" applyFont="1" applyBorder="1"/>
    <xf numFmtId="165" fontId="64" fillId="0" borderId="0" xfId="2" quotePrefix="1" applyNumberFormat="1" applyFont="1"/>
    <xf numFmtId="0" fontId="97" fillId="0" borderId="0" xfId="2" applyFont="1"/>
    <xf numFmtId="0" fontId="69" fillId="0" borderId="0" xfId="2" applyFont="1" applyAlignment="1">
      <alignment horizontal="right"/>
    </xf>
    <xf numFmtId="0" fontId="98" fillId="0" borderId="0" xfId="2" applyFont="1"/>
    <xf numFmtId="0" fontId="99" fillId="0" borderId="0" xfId="2" applyFont="1"/>
    <xf numFmtId="0" fontId="98" fillId="0" borderId="0" xfId="2" applyFont="1" applyAlignment="1">
      <alignment horizontal="left"/>
    </xf>
    <xf numFmtId="0" fontId="0" fillId="0" borderId="0" xfId="17" applyNumberFormat="1" applyFont="1"/>
    <xf numFmtId="0" fontId="47" fillId="0" borderId="0" xfId="17" applyNumberFormat="1" applyFont="1" applyAlignment="1" applyProtection="1">
      <alignment horizontal="center"/>
      <protection locked="0"/>
    </xf>
    <xf numFmtId="0" fontId="47" fillId="0" borderId="0" xfId="17" applyNumberFormat="1" applyFont="1" applyAlignment="1">
      <alignment horizontal="center"/>
    </xf>
    <xf numFmtId="49" fontId="47" fillId="0" borderId="0" xfId="17" applyNumberFormat="1" applyFont="1" applyAlignment="1">
      <alignment horizontal="center"/>
    </xf>
    <xf numFmtId="0" fontId="73" fillId="0" borderId="0" xfId="17" applyNumberFormat="1" applyFont="1"/>
    <xf numFmtId="174" fontId="47" fillId="0" borderId="0" xfId="17" applyNumberFormat="1" applyFont="1"/>
    <xf numFmtId="190" fontId="111" fillId="0" borderId="0" xfId="11" applyNumberFormat="1" applyFont="1" applyAlignment="1">
      <alignment horizontal="right"/>
    </xf>
    <xf numFmtId="190" fontId="68" fillId="0" borderId="0" xfId="11" applyNumberFormat="1" applyFont="1" applyAlignment="1"/>
    <xf numFmtId="43" fontId="78" fillId="0" borderId="0" xfId="11" applyFont="1" applyAlignment="1"/>
    <xf numFmtId="190" fontId="45" fillId="0" borderId="0" xfId="11" applyNumberFormat="1" applyFont="1" applyAlignment="1"/>
    <xf numFmtId="0" fontId="41" fillId="0" borderId="0" xfId="739" quotePrefix="1" applyFont="1" applyAlignment="1">
      <alignment horizontal="left"/>
    </xf>
    <xf numFmtId="0" fontId="47" fillId="0" borderId="0" xfId="739" applyFont="1"/>
    <xf numFmtId="0" fontId="98" fillId="0" borderId="0" xfId="739" applyFont="1"/>
    <xf numFmtId="0" fontId="97" fillId="0" borderId="0" xfId="739" applyFont="1"/>
    <xf numFmtId="37" fontId="97" fillId="0" borderId="0" xfId="739" applyNumberFormat="1" applyFont="1"/>
    <xf numFmtId="0" fontId="99" fillId="0" borderId="0" xfId="739" applyFont="1"/>
    <xf numFmtId="37" fontId="98" fillId="0" borderId="42" xfId="739" quotePrefix="1" applyNumberFormat="1" applyFont="1" applyBorder="1" applyAlignment="1">
      <alignment horizontal="center"/>
    </xf>
    <xf numFmtId="37" fontId="134" fillId="0" borderId="0" xfId="2" applyNumberFormat="1" applyFont="1"/>
    <xf numFmtId="37" fontId="135" fillId="0" borderId="0" xfId="2" applyNumberFormat="1" applyFont="1"/>
    <xf numFmtId="0" fontId="133" fillId="0" borderId="0" xfId="2" applyFont="1" applyAlignment="1">
      <alignment horizontal="center"/>
    </xf>
    <xf numFmtId="37" fontId="133" fillId="0" borderId="0" xfId="2" applyNumberFormat="1" applyFont="1"/>
    <xf numFmtId="37" fontId="132" fillId="0" borderId="0" xfId="2" applyNumberFormat="1" applyFont="1"/>
    <xf numFmtId="166" fontId="67" fillId="0" borderId="0" xfId="2" applyNumberFormat="1" applyFont="1"/>
    <xf numFmtId="177" fontId="47" fillId="0" borderId="0" xfId="740" quotePrefix="1" applyNumberFormat="1" applyFont="1" applyAlignment="1">
      <alignment horizontal="left"/>
    </xf>
    <xf numFmtId="177" fontId="47" fillId="0" borderId="16" xfId="740" applyNumberFormat="1" applyFont="1" applyBorder="1" applyAlignment="1">
      <alignment horizontal="right"/>
    </xf>
    <xf numFmtId="177" fontId="47" fillId="0" borderId="0" xfId="740" applyNumberFormat="1" applyFont="1" applyAlignment="1">
      <alignment horizontal="center"/>
    </xf>
    <xf numFmtId="177" fontId="73" fillId="0" borderId="0" xfId="740" applyNumberFormat="1" applyFont="1"/>
    <xf numFmtId="177" fontId="102" fillId="0" borderId="0" xfId="740" applyNumberFormat="1" applyFont="1"/>
    <xf numFmtId="165" fontId="102" fillId="0" borderId="0" xfId="740" applyNumberFormat="1" applyFont="1"/>
    <xf numFmtId="177" fontId="47" fillId="0" borderId="0" xfId="740" applyNumberFormat="1" applyFont="1"/>
    <xf numFmtId="177" fontId="47" fillId="0" borderId="16" xfId="740" applyNumberFormat="1" applyFont="1" applyBorder="1"/>
    <xf numFmtId="177" fontId="47" fillId="0" borderId="0" xfId="740" applyNumberFormat="1" applyFont="1" applyAlignment="1">
      <alignment horizontal="right"/>
    </xf>
    <xf numFmtId="180" fontId="47" fillId="0" borderId="17" xfId="740" applyNumberFormat="1" applyFont="1" applyBorder="1"/>
    <xf numFmtId="181" fontId="47" fillId="0" borderId="0" xfId="740" applyNumberFormat="1" applyFont="1" applyAlignment="1">
      <alignment horizontal="right"/>
    </xf>
    <xf numFmtId="183" fontId="47" fillId="0" borderId="0" xfId="740" applyNumberFormat="1" applyFont="1"/>
    <xf numFmtId="0" fontId="64" fillId="0" borderId="0" xfId="836" applyFont="1"/>
    <xf numFmtId="0" fontId="64" fillId="0" borderId="0" xfId="836" applyFont="1" applyAlignment="1">
      <alignment horizontal="right"/>
    </xf>
    <xf numFmtId="177" fontId="64" fillId="0" borderId="0" xfId="836" applyNumberFormat="1" applyFont="1"/>
    <xf numFmtId="173" fontId="68" fillId="0" borderId="0" xfId="836" applyNumberFormat="1" applyFont="1"/>
    <xf numFmtId="0" fontId="69" fillId="0" borderId="0" xfId="836" applyFont="1"/>
    <xf numFmtId="0" fontId="47" fillId="0" borderId="0" xfId="836" applyFont="1"/>
    <xf numFmtId="173" fontId="42" fillId="0" borderId="0" xfId="836" applyNumberFormat="1"/>
    <xf numFmtId="0" fontId="69" fillId="0" borderId="0" xfId="836" applyFont="1" applyAlignment="1">
      <alignment horizontal="right"/>
    </xf>
    <xf numFmtId="173" fontId="64" fillId="0" borderId="0" xfId="836" applyNumberFormat="1" applyFont="1"/>
    <xf numFmtId="0" fontId="47" fillId="0" borderId="0" xfId="836" applyFont="1" applyAlignment="1">
      <alignment horizontal="right"/>
    </xf>
    <xf numFmtId="0" fontId="69" fillId="0" borderId="0" xfId="836" quotePrefix="1" applyFont="1" applyAlignment="1">
      <alignment horizontal="left"/>
    </xf>
    <xf numFmtId="0" fontId="105" fillId="0" borderId="0" xfId="836" applyFont="1"/>
    <xf numFmtId="181" fontId="42" fillId="0" borderId="0" xfId="836" applyNumberFormat="1"/>
    <xf numFmtId="181" fontId="47" fillId="0" borderId="0" xfId="836" applyNumberFormat="1" applyFont="1"/>
    <xf numFmtId="173" fontId="47" fillId="0" borderId="0" xfId="836" applyNumberFormat="1" applyFont="1"/>
    <xf numFmtId="173" fontId="69" fillId="0" borderId="0" xfId="836" applyNumberFormat="1" applyFont="1"/>
    <xf numFmtId="181" fontId="42" fillId="0" borderId="0" xfId="836" quotePrefix="1" applyNumberFormat="1" applyAlignment="1">
      <alignment horizontal="left"/>
    </xf>
    <xf numFmtId="173" fontId="69" fillId="0" borderId="0" xfId="836" applyNumberFormat="1" applyFont="1" applyAlignment="1">
      <alignment horizontal="centerContinuous"/>
    </xf>
    <xf numFmtId="173" fontId="69" fillId="0" borderId="0" xfId="836" applyNumberFormat="1" applyFont="1" applyAlignment="1">
      <alignment horizontal="center"/>
    </xf>
    <xf numFmtId="0" fontId="105" fillId="0" borderId="0" xfId="836" applyFont="1" applyAlignment="1">
      <alignment horizontal="center"/>
    </xf>
    <xf numFmtId="0" fontId="69" fillId="0" borderId="0" xfId="836" applyFont="1" applyAlignment="1">
      <alignment horizontal="center"/>
    </xf>
    <xf numFmtId="173" fontId="64" fillId="0" borderId="0" xfId="836" applyNumberFormat="1" applyFont="1" applyAlignment="1">
      <alignment horizontal="right"/>
    </xf>
    <xf numFmtId="176" fontId="64" fillId="0" borderId="0" xfId="836" applyNumberFormat="1" applyFont="1"/>
    <xf numFmtId="173" fontId="64" fillId="0" borderId="0" xfId="836" applyNumberFormat="1" applyFont="1" applyProtection="1">
      <protection locked="0"/>
    </xf>
    <xf numFmtId="176" fontId="64" fillId="0" borderId="0" xfId="836" applyNumberFormat="1" applyFont="1" applyProtection="1">
      <protection locked="0"/>
    </xf>
    <xf numFmtId="173" fontId="64" fillId="0" borderId="0" xfId="836" applyNumberFormat="1" applyFont="1" applyAlignment="1">
      <alignment horizontal="center"/>
    </xf>
    <xf numFmtId="176" fontId="64" fillId="0" borderId="0" xfId="836" applyNumberFormat="1" applyFont="1" applyAlignment="1" applyProtection="1">
      <alignment horizontal="right"/>
      <protection locked="0"/>
    </xf>
    <xf numFmtId="176" fontId="64" fillId="0" borderId="0" xfId="836" applyNumberFormat="1" applyFont="1" applyAlignment="1">
      <alignment horizontal="center"/>
    </xf>
    <xf numFmtId="0" fontId="65" fillId="0" borderId="0" xfId="836" applyFont="1"/>
    <xf numFmtId="165" fontId="45" fillId="0" borderId="0" xfId="840" applyNumberFormat="1"/>
    <xf numFmtId="165" fontId="111" fillId="0" borderId="0" xfId="840" applyNumberFormat="1" applyFont="1" applyAlignment="1">
      <alignment horizontal="right"/>
    </xf>
    <xf numFmtId="39" fontId="45" fillId="0" borderId="0" xfId="840" applyNumberFormat="1"/>
    <xf numFmtId="40" fontId="45" fillId="0" borderId="0" xfId="840" applyNumberFormat="1"/>
    <xf numFmtId="165" fontId="68" fillId="0" borderId="0" xfId="840" applyNumberFormat="1" applyFont="1"/>
    <xf numFmtId="5" fontId="47" fillId="0" borderId="0" xfId="840" applyNumberFormat="1" applyFont="1"/>
    <xf numFmtId="40" fontId="47" fillId="0" borderId="0" xfId="840" applyNumberFormat="1" applyFont="1"/>
    <xf numFmtId="165" fontId="78" fillId="0" borderId="0" xfId="840" applyNumberFormat="1" applyFont="1" applyAlignment="1">
      <alignment horizontal="right"/>
    </xf>
    <xf numFmtId="0" fontId="70" fillId="0" borderId="0" xfId="840" quotePrefix="1" applyFont="1" applyAlignment="1">
      <alignment horizontal="left"/>
    </xf>
    <xf numFmtId="0" fontId="69" fillId="0" borderId="0" xfId="840" applyFont="1"/>
    <xf numFmtId="40" fontId="112" fillId="0" borderId="0" xfId="840" applyNumberFormat="1" applyFont="1" applyAlignment="1">
      <alignment horizontal="center"/>
    </xf>
    <xf numFmtId="40" fontId="47" fillId="0" borderId="0" xfId="840" quotePrefix="1" applyNumberFormat="1" applyFont="1" applyAlignment="1">
      <alignment horizontal="left"/>
    </xf>
    <xf numFmtId="40" fontId="47" fillId="0" borderId="0" xfId="840" applyNumberFormat="1" applyFont="1" applyAlignment="1">
      <alignment horizontal="left"/>
    </xf>
    <xf numFmtId="39" fontId="47" fillId="0" borderId="0" xfId="840" quotePrefix="1" applyNumberFormat="1" applyFont="1" applyAlignment="1">
      <alignment horizontal="center"/>
    </xf>
    <xf numFmtId="40" fontId="47" fillId="0" borderId="0" xfId="840" applyNumberFormat="1" applyFont="1" applyAlignment="1">
      <alignment horizontal="center"/>
    </xf>
    <xf numFmtId="39" fontId="47" fillId="0" borderId="0" xfId="840" applyNumberFormat="1" applyFont="1" applyAlignment="1">
      <alignment horizontal="center"/>
    </xf>
    <xf numFmtId="37" fontId="47" fillId="0" borderId="0" xfId="840" applyNumberFormat="1" applyFont="1"/>
    <xf numFmtId="186" fontId="47" fillId="0" borderId="0" xfId="840" quotePrefix="1" applyNumberFormat="1" applyFont="1" applyAlignment="1">
      <alignment horizontal="center"/>
    </xf>
    <xf numFmtId="42" fontId="47" fillId="0" borderId="0" xfId="840" applyNumberFormat="1" applyFont="1"/>
    <xf numFmtId="165" fontId="78" fillId="0" borderId="0" xfId="840" applyNumberFormat="1" applyFont="1"/>
    <xf numFmtId="0" fontId="47" fillId="0" borderId="0" xfId="840" applyFont="1"/>
    <xf numFmtId="41" fontId="47" fillId="0" borderId="0" xfId="840" applyNumberFormat="1" applyFont="1"/>
    <xf numFmtId="41" fontId="47" fillId="0" borderId="16" xfId="840" applyNumberFormat="1" applyFont="1" applyBorder="1"/>
    <xf numFmtId="0" fontId="47" fillId="0" borderId="0" xfId="840" applyFont="1" applyAlignment="1">
      <alignment horizontal="left"/>
    </xf>
    <xf numFmtId="0" fontId="45" fillId="0" borderId="0" xfId="840" applyAlignment="1">
      <alignment horizontal="left"/>
    </xf>
    <xf numFmtId="166" fontId="61" fillId="0" borderId="0" xfId="2" applyNumberFormat="1" applyFont="1"/>
    <xf numFmtId="166" fontId="61" fillId="0" borderId="0" xfId="2" quotePrefix="1" applyNumberFormat="1" applyFont="1" applyAlignment="1">
      <alignment horizontal="left"/>
    </xf>
    <xf numFmtId="166" fontId="62" fillId="0" borderId="0" xfId="2" applyNumberFormat="1" applyFont="1" applyAlignment="1">
      <alignment horizontal="center"/>
    </xf>
    <xf numFmtId="166" fontId="62" fillId="0" borderId="20" xfId="2" applyNumberFormat="1" applyFont="1" applyBorder="1"/>
    <xf numFmtId="174" fontId="61" fillId="0" borderId="0" xfId="2" applyNumberFormat="1" applyFont="1"/>
    <xf numFmtId="174" fontId="61" fillId="0" borderId="18" xfId="2" applyNumberFormat="1" applyFont="1" applyBorder="1"/>
    <xf numFmtId="166" fontId="62" fillId="0" borderId="0" xfId="2" applyNumberFormat="1" applyFont="1" applyAlignment="1">
      <alignment horizontal="right"/>
    </xf>
    <xf numFmtId="166" fontId="62" fillId="0" borderId="18" xfId="2" applyNumberFormat="1" applyFont="1" applyBorder="1"/>
    <xf numFmtId="170" fontId="62" fillId="0" borderId="0" xfId="2" applyNumberFormat="1" applyFont="1"/>
    <xf numFmtId="170" fontId="62" fillId="0" borderId="18" xfId="2" applyNumberFormat="1" applyFont="1" applyBorder="1"/>
    <xf numFmtId="170" fontId="62" fillId="0" borderId="66" xfId="2" applyNumberFormat="1" applyFont="1" applyBorder="1"/>
    <xf numFmtId="170" fontId="61" fillId="0" borderId="10" xfId="2" applyNumberFormat="1" applyFont="1" applyBorder="1" applyAlignment="1">
      <alignment horizontal="right"/>
    </xf>
    <xf numFmtId="170" fontId="61" fillId="0" borderId="0" xfId="2" applyNumberFormat="1" applyFont="1"/>
    <xf numFmtId="170" fontId="61" fillId="0" borderId="18" xfId="2" applyNumberFormat="1" applyFont="1" applyBorder="1"/>
    <xf numFmtId="166" fontId="62" fillId="0" borderId="0" xfId="2" quotePrefix="1" applyNumberFormat="1" applyFont="1" applyAlignment="1">
      <alignment horizontal="left"/>
    </xf>
    <xf numFmtId="170" fontId="61" fillId="0" borderId="16" xfId="2" applyNumberFormat="1" applyFont="1" applyBorder="1"/>
    <xf numFmtId="170" fontId="139" fillId="0" borderId="0" xfId="2" applyNumberFormat="1" applyFont="1"/>
    <xf numFmtId="170" fontId="66" fillId="0" borderId="18" xfId="2" applyNumberFormat="1" applyFont="1" applyBorder="1"/>
    <xf numFmtId="170" fontId="67" fillId="0" borderId="0" xfId="2" applyNumberFormat="1" applyFont="1"/>
    <xf numFmtId="170" fontId="67" fillId="0" borderId="18" xfId="2" applyNumberFormat="1" applyFont="1" applyBorder="1"/>
    <xf numFmtId="170" fontId="61" fillId="0" borderId="0" xfId="2" applyNumberFormat="1" applyFont="1" applyAlignment="1">
      <alignment horizontal="right"/>
    </xf>
    <xf numFmtId="166" fontId="66" fillId="0" borderId="18" xfId="2" applyNumberFormat="1" applyFont="1" applyBorder="1"/>
    <xf numFmtId="166" fontId="47" fillId="0" borderId="0" xfId="2" applyNumberFormat="1" applyFont="1" applyAlignment="1">
      <alignment horizontal="left"/>
    </xf>
    <xf numFmtId="174" fontId="61" fillId="0" borderId="17" xfId="2" applyNumberFormat="1" applyFont="1" applyBorder="1"/>
    <xf numFmtId="174" fontId="67" fillId="0" borderId="0" xfId="2" applyNumberFormat="1" applyFont="1" applyAlignment="1">
      <alignment horizontal="right"/>
    </xf>
    <xf numFmtId="174" fontId="67" fillId="0" borderId="18" xfId="2" applyNumberFormat="1" applyFont="1" applyBorder="1"/>
    <xf numFmtId="166" fontId="49" fillId="0" borderId="0" xfId="2" applyNumberFormat="1" applyFont="1"/>
    <xf numFmtId="43" fontId="45" fillId="0" borderId="0" xfId="5" applyFont="1" applyFill="1" applyBorder="1" applyAlignment="1">
      <alignment horizontal="right"/>
    </xf>
    <xf numFmtId="0" fontId="84" fillId="0" borderId="0" xfId="8" applyFont="1"/>
    <xf numFmtId="0" fontId="140" fillId="0" borderId="0" xfId="8" applyFont="1"/>
    <xf numFmtId="0" fontId="116" fillId="0" borderId="0" xfId="8" applyFont="1"/>
    <xf numFmtId="0" fontId="52" fillId="0" borderId="0" xfId="8" applyFont="1"/>
    <xf numFmtId="0" fontId="52" fillId="0" borderId="0" xfId="8" applyFont="1" applyAlignment="1">
      <alignment horizontal="left"/>
    </xf>
    <xf numFmtId="0" fontId="52" fillId="0" borderId="0" xfId="8" applyFont="1" applyAlignment="1">
      <alignment horizontal="right" indent="15"/>
    </xf>
    <xf numFmtId="0" fontId="116" fillId="0" borderId="0" xfId="8" applyFont="1" applyAlignment="1">
      <alignment horizontal="right"/>
    </xf>
    <xf numFmtId="0" fontId="45" fillId="0" borderId="0" xfId="8" applyFont="1" applyAlignment="1">
      <alignment horizontal="center"/>
    </xf>
    <xf numFmtId="0" fontId="52" fillId="0" borderId="0" xfId="8" applyFont="1" applyAlignment="1">
      <alignment horizontal="center"/>
    </xf>
    <xf numFmtId="0" fontId="52" fillId="0" borderId="0" xfId="8" applyFont="1" applyAlignment="1">
      <alignment horizontal="right"/>
    </xf>
    <xf numFmtId="0" fontId="116" fillId="0" borderId="0" xfId="8" quotePrefix="1" applyFont="1" applyAlignment="1">
      <alignment horizontal="right"/>
    </xf>
    <xf numFmtId="165" fontId="52" fillId="0" borderId="0" xfId="8" applyNumberFormat="1" applyFont="1" applyAlignment="1">
      <alignment horizontal="right"/>
    </xf>
    <xf numFmtId="0" fontId="142" fillId="0" borderId="0" xfId="8" applyFont="1"/>
    <xf numFmtId="0" fontId="116" fillId="0" borderId="0" xfId="8" applyFont="1" applyAlignment="1">
      <alignment horizontal="center"/>
    </xf>
    <xf numFmtId="188" fontId="52" fillId="0" borderId="0" xfId="8" quotePrefix="1" applyNumberFormat="1" applyFont="1"/>
    <xf numFmtId="3" fontId="52" fillId="0" borderId="0" xfId="8" quotePrefix="1" applyNumberFormat="1" applyFont="1"/>
    <xf numFmtId="3" fontId="52" fillId="0" borderId="0" xfId="8" quotePrefix="1" applyNumberFormat="1" applyFont="1" applyAlignment="1">
      <alignment horizontal="center"/>
    </xf>
    <xf numFmtId="188" fontId="52" fillId="0" borderId="0" xfId="8" applyNumberFormat="1" applyFont="1"/>
    <xf numFmtId="3" fontId="52" fillId="0" borderId="0" xfId="8" applyNumberFormat="1" applyFont="1"/>
    <xf numFmtId="0" fontId="140" fillId="0" borderId="0" xfId="8" applyFont="1" applyAlignment="1">
      <alignment horizontal="center"/>
    </xf>
    <xf numFmtId="191" fontId="52" fillId="0" borderId="0" xfId="8" applyNumberFormat="1" applyFont="1"/>
    <xf numFmtId="175" fontId="52" fillId="0" borderId="0" xfId="8" quotePrefix="1" applyNumberFormat="1" applyFont="1" applyAlignment="1">
      <alignment horizontal="right"/>
    </xf>
    <xf numFmtId="192" fontId="52" fillId="0" borderId="0" xfId="8" applyNumberFormat="1" applyFont="1"/>
    <xf numFmtId="175" fontId="52" fillId="0" borderId="0" xfId="8" quotePrefix="1" applyNumberFormat="1" applyFont="1"/>
    <xf numFmtId="0" fontId="46" fillId="0" borderId="0" xfId="860" applyFont="1" applyAlignment="1">
      <alignment horizontal="centerContinuous"/>
    </xf>
    <xf numFmtId="37" fontId="46" fillId="0" borderId="0" xfId="860" applyNumberFormat="1" applyFont="1" applyAlignment="1">
      <alignment horizontal="centerContinuous"/>
    </xf>
    <xf numFmtId="0" fontId="46" fillId="0" borderId="0" xfId="860" applyFont="1"/>
    <xf numFmtId="0" fontId="45" fillId="0" borderId="0" xfId="860" applyFont="1" applyAlignment="1">
      <alignment horizontal="centerContinuous"/>
    </xf>
    <xf numFmtId="37" fontId="69" fillId="0" borderId="0" xfId="860" applyNumberFormat="1" applyFont="1" applyAlignment="1">
      <alignment horizontal="centerContinuous"/>
    </xf>
    <xf numFmtId="0" fontId="45" fillId="0" borderId="0" xfId="860" applyFont="1"/>
    <xf numFmtId="0" fontId="46" fillId="0" borderId="67" xfId="860" applyFont="1" applyBorder="1" applyAlignment="1">
      <alignment horizontal="centerContinuous"/>
    </xf>
    <xf numFmtId="0" fontId="45" fillId="0" borderId="36" xfId="860" applyFont="1" applyBorder="1" applyAlignment="1">
      <alignment horizontal="centerContinuous"/>
    </xf>
    <xf numFmtId="37" fontId="69" fillId="0" borderId="68" xfId="860" applyNumberFormat="1" applyFont="1" applyBorder="1"/>
    <xf numFmtId="0" fontId="46" fillId="0" borderId="36" xfId="860" applyFont="1" applyBorder="1"/>
    <xf numFmtId="0" fontId="45" fillId="0" borderId="36" xfId="860" applyFont="1" applyBorder="1"/>
    <xf numFmtId="37" fontId="69" fillId="0" borderId="0" xfId="860" applyNumberFormat="1" applyFont="1"/>
    <xf numFmtId="37" fontId="45" fillId="0" borderId="0" xfId="860" applyNumberFormat="1" applyFont="1"/>
    <xf numFmtId="37" fontId="43" fillId="0" borderId="0" xfId="860" applyNumberFormat="1" applyFont="1"/>
    <xf numFmtId="0" fontId="45" fillId="0" borderId="66" xfId="860" applyFont="1" applyBorder="1"/>
    <xf numFmtId="0" fontId="143" fillId="0" borderId="0" xfId="860" applyFont="1"/>
    <xf numFmtId="37" fontId="45" fillId="0" borderId="0" xfId="860" applyNumberFormat="1" applyFont="1" applyAlignment="1">
      <alignment horizontal="left"/>
    </xf>
    <xf numFmtId="0" fontId="45" fillId="0" borderId="16" xfId="860" applyFont="1" applyBorder="1"/>
    <xf numFmtId="0" fontId="143" fillId="0" borderId="16" xfId="860" applyFont="1" applyBorder="1"/>
    <xf numFmtId="0" fontId="113" fillId="0" borderId="0" xfId="860" applyFont="1"/>
    <xf numFmtId="0" fontId="45" fillId="0" borderId="20" xfId="860" applyFont="1" applyBorder="1"/>
    <xf numFmtId="0" fontId="45" fillId="0" borderId="40" xfId="860" applyFont="1" applyBorder="1"/>
    <xf numFmtId="165" fontId="45" fillId="0" borderId="0" xfId="860" applyNumberFormat="1" applyFont="1" applyAlignment="1">
      <alignment horizontal="left"/>
    </xf>
    <xf numFmtId="0" fontId="144" fillId="0" borderId="0" xfId="860" applyFont="1" applyAlignment="1">
      <alignment vertical="top" wrapText="1"/>
    </xf>
    <xf numFmtId="0" fontId="45" fillId="0" borderId="16" xfId="860" applyFont="1" applyBorder="1" applyAlignment="1">
      <alignment horizontal="left"/>
    </xf>
    <xf numFmtId="0" fontId="86" fillId="0" borderId="0" xfId="860" applyFont="1"/>
    <xf numFmtId="0" fontId="45" fillId="0" borderId="0" xfId="860" applyFont="1" applyAlignment="1">
      <alignment horizontal="left"/>
    </xf>
    <xf numFmtId="170" fontId="40" fillId="0" borderId="0" xfId="0" applyNumberFormat="1" applyFont="1"/>
    <xf numFmtId="166" fontId="40" fillId="0" borderId="0" xfId="0" applyNumberFormat="1" applyFont="1" applyProtection="1">
      <protection locked="0"/>
    </xf>
    <xf numFmtId="166" fontId="40" fillId="0" borderId="0" xfId="0" applyNumberFormat="1" applyFont="1"/>
    <xf numFmtId="170" fontId="40" fillId="0" borderId="0" xfId="0" applyNumberFormat="1" applyFont="1" applyProtection="1">
      <protection locked="0"/>
    </xf>
    <xf numFmtId="170" fontId="40" fillId="0" borderId="0" xfId="0" quotePrefix="1" applyNumberFormat="1" applyFont="1" applyAlignment="1">
      <alignment horizontal="center"/>
    </xf>
    <xf numFmtId="170" fontId="40" fillId="0" borderId="0" xfId="0" applyNumberFormat="1" applyFont="1" applyAlignment="1">
      <alignment horizontal="center"/>
    </xf>
    <xf numFmtId="37" fontId="40" fillId="0" borderId="0" xfId="2" applyNumberFormat="1"/>
    <xf numFmtId="49" fontId="40" fillId="0" borderId="0" xfId="17" applyNumberFormat="1" applyAlignment="1">
      <alignment horizontal="center"/>
    </xf>
    <xf numFmtId="0" fontId="69" fillId="0" borderId="0" xfId="0" applyNumberFormat="1" applyFont="1"/>
    <xf numFmtId="0" fontId="45" fillId="0" borderId="0" xfId="0" applyNumberFormat="1" applyFont="1"/>
    <xf numFmtId="0" fontId="45" fillId="0" borderId="0" xfId="0" applyNumberFormat="1" applyFont="1" applyAlignment="1">
      <alignment horizontal="right"/>
    </xf>
    <xf numFmtId="0" fontId="46" fillId="0" borderId="0" xfId="0" applyNumberFormat="1" applyFont="1"/>
    <xf numFmtId="39" fontId="45" fillId="0" borderId="0" xfId="0" applyNumberFormat="1" applyFont="1"/>
    <xf numFmtId="39" fontId="45" fillId="0" borderId="0" xfId="0" applyNumberFormat="1" applyFont="1" applyAlignment="1">
      <alignment horizontal="center"/>
    </xf>
    <xf numFmtId="39" fontId="45" fillId="0" borderId="0" xfId="0" applyNumberFormat="1" applyFont="1" applyAlignment="1">
      <alignment horizontal="right"/>
    </xf>
    <xf numFmtId="39" fontId="46" fillId="0" borderId="0" xfId="0" applyNumberFormat="1" applyFont="1"/>
    <xf numFmtId="187" fontId="45" fillId="0" borderId="0" xfId="0" applyNumberFormat="1" applyFont="1"/>
    <xf numFmtId="0" fontId="45" fillId="0" borderId="0" xfId="0" applyNumberFormat="1" applyFont="1" applyAlignment="1">
      <alignment horizontal="left" vertical="top"/>
    </xf>
    <xf numFmtId="177" fontId="40" fillId="0" borderId="0" xfId="740" applyNumberFormat="1" applyFont="1" applyAlignment="1">
      <alignment horizontal="center"/>
    </xf>
    <xf numFmtId="170" fontId="40" fillId="0" borderId="0" xfId="2" applyNumberFormat="1"/>
    <xf numFmtId="165" fontId="40" fillId="0" borderId="0" xfId="0" applyNumberFormat="1" applyFont="1" applyProtection="1">
      <protection locked="0"/>
    </xf>
    <xf numFmtId="164" fontId="40" fillId="0" borderId="0" xfId="0" applyFont="1"/>
    <xf numFmtId="164" fontId="40" fillId="0" borderId="0" xfId="0" applyFont="1" applyAlignment="1">
      <alignment horizontal="center"/>
    </xf>
    <xf numFmtId="164" fontId="98" fillId="0" borderId="0" xfId="0" applyFont="1"/>
    <xf numFmtId="166" fontId="40" fillId="0" borderId="0" xfId="2" applyNumberFormat="1"/>
    <xf numFmtId="0" fontId="40" fillId="0" borderId="0" xfId="17" applyNumberFormat="1" applyAlignment="1">
      <alignment horizontal="left"/>
    </xf>
    <xf numFmtId="164" fontId="69" fillId="0" borderId="0" xfId="0" applyFont="1"/>
    <xf numFmtId="0" fontId="148" fillId="0" borderId="0" xfId="860" applyFont="1"/>
    <xf numFmtId="37" fontId="45" fillId="34" borderId="0" xfId="860" applyNumberFormat="1" applyFont="1" applyFill="1" applyAlignment="1">
      <alignment horizontal="left"/>
    </xf>
    <xf numFmtId="0" fontId="46" fillId="34" borderId="0" xfId="860" applyFont="1" applyFill="1"/>
    <xf numFmtId="174" fontId="42" fillId="0" borderId="0" xfId="0" applyNumberFormat="1" applyFont="1"/>
    <xf numFmtId="174" fontId="40" fillId="0" borderId="0" xfId="2" applyNumberFormat="1"/>
    <xf numFmtId="170" fontId="40" fillId="0" borderId="0" xfId="2" quotePrefix="1" applyNumberFormat="1" applyAlignment="1">
      <alignment horizontal="center"/>
    </xf>
    <xf numFmtId="174" fontId="40" fillId="0" borderId="0" xfId="2" applyNumberFormat="1" applyAlignment="1">
      <alignment horizontal="right"/>
    </xf>
    <xf numFmtId="174" fontId="40" fillId="0" borderId="0" xfId="2" quotePrefix="1" applyNumberFormat="1" applyAlignment="1">
      <alignment horizontal="center"/>
    </xf>
    <xf numFmtId="187" fontId="100" fillId="0" borderId="0" xfId="8" applyNumberFormat="1"/>
    <xf numFmtId="0" fontId="40" fillId="0" borderId="0" xfId="17" quotePrefix="1" applyNumberFormat="1" applyAlignment="1">
      <alignment horizontal="left"/>
    </xf>
    <xf numFmtId="164" fontId="64" fillId="0" borderId="0" xfId="0" applyFont="1"/>
    <xf numFmtId="164" fontId="47" fillId="0" borderId="0" xfId="0" applyFont="1"/>
    <xf numFmtId="0" fontId="141" fillId="0" borderId="0" xfId="8" applyFont="1" applyAlignment="1">
      <alignment horizontal="left"/>
    </xf>
    <xf numFmtId="164" fontId="40" fillId="0" borderId="0" xfId="2" applyNumberFormat="1"/>
    <xf numFmtId="165" fontId="40" fillId="0" borderId="0" xfId="0" applyNumberFormat="1" applyFont="1"/>
    <xf numFmtId="165" fontId="47" fillId="0" borderId="0" xfId="0" applyNumberFormat="1" applyFont="1"/>
    <xf numFmtId="170" fontId="47" fillId="0" borderId="20" xfId="0" applyNumberFormat="1" applyFont="1" applyBorder="1"/>
    <xf numFmtId="165" fontId="40" fillId="0" borderId="0" xfId="0" quotePrefix="1" applyNumberFormat="1" applyFont="1" applyAlignment="1">
      <alignment horizontal="center"/>
    </xf>
    <xf numFmtId="170" fontId="40" fillId="0" borderId="0" xfId="2" applyNumberFormat="1" applyAlignment="1">
      <alignment horizontal="right"/>
    </xf>
    <xf numFmtId="177" fontId="103" fillId="0" borderId="0" xfId="740" applyNumberFormat="1" applyFont="1"/>
    <xf numFmtId="170" fontId="40" fillId="0" borderId="0" xfId="2" quotePrefix="1" applyNumberFormat="1" applyAlignment="1">
      <alignment horizontal="right"/>
    </xf>
    <xf numFmtId="170" fontId="40" fillId="0" borderId="0" xfId="2" quotePrefix="1" applyNumberFormat="1"/>
    <xf numFmtId="170" fontId="40" fillId="0" borderId="20" xfId="2" applyNumberFormat="1" applyBorder="1"/>
    <xf numFmtId="174" fontId="132" fillId="0" borderId="0" xfId="2" applyNumberFormat="1" applyFont="1"/>
    <xf numFmtId="0" fontId="40" fillId="0" borderId="0" xfId="2"/>
    <xf numFmtId="0" fontId="69" fillId="0" borderId="20" xfId="836" applyFont="1" applyBorder="1"/>
    <xf numFmtId="181" fontId="64" fillId="0" borderId="0" xfId="836" applyNumberFormat="1" applyFont="1"/>
    <xf numFmtId="181" fontId="64" fillId="0" borderId="20" xfId="836" applyNumberFormat="1" applyFont="1" applyBorder="1"/>
    <xf numFmtId="181" fontId="64" fillId="0" borderId="20" xfId="836" applyNumberFormat="1" applyFont="1" applyBorder="1" applyAlignment="1">
      <alignment horizontal="right"/>
    </xf>
    <xf numFmtId="181" fontId="81" fillId="0" borderId="20" xfId="836" applyNumberFormat="1" applyFont="1" applyBorder="1"/>
    <xf numFmtId="177" fontId="69" fillId="0" borderId="0" xfId="836" applyNumberFormat="1" applyFont="1" applyAlignment="1">
      <alignment horizontal="right"/>
    </xf>
    <xf numFmtId="177" fontId="69" fillId="0" borderId="0" xfId="836" applyNumberFormat="1" applyFont="1"/>
    <xf numFmtId="177" fontId="64" fillId="0" borderId="20" xfId="836" applyNumberFormat="1" applyFont="1" applyBorder="1"/>
    <xf numFmtId="173" fontId="64" fillId="0" borderId="0" xfId="836" quotePrefix="1" applyNumberFormat="1" applyFont="1" applyAlignment="1">
      <alignment horizontal="left"/>
    </xf>
    <xf numFmtId="177" fontId="64" fillId="0" borderId="0" xfId="836" applyNumberFormat="1" applyFont="1" applyProtection="1">
      <protection locked="0"/>
    </xf>
    <xf numFmtId="177" fontId="64" fillId="0" borderId="0" xfId="836" applyNumberFormat="1" applyFont="1" applyAlignment="1">
      <alignment horizontal="center"/>
    </xf>
    <xf numFmtId="177" fontId="69" fillId="0" borderId="10" xfId="836" applyNumberFormat="1" applyFont="1" applyBorder="1"/>
    <xf numFmtId="177" fontId="69" fillId="0" borderId="33" xfId="836" applyNumberFormat="1" applyFont="1" applyBorder="1" applyAlignment="1">
      <alignment horizontal="right"/>
    </xf>
    <xf numFmtId="180" fontId="64" fillId="0" borderId="0" xfId="836" applyNumberFormat="1" applyFont="1"/>
    <xf numFmtId="180" fontId="69" fillId="0" borderId="17" xfId="836" applyNumberFormat="1" applyFont="1" applyBorder="1"/>
    <xf numFmtId="180" fontId="69" fillId="0" borderId="0" xfId="836" applyNumberFormat="1" applyFont="1" applyAlignment="1">
      <alignment horizontal="right"/>
    </xf>
    <xf numFmtId="180" fontId="69" fillId="0" borderId="0" xfId="836" applyNumberFormat="1" applyFont="1"/>
    <xf numFmtId="181" fontId="64" fillId="0" borderId="36" xfId="836" applyNumberFormat="1" applyFont="1" applyBorder="1"/>
    <xf numFmtId="0" fontId="155" fillId="0" borderId="0" xfId="836" quotePrefix="1" applyFont="1" applyAlignment="1">
      <alignment horizontal="left"/>
    </xf>
    <xf numFmtId="173" fontId="81" fillId="0" borderId="0" xfId="836" applyNumberFormat="1" applyFont="1"/>
    <xf numFmtId="0" fontId="40" fillId="0" borderId="0" xfId="17" applyNumberFormat="1" applyAlignment="1">
      <alignment readingOrder="1"/>
    </xf>
    <xf numFmtId="0" fontId="40" fillId="0" borderId="0" xfId="17" applyNumberFormat="1"/>
    <xf numFmtId="0" fontId="40" fillId="0" borderId="0" xfId="17" applyNumberFormat="1" applyAlignment="1" applyProtection="1">
      <alignment readingOrder="1"/>
      <protection locked="0"/>
    </xf>
    <xf numFmtId="0" fontId="40" fillId="0" borderId="0" xfId="17" applyNumberFormat="1" applyProtection="1">
      <protection locked="0"/>
    </xf>
    <xf numFmtId="0" fontId="47" fillId="0" borderId="0" xfId="17" applyNumberFormat="1" applyFont="1" applyProtection="1">
      <protection locked="0"/>
    </xf>
    <xf numFmtId="39" fontId="45" fillId="0" borderId="0" xfId="0" applyNumberFormat="1" applyFont="1" applyAlignment="1">
      <alignment horizontal="right" vertical="top"/>
    </xf>
    <xf numFmtId="39" fontId="45" fillId="0" borderId="0" xfId="0" applyNumberFormat="1" applyFont="1" applyAlignment="1">
      <alignment horizontal="center" vertical="top"/>
    </xf>
    <xf numFmtId="0" fontId="45" fillId="0" borderId="0" xfId="0" quotePrefix="1" applyNumberFormat="1" applyFont="1"/>
    <xf numFmtId="0" fontId="45" fillId="0" borderId="0" xfId="0" applyNumberFormat="1" applyFont="1" applyAlignment="1">
      <alignment horizontal="center" vertical="top"/>
    </xf>
    <xf numFmtId="177" fontId="40" fillId="0" borderId="0" xfId="740" applyNumberFormat="1" applyFont="1" applyAlignment="1">
      <alignment horizontal="right"/>
    </xf>
    <xf numFmtId="177" fontId="40" fillId="0" borderId="0" xfId="740" applyNumberFormat="1" applyFont="1"/>
    <xf numFmtId="177" fontId="40" fillId="0" borderId="0" xfId="740" quotePrefix="1" applyNumberFormat="1" applyFont="1" applyAlignment="1">
      <alignment horizontal="left"/>
    </xf>
    <xf numFmtId="177" fontId="100" fillId="0" borderId="0" xfId="740" applyNumberFormat="1" applyFont="1"/>
    <xf numFmtId="0" fontId="100" fillId="0" borderId="0" xfId="740" applyFont="1"/>
    <xf numFmtId="181" fontId="40" fillId="0" borderId="0" xfId="740" applyNumberFormat="1" applyFont="1"/>
    <xf numFmtId="0" fontId="40" fillId="0" borderId="0" xfId="740" quotePrefix="1" applyFont="1" applyAlignment="1">
      <alignment horizontal="left"/>
    </xf>
    <xf numFmtId="182" fontId="40" fillId="0" borderId="0" xfId="741" applyNumberFormat="1" applyFont="1" applyFill="1" applyBorder="1" applyAlignment="1"/>
    <xf numFmtId="0" fontId="47" fillId="0" borderId="0" xfId="2" quotePrefix="1" applyFont="1" applyAlignment="1">
      <alignment horizontal="center"/>
    </xf>
    <xf numFmtId="17" fontId="47" fillId="0" borderId="0" xfId="2" quotePrefix="1" applyNumberFormat="1" applyFont="1" applyAlignment="1">
      <alignment horizontal="center"/>
    </xf>
    <xf numFmtId="15" fontId="47" fillId="0" borderId="0" xfId="2" quotePrefix="1" applyNumberFormat="1" applyFont="1" applyAlignment="1">
      <alignment horizontal="center"/>
    </xf>
    <xf numFmtId="17" fontId="47" fillId="0" borderId="0" xfId="2" applyNumberFormat="1" applyFont="1" applyAlignment="1">
      <alignment horizontal="center"/>
    </xf>
    <xf numFmtId="15" fontId="47" fillId="0" borderId="0" xfId="2" applyNumberFormat="1" applyFont="1" applyAlignment="1">
      <alignment horizontal="center"/>
    </xf>
    <xf numFmtId="166" fontId="61" fillId="0" borderId="0" xfId="2" applyNumberFormat="1" applyFont="1" applyAlignment="1">
      <alignment horizontal="center"/>
    </xf>
    <xf numFmtId="165" fontId="47" fillId="0" borderId="0" xfId="2" quotePrefix="1" applyNumberFormat="1" applyFont="1" applyAlignment="1">
      <alignment horizontal="center"/>
    </xf>
    <xf numFmtId="166" fontId="47" fillId="0" borderId="0" xfId="2" applyNumberFormat="1" applyFont="1" applyAlignment="1">
      <alignment horizontal="center"/>
    </xf>
    <xf numFmtId="165" fontId="47" fillId="0" borderId="0" xfId="2" applyNumberFormat="1" applyFont="1" applyAlignment="1">
      <alignment horizontal="center"/>
    </xf>
    <xf numFmtId="166" fontId="47" fillId="0" borderId="10" xfId="2" applyNumberFormat="1" applyFont="1" applyBorder="1" applyAlignment="1">
      <alignment horizontal="center"/>
    </xf>
    <xf numFmtId="166" fontId="47" fillId="0" borderId="10" xfId="2" quotePrefix="1" applyNumberFormat="1" applyFont="1" applyBorder="1" applyAlignment="1">
      <alignment horizontal="center"/>
    </xf>
    <xf numFmtId="165" fontId="46" fillId="0" borderId="0" xfId="2" applyNumberFormat="1" applyFont="1"/>
    <xf numFmtId="165" fontId="47" fillId="0" borderId="10" xfId="2" applyNumberFormat="1" applyFont="1" applyBorder="1" applyAlignment="1">
      <alignment horizontal="center"/>
    </xf>
    <xf numFmtId="165" fontId="159" fillId="0" borderId="0" xfId="2" applyNumberFormat="1" applyFont="1"/>
    <xf numFmtId="165" fontId="160" fillId="0" borderId="0" xfId="2" applyNumberFormat="1" applyFont="1"/>
    <xf numFmtId="165" fontId="161" fillId="0" borderId="0" xfId="2" applyNumberFormat="1" applyFont="1" applyAlignment="1">
      <alignment horizontal="centerContinuous"/>
    </xf>
    <xf numFmtId="165" fontId="163" fillId="0" borderId="0" xfId="2" applyNumberFormat="1" applyFont="1"/>
    <xf numFmtId="0" fontId="47" fillId="0" borderId="10" xfId="2" applyFont="1" applyBorder="1" applyAlignment="1">
      <alignment horizontal="center"/>
    </xf>
    <xf numFmtId="0" fontId="162" fillId="0" borderId="0" xfId="2" applyFont="1"/>
    <xf numFmtId="166" fontId="83" fillId="0" borderId="0" xfId="2" applyNumberFormat="1" applyFont="1"/>
    <xf numFmtId="166" fontId="82" fillId="0" borderId="0" xfId="2" applyNumberFormat="1" applyFont="1" applyAlignment="1">
      <alignment horizontal="center"/>
    </xf>
    <xf numFmtId="164" fontId="47" fillId="0" borderId="0" xfId="0" applyFont="1" applyAlignment="1">
      <alignment horizontal="center"/>
    </xf>
    <xf numFmtId="0" fontId="69" fillId="0" borderId="0" xfId="0" applyNumberFormat="1" applyFont="1" applyAlignment="1">
      <alignment horizontal="center"/>
    </xf>
    <xf numFmtId="164" fontId="69" fillId="0" borderId="0" xfId="0" applyFont="1" applyAlignment="1">
      <alignment horizontal="center"/>
    </xf>
    <xf numFmtId="0" fontId="69" fillId="0" borderId="0" xfId="2" quotePrefix="1" applyFont="1" applyAlignment="1">
      <alignment horizontal="center"/>
    </xf>
    <xf numFmtId="0" fontId="69" fillId="0" borderId="0" xfId="2" applyFont="1" applyAlignment="1">
      <alignment horizontal="center"/>
    </xf>
    <xf numFmtId="0" fontId="46" fillId="0" borderId="0" xfId="860" applyFont="1" applyAlignment="1">
      <alignment horizontal="right"/>
    </xf>
    <xf numFmtId="177" fontId="45" fillId="0" borderId="0" xfId="740" applyNumberFormat="1" applyFont="1"/>
    <xf numFmtId="0" fontId="40" fillId="0" borderId="0" xfId="0" applyNumberFormat="1" applyFont="1"/>
    <xf numFmtId="39" fontId="46" fillId="0" borderId="0" xfId="0" applyNumberFormat="1" applyFont="1" applyAlignment="1">
      <alignment horizontal="center" vertical="top"/>
    </xf>
    <xf numFmtId="164" fontId="45" fillId="0" borderId="0" xfId="2" applyNumberFormat="1" applyFont="1"/>
    <xf numFmtId="164" fontId="41" fillId="0" borderId="0" xfId="2" applyNumberFormat="1" applyFont="1" applyAlignment="1">
      <alignment horizontal="right"/>
    </xf>
    <xf numFmtId="164" fontId="43" fillId="0" borderId="0" xfId="2" applyNumberFormat="1" applyFont="1"/>
    <xf numFmtId="164" fontId="47" fillId="0" borderId="0" xfId="2" applyNumberFormat="1" applyFont="1" applyAlignment="1">
      <alignment horizontal="center"/>
    </xf>
    <xf numFmtId="164" fontId="47" fillId="0" borderId="10" xfId="2" applyNumberFormat="1" applyFont="1" applyBorder="1" applyAlignment="1">
      <alignment horizontal="center"/>
    </xf>
    <xf numFmtId="180" fontId="40" fillId="0" borderId="0" xfId="740" applyNumberFormat="1" applyFont="1" applyAlignment="1">
      <alignment horizontal="center"/>
    </xf>
    <xf numFmtId="43" fontId="40" fillId="0" borderId="0" xfId="0" applyNumberFormat="1" applyFont="1"/>
    <xf numFmtId="42" fontId="40" fillId="0" borderId="0" xfId="0" applyNumberFormat="1" applyFont="1"/>
    <xf numFmtId="42" fontId="40" fillId="0" borderId="0" xfId="0" applyNumberFormat="1" applyFont="1" applyProtection="1">
      <protection locked="0"/>
    </xf>
    <xf numFmtId="41" fontId="40" fillId="0" borderId="0" xfId="0" quotePrefix="1" applyNumberFormat="1" applyFont="1" applyAlignment="1">
      <alignment horizontal="right"/>
    </xf>
    <xf numFmtId="41" fontId="40" fillId="0" borderId="0" xfId="0" applyNumberFormat="1" applyFont="1"/>
    <xf numFmtId="41" fontId="40" fillId="0" borderId="0" xfId="0" applyNumberFormat="1" applyFont="1" applyProtection="1">
      <protection locked="0"/>
    </xf>
    <xf numFmtId="41" fontId="40" fillId="0" borderId="0" xfId="0" quotePrefix="1" applyNumberFormat="1" applyFont="1" applyAlignment="1">
      <alignment horizontal="center"/>
    </xf>
    <xf numFmtId="41" fontId="40" fillId="0" borderId="0" xfId="0" quotePrefix="1" applyNumberFormat="1" applyFont="1"/>
    <xf numFmtId="41" fontId="40" fillId="0" borderId="0" xfId="0" applyNumberFormat="1" applyFont="1" applyAlignment="1">
      <alignment horizontal="center"/>
    </xf>
    <xf numFmtId="41" fontId="40" fillId="0" borderId="0" xfId="0" applyNumberFormat="1" applyFont="1" applyAlignment="1">
      <alignment horizontal="right"/>
    </xf>
    <xf numFmtId="41" fontId="40" fillId="0" borderId="0" xfId="0" applyNumberFormat="1" applyFont="1" applyAlignment="1" applyProtection="1">
      <alignment horizontal="right"/>
      <protection locked="0"/>
    </xf>
    <xf numFmtId="174" fontId="47" fillId="0" borderId="48" xfId="2" applyNumberFormat="1" applyFont="1" applyBorder="1" applyAlignment="1">
      <alignment horizontal="right"/>
    </xf>
    <xf numFmtId="174" fontId="47" fillId="0" borderId="72" xfId="2" applyNumberFormat="1" applyFont="1" applyBorder="1"/>
    <xf numFmtId="0" fontId="69" fillId="0" borderId="0" xfId="836" quotePrefix="1" applyFont="1"/>
    <xf numFmtId="43" fontId="45" fillId="0" borderId="0" xfId="0" applyNumberFormat="1" applyFont="1"/>
    <xf numFmtId="190" fontId="164" fillId="0" borderId="0" xfId="11" applyNumberFormat="1" applyFont="1" applyAlignment="1">
      <alignment horizontal="right"/>
    </xf>
    <xf numFmtId="4" fontId="47" fillId="0" borderId="0" xfId="1028" applyNumberFormat="1" applyFont="1" applyAlignment="1">
      <alignment horizontal="left"/>
    </xf>
    <xf numFmtId="164" fontId="100" fillId="0" borderId="0" xfId="1028" applyNumberFormat="1" applyFont="1"/>
    <xf numFmtId="4" fontId="104" fillId="0" borderId="0" xfId="0" applyNumberFormat="1" applyFont="1" applyAlignment="1">
      <alignment horizontal="left"/>
    </xf>
    <xf numFmtId="37" fontId="104" fillId="0" borderId="0" xfId="0" applyNumberFormat="1" applyFont="1" applyAlignment="1">
      <alignment horizontal="right"/>
    </xf>
    <xf numFmtId="164" fontId="100" fillId="0" borderId="0" xfId="0" applyFont="1"/>
    <xf numFmtId="165" fontId="70" fillId="0" borderId="0" xfId="840" applyNumberFormat="1" applyFont="1" applyAlignment="1">
      <alignment horizontal="left"/>
    </xf>
    <xf numFmtId="0" fontId="70" fillId="0" borderId="0" xfId="840" applyFont="1" applyAlignment="1">
      <alignment horizontal="left"/>
    </xf>
    <xf numFmtId="0" fontId="40" fillId="0" borderId="0" xfId="840" applyFont="1" applyAlignment="1">
      <alignment horizontal="left"/>
    </xf>
    <xf numFmtId="0" fontId="40" fillId="0" borderId="0" xfId="2" applyAlignment="1">
      <alignment horizontal="left"/>
    </xf>
    <xf numFmtId="37" fontId="69" fillId="0" borderId="0" xfId="2" applyNumberFormat="1" applyFont="1" applyAlignment="1">
      <alignment horizontal="center"/>
    </xf>
    <xf numFmtId="37" fontId="69" fillId="0" borderId="0" xfId="2" quotePrefix="1" applyNumberFormat="1" applyFont="1" applyAlignment="1">
      <alignment horizontal="center"/>
    </xf>
    <xf numFmtId="165" fontId="40" fillId="0" borderId="0" xfId="2" applyNumberFormat="1" applyProtection="1">
      <protection locked="0"/>
    </xf>
    <xf numFmtId="165" fontId="40" fillId="0" borderId="0" xfId="17" applyNumberFormat="1" applyProtection="1">
      <protection locked="0"/>
    </xf>
    <xf numFmtId="0" fontId="47" fillId="0" borderId="0" xfId="17" applyNumberFormat="1" applyFont="1"/>
    <xf numFmtId="170" fontId="47" fillId="0" borderId="66" xfId="2" applyNumberFormat="1" applyFont="1" applyBorder="1"/>
    <xf numFmtId="0" fontId="55" fillId="0" borderId="0" xfId="2" applyFont="1" applyAlignment="1">
      <alignment horizontal="right"/>
    </xf>
    <xf numFmtId="0" fontId="69" fillId="0" borderId="0" xfId="2" quotePrefix="1" applyFont="1" applyAlignment="1" applyProtection="1">
      <alignment horizontal="right"/>
      <protection locked="0"/>
    </xf>
    <xf numFmtId="0" fontId="155" fillId="0" borderId="0" xfId="2" applyFont="1"/>
    <xf numFmtId="0" fontId="69" fillId="0" borderId="10" xfId="2" applyFont="1" applyBorder="1" applyAlignment="1">
      <alignment horizontal="center"/>
    </xf>
    <xf numFmtId="0" fontId="69" fillId="0" borderId="10" xfId="2" quotePrefix="1" applyFont="1" applyBorder="1" applyAlignment="1">
      <alignment horizontal="center"/>
    </xf>
    <xf numFmtId="174" fontId="69" fillId="0" borderId="24" xfId="2" applyNumberFormat="1" applyFont="1" applyBorder="1" applyProtection="1">
      <protection locked="0"/>
    </xf>
    <xf numFmtId="174" fontId="69" fillId="0" borderId="21" xfId="2" applyNumberFormat="1" applyFont="1" applyBorder="1" applyProtection="1">
      <protection locked="0"/>
    </xf>
    <xf numFmtId="174" fontId="64" fillId="0" borderId="0" xfId="2" applyNumberFormat="1" applyFont="1"/>
    <xf numFmtId="174" fontId="64" fillId="0" borderId="0" xfId="2" applyNumberFormat="1" applyFont="1" applyProtection="1">
      <protection locked="0"/>
    </xf>
    <xf numFmtId="0" fontId="64" fillId="0" borderId="24" xfId="2" applyFont="1" applyBorder="1" applyProtection="1">
      <protection locked="0"/>
    </xf>
    <xf numFmtId="0" fontId="64" fillId="0" borderId="21" xfId="2" applyFont="1" applyBorder="1" applyProtection="1">
      <protection locked="0"/>
    </xf>
    <xf numFmtId="0" fontId="64" fillId="0" borderId="0" xfId="2" applyFont="1" applyProtection="1">
      <protection locked="0"/>
    </xf>
    <xf numFmtId="0" fontId="64" fillId="0" borderId="0" xfId="2" quotePrefix="1" applyFont="1" applyAlignment="1">
      <alignment horizontal="left"/>
    </xf>
    <xf numFmtId="170" fontId="64" fillId="0" borderId="0" xfId="2" applyNumberFormat="1" applyFont="1" applyProtection="1">
      <protection locked="0"/>
    </xf>
    <xf numFmtId="170" fontId="64" fillId="0" borderId="24" xfId="2" applyNumberFormat="1" applyFont="1" applyBorder="1" applyProtection="1">
      <protection locked="0"/>
    </xf>
    <xf numFmtId="170" fontId="64" fillId="0" borderId="21" xfId="2" applyNumberFormat="1" applyFont="1" applyBorder="1" applyProtection="1">
      <protection locked="0"/>
    </xf>
    <xf numFmtId="170" fontId="69" fillId="0" borderId="20" xfId="2" applyNumberFormat="1" applyFont="1" applyBorder="1" applyAlignment="1">
      <alignment horizontal="right"/>
    </xf>
    <xf numFmtId="170" fontId="69" fillId="0" borderId="0" xfId="2" applyNumberFormat="1" applyFont="1" applyProtection="1">
      <protection locked="0"/>
    </xf>
    <xf numFmtId="170" fontId="69" fillId="0" borderId="24" xfId="2" applyNumberFormat="1" applyFont="1" applyBorder="1" applyProtection="1">
      <protection locked="0"/>
    </xf>
    <xf numFmtId="170" fontId="69" fillId="0" borderId="21" xfId="2" applyNumberFormat="1" applyFont="1" applyBorder="1" applyProtection="1">
      <protection locked="0"/>
    </xf>
    <xf numFmtId="170" fontId="64" fillId="0" borderId="20" xfId="2" applyNumberFormat="1" applyFont="1" applyBorder="1" applyProtection="1">
      <protection locked="0"/>
    </xf>
    <xf numFmtId="170" fontId="64" fillId="0" borderId="0" xfId="2" quotePrefix="1" applyNumberFormat="1" applyFont="1" applyAlignment="1">
      <alignment horizontal="right"/>
    </xf>
    <xf numFmtId="170" fontId="69" fillId="0" borderId="0" xfId="2" quotePrefix="1" applyNumberFormat="1" applyFont="1" applyAlignment="1">
      <alignment horizontal="right"/>
    </xf>
    <xf numFmtId="170" fontId="69" fillId="0" borderId="10" xfId="2" quotePrefix="1" applyNumberFormat="1" applyFont="1" applyBorder="1"/>
    <xf numFmtId="170" fontId="69" fillId="0" borderId="10" xfId="2" quotePrefix="1" applyNumberFormat="1" applyFont="1" applyBorder="1" applyAlignment="1">
      <alignment horizontal="right"/>
    </xf>
    <xf numFmtId="170" fontId="69" fillId="0" borderId="20" xfId="2" applyNumberFormat="1" applyFont="1" applyBorder="1" applyAlignment="1">
      <alignment horizontal="center"/>
    </xf>
    <xf numFmtId="170" fontId="69" fillId="0" borderId="0" xfId="2" applyNumberFormat="1" applyFont="1" applyAlignment="1" applyProtection="1">
      <alignment horizontal="right"/>
      <protection locked="0"/>
    </xf>
    <xf numFmtId="174" fontId="69" fillId="0" borderId="20" xfId="2" applyNumberFormat="1" applyFont="1" applyBorder="1"/>
    <xf numFmtId="174" fontId="69" fillId="0" borderId="0" xfId="2" applyNumberFormat="1" applyFont="1" applyProtection="1">
      <protection locked="0"/>
    </xf>
    <xf numFmtId="166" fontId="64" fillId="0" borderId="36" xfId="2" applyNumberFormat="1" applyFont="1" applyBorder="1"/>
    <xf numFmtId="166" fontId="64" fillId="0" borderId="0" xfId="2" applyNumberFormat="1" applyFont="1"/>
    <xf numFmtId="170" fontId="69" fillId="0" borderId="0" xfId="2" quotePrefix="1" applyNumberFormat="1" applyFont="1" applyAlignment="1">
      <alignment horizontal="center"/>
    </xf>
    <xf numFmtId="170" fontId="69" fillId="0" borderId="0" xfId="2" applyNumberFormat="1" applyFont="1" applyAlignment="1">
      <alignment horizontal="center"/>
    </xf>
    <xf numFmtId="170" fontId="69" fillId="0" borderId="0" xfId="2" applyNumberFormat="1" applyFont="1" applyAlignment="1" applyProtection="1">
      <alignment horizontal="center"/>
      <protection locked="0"/>
    </xf>
    <xf numFmtId="170" fontId="69" fillId="0" borderId="20" xfId="2" quotePrefix="1" applyNumberFormat="1" applyFont="1" applyBorder="1" applyAlignment="1">
      <alignment horizontal="center"/>
    </xf>
    <xf numFmtId="43" fontId="46" fillId="0" borderId="0" xfId="0" applyNumberFormat="1" applyFont="1"/>
    <xf numFmtId="0" fontId="105" fillId="0" borderId="0" xfId="17" applyNumberFormat="1" applyFont="1"/>
    <xf numFmtId="0" fontId="110" fillId="0" borderId="0" xfId="17" applyNumberFormat="1" applyFont="1" applyProtection="1">
      <protection locked="0"/>
    </xf>
    <xf numFmtId="0" fontId="110" fillId="0" borderId="0" xfId="17" applyNumberFormat="1" applyFont="1"/>
    <xf numFmtId="0" fontId="110" fillId="0" borderId="0" xfId="17" applyNumberFormat="1" applyFont="1" applyAlignment="1">
      <alignment horizontal="center"/>
    </xf>
    <xf numFmtId="0" fontId="46" fillId="0" borderId="0" xfId="8" applyFont="1" applyAlignment="1">
      <alignment horizontal="right"/>
    </xf>
    <xf numFmtId="170" fontId="47" fillId="0" borderId="40" xfId="0" applyNumberFormat="1" applyFont="1" applyBorder="1"/>
    <xf numFmtId="165" fontId="40" fillId="0" borderId="0" xfId="2" applyNumberFormat="1"/>
    <xf numFmtId="165" fontId="40" fillId="0" borderId="0" xfId="2" applyNumberFormat="1" applyAlignment="1">
      <alignment horizontal="centerContinuous"/>
    </xf>
    <xf numFmtId="0" fontId="78" fillId="0" borderId="0" xfId="2" applyFont="1" applyAlignment="1">
      <alignment horizontal="left"/>
    </xf>
    <xf numFmtId="170" fontId="40" fillId="0" borderId="0" xfId="2" applyNumberFormat="1" applyAlignment="1">
      <alignment horizontal="center"/>
    </xf>
    <xf numFmtId="170" fontId="42" fillId="0" borderId="66" xfId="2" applyNumberFormat="1" applyFont="1" applyBorder="1"/>
    <xf numFmtId="177" fontId="69" fillId="0" borderId="66" xfId="836" applyNumberFormat="1" applyFont="1" applyBorder="1" applyAlignment="1">
      <alignment horizontal="right"/>
    </xf>
    <xf numFmtId="170" fontId="82" fillId="0" borderId="66" xfId="2" applyNumberFormat="1" applyFont="1" applyBorder="1" applyAlignment="1">
      <alignment horizontal="right"/>
    </xf>
    <xf numFmtId="164" fontId="47" fillId="0" borderId="66" xfId="2" applyNumberFormat="1" applyFont="1" applyBorder="1"/>
    <xf numFmtId="174" fontId="82" fillId="0" borderId="17" xfId="2" applyNumberFormat="1" applyFont="1" applyBorder="1"/>
    <xf numFmtId="180" fontId="0" fillId="0" borderId="0" xfId="17" applyNumberFormat="1" applyFont="1"/>
    <xf numFmtId="164" fontId="42" fillId="0" borderId="66" xfId="0" applyFont="1" applyBorder="1" applyProtection="1">
      <protection locked="0"/>
    </xf>
    <xf numFmtId="166" fontId="47" fillId="0" borderId="10" xfId="0" quotePrefix="1" applyNumberFormat="1" applyFont="1" applyBorder="1" applyAlignment="1">
      <alignment horizontal="center"/>
    </xf>
    <xf numFmtId="17" fontId="47" fillId="0" borderId="66" xfId="2" quotePrefix="1" applyNumberFormat="1" applyFont="1" applyBorder="1" applyAlignment="1">
      <alignment horizontal="center"/>
    </xf>
    <xf numFmtId="179" fontId="69" fillId="0" borderId="0" xfId="836" quotePrefix="1" applyNumberFormat="1" applyFont="1" applyAlignment="1">
      <alignment horizontal="center"/>
    </xf>
    <xf numFmtId="0" fontId="167" fillId="0" borderId="0" xfId="2" applyFont="1"/>
    <xf numFmtId="0" fontId="82" fillId="0" borderId="0" xfId="2" quotePrefix="1" applyFont="1" applyAlignment="1">
      <alignment horizontal="center"/>
    </xf>
    <xf numFmtId="0" fontId="47" fillId="0" borderId="0" xfId="840" quotePrefix="1" applyFont="1" applyAlignment="1">
      <alignment horizontal="center"/>
    </xf>
    <xf numFmtId="164" fontId="40" fillId="0" borderId="0" xfId="0" applyFont="1" applyProtection="1">
      <protection locked="0"/>
    </xf>
    <xf numFmtId="0" fontId="169" fillId="0" borderId="0" xfId="0" applyNumberFormat="1" applyFont="1"/>
    <xf numFmtId="41" fontId="169" fillId="0" borderId="0" xfId="0" applyNumberFormat="1" applyFont="1"/>
    <xf numFmtId="0" fontId="45" fillId="0" borderId="0" xfId="0" applyNumberFormat="1" applyFont="1" applyAlignment="1">
      <alignment horizontal="left" vertical="top" wrapText="1"/>
    </xf>
    <xf numFmtId="0" fontId="47" fillId="0" borderId="0" xfId="2" applyFont="1" applyAlignment="1">
      <alignment horizontal="right"/>
    </xf>
    <xf numFmtId="165" fontId="40" fillId="34" borderId="0" xfId="5458" applyNumberFormat="1" applyFill="1" applyProtection="1">
      <protection locked="0"/>
    </xf>
    <xf numFmtId="37" fontId="40" fillId="0" borderId="0" xfId="2" applyNumberFormat="1" applyAlignment="1">
      <alignment horizontal="right"/>
    </xf>
    <xf numFmtId="169" fontId="40" fillId="0" borderId="0" xfId="2" applyNumberFormat="1"/>
    <xf numFmtId="37" fontId="40" fillId="0" borderId="0" xfId="2" quotePrefix="1" applyNumberFormat="1" applyAlignment="1">
      <alignment horizontal="center"/>
    </xf>
    <xf numFmtId="170" fontId="40" fillId="0" borderId="66" xfId="2" applyNumberFormat="1" applyBorder="1" applyAlignment="1">
      <alignment horizontal="right"/>
    </xf>
    <xf numFmtId="170" fontId="40" fillId="0" borderId="66" xfId="2" applyNumberFormat="1" applyBorder="1"/>
    <xf numFmtId="166" fontId="40" fillId="0" borderId="0" xfId="2" applyNumberFormat="1" applyAlignment="1">
      <alignment horizontal="right"/>
    </xf>
    <xf numFmtId="3" fontId="40" fillId="0" borderId="0" xfId="2" applyNumberFormat="1"/>
    <xf numFmtId="0" fontId="40" fillId="0" borderId="0" xfId="5458" applyNumberFormat="1" applyAlignment="1">
      <alignment horizontal="left"/>
    </xf>
    <xf numFmtId="165" fontId="40" fillId="0" borderId="0" xfId="5458" applyNumberFormat="1" applyProtection="1">
      <protection locked="0"/>
    </xf>
    <xf numFmtId="37" fontId="47" fillId="0" borderId="73" xfId="2" applyNumberFormat="1" applyFont="1" applyBorder="1" applyAlignment="1">
      <alignment horizontal="center"/>
    </xf>
    <xf numFmtId="37" fontId="45" fillId="0" borderId="73" xfId="2" applyNumberFormat="1" applyFont="1" applyBorder="1"/>
    <xf numFmtId="37" fontId="40" fillId="0" borderId="73" xfId="2" applyNumberFormat="1" applyBorder="1"/>
    <xf numFmtId="174" fontId="40" fillId="0" borderId="0" xfId="2" quotePrefix="1" applyNumberFormat="1" applyAlignment="1">
      <alignment horizontal="right"/>
    </xf>
    <xf numFmtId="170" fontId="40" fillId="0" borderId="0" xfId="1773" applyNumberFormat="1" applyFont="1" applyAlignment="1"/>
    <xf numFmtId="37" fontId="40" fillId="0" borderId="0" xfId="2" applyNumberFormat="1" applyAlignment="1">
      <alignment horizontal="center"/>
    </xf>
    <xf numFmtId="174" fontId="40" fillId="0" borderId="73" xfId="2" applyNumberFormat="1" applyBorder="1"/>
    <xf numFmtId="174" fontId="40" fillId="0" borderId="0" xfId="2" quotePrefix="1" applyNumberFormat="1"/>
    <xf numFmtId="166" fontId="62" fillId="0" borderId="28" xfId="2" applyNumberFormat="1" applyFont="1" applyBorder="1"/>
    <xf numFmtId="170" fontId="62" fillId="0" borderId="28" xfId="2" applyNumberFormat="1" applyFont="1" applyBorder="1"/>
    <xf numFmtId="37" fontId="136" fillId="0" borderId="0" xfId="2" applyNumberFormat="1" applyFont="1" applyAlignment="1">
      <alignment horizontal="centerContinuous"/>
    </xf>
    <xf numFmtId="170" fontId="40" fillId="0" borderId="0" xfId="1773" applyNumberFormat="1" applyFont="1" applyBorder="1" applyAlignment="1"/>
    <xf numFmtId="170" fontId="40" fillId="0" borderId="0" xfId="1773" quotePrefix="1" applyNumberFormat="1" applyFont="1" applyBorder="1" applyAlignment="1">
      <alignment horizontal="right"/>
    </xf>
    <xf numFmtId="170" fontId="42" fillId="0" borderId="75" xfId="2" applyNumberFormat="1" applyFont="1" applyBorder="1" applyAlignment="1">
      <alignment horizontal="center"/>
    </xf>
    <xf numFmtId="37" fontId="47" fillId="0" borderId="75" xfId="2" applyNumberFormat="1" applyFont="1" applyBorder="1" applyAlignment="1">
      <alignment horizontal="center"/>
    </xf>
    <xf numFmtId="170" fontId="47" fillId="0" borderId="0" xfId="2" quotePrefix="1" applyNumberFormat="1" applyFont="1"/>
    <xf numFmtId="0" fontId="42" fillId="0" borderId="15" xfId="2" applyFont="1" applyBorder="1"/>
    <xf numFmtId="0" fontId="47" fillId="0" borderId="15" xfId="2" applyFont="1" applyBorder="1" applyAlignment="1">
      <alignment horizontal="center"/>
    </xf>
    <xf numFmtId="0" fontId="47" fillId="0" borderId="15" xfId="2" quotePrefix="1" applyFont="1" applyBorder="1" applyAlignment="1">
      <alignment horizontal="center"/>
    </xf>
    <xf numFmtId="170" fontId="47" fillId="0" borderId="15" xfId="2" quotePrefix="1" applyNumberFormat="1" applyFont="1" applyBorder="1"/>
    <xf numFmtId="170" fontId="47" fillId="0" borderId="15" xfId="2" applyNumberFormat="1" applyFont="1" applyBorder="1" applyAlignment="1">
      <alignment vertical="center"/>
    </xf>
    <xf numFmtId="0" fontId="47" fillId="0" borderId="15" xfId="2" applyFont="1" applyBorder="1"/>
    <xf numFmtId="0" fontId="40" fillId="0" borderId="0" xfId="2" applyAlignment="1">
      <alignment horizontal="centerContinuous"/>
    </xf>
    <xf numFmtId="165" fontId="40" fillId="0" borderId="0" xfId="2" applyNumberFormat="1" applyAlignment="1" applyProtection="1">
      <alignment horizontal="center"/>
      <protection locked="0"/>
    </xf>
    <xf numFmtId="0" fontId="40" fillId="0" borderId="20" xfId="2" applyBorder="1"/>
    <xf numFmtId="165" fontId="40" fillId="0" borderId="20" xfId="2" applyNumberFormat="1" applyBorder="1"/>
    <xf numFmtId="165" fontId="40" fillId="0" borderId="15" xfId="2" applyNumberFormat="1" applyBorder="1" applyProtection="1">
      <protection locked="0"/>
    </xf>
    <xf numFmtId="165" fontId="40" fillId="0" borderId="37" xfId="2" applyNumberFormat="1" applyBorder="1"/>
    <xf numFmtId="0" fontId="40" fillId="0" borderId="23" xfId="2" applyBorder="1"/>
    <xf numFmtId="0" fontId="40" fillId="0" borderId="37" xfId="2" applyBorder="1"/>
    <xf numFmtId="0" fontId="40" fillId="0" borderId="15" xfId="2" applyBorder="1"/>
    <xf numFmtId="0" fontId="40" fillId="0" borderId="13" xfId="2" applyBorder="1"/>
    <xf numFmtId="0" fontId="40" fillId="0" borderId="28" xfId="2" applyBorder="1"/>
    <xf numFmtId="174" fontId="40" fillId="0" borderId="10" xfId="2" applyNumberFormat="1" applyBorder="1"/>
    <xf numFmtId="174" fontId="40" fillId="0" borderId="13" xfId="2" applyNumberFormat="1" applyBorder="1" applyAlignment="1">
      <alignment horizontal="right"/>
    </xf>
    <xf numFmtId="174" fontId="40" fillId="0" borderId="28" xfId="2" applyNumberFormat="1" applyBorder="1" applyAlignment="1">
      <alignment horizontal="right"/>
    </xf>
    <xf numFmtId="169" fontId="40" fillId="0" borderId="15" xfId="2" applyNumberFormat="1" applyBorder="1"/>
    <xf numFmtId="168" fontId="40" fillId="0" borderId="0" xfId="2" applyNumberFormat="1" applyProtection="1">
      <protection locked="0"/>
    </xf>
    <xf numFmtId="168" fontId="40" fillId="0" borderId="0" xfId="2" applyNumberFormat="1"/>
    <xf numFmtId="166" fontId="40" fillId="0" borderId="15" xfId="2" applyNumberFormat="1" applyBorder="1"/>
    <xf numFmtId="170" fontId="40" fillId="0" borderId="38" xfId="2" applyNumberFormat="1" applyBorder="1"/>
    <xf numFmtId="170" fontId="40" fillId="0" borderId="28" xfId="2" applyNumberFormat="1" applyBorder="1"/>
    <xf numFmtId="170" fontId="40" fillId="0" borderId="13" xfId="2" applyNumberFormat="1" applyBorder="1"/>
    <xf numFmtId="170" fontId="40" fillId="0" borderId="13" xfId="2" quotePrefix="1" applyNumberFormat="1" applyBorder="1" applyAlignment="1">
      <alignment horizontal="right"/>
    </xf>
    <xf numFmtId="170" fontId="40" fillId="0" borderId="28" xfId="2" applyNumberFormat="1" applyBorder="1" applyAlignment="1">
      <alignment horizontal="right"/>
    </xf>
    <xf numFmtId="170" fontId="40" fillId="0" borderId="13" xfId="2" applyNumberFormat="1" applyBorder="1" applyAlignment="1">
      <alignment horizontal="right"/>
    </xf>
    <xf numFmtId="170" fontId="40" fillId="0" borderId="12" xfId="2" quotePrefix="1" applyNumberFormat="1" applyBorder="1"/>
    <xf numFmtId="170" fontId="40" fillId="0" borderId="71" xfId="2" applyNumberFormat="1" applyBorder="1" applyAlignment="1">
      <alignment horizontal="right"/>
    </xf>
    <xf numFmtId="170" fontId="40" fillId="0" borderId="13" xfId="2" quotePrefix="1" applyNumberFormat="1" applyBorder="1" applyAlignment="1">
      <alignment horizontal="center"/>
    </xf>
    <xf numFmtId="170" fontId="40" fillId="0" borderId="28" xfId="2" quotePrefix="1" applyNumberFormat="1" applyBorder="1" applyAlignment="1">
      <alignment horizontal="right"/>
    </xf>
    <xf numFmtId="0" fontId="40" fillId="0" borderId="15" xfId="2" quotePrefix="1" applyBorder="1"/>
    <xf numFmtId="170" fontId="40" fillId="0" borderId="10" xfId="2" quotePrefix="1" applyNumberFormat="1" applyBorder="1" applyAlignment="1">
      <alignment horizontal="center"/>
    </xf>
    <xf numFmtId="170" fontId="40" fillId="0" borderId="71" xfId="2" quotePrefix="1" applyNumberFormat="1" applyBorder="1" applyAlignment="1">
      <alignment horizontal="right"/>
    </xf>
    <xf numFmtId="0" fontId="40" fillId="0" borderId="15" xfId="2" quotePrefix="1" applyBorder="1" applyAlignment="1">
      <alignment horizontal="center"/>
    </xf>
    <xf numFmtId="0" fontId="40" fillId="0" borderId="15" xfId="2" quotePrefix="1" applyBorder="1" applyAlignment="1">
      <alignment horizontal="right"/>
    </xf>
    <xf numFmtId="170" fontId="40" fillId="0" borderId="37" xfId="2" applyNumberFormat="1" applyBorder="1"/>
    <xf numFmtId="165" fontId="47" fillId="0" borderId="0" xfId="2" applyNumberFormat="1" applyFont="1" applyProtection="1">
      <protection locked="0"/>
    </xf>
    <xf numFmtId="169" fontId="40" fillId="0" borderId="36" xfId="2" applyNumberFormat="1" applyBorder="1"/>
    <xf numFmtId="170" fontId="40" fillId="0" borderId="0" xfId="2" applyNumberFormat="1" applyProtection="1">
      <protection locked="0"/>
    </xf>
    <xf numFmtId="170" fontId="47" fillId="0" borderId="16" xfId="2" applyNumberFormat="1" applyFont="1" applyBorder="1" applyProtection="1">
      <protection locked="0"/>
    </xf>
    <xf numFmtId="164" fontId="47" fillId="0" borderId="16" xfId="2" applyNumberFormat="1" applyFont="1" applyBorder="1" applyProtection="1">
      <protection locked="0"/>
    </xf>
    <xf numFmtId="0" fontId="40" fillId="0" borderId="0" xfId="2" quotePrefix="1" applyAlignment="1">
      <alignment horizontal="left"/>
    </xf>
    <xf numFmtId="0" fontId="42" fillId="0" borderId="75" xfId="4" applyFont="1" applyBorder="1"/>
    <xf numFmtId="166" fontId="42" fillId="0" borderId="75" xfId="4" applyNumberFormat="1" applyFont="1" applyBorder="1"/>
    <xf numFmtId="170" fontId="47" fillId="0" borderId="16" xfId="5" applyNumberFormat="1" applyFont="1" applyFill="1" applyBorder="1"/>
    <xf numFmtId="170" fontId="47" fillId="0" borderId="0" xfId="4" applyNumberFormat="1" applyFont="1"/>
    <xf numFmtId="170" fontId="47" fillId="0" borderId="0" xfId="5" applyNumberFormat="1" applyFont="1" applyFill="1" applyBorder="1"/>
    <xf numFmtId="0" fontId="47" fillId="0" borderId="66" xfId="2" applyFont="1" applyBorder="1" applyAlignment="1">
      <alignment horizontal="center"/>
    </xf>
    <xf numFmtId="165" fontId="42" fillId="0" borderId="28" xfId="2" applyNumberFormat="1" applyFont="1" applyBorder="1"/>
    <xf numFmtId="165" fontId="47" fillId="0" borderId="66" xfId="2" applyNumberFormat="1" applyFont="1" applyBorder="1" applyAlignment="1">
      <alignment horizontal="center"/>
    </xf>
    <xf numFmtId="166" fontId="42" fillId="0" borderId="75" xfId="2" applyNumberFormat="1" applyFont="1" applyBorder="1"/>
    <xf numFmtId="164" fontId="47" fillId="0" borderId="45" xfId="2" applyNumberFormat="1" applyFont="1" applyBorder="1"/>
    <xf numFmtId="0" fontId="50" fillId="0" borderId="0" xfId="2" applyFont="1"/>
    <xf numFmtId="170" fontId="87" fillId="0" borderId="0" xfId="2" applyNumberFormat="1" applyFont="1"/>
    <xf numFmtId="170" fontId="42" fillId="0" borderId="18" xfId="2" applyNumberFormat="1" applyFont="1" applyBorder="1"/>
    <xf numFmtId="170" fontId="47" fillId="0" borderId="45" xfId="2" applyNumberFormat="1" applyFont="1" applyBorder="1" applyAlignment="1">
      <alignment horizontal="right"/>
    </xf>
    <xf numFmtId="165" fontId="40" fillId="0" borderId="0" xfId="0" applyNumberFormat="1" applyFont="1" applyAlignment="1">
      <alignment horizontal="left"/>
    </xf>
    <xf numFmtId="165" fontId="0" fillId="0" borderId="0" xfId="2" applyNumberFormat="1" applyFont="1"/>
    <xf numFmtId="164" fontId="47" fillId="0" borderId="45" xfId="2" applyNumberFormat="1" applyFont="1" applyBorder="1" applyProtection="1">
      <protection locked="0"/>
    </xf>
    <xf numFmtId="170" fontId="42" fillId="0" borderId="75" xfId="2" applyNumberFormat="1" applyFont="1" applyBorder="1"/>
    <xf numFmtId="170" fontId="45" fillId="0" borderId="0" xfId="2" applyNumberFormat="1" applyFont="1"/>
    <xf numFmtId="170" fontId="42" fillId="0" borderId="0" xfId="1" applyNumberFormat="1" applyFont="1" applyFill="1" applyAlignment="1">
      <alignment horizontal="center"/>
    </xf>
    <xf numFmtId="170" fontId="40" fillId="0" borderId="0" xfId="1" applyNumberFormat="1" applyFont="1" applyFill="1" applyAlignment="1">
      <alignment horizontal="center"/>
    </xf>
    <xf numFmtId="170" fontId="42" fillId="0" borderId="66" xfId="1" applyNumberFormat="1" applyFont="1" applyFill="1" applyBorder="1" applyAlignment="1">
      <alignment horizontal="center"/>
    </xf>
    <xf numFmtId="170" fontId="0" fillId="0" borderId="19" xfId="2" applyNumberFormat="1" applyFont="1" applyBorder="1" applyAlignment="1">
      <alignment horizontal="center"/>
    </xf>
    <xf numFmtId="170" fontId="47" fillId="0" borderId="16" xfId="4" applyNumberFormat="1" applyFont="1" applyBorder="1"/>
    <xf numFmtId="174" fontId="40" fillId="0" borderId="0" xfId="2" applyNumberFormat="1" applyProtection="1">
      <protection locked="0"/>
    </xf>
    <xf numFmtId="0" fontId="170" fillId="0" borderId="0" xfId="2" applyFont="1"/>
    <xf numFmtId="166" fontId="171" fillId="0" borderId="15" xfId="2" applyNumberFormat="1" applyFont="1" applyBorder="1" applyProtection="1">
      <protection locked="0"/>
    </xf>
    <xf numFmtId="0" fontId="171" fillId="0" borderId="15" xfId="2" applyFont="1" applyBorder="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xf numFmtId="166" fontId="170" fillId="0" borderId="15" xfId="2" applyNumberFormat="1" applyFont="1" applyBorder="1"/>
    <xf numFmtId="169" fontId="171" fillId="0" borderId="15" xfId="2" applyNumberFormat="1" applyFont="1" applyBorder="1"/>
    <xf numFmtId="0" fontId="171" fillId="0" borderId="0" xfId="2" applyFont="1"/>
    <xf numFmtId="165" fontId="171" fillId="0" borderId="0" xfId="2" applyNumberFormat="1" applyFont="1"/>
    <xf numFmtId="166" fontId="171" fillId="0" borderId="0" xfId="2" applyNumberFormat="1" applyFo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74" fontId="170" fillId="0" borderId="0" xfId="2" applyNumberFormat="1" applyFont="1"/>
    <xf numFmtId="170" fontId="171" fillId="0" borderId="0" xfId="2" applyNumberFormat="1" applyFont="1"/>
    <xf numFmtId="166" fontId="170" fillId="0" borderId="0" xfId="2" applyNumberFormat="1" applyFont="1"/>
    <xf numFmtId="164" fontId="170" fillId="0" borderId="66" xfId="1940" applyNumberFormat="1" applyFont="1" applyBorder="1" applyAlignment="1"/>
    <xf numFmtId="164" fontId="171" fillId="0" borderId="0" xfId="1940" applyNumberFormat="1" applyFont="1" applyBorder="1" applyAlignment="1"/>
    <xf numFmtId="0" fontId="171" fillId="0" borderId="0" xfId="2" applyFont="1" applyAlignment="1">
      <alignment horizontal="center"/>
    </xf>
    <xf numFmtId="164" fontId="171" fillId="0" borderId="0" xfId="1940" applyNumberFormat="1" applyFont="1" applyAlignment="1"/>
    <xf numFmtId="169" fontId="171" fillId="0" borderId="0" xfId="2" applyNumberFormat="1" applyFont="1"/>
    <xf numFmtId="0" fontId="170" fillId="0" borderId="0" xfId="2" applyFont="1" applyAlignment="1">
      <alignment horizontal="center"/>
    </xf>
    <xf numFmtId="164" fontId="170" fillId="0" borderId="17" xfId="1940" applyNumberFormat="1" applyFont="1" applyBorder="1" applyAlignment="1"/>
    <xf numFmtId="0" fontId="171" fillId="0" borderId="15" xfId="2" applyFont="1" applyBorder="1" applyProtection="1">
      <protection locked="0"/>
    </xf>
    <xf numFmtId="0" fontId="170" fillId="0" borderId="0" xfId="2" applyFont="1" applyAlignment="1">
      <alignment horizontal="right"/>
    </xf>
    <xf numFmtId="0" fontId="170" fillId="0" borderId="0" xfId="2" quotePrefix="1" applyFont="1" applyAlignment="1">
      <alignment horizontal="left"/>
    </xf>
    <xf numFmtId="170" fontId="171" fillId="0" borderId="0" xfId="2" quotePrefix="1" applyNumberFormat="1" applyFont="1" applyAlignment="1">
      <alignment horizontal="right"/>
    </xf>
    <xf numFmtId="170" fontId="170" fillId="0" borderId="0" xfId="2" quotePrefix="1" applyNumberFormat="1" applyFont="1" applyAlignment="1">
      <alignment horizontal="right"/>
    </xf>
    <xf numFmtId="170" fontId="171" fillId="0" borderId="0" xfId="2" quotePrefix="1" applyNumberFormat="1" applyFont="1" applyAlignment="1">
      <alignment horizontal="center"/>
    </xf>
    <xf numFmtId="170" fontId="170" fillId="0" borderId="0" xfId="2" quotePrefix="1" applyNumberFormat="1" applyFont="1" applyAlignment="1">
      <alignment horizontal="center"/>
    </xf>
    <xf numFmtId="170" fontId="170" fillId="0" borderId="0" xfId="2" applyNumberFormat="1" applyFont="1" applyAlignment="1">
      <alignment horizontal="right"/>
    </xf>
    <xf numFmtId="170" fontId="170" fillId="0" borderId="70" xfId="2" applyNumberFormat="1" applyFont="1" applyBorder="1"/>
    <xf numFmtId="166" fontId="170" fillId="0" borderId="0" xfId="2" applyNumberFormat="1" applyFont="1" applyAlignment="1">
      <alignment horizontal="right"/>
    </xf>
    <xf numFmtId="164" fontId="170" fillId="0" borderId="70" xfId="1940" applyNumberFormat="1" applyFont="1" applyBorder="1" applyAlignment="1"/>
    <xf numFmtId="174" fontId="170" fillId="0" borderId="35" xfId="2" applyNumberFormat="1" applyFont="1" applyBorder="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Font="1" applyAlignment="1">
      <alignment horizontal="right"/>
    </xf>
    <xf numFmtId="0" fontId="42" fillId="33" borderId="10" xfId="2" applyFont="1" applyFill="1" applyBorder="1" applyAlignment="1">
      <alignment horizontal="center"/>
    </xf>
    <xf numFmtId="0" fontId="0" fillId="0" borderId="10" xfId="2" applyFont="1" applyBorder="1"/>
    <xf numFmtId="174" fontId="0" fillId="0" borderId="0" xfId="2" applyNumberFormat="1" applyFont="1"/>
    <xf numFmtId="37" fontId="47" fillId="0" borderId="10" xfId="2" applyNumberFormat="1" applyFont="1" applyBorder="1" applyAlignment="1">
      <alignment horizontal="centerContinuous"/>
    </xf>
    <xf numFmtId="37" fontId="40" fillId="0" borderId="10" xfId="2" applyNumberFormat="1" applyBorder="1"/>
    <xf numFmtId="0" fontId="40" fillId="33" borderId="10" xfId="2" applyFill="1" applyBorder="1" applyAlignment="1">
      <alignment horizontal="center"/>
    </xf>
    <xf numFmtId="37" fontId="132" fillId="0" borderId="10" xfId="2" applyNumberFormat="1" applyFont="1" applyBorder="1"/>
    <xf numFmtId="37" fontId="47" fillId="0" borderId="10" xfId="2" applyNumberFormat="1" applyFont="1" applyBorder="1" applyAlignment="1">
      <alignment horizontal="center"/>
    </xf>
    <xf numFmtId="37" fontId="47" fillId="0" borderId="10" xfId="2" applyNumberFormat="1" applyFont="1" applyBorder="1"/>
    <xf numFmtId="37" fontId="47" fillId="0" borderId="10" xfId="2" applyNumberFormat="1" applyFont="1" applyBorder="1" applyAlignment="1" applyProtection="1">
      <alignment horizontal="centerContinuous"/>
      <protection locked="0"/>
    </xf>
    <xf numFmtId="0" fontId="40" fillId="0" borderId="10" xfId="2" applyBorder="1" applyAlignment="1">
      <alignment horizontal="center"/>
    </xf>
    <xf numFmtId="37" fontId="47" fillId="0" borderId="66" xfId="2" applyNumberFormat="1" applyFont="1" applyBorder="1"/>
    <xf numFmtId="37" fontId="47" fillId="0" borderId="66" xfId="2" applyNumberFormat="1" applyFont="1" applyBorder="1" applyAlignment="1">
      <alignment horizontal="centerContinuous"/>
    </xf>
    <xf numFmtId="166" fontId="40" fillId="0" borderId="0" xfId="2" applyNumberFormat="1" applyAlignment="1">
      <alignment horizontal="left"/>
    </xf>
    <xf numFmtId="0" fontId="47" fillId="0" borderId="0" xfId="17" applyNumberFormat="1" applyFont="1" applyAlignment="1" applyProtection="1">
      <alignment horizontal="right"/>
      <protection locked="0"/>
    </xf>
    <xf numFmtId="37" fontId="47" fillId="0" borderId="76" xfId="2" applyNumberFormat="1" applyFont="1" applyBorder="1" applyAlignment="1">
      <alignment horizontal="centerContinuous"/>
    </xf>
    <xf numFmtId="37" fontId="47" fillId="0" borderId="28" xfId="2" applyNumberFormat="1" applyFont="1" applyBorder="1" applyAlignment="1">
      <alignment horizontal="center"/>
    </xf>
    <xf numFmtId="37" fontId="45" fillId="0" borderId="28" xfId="2" applyNumberFormat="1" applyFont="1" applyBorder="1"/>
    <xf numFmtId="37" fontId="40" fillId="0" borderId="28" xfId="2" applyNumberFormat="1" applyBorder="1"/>
    <xf numFmtId="37" fontId="40" fillId="0" borderId="28" xfId="2" applyNumberFormat="1" applyBorder="1" applyAlignment="1">
      <alignment horizontal="center"/>
    </xf>
    <xf numFmtId="37" fontId="47" fillId="0" borderId="28" xfId="2" applyNumberFormat="1" applyFont="1" applyBorder="1"/>
    <xf numFmtId="37" fontId="47" fillId="0" borderId="77" xfId="2" applyNumberFormat="1" applyFont="1" applyBorder="1"/>
    <xf numFmtId="37" fontId="47" fillId="0" borderId="27" xfId="2" applyNumberFormat="1" applyFont="1" applyBorder="1"/>
    <xf numFmtId="37" fontId="47" fillId="0" borderId="78" xfId="2" applyNumberFormat="1" applyFont="1" applyBorder="1" applyAlignment="1">
      <alignment horizontal="center"/>
    </xf>
    <xf numFmtId="37" fontId="47" fillId="0" borderId="66" xfId="2" applyNumberFormat="1" applyFont="1" applyBorder="1" applyAlignment="1">
      <alignment horizontal="center"/>
    </xf>
    <xf numFmtId="174" fontId="40" fillId="0" borderId="21" xfId="2" applyNumberFormat="1" applyBorder="1"/>
    <xf numFmtId="43" fontId="40" fillId="0" borderId="0" xfId="1767" applyNumberFormat="1" applyFont="1" applyAlignment="1">
      <alignment horizontal="right"/>
    </xf>
    <xf numFmtId="43" fontId="47" fillId="0" borderId="0" xfId="1767" applyNumberFormat="1" applyFont="1" applyAlignment="1">
      <alignment horizontal="right"/>
    </xf>
    <xf numFmtId="43" fontId="47" fillId="0" borderId="35" xfId="1767" applyNumberFormat="1" applyFont="1" applyBorder="1" applyAlignment="1">
      <alignment horizontal="right"/>
    </xf>
    <xf numFmtId="43" fontId="40" fillId="0" borderId="0" xfId="1767" applyNumberFormat="1" applyFont="1"/>
    <xf numFmtId="0" fontId="100" fillId="0" borderId="0" xfId="1767"/>
    <xf numFmtId="164" fontId="40" fillId="0" borderId="0" xfId="1767" applyNumberFormat="1" applyFont="1"/>
    <xf numFmtId="164" fontId="100" fillId="0" borderId="0" xfId="1767" applyNumberFormat="1"/>
    <xf numFmtId="0" fontId="40" fillId="0" borderId="0" xfId="739"/>
    <xf numFmtId="37" fontId="40" fillId="0" borderId="0" xfId="739" applyNumberFormat="1"/>
    <xf numFmtId="164" fontId="41" fillId="0" borderId="0" xfId="0" applyFont="1" applyAlignment="1">
      <alignment horizontal="right"/>
    </xf>
    <xf numFmtId="0" fontId="40" fillId="0" borderId="0" xfId="739" applyAlignment="1">
      <alignment horizontal="centerContinuous"/>
    </xf>
    <xf numFmtId="166" fontId="40" fillId="0" borderId="0" xfId="739" applyNumberFormat="1" applyProtection="1">
      <protection locked="0"/>
    </xf>
    <xf numFmtId="166" fontId="40" fillId="0" borderId="0" xfId="739" applyNumberFormat="1"/>
    <xf numFmtId="0" fontId="40" fillId="0" borderId="0" xfId="739" applyAlignment="1">
      <alignment horizontal="left"/>
    </xf>
    <xf numFmtId="0" fontId="40" fillId="0" borderId="0" xfId="1776"/>
    <xf numFmtId="39" fontId="40" fillId="0" borderId="0" xfId="1776" applyNumberFormat="1"/>
    <xf numFmtId="165" fontId="64" fillId="0" borderId="0" xfId="1776" applyNumberFormat="1" applyFont="1" applyAlignment="1">
      <alignment horizontal="left"/>
    </xf>
    <xf numFmtId="39" fontId="64" fillId="0" borderId="0" xfId="1776" applyNumberFormat="1" applyFont="1"/>
    <xf numFmtId="0" fontId="64" fillId="0" borderId="0" xfId="1776" applyFont="1"/>
    <xf numFmtId="0" fontId="40" fillId="0" borderId="0" xfId="1776" applyAlignment="1">
      <alignment horizontal="left"/>
    </xf>
    <xf numFmtId="39" fontId="40" fillId="0" borderId="0" xfId="1776" applyNumberFormat="1" applyAlignment="1">
      <alignment horizontal="center"/>
    </xf>
    <xf numFmtId="165" fontId="47" fillId="0" borderId="0" xfId="1776" applyNumberFormat="1" applyFont="1"/>
    <xf numFmtId="39" fontId="47" fillId="0" borderId="0" xfId="1776" applyNumberFormat="1" applyFont="1"/>
    <xf numFmtId="0" fontId="47" fillId="0" borderId="0" xfId="1776" applyFont="1"/>
    <xf numFmtId="39" fontId="47" fillId="0" borderId="0" xfId="1776" applyNumberFormat="1" applyFont="1" applyAlignment="1">
      <alignment horizontal="center"/>
    </xf>
    <xf numFmtId="44" fontId="47" fillId="0" borderId="0" xfId="1776" applyNumberFormat="1" applyFont="1"/>
    <xf numFmtId="8" fontId="47" fillId="0" borderId="0" xfId="1776" applyNumberFormat="1" applyFont="1"/>
    <xf numFmtId="40" fontId="47" fillId="0" borderId="0" xfId="1776" applyNumberFormat="1" applyFont="1"/>
    <xf numFmtId="43" fontId="40" fillId="0" borderId="0" xfId="1776" applyNumberFormat="1"/>
    <xf numFmtId="0" fontId="47" fillId="0" borderId="0" xfId="1776" applyFont="1" applyAlignment="1">
      <alignment horizontal="left"/>
    </xf>
    <xf numFmtId="0" fontId="40" fillId="0" borderId="0" xfId="1776" quotePrefix="1" applyAlignment="1">
      <alignment horizontal="left"/>
    </xf>
    <xf numFmtId="43" fontId="47" fillId="0" borderId="0" xfId="1776" applyNumberFormat="1" applyFont="1" applyAlignment="1">
      <alignment horizontal="right"/>
    </xf>
    <xf numFmtId="43" fontId="40" fillId="0" borderId="0" xfId="1776" applyNumberFormat="1" applyAlignment="1">
      <alignment horizontal="right"/>
    </xf>
    <xf numFmtId="39" fontId="40" fillId="0" borderId="46" xfId="1776" applyNumberFormat="1" applyBorder="1"/>
    <xf numFmtId="39" fontId="47" fillId="0" borderId="0" xfId="1776" quotePrefix="1" applyNumberFormat="1" applyFont="1" applyAlignment="1">
      <alignment horizontal="left"/>
    </xf>
    <xf numFmtId="4" fontId="47" fillId="0" borderId="0" xfId="1776" applyNumberFormat="1" applyFont="1"/>
    <xf numFmtId="0" fontId="85" fillId="0" borderId="0" xfId="1776" applyFont="1"/>
    <xf numFmtId="165" fontId="40" fillId="0" borderId="0" xfId="1776" applyNumberFormat="1" applyProtection="1">
      <protection locked="0"/>
    </xf>
    <xf numFmtId="0" fontId="55" fillId="0" borderId="0" xfId="1776" applyFont="1" applyAlignment="1">
      <alignment horizontal="left"/>
    </xf>
    <xf numFmtId="165" fontId="91" fillId="0" borderId="0" xfId="1776" applyNumberFormat="1" applyFont="1"/>
    <xf numFmtId="39" fontId="91" fillId="0" borderId="0" xfId="1776" applyNumberFormat="1" applyFont="1"/>
    <xf numFmtId="44" fontId="47" fillId="0" borderId="21" xfId="1776" applyNumberFormat="1" applyFont="1" applyBorder="1"/>
    <xf numFmtId="39" fontId="40" fillId="0" borderId="21" xfId="1776" applyNumberFormat="1" applyBorder="1"/>
    <xf numFmtId="43" fontId="40" fillId="0" borderId="21" xfId="1776" applyNumberFormat="1" applyBorder="1"/>
    <xf numFmtId="43" fontId="40" fillId="0" borderId="18" xfId="1776" applyNumberFormat="1" applyBorder="1"/>
    <xf numFmtId="43" fontId="47" fillId="0" borderId="21" xfId="1776" applyNumberFormat="1" applyFont="1" applyBorder="1"/>
    <xf numFmtId="43" fontId="47" fillId="0" borderId="0" xfId="1776" applyNumberFormat="1" applyFont="1"/>
    <xf numFmtId="43" fontId="95" fillId="0" borderId="0" xfId="1776" applyNumberFormat="1" applyFont="1"/>
    <xf numFmtId="43" fontId="47" fillId="0" borderId="18" xfId="1776" applyNumberFormat="1" applyFont="1" applyBorder="1"/>
    <xf numFmtId="39" fontId="40" fillId="0" borderId="18" xfId="1776" applyNumberFormat="1" applyBorder="1"/>
    <xf numFmtId="44" fontId="47" fillId="0" borderId="18" xfId="1776" applyNumberFormat="1" applyFont="1" applyBorder="1"/>
    <xf numFmtId="39" fontId="40" fillId="0" borderId="36" xfId="1776" applyNumberFormat="1" applyBorder="1"/>
    <xf numFmtId="165" fontId="43" fillId="0" borderId="0" xfId="840" applyNumberFormat="1" applyFont="1" applyProtection="1">
      <protection locked="0"/>
    </xf>
    <xf numFmtId="40" fontId="40" fillId="0" borderId="0" xfId="840" applyNumberFormat="1" applyFont="1" applyAlignment="1">
      <alignment horizontal="center"/>
    </xf>
    <xf numFmtId="190" fontId="40" fillId="0" borderId="0" xfId="11" applyNumberFormat="1" applyFont="1" applyAlignment="1">
      <alignment horizontal="center"/>
    </xf>
    <xf numFmtId="40" fontId="40" fillId="0" borderId="0" xfId="840" quotePrefix="1" applyNumberFormat="1" applyFont="1" applyAlignment="1">
      <alignment horizontal="center"/>
    </xf>
    <xf numFmtId="165" fontId="40" fillId="0" borderId="0" xfId="840" applyNumberFormat="1" applyFont="1"/>
    <xf numFmtId="39" fontId="40" fillId="0" borderId="0" xfId="840" applyNumberFormat="1" applyFont="1"/>
    <xf numFmtId="40" fontId="40" fillId="0" borderId="0" xfId="840" applyNumberFormat="1" applyFont="1"/>
    <xf numFmtId="42" fontId="40" fillId="0" borderId="0" xfId="840" applyNumberFormat="1" applyFont="1"/>
    <xf numFmtId="0" fontId="40" fillId="0" borderId="0" xfId="840" applyFont="1"/>
    <xf numFmtId="37" fontId="40" fillId="0" borderId="0" xfId="840" applyNumberFormat="1" applyFont="1"/>
    <xf numFmtId="190" fontId="40" fillId="0" borderId="0" xfId="11" applyNumberFormat="1" applyFont="1" applyAlignment="1"/>
    <xf numFmtId="41" fontId="40" fillId="0" borderId="0" xfId="840" applyNumberFormat="1" applyFont="1"/>
    <xf numFmtId="41" fontId="40" fillId="0" borderId="0" xfId="11" applyNumberFormat="1" applyFont="1" applyFill="1" applyAlignment="1"/>
    <xf numFmtId="41" fontId="40" fillId="0" borderId="0" xfId="840" quotePrefix="1" applyNumberFormat="1" applyFont="1" applyAlignment="1">
      <alignment horizontal="center"/>
    </xf>
    <xf numFmtId="41" fontId="40" fillId="0" borderId="0" xfId="11" applyNumberFormat="1" applyFont="1" applyAlignment="1"/>
    <xf numFmtId="41" fontId="40" fillId="0" borderId="0" xfId="840" applyNumberFormat="1" applyFont="1" applyAlignment="1">
      <alignment horizontal="right"/>
    </xf>
    <xf numFmtId="41" fontId="40" fillId="0" borderId="0" xfId="840" quotePrefix="1" applyNumberFormat="1" applyFont="1" applyAlignment="1">
      <alignment horizontal="right"/>
    </xf>
    <xf numFmtId="41" fontId="47" fillId="0" borderId="66" xfId="840" applyNumberFormat="1" applyFont="1" applyBorder="1"/>
    <xf numFmtId="190" fontId="40" fillId="0" borderId="0" xfId="11" applyNumberFormat="1" applyFont="1" applyBorder="1" applyAlignment="1"/>
    <xf numFmtId="174" fontId="40" fillId="0" borderId="0" xfId="17" applyNumberFormat="1"/>
    <xf numFmtId="170" fontId="40" fillId="0" borderId="0" xfId="17" applyNumberFormat="1"/>
    <xf numFmtId="174" fontId="40" fillId="0" borderId="0" xfId="1049" applyNumberFormat="1" applyAlignment="1">
      <alignment horizontal="center"/>
    </xf>
    <xf numFmtId="170" fontId="40" fillId="0" borderId="0" xfId="17" applyNumberFormat="1" applyProtection="1">
      <protection locked="0"/>
    </xf>
    <xf numFmtId="170" fontId="40" fillId="0" borderId="0" xfId="17" applyNumberFormat="1" applyAlignment="1">
      <alignment horizontal="right"/>
    </xf>
    <xf numFmtId="187" fontId="40" fillId="0" borderId="0" xfId="17" applyNumberFormat="1"/>
    <xf numFmtId="0" fontId="0" fillId="0" borderId="0" xfId="2" applyFont="1" applyAlignment="1">
      <alignment horizontal="right"/>
    </xf>
    <xf numFmtId="165" fontId="66" fillId="0" borderId="0" xfId="2" applyNumberFormat="1" applyFont="1" applyAlignment="1">
      <alignment horizontal="center"/>
    </xf>
    <xf numFmtId="194" fontId="40" fillId="0" borderId="0" xfId="2" applyNumberFormat="1" applyProtection="1">
      <protection locked="0"/>
    </xf>
    <xf numFmtId="39" fontId="69" fillId="0" borderId="0" xfId="1776" applyNumberFormat="1" applyFont="1" applyAlignment="1">
      <alignment horizontal="right" vertical="top"/>
    </xf>
    <xf numFmtId="0" fontId="69" fillId="0" borderId="0" xfId="1776" applyFont="1" applyAlignment="1">
      <alignment horizontal="left"/>
    </xf>
    <xf numFmtId="0" fontId="47" fillId="0" borderId="0" xfId="1776" applyFont="1" applyAlignment="1">
      <alignment horizontal="left" vertical="top"/>
    </xf>
    <xf numFmtId="0" fontId="69" fillId="0" borderId="0" xfId="1776" applyFont="1" applyAlignment="1">
      <alignment horizontal="center"/>
    </xf>
    <xf numFmtId="39" fontId="43" fillId="0" borderId="0" xfId="1776" applyNumberFormat="1" applyFont="1" applyAlignment="1">
      <alignment horizontal="centerContinuous"/>
    </xf>
    <xf numFmtId="0" fontId="64" fillId="0" borderId="0" xfId="1776" applyFont="1" applyAlignment="1">
      <alignment horizontal="left"/>
    </xf>
    <xf numFmtId="0" fontId="40" fillId="0" borderId="0" xfId="1776" applyAlignment="1">
      <alignment horizontal="center"/>
    </xf>
    <xf numFmtId="170" fontId="52" fillId="0" borderId="0" xfId="2" applyNumberFormat="1" applyFont="1"/>
    <xf numFmtId="174" fontId="40" fillId="0" borderId="0" xfId="0" applyNumberFormat="1" applyFont="1"/>
    <xf numFmtId="170" fontId="40" fillId="0" borderId="0" xfId="0" quotePrefix="1" applyNumberFormat="1" applyFont="1" applyAlignment="1">
      <alignment horizontal="right"/>
    </xf>
    <xf numFmtId="170" fontId="40" fillId="0" borderId="20" xfId="0" quotePrefix="1" applyNumberFormat="1" applyFont="1" applyBorder="1" applyAlignment="1">
      <alignment horizontal="center"/>
    </xf>
    <xf numFmtId="172" fontId="42" fillId="0" borderId="0" xfId="0" applyNumberFormat="1" applyFont="1" applyProtection="1">
      <protection locked="0"/>
    </xf>
    <xf numFmtId="172" fontId="170" fillId="0" borderId="0" xfId="1940" applyNumberFormat="1" applyFont="1" applyAlignment="1"/>
    <xf numFmtId="10" fontId="45" fillId="0" borderId="0" xfId="2" applyNumberFormat="1" applyFont="1"/>
    <xf numFmtId="0" fontId="174" fillId="0" borderId="0" xfId="861" applyNumberFormat="1" applyFont="1" applyAlignment="1" applyProtection="1"/>
    <xf numFmtId="0" fontId="174" fillId="0" borderId="0" xfId="860" applyFont="1"/>
    <xf numFmtId="0" fontId="175" fillId="0" borderId="0" xfId="860" applyFo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9" fillId="0" borderId="0" xfId="861" applyNumberFormat="1" applyAlignment="1" applyProtection="1"/>
    <xf numFmtId="170" fontId="40" fillId="0" borderId="47" xfId="2" applyNumberFormat="1" applyBorder="1"/>
    <xf numFmtId="0" fontId="42" fillId="0" borderId="79" xfId="4" applyFont="1" applyBorder="1"/>
    <xf numFmtId="174" fontId="167" fillId="0" borderId="0" xfId="2" applyNumberFormat="1" applyFont="1"/>
    <xf numFmtId="174" fontId="168" fillId="0" borderId="15" xfId="2" applyNumberFormat="1" applyFont="1" applyBorder="1"/>
    <xf numFmtId="164" fontId="40" fillId="0" borderId="0" xfId="1940" applyNumberFormat="1" applyFont="1" applyAlignment="1"/>
    <xf numFmtId="164" fontId="47" fillId="0" borderId="66" xfId="1940" applyNumberFormat="1" applyFont="1" applyBorder="1" applyAlignment="1"/>
    <xf numFmtId="174" fontId="40" fillId="0" borderId="24" xfId="2" applyNumberFormat="1" applyBorder="1"/>
    <xf numFmtId="174" fontId="40" fillId="0" borderId="15" xfId="2" applyNumberFormat="1" applyBorder="1"/>
    <xf numFmtId="170" fontId="40" fillId="0" borderId="14" xfId="2" applyNumberFormat="1" applyBorder="1"/>
    <xf numFmtId="170" fontId="40" fillId="0" borderId="21" xfId="2" applyNumberFormat="1" applyBorder="1"/>
    <xf numFmtId="170" fontId="40" fillId="0" borderId="18" xfId="2" applyNumberFormat="1" applyBorder="1"/>
    <xf numFmtId="170" fontId="40" fillId="0" borderId="15" xfId="2" applyNumberFormat="1" applyBorder="1"/>
    <xf numFmtId="43" fontId="40" fillId="0" borderId="0" xfId="2" applyNumberFormat="1"/>
    <xf numFmtId="170" fontId="40" fillId="0" borderId="25" xfId="2" applyNumberFormat="1" applyBorder="1"/>
    <xf numFmtId="170" fontId="40" fillId="0" borderId="12" xfId="2" quotePrefix="1" applyNumberFormat="1" applyBorder="1" applyAlignment="1">
      <alignment horizontal="center"/>
    </xf>
    <xf numFmtId="170" fontId="40" fillId="0" borderId="15" xfId="2" quotePrefix="1" applyNumberFormat="1" applyBorder="1" applyAlignment="1">
      <alignment horizontal="right"/>
    </xf>
    <xf numFmtId="170" fontId="40" fillId="0" borderId="15" xfId="2" quotePrefix="1" applyNumberFormat="1" applyBorder="1"/>
    <xf numFmtId="0" fontId="40" fillId="0" borderId="0" xfId="2" quotePrefix="1" applyAlignment="1">
      <alignment horizontal="right"/>
    </xf>
    <xf numFmtId="170" fontId="40" fillId="0" borderId="19" xfId="2" applyNumberFormat="1" applyBorder="1"/>
    <xf numFmtId="170" fontId="40" fillId="0" borderId="19" xfId="2" applyNumberFormat="1" applyBorder="1" applyAlignment="1">
      <alignment horizontal="right"/>
    </xf>
    <xf numFmtId="165" fontId="40" fillId="0" borderId="0" xfId="2" applyNumberFormat="1" applyAlignment="1">
      <alignment horizontal="right"/>
    </xf>
    <xf numFmtId="170" fontId="69" fillId="0" borderId="66" xfId="2" applyNumberFormat="1" applyFont="1" applyBorder="1"/>
    <xf numFmtId="39" fontId="40" fillId="0" borderId="0" xfId="2" applyNumberFormat="1"/>
    <xf numFmtId="0" fontId="47" fillId="0" borderId="10" xfId="2" applyFont="1" applyBorder="1" applyAlignment="1" applyProtection="1">
      <alignment horizontal="center"/>
      <protection locked="0"/>
    </xf>
    <xf numFmtId="170" fontId="40" fillId="0" borderId="0" xfId="0" applyNumberFormat="1" applyFont="1" applyAlignment="1">
      <alignment horizontal="right"/>
    </xf>
    <xf numFmtId="164" fontId="42" fillId="0" borderId="0" xfId="0" applyFont="1"/>
    <xf numFmtId="164" fontId="42" fillId="0" borderId="66" xfId="0" applyFont="1" applyBorder="1"/>
    <xf numFmtId="172" fontId="47" fillId="0" borderId="10" xfId="0" applyNumberFormat="1" applyFont="1" applyBorder="1"/>
    <xf numFmtId="165" fontId="42" fillId="0" borderId="0" xfId="0" applyNumberFormat="1" applyFont="1"/>
    <xf numFmtId="173" fontId="42" fillId="0" borderId="0" xfId="0" applyNumberFormat="1" applyFont="1"/>
    <xf numFmtId="0" fontId="47" fillId="0" borderId="0" xfId="2" applyFont="1" applyAlignment="1" applyProtection="1">
      <alignment horizontal="center"/>
      <protection locked="0"/>
    </xf>
    <xf numFmtId="164" fontId="40" fillId="0" borderId="66" xfId="0" applyFont="1" applyBorder="1"/>
    <xf numFmtId="164" fontId="47" fillId="0" borderId="16" xfId="0" applyFont="1" applyBorder="1"/>
    <xf numFmtId="164" fontId="40" fillId="0" borderId="19" xfId="2" applyNumberFormat="1" applyBorder="1"/>
    <xf numFmtId="164" fontId="47" fillId="0" borderId="16" xfId="2" applyNumberFormat="1" applyFont="1" applyBorder="1" applyAlignment="1">
      <alignment horizontal="right"/>
    </xf>
    <xf numFmtId="164" fontId="40" fillId="0" borderId="66" xfId="2" applyNumberFormat="1" applyBorder="1" applyAlignment="1">
      <alignment horizontal="right"/>
    </xf>
    <xf numFmtId="164" fontId="40" fillId="0" borderId="0" xfId="2" applyNumberFormat="1" applyAlignment="1">
      <alignment horizontal="right"/>
    </xf>
    <xf numFmtId="164" fontId="47" fillId="0" borderId="66" xfId="2" applyNumberFormat="1" applyFont="1" applyBorder="1" applyAlignment="1">
      <alignment horizontal="right"/>
    </xf>
    <xf numFmtId="164" fontId="47" fillId="0" borderId="45" xfId="0" applyFont="1" applyBorder="1"/>
    <xf numFmtId="164" fontId="47" fillId="0" borderId="66" xfId="0" applyFont="1" applyBorder="1"/>
    <xf numFmtId="164" fontId="42" fillId="0" borderId="0" xfId="4" applyNumberFormat="1" applyFont="1"/>
    <xf numFmtId="172" fontId="42" fillId="0" borderId="0" xfId="0" applyNumberFormat="1" applyFont="1"/>
    <xf numFmtId="172" fontId="47" fillId="0" borderId="66" xfId="0" applyNumberFormat="1" applyFont="1" applyBorder="1"/>
    <xf numFmtId="44" fontId="47" fillId="0" borderId="35" xfId="1767" applyNumberFormat="1" applyFont="1" applyBorder="1" applyAlignment="1">
      <alignment horizontal="right"/>
    </xf>
    <xf numFmtId="0" fontId="69" fillId="0" borderId="0" xfId="2" quotePrefix="1" applyFont="1" applyAlignment="1">
      <alignment horizontal="left"/>
    </xf>
    <xf numFmtId="41" fontId="40" fillId="0" borderId="0" xfId="739" applyNumberFormat="1"/>
    <xf numFmtId="172" fontId="47" fillId="0" borderId="35" xfId="2" applyNumberFormat="1" applyFont="1" applyBorder="1"/>
    <xf numFmtId="172" fontId="170" fillId="0" borderId="35" xfId="1940" applyNumberFormat="1" applyFont="1" applyBorder="1" applyAlignment="1"/>
    <xf numFmtId="172" fontId="40" fillId="0" borderId="0" xfId="0" applyNumberFormat="1" applyFont="1"/>
    <xf numFmtId="170" fontId="42" fillId="0" borderId="83" xfId="2" applyNumberFormat="1" applyFont="1" applyBorder="1" applyAlignment="1">
      <alignment horizontal="center"/>
    </xf>
    <xf numFmtId="43" fontId="40" fillId="0" borderId="0" xfId="0" applyNumberFormat="1" applyFont="1" applyAlignment="1">
      <alignment horizontal="right"/>
    </xf>
    <xf numFmtId="172" fontId="47" fillId="0" borderId="0" xfId="0" applyNumberFormat="1" applyFont="1"/>
    <xf numFmtId="0" fontId="141" fillId="0" borderId="0" xfId="8" applyFont="1"/>
    <xf numFmtId="0" fontId="40" fillId="0" borderId="0" xfId="8" applyFont="1"/>
    <xf numFmtId="3" fontId="52" fillId="0" borderId="0" xfId="8" quotePrefix="1" applyNumberFormat="1" applyFont="1" applyAlignment="1">
      <alignment horizontal="right"/>
    </xf>
    <xf numFmtId="41" fontId="45" fillId="0" borderId="0" xfId="1773" applyNumberFormat="1" applyFont="1" applyFill="1"/>
    <xf numFmtId="177" fontId="184" fillId="0" borderId="0" xfId="740" applyNumberFormat="1" applyFont="1"/>
    <xf numFmtId="172" fontId="47" fillId="0" borderId="0" xfId="1940" applyNumberFormat="1" applyFont="1" applyBorder="1" applyAlignment="1" applyProtection="1"/>
    <xf numFmtId="165" fontId="47" fillId="0" borderId="82" xfId="0" applyNumberFormat="1" applyFont="1" applyBorder="1" applyAlignment="1">
      <alignment horizontal="center"/>
    </xf>
    <xf numFmtId="0" fontId="47" fillId="0" borderId="82" xfId="0" applyNumberFormat="1" applyFont="1" applyBorder="1" applyAlignment="1">
      <alignment horizontal="center"/>
    </xf>
    <xf numFmtId="165" fontId="47" fillId="0" borderId="0" xfId="0" applyNumberFormat="1" applyFont="1" applyAlignment="1">
      <alignment horizontal="center"/>
    </xf>
    <xf numFmtId="0" fontId="47" fillId="0" borderId="66" xfId="0" quotePrefix="1" applyNumberFormat="1" applyFont="1" applyBorder="1" applyAlignment="1">
      <alignment horizontal="center"/>
    </xf>
    <xf numFmtId="0" fontId="47" fillId="0" borderId="0" xfId="0" applyNumberFormat="1" applyFont="1" applyAlignment="1">
      <alignment horizontal="center"/>
    </xf>
    <xf numFmtId="0" fontId="47" fillId="0" borderId="0" xfId="0" quotePrefix="1" applyNumberFormat="1" applyFont="1" applyAlignment="1">
      <alignment horizontal="center"/>
    </xf>
    <xf numFmtId="164" fontId="66" fillId="0" borderId="0" xfId="0" applyFont="1"/>
    <xf numFmtId="164" fontId="67" fillId="0" borderId="86" xfId="0" applyFont="1" applyBorder="1"/>
    <xf numFmtId="164" fontId="67" fillId="0" borderId="84" xfId="0" applyFont="1" applyBorder="1"/>
    <xf numFmtId="164" fontId="67" fillId="0" borderId="17" xfId="0" applyFont="1" applyBorder="1"/>
    <xf numFmtId="172" fontId="40" fillId="0" borderId="0" xfId="1940" applyNumberFormat="1" applyFont="1" applyBorder="1" applyAlignment="1" applyProtection="1"/>
    <xf numFmtId="0" fontId="185" fillId="0" borderId="0" xfId="9967"/>
    <xf numFmtId="0" fontId="45" fillId="0" borderId="0" xfId="9967" applyFont="1"/>
    <xf numFmtId="0" fontId="45" fillId="0" borderId="0" xfId="9967" applyFont="1" applyAlignment="1">
      <alignment horizontal="center"/>
    </xf>
    <xf numFmtId="0" fontId="46" fillId="0" borderId="66" xfId="9967" applyFont="1" applyBorder="1" applyAlignment="1">
      <alignment horizontal="center"/>
    </xf>
    <xf numFmtId="0" fontId="45" fillId="0" borderId="92" xfId="9967" applyFont="1" applyBorder="1"/>
    <xf numFmtId="0" fontId="46" fillId="0" borderId="66" xfId="9967" applyFont="1" applyBorder="1" applyAlignment="1">
      <alignment horizontal="centerContinuous"/>
    </xf>
    <xf numFmtId="0" fontId="46" fillId="0" borderId="0" xfId="9967" applyFont="1" applyAlignment="1">
      <alignment horizontal="center"/>
    </xf>
    <xf numFmtId="43" fontId="46" fillId="0" borderId="0" xfId="9967" applyNumberFormat="1" applyFont="1" applyAlignment="1">
      <alignment horizontal="center"/>
    </xf>
    <xf numFmtId="0" fontId="45" fillId="0" borderId="72" xfId="9967" applyFont="1" applyBorder="1"/>
    <xf numFmtId="0" fontId="46" fillId="0" borderId="0" xfId="9967" quotePrefix="1" applyFont="1" applyAlignment="1">
      <alignment horizontal="center"/>
    </xf>
    <xf numFmtId="0" fontId="41" fillId="0" borderId="0" xfId="2" quotePrefix="1" applyFont="1" applyAlignment="1">
      <alignment horizontal="left"/>
    </xf>
    <xf numFmtId="0" fontId="40" fillId="0" borderId="0" xfId="5517" applyFont="1"/>
    <xf numFmtId="170" fontId="40" fillId="0" borderId="0" xfId="5517" applyNumberFormat="1" applyFont="1"/>
    <xf numFmtId="186" fontId="46" fillId="0" borderId="68" xfId="860" quotePrefix="1" applyNumberFormat="1" applyFont="1" applyBorder="1" applyAlignment="1">
      <alignment horizontal="centerContinuous"/>
    </xf>
    <xf numFmtId="170" fontId="47" fillId="0" borderId="94" xfId="2" applyNumberFormat="1" applyFont="1" applyBorder="1"/>
    <xf numFmtId="37" fontId="186" fillId="0" borderId="0" xfId="2" applyNumberFormat="1" applyFont="1"/>
    <xf numFmtId="174" fontId="186" fillId="0" borderId="0" xfId="2" applyNumberFormat="1" applyFont="1"/>
    <xf numFmtId="0" fontId="46" fillId="0" borderId="0" xfId="0" quotePrefix="1" applyNumberFormat="1" applyFont="1" applyAlignment="1">
      <alignment horizontal="left"/>
    </xf>
    <xf numFmtId="0" fontId="61" fillId="0" borderId="0" xfId="2" quotePrefix="1" applyFont="1" applyAlignment="1">
      <alignment horizontal="center"/>
    </xf>
    <xf numFmtId="44" fontId="45" fillId="0" borderId="0" xfId="0" applyNumberFormat="1" applyFont="1"/>
    <xf numFmtId="4" fontId="45" fillId="0" borderId="0" xfId="0" applyNumberFormat="1" applyFont="1" applyAlignment="1">
      <alignment horizontal="right"/>
    </xf>
    <xf numFmtId="43" fontId="45" fillId="0" borderId="0" xfId="0" applyNumberFormat="1" applyFont="1" applyAlignment="1">
      <alignment horizontal="right"/>
    </xf>
    <xf numFmtId="43" fontId="45" fillId="0" borderId="0" xfId="0" quotePrefix="1" applyNumberFormat="1" applyFont="1" applyAlignment="1">
      <alignment horizontal="right"/>
    </xf>
    <xf numFmtId="0" fontId="45" fillId="0" borderId="0" xfId="0" applyNumberFormat="1" applyFont="1" applyAlignment="1">
      <alignment horizontal="center"/>
    </xf>
    <xf numFmtId="177" fontId="69" fillId="0" borderId="16" xfId="836" applyNumberFormat="1" applyFont="1" applyBorder="1" applyAlignment="1">
      <alignment horizontal="right"/>
    </xf>
    <xf numFmtId="0" fontId="100" fillId="0" borderId="0" xfId="8"/>
    <xf numFmtId="172" fontId="0" fillId="0" borderId="0" xfId="0" applyNumberFormat="1"/>
    <xf numFmtId="40" fontId="68" fillId="0" borderId="0" xfId="25861" applyNumberFormat="1" applyFont="1"/>
    <xf numFmtId="39" fontId="68" fillId="0" borderId="0" xfId="25861" applyNumberFormat="1" applyFont="1"/>
    <xf numFmtId="165" fontId="85" fillId="0" borderId="0" xfId="840" applyNumberFormat="1" applyFont="1"/>
    <xf numFmtId="0" fontId="85" fillId="0" borderId="0" xfId="840" applyFont="1" applyAlignment="1">
      <alignment horizontal="left"/>
    </xf>
    <xf numFmtId="42" fontId="47" fillId="0" borderId="81" xfId="840" applyNumberFormat="1" applyFont="1" applyBorder="1"/>
    <xf numFmtId="41" fontId="40" fillId="0" borderId="84" xfId="11" applyNumberFormat="1" applyFont="1" applyBorder="1" applyAlignment="1"/>
    <xf numFmtId="41" fontId="40" fillId="0" borderId="84" xfId="840" quotePrefix="1" applyNumberFormat="1" applyFont="1" applyBorder="1" applyAlignment="1">
      <alignment horizontal="center"/>
    </xf>
    <xf numFmtId="41" fontId="47" fillId="0" borderId="86" xfId="840" quotePrefix="1" applyNumberFormat="1" applyFont="1" applyBorder="1"/>
    <xf numFmtId="41" fontId="47" fillId="0" borderId="86" xfId="840" applyNumberFormat="1" applyFont="1" applyBorder="1"/>
    <xf numFmtId="190" fontId="40" fillId="0" borderId="82" xfId="11" applyNumberFormat="1" applyFont="1" applyBorder="1" applyAlignment="1"/>
    <xf numFmtId="39" fontId="40" fillId="0" borderId="82" xfId="840" applyNumberFormat="1" applyFont="1" applyBorder="1"/>
    <xf numFmtId="170" fontId="64" fillId="0" borderId="0" xfId="2" quotePrefix="1" applyNumberFormat="1" applyFont="1"/>
    <xf numFmtId="43" fontId="47" fillId="0" borderId="87" xfId="1767" applyNumberFormat="1" applyFont="1" applyBorder="1" applyAlignment="1">
      <alignment horizontal="right"/>
    </xf>
    <xf numFmtId="44" fontId="47" fillId="0" borderId="87" xfId="1767" applyNumberFormat="1" applyFont="1" applyBorder="1" applyAlignment="1">
      <alignment horizontal="right"/>
    </xf>
    <xf numFmtId="164" fontId="169" fillId="0" borderId="0" xfId="0" applyFont="1"/>
    <xf numFmtId="43" fontId="47" fillId="0" borderId="87" xfId="17924" applyFont="1" applyFill="1" applyBorder="1" applyAlignment="1" applyProtection="1">
      <alignment horizontal="right"/>
    </xf>
    <xf numFmtId="172" fontId="69" fillId="0" borderId="0" xfId="0" applyNumberFormat="1" applyFont="1"/>
    <xf numFmtId="172" fontId="69" fillId="0" borderId="66" xfId="0" applyNumberFormat="1" applyFont="1" applyBorder="1"/>
    <xf numFmtId="165" fontId="189" fillId="0" borderId="0" xfId="840" applyNumberFormat="1" applyFont="1"/>
    <xf numFmtId="0" fontId="69" fillId="0" borderId="0" xfId="17029" quotePrefix="1" applyFont="1" applyAlignment="1">
      <alignment horizontal="left"/>
    </xf>
    <xf numFmtId="0" fontId="46" fillId="0" borderId="66" xfId="0" applyNumberFormat="1" applyFont="1" applyBorder="1" applyAlignment="1">
      <alignment horizontal="center"/>
    </xf>
    <xf numFmtId="49" fontId="46" fillId="0" borderId="66" xfId="9967" applyNumberFormat="1" applyFont="1" applyBorder="1" applyAlignment="1">
      <alignment horizontal="center"/>
    </xf>
    <xf numFmtId="0" fontId="45" fillId="0" borderId="72" xfId="0" applyNumberFormat="1" applyFont="1" applyBorder="1"/>
    <xf numFmtId="0" fontId="46" fillId="0" borderId="0" xfId="0" applyNumberFormat="1" applyFont="1" applyAlignment="1">
      <alignment horizontal="right"/>
    </xf>
    <xf numFmtId="7" fontId="46" fillId="0" borderId="0" xfId="0" applyNumberFormat="1" applyFont="1"/>
    <xf numFmtId="0" fontId="46" fillId="0" borderId="0" xfId="0" quotePrefix="1" applyNumberFormat="1" applyFont="1"/>
    <xf numFmtId="0" fontId="46" fillId="0" borderId="0" xfId="0" applyNumberFormat="1" applyFont="1" applyAlignment="1">
      <alignment horizontal="right" vertical="top"/>
    </xf>
    <xf numFmtId="187" fontId="45" fillId="0" borderId="0" xfId="0" applyNumberFormat="1" applyFont="1" applyAlignment="1">
      <alignment horizontal="center" vertical="top"/>
    </xf>
    <xf numFmtId="187" fontId="45" fillId="0" borderId="0" xfId="0" applyNumberFormat="1" applyFont="1" applyAlignment="1">
      <alignment horizontal="right" vertical="top"/>
    </xf>
    <xf numFmtId="0" fontId="45" fillId="0" borderId="0" xfId="5508" applyFont="1"/>
    <xf numFmtId="0" fontId="47" fillId="0" borderId="0" xfId="5508" applyFont="1"/>
    <xf numFmtId="0" fontId="46" fillId="0" borderId="0" xfId="5508" applyFont="1"/>
    <xf numFmtId="0" fontId="45" fillId="0" borderId="0" xfId="5508" applyFont="1" applyAlignment="1">
      <alignment horizontal="center"/>
    </xf>
    <xf numFmtId="37" fontId="45" fillId="0" borderId="0" xfId="5508" applyNumberFormat="1" applyFont="1"/>
    <xf numFmtId="0" fontId="40" fillId="0" borderId="0" xfId="5508" applyFont="1"/>
    <xf numFmtId="172" fontId="47" fillId="0" borderId="66" xfId="1940" applyNumberFormat="1" applyFont="1" applyBorder="1" applyAlignment="1" applyProtection="1"/>
    <xf numFmtId="191" fontId="52" fillId="0" borderId="0" xfId="8" quotePrefix="1" applyNumberFormat="1" applyFont="1" applyAlignment="1">
      <alignment horizontal="right"/>
    </xf>
    <xf numFmtId="166" fontId="52" fillId="0" borderId="0" xfId="8" quotePrefix="1" applyNumberFormat="1" applyFont="1" applyAlignment="1">
      <alignment horizontal="right"/>
    </xf>
    <xf numFmtId="166" fontId="52" fillId="0" borderId="0" xfId="8" applyNumberFormat="1" applyFont="1" applyAlignment="1">
      <alignment horizontal="right" vertical="top"/>
    </xf>
    <xf numFmtId="0" fontId="167" fillId="0" borderId="0" xfId="8" applyFont="1"/>
    <xf numFmtId="165" fontId="52" fillId="0" borderId="0" xfId="8" quotePrefix="1" applyNumberFormat="1" applyFont="1" applyAlignment="1">
      <alignment horizontal="right"/>
    </xf>
    <xf numFmtId="0" fontId="52" fillId="0" borderId="0" xfId="8" quotePrefix="1" applyFont="1"/>
    <xf numFmtId="0" fontId="140" fillId="0" borderId="0" xfId="8" applyFont="1" applyAlignment="1">
      <alignment horizontal="left"/>
    </xf>
    <xf numFmtId="0" fontId="149" fillId="0" borderId="0" xfId="861" applyNumberFormat="1" applyBorder="1" applyAlignment="1" applyProtection="1"/>
    <xf numFmtId="0" fontId="47" fillId="0" borderId="0" xfId="1776" applyFont="1" applyAlignment="1">
      <alignment horizontal="center"/>
    </xf>
    <xf numFmtId="0" fontId="40" fillId="0" borderId="66" xfId="2" applyBorder="1" applyAlignment="1">
      <alignment horizontal="center"/>
    </xf>
    <xf numFmtId="37" fontId="47" fillId="0" borderId="66" xfId="2" quotePrefix="1" applyNumberFormat="1" applyFont="1" applyBorder="1" applyAlignment="1">
      <alignment horizontal="center"/>
    </xf>
    <xf numFmtId="41" fontId="45" fillId="0" borderId="0" xfId="0" applyNumberFormat="1" applyFont="1"/>
    <xf numFmtId="167" fontId="40" fillId="0" borderId="0" xfId="2" quotePrefix="1" applyNumberFormat="1" applyAlignment="1">
      <alignment horizontal="center"/>
    </xf>
    <xf numFmtId="193" fontId="40" fillId="0" borderId="0" xfId="2" quotePrefix="1" applyNumberFormat="1" applyAlignment="1">
      <alignment horizontal="center"/>
    </xf>
    <xf numFmtId="169" fontId="52" fillId="0" borderId="0" xfId="8" quotePrefix="1" applyNumberFormat="1" applyFont="1" applyAlignment="1">
      <alignment horizontal="right"/>
    </xf>
    <xf numFmtId="174" fontId="69" fillId="0" borderId="20" xfId="2" quotePrefix="1" applyNumberFormat="1" applyFont="1" applyBorder="1" applyAlignment="1">
      <alignment horizontal="right"/>
    </xf>
    <xf numFmtId="174" fontId="170" fillId="0" borderId="0" xfId="2" quotePrefix="1" applyNumberFormat="1" applyFont="1" applyAlignment="1">
      <alignment horizontal="right"/>
    </xf>
    <xf numFmtId="169" fontId="170" fillId="0" borderId="15" xfId="2" applyNumberFormat="1" applyFont="1" applyBorder="1" applyAlignment="1" applyProtection="1">
      <alignment horizontal="right"/>
      <protection locked="0"/>
    </xf>
    <xf numFmtId="164" fontId="170" fillId="0" borderId="0" xfId="1940" applyNumberFormat="1" applyFont="1" applyFill="1" applyAlignment="1"/>
    <xf numFmtId="170" fontId="64" fillId="0" borderId="10" xfId="2" quotePrefix="1" applyNumberFormat="1" applyFont="1" applyBorder="1" applyAlignment="1">
      <alignment horizontal="right"/>
    </xf>
    <xf numFmtId="164" fontId="171" fillId="0" borderId="0" xfId="1940" applyNumberFormat="1" applyFont="1" applyFill="1" applyAlignment="1"/>
    <xf numFmtId="170" fontId="171" fillId="0" borderId="0" xfId="2" quotePrefix="1" applyNumberFormat="1" applyFont="1"/>
    <xf numFmtId="174" fontId="69" fillId="0" borderId="20" xfId="2" quotePrefix="1" applyNumberFormat="1" applyFont="1" applyBorder="1"/>
    <xf numFmtId="174" fontId="69" fillId="0" borderId="0" xfId="2" applyNumberFormat="1" applyFont="1" applyAlignment="1">
      <alignment horizontal="right"/>
    </xf>
    <xf numFmtId="180" fontId="40" fillId="0" borderId="0" xfId="1767" applyNumberFormat="1" applyFont="1" applyAlignment="1">
      <alignment horizontal="left"/>
    </xf>
    <xf numFmtId="177" fontId="40" fillId="0" borderId="0" xfId="1767" applyNumberFormat="1" applyFont="1" applyAlignment="1">
      <alignment horizontal="right"/>
    </xf>
    <xf numFmtId="177" fontId="40" fillId="0" borderId="0" xfId="1767" applyNumberFormat="1" applyFont="1" applyAlignment="1">
      <alignment horizontal="left"/>
    </xf>
    <xf numFmtId="180" fontId="64" fillId="0" borderId="0" xfId="1767" applyNumberFormat="1" applyFont="1" applyAlignment="1">
      <alignment horizontal="left"/>
    </xf>
    <xf numFmtId="177" fontId="64" fillId="0" borderId="0" xfId="1767" applyNumberFormat="1" applyFont="1" applyAlignment="1">
      <alignment horizontal="right"/>
    </xf>
    <xf numFmtId="177" fontId="64" fillId="0" borderId="0" xfId="740" applyNumberFormat="1" applyFont="1" applyAlignment="1">
      <alignment horizontal="right"/>
    </xf>
    <xf numFmtId="180" fontId="64" fillId="0" borderId="0" xfId="740" applyNumberFormat="1" applyFont="1" applyAlignment="1">
      <alignment horizontal="center"/>
    </xf>
    <xf numFmtId="177" fontId="64" fillId="0" borderId="0" xfId="1767" applyNumberFormat="1" applyFont="1" applyAlignment="1">
      <alignment horizontal="left"/>
    </xf>
    <xf numFmtId="177" fontId="64" fillId="0" borderId="0" xfId="740" applyNumberFormat="1" applyFont="1" applyAlignment="1">
      <alignment horizontal="center"/>
    </xf>
    <xf numFmtId="177" fontId="64" fillId="0" borderId="66" xfId="1767" applyNumberFormat="1" applyFont="1" applyBorder="1" applyAlignment="1">
      <alignment horizontal="left"/>
    </xf>
    <xf numFmtId="177" fontId="64" fillId="0" borderId="66" xfId="740" applyNumberFormat="1" applyFont="1" applyBorder="1" applyAlignment="1">
      <alignment horizontal="center"/>
    </xf>
    <xf numFmtId="170" fontId="64" fillId="0" borderId="21" xfId="2" applyNumberFormat="1" applyFont="1" applyBorder="1"/>
    <xf numFmtId="170" fontId="171" fillId="0" borderId="66" xfId="2" applyNumberFormat="1" applyFont="1" applyBorder="1"/>
    <xf numFmtId="164" fontId="171" fillId="0" borderId="66" xfId="1940" applyNumberFormat="1" applyFont="1" applyFill="1" applyBorder="1" applyAlignment="1"/>
    <xf numFmtId="170" fontId="79" fillId="0" borderId="0" xfId="2" quotePrefix="1" applyNumberFormat="1" applyFont="1" applyAlignment="1">
      <alignment horizontal="right"/>
    </xf>
    <xf numFmtId="170" fontId="79" fillId="0" borderId="84" xfId="2" applyNumberFormat="1" applyFont="1" applyBorder="1" applyAlignment="1">
      <alignment horizontal="right"/>
    </xf>
    <xf numFmtId="170" fontId="81" fillId="0" borderId="0" xfId="2" applyNumberFormat="1" applyFont="1" applyAlignment="1">
      <alignment horizontal="right"/>
    </xf>
    <xf numFmtId="174" fontId="171" fillId="0" borderId="0" xfId="2" applyNumberFormat="1" applyFont="1"/>
    <xf numFmtId="170" fontId="40" fillId="0" borderId="10" xfId="2" quotePrefix="1" applyNumberFormat="1" applyBorder="1" applyAlignment="1">
      <alignment horizontal="right"/>
    </xf>
    <xf numFmtId="177" fontId="102" fillId="0" borderId="0" xfId="1767" applyNumberFormat="1" applyFont="1"/>
    <xf numFmtId="177" fontId="40" fillId="0" borderId="0" xfId="1767" applyNumberFormat="1" applyFont="1" applyAlignment="1">
      <alignment horizontal="center"/>
    </xf>
    <xf numFmtId="177" fontId="40" fillId="0" borderId="0" xfId="1767" applyNumberFormat="1" applyFont="1"/>
    <xf numFmtId="177" fontId="40" fillId="0" borderId="0" xfId="1767" quotePrefix="1" applyNumberFormat="1" applyFont="1" applyAlignment="1">
      <alignment horizontal="center"/>
    </xf>
    <xf numFmtId="164" fontId="40" fillId="0" borderId="0" xfId="7" applyNumberFormat="1" applyFont="1" applyFill="1" applyAlignment="1">
      <alignment horizontal="right"/>
    </xf>
    <xf numFmtId="164" fontId="0" fillId="0" borderId="66" xfId="2" applyNumberFormat="1" applyFont="1" applyBorder="1"/>
    <xf numFmtId="41" fontId="47" fillId="0" borderId="95" xfId="840" applyNumberFormat="1" applyFont="1" applyBorder="1"/>
    <xf numFmtId="39" fontId="68" fillId="0" borderId="0" xfId="19" applyNumberFormat="1" applyFont="1"/>
    <xf numFmtId="190" fontId="111" fillId="0" borderId="0" xfId="11" applyNumberFormat="1" applyFont="1" applyFill="1" applyAlignment="1">
      <alignment horizontal="right"/>
    </xf>
    <xf numFmtId="190" fontId="164" fillId="0" borderId="0" xfId="11" applyNumberFormat="1" applyFont="1" applyFill="1" applyAlignment="1">
      <alignment horizontal="right"/>
    </xf>
    <xf numFmtId="190" fontId="40" fillId="0" borderId="0" xfId="11" applyNumberFormat="1" applyFont="1" applyFill="1" applyAlignment="1">
      <alignment horizontal="center"/>
    </xf>
    <xf numFmtId="39" fontId="40" fillId="0" borderId="20" xfId="840" applyNumberFormat="1" applyFont="1" applyBorder="1"/>
    <xf numFmtId="190" fontId="40" fillId="0" borderId="20" xfId="11" applyNumberFormat="1" applyFont="1" applyFill="1" applyBorder="1" applyAlignment="1"/>
    <xf numFmtId="190" fontId="40" fillId="0" borderId="0" xfId="11" applyNumberFormat="1" applyFont="1" applyFill="1" applyAlignment="1"/>
    <xf numFmtId="43" fontId="78" fillId="0" borderId="0" xfId="11" applyFont="1" applyFill="1" applyAlignment="1"/>
    <xf numFmtId="43" fontId="68" fillId="0" borderId="0" xfId="11" applyFont="1" applyFill="1" applyAlignment="1"/>
    <xf numFmtId="41" fontId="68" fillId="0" borderId="0" xfId="840" applyNumberFormat="1" applyFont="1"/>
    <xf numFmtId="41" fontId="47" fillId="0" borderId="95" xfId="840" quotePrefix="1" applyNumberFormat="1" applyFont="1" applyBorder="1"/>
    <xf numFmtId="41" fontId="47" fillId="0" borderId="16" xfId="840" quotePrefix="1" applyNumberFormat="1" applyFont="1" applyBorder="1"/>
    <xf numFmtId="41" fontId="40" fillId="0" borderId="19" xfId="11" applyNumberFormat="1" applyFont="1" applyFill="1" applyBorder="1" applyAlignment="1"/>
    <xf numFmtId="190" fontId="40" fillId="0" borderId="0" xfId="11" applyNumberFormat="1" applyFont="1" applyFill="1" applyBorder="1" applyAlignment="1"/>
    <xf numFmtId="0" fontId="64" fillId="0" borderId="0" xfId="840" quotePrefix="1" applyFont="1" applyAlignment="1">
      <alignment horizontal="left"/>
    </xf>
    <xf numFmtId="190" fontId="45" fillId="0" borderId="0" xfId="11" applyNumberFormat="1" applyFont="1" applyFill="1" applyAlignment="1"/>
    <xf numFmtId="40" fontId="68" fillId="0" borderId="0" xfId="19" applyNumberFormat="1" applyFont="1"/>
    <xf numFmtId="190" fontId="68" fillId="0" borderId="0" xfId="11" applyNumberFormat="1" applyFont="1" applyFill="1" applyAlignment="1"/>
    <xf numFmtId="170" fontId="40" fillId="0" borderId="0" xfId="0" quotePrefix="1" applyNumberFormat="1" applyFont="1"/>
    <xf numFmtId="174" fontId="40" fillId="0" borderId="0" xfId="5517" applyNumberFormat="1" applyFont="1"/>
    <xf numFmtId="174" fontId="40" fillId="0" borderId="0" xfId="0" quotePrefix="1" applyNumberFormat="1" applyFont="1" applyAlignment="1">
      <alignment horizontal="left"/>
    </xf>
    <xf numFmtId="170" fontId="47" fillId="0" borderId="85" xfId="0" applyNumberFormat="1" applyFont="1" applyBorder="1"/>
    <xf numFmtId="170" fontId="40" fillId="0" borderId="82" xfId="0" quotePrefix="1" applyNumberFormat="1" applyFont="1" applyBorder="1" applyAlignment="1">
      <alignment horizontal="center"/>
    </xf>
    <xf numFmtId="170" fontId="47" fillId="0" borderId="82" xfId="0" applyNumberFormat="1" applyFont="1" applyBorder="1"/>
    <xf numFmtId="170" fontId="40" fillId="0" borderId="82" xfId="0" applyNumberFormat="1" applyFont="1" applyBorder="1"/>
    <xf numFmtId="170" fontId="47" fillId="0" borderId="82" xfId="0" quotePrefix="1" applyNumberFormat="1" applyFont="1" applyBorder="1" applyAlignment="1">
      <alignment horizontal="center"/>
    </xf>
    <xf numFmtId="167" fontId="42" fillId="0" borderId="0" xfId="0" applyNumberFormat="1" applyFont="1"/>
    <xf numFmtId="9" fontId="45" fillId="0" borderId="0" xfId="2" applyNumberFormat="1" applyFont="1"/>
    <xf numFmtId="166" fontId="42" fillId="0" borderId="47" xfId="2" applyNumberFormat="1" applyFont="1" applyBorder="1"/>
    <xf numFmtId="3" fontId="42" fillId="0" borderId="0" xfId="2" applyNumberFormat="1" applyFont="1" applyAlignment="1">
      <alignment horizontal="left"/>
    </xf>
    <xf numFmtId="164" fontId="40" fillId="0" borderId="0" xfId="2" applyNumberFormat="1" applyProtection="1">
      <protection locked="0"/>
    </xf>
    <xf numFmtId="174" fontId="40" fillId="0" borderId="47" xfId="2" applyNumberFormat="1" applyBorder="1" applyAlignment="1">
      <alignment horizontal="center"/>
    </xf>
    <xf numFmtId="164" fontId="47" fillId="0" borderId="0" xfId="2" applyNumberFormat="1" applyFont="1" applyProtection="1">
      <protection locked="0"/>
    </xf>
    <xf numFmtId="172" fontId="40" fillId="0" borderId="0" xfId="2" applyNumberFormat="1"/>
    <xf numFmtId="174" fontId="40" fillId="0" borderId="0" xfId="0" quotePrefix="1" applyNumberFormat="1" applyFont="1"/>
    <xf numFmtId="164" fontId="40" fillId="0" borderId="0" xfId="0" quotePrefix="1" applyFont="1"/>
    <xf numFmtId="164" fontId="66" fillId="0" borderId="66" xfId="0" applyFont="1" applyBorder="1"/>
    <xf numFmtId="170" fontId="47" fillId="0" borderId="86" xfId="0" applyNumberFormat="1" applyFont="1" applyBorder="1"/>
    <xf numFmtId="170" fontId="47" fillId="0" borderId="70" xfId="2" applyNumberFormat="1" applyFont="1" applyBorder="1"/>
    <xf numFmtId="170" fontId="0" fillId="0" borderId="0" xfId="0" applyNumberFormat="1" applyAlignment="1" applyProtection="1">
      <alignment horizontal="right"/>
      <protection locked="0"/>
    </xf>
    <xf numFmtId="166" fontId="40" fillId="0" borderId="20" xfId="2" applyNumberFormat="1" applyBorder="1"/>
    <xf numFmtId="170" fontId="47" fillId="0" borderId="66" xfId="5517" applyNumberFormat="1" applyFont="1" applyBorder="1"/>
    <xf numFmtId="170" fontId="47" fillId="0" borderId="45" xfId="1046" applyNumberFormat="1" applyFont="1" applyFill="1" applyBorder="1"/>
    <xf numFmtId="170" fontId="47" fillId="0" borderId="0" xfId="1046" applyNumberFormat="1" applyFont="1" applyFill="1" applyBorder="1"/>
    <xf numFmtId="170" fontId="64" fillId="0" borderId="0" xfId="2" applyNumberFormat="1" applyFont="1" applyAlignment="1">
      <alignment horizontal="right"/>
    </xf>
    <xf numFmtId="170" fontId="167" fillId="0" borderId="0" xfId="2" applyNumberFormat="1" applyFont="1"/>
    <xf numFmtId="170" fontId="168" fillId="0" borderId="15" xfId="2" applyNumberFormat="1" applyFont="1" applyBorder="1"/>
    <xf numFmtId="174" fontId="47" fillId="0" borderId="81" xfId="2" applyNumberFormat="1" applyFont="1" applyBorder="1"/>
    <xf numFmtId="167" fontId="47" fillId="0" borderId="0" xfId="2" applyNumberFormat="1" applyFont="1"/>
    <xf numFmtId="164" fontId="47" fillId="0" borderId="81" xfId="2" applyNumberFormat="1" applyFont="1" applyBorder="1"/>
    <xf numFmtId="195" fontId="45" fillId="0" borderId="0" xfId="2" applyNumberFormat="1" applyFont="1"/>
    <xf numFmtId="172" fontId="47" fillId="0" borderId="66" xfId="2" applyNumberFormat="1" applyFont="1" applyBorder="1"/>
    <xf numFmtId="170" fontId="42" fillId="0" borderId="96" xfId="2" applyNumberFormat="1" applyFont="1" applyBorder="1"/>
    <xf numFmtId="165" fontId="42" fillId="0" borderId="96" xfId="2" applyNumberFormat="1" applyFont="1" applyBorder="1"/>
    <xf numFmtId="39" fontId="40" fillId="0" borderId="102" xfId="840" applyNumberFormat="1" applyFont="1" applyBorder="1"/>
    <xf numFmtId="41" fontId="40" fillId="0" borderId="0" xfId="840" quotePrefix="1" applyNumberFormat="1" applyFont="1"/>
    <xf numFmtId="41" fontId="40" fillId="0" borderId="103" xfId="840" quotePrefix="1" applyNumberFormat="1" applyFont="1" applyBorder="1" applyAlignment="1">
      <alignment horizontal="center"/>
    </xf>
    <xf numFmtId="41" fontId="40" fillId="0" borderId="103" xfId="840" quotePrefix="1" applyNumberFormat="1" applyFont="1" applyBorder="1" applyAlignment="1">
      <alignment horizontal="right"/>
    </xf>
    <xf numFmtId="170" fontId="40" fillId="0" borderId="102" xfId="2" applyNumberFormat="1" applyBorder="1"/>
    <xf numFmtId="170" fontId="47" fillId="0" borderId="104" xfId="2" applyNumberFormat="1" applyFont="1" applyBorder="1"/>
    <xf numFmtId="170" fontId="47" fillId="0" borderId="102" xfId="2" applyNumberFormat="1" applyFont="1" applyBorder="1"/>
    <xf numFmtId="172" fontId="42" fillId="0" borderId="0" xfId="1940" applyNumberFormat="1" applyFont="1" applyBorder="1" applyAlignment="1" applyProtection="1"/>
    <xf numFmtId="193" fontId="47" fillId="0" borderId="0" xfId="2" quotePrefix="1" applyNumberFormat="1" applyFont="1" applyAlignment="1">
      <alignment horizontal="center"/>
    </xf>
    <xf numFmtId="197" fontId="40" fillId="0" borderId="0" xfId="739" applyNumberFormat="1" applyProtection="1">
      <protection locked="0"/>
    </xf>
    <xf numFmtId="197" fontId="40" fillId="0" borderId="0" xfId="739" applyNumberFormat="1"/>
    <xf numFmtId="197" fontId="98" fillId="0" borderId="0" xfId="739" applyNumberFormat="1" applyFont="1"/>
    <xf numFmtId="197" fontId="97" fillId="0" borderId="0" xfId="739" applyNumberFormat="1" applyFont="1"/>
    <xf numFmtId="42" fontId="99" fillId="0" borderId="81" xfId="739" applyNumberFormat="1" applyFont="1" applyBorder="1"/>
    <xf numFmtId="39" fontId="40" fillId="0" borderId="102" xfId="1776" applyNumberFormat="1" applyBorder="1"/>
    <xf numFmtId="43" fontId="47" fillId="0" borderId="98" xfId="1776" applyNumberFormat="1" applyFont="1" applyBorder="1"/>
    <xf numFmtId="43" fontId="40" fillId="0" borderId="102" xfId="1776" applyNumberFormat="1" applyBorder="1"/>
    <xf numFmtId="43" fontId="47" fillId="0" borderId="102" xfId="1776" applyNumberFormat="1" applyFont="1" applyBorder="1"/>
    <xf numFmtId="43" fontId="47" fillId="0" borderId="95" xfId="1776" applyNumberFormat="1" applyFont="1" applyBorder="1"/>
    <xf numFmtId="44" fontId="47" fillId="0" borderId="81" xfId="1776" applyNumberFormat="1" applyFont="1" applyBorder="1" applyAlignment="1">
      <alignment horizontal="right"/>
    </xf>
    <xf numFmtId="0" fontId="47" fillId="0" borderId="102" xfId="17" applyNumberFormat="1" applyFont="1" applyBorder="1"/>
    <xf numFmtId="174" fontId="47" fillId="0" borderId="87" xfId="17" applyNumberFormat="1" applyFont="1" applyBorder="1"/>
    <xf numFmtId="181" fontId="45" fillId="0" borderId="0" xfId="1776" applyNumberFormat="1" applyFont="1"/>
    <xf numFmtId="181" fontId="69" fillId="0" borderId="0" xfId="1776" applyNumberFormat="1" applyFont="1"/>
    <xf numFmtId="181" fontId="64" fillId="0" borderId="0" xfId="1776" applyNumberFormat="1" applyFont="1"/>
    <xf numFmtId="181" fontId="69" fillId="0" borderId="0" xfId="1776" quotePrefix="1" applyNumberFormat="1" applyFont="1" applyAlignment="1">
      <alignment horizontal="left"/>
    </xf>
    <xf numFmtId="181" fontId="69" fillId="0" borderId="0" xfId="1776" applyNumberFormat="1" applyFont="1" applyAlignment="1">
      <alignment horizontal="center"/>
    </xf>
    <xf numFmtId="181" fontId="105" fillId="0" borderId="0" xfId="1776" applyNumberFormat="1" applyFont="1" applyAlignment="1">
      <alignment horizontal="center"/>
    </xf>
    <xf numFmtId="181" fontId="69" fillId="0" borderId="0" xfId="1776" quotePrefix="1" applyNumberFormat="1" applyFont="1" applyAlignment="1">
      <alignment horizontal="center"/>
    </xf>
    <xf numFmtId="181" fontId="69" fillId="0" borderId="102" xfId="1776" applyNumberFormat="1" applyFont="1" applyBorder="1" applyAlignment="1">
      <alignment horizontal="center"/>
    </xf>
    <xf numFmtId="181" fontId="69" fillId="0" borderId="102" xfId="1776" quotePrefix="1" applyNumberFormat="1" applyFont="1" applyBorder="1" applyAlignment="1">
      <alignment horizontal="fill"/>
    </xf>
    <xf numFmtId="181" fontId="105" fillId="0" borderId="0" xfId="1776" applyNumberFormat="1" applyFont="1"/>
    <xf numFmtId="180" fontId="64" fillId="0" borderId="0" xfId="1776" applyNumberFormat="1" applyFont="1" applyAlignment="1">
      <alignment horizontal="right"/>
    </xf>
    <xf numFmtId="181" fontId="64" fillId="0" borderId="0" xfId="1776" quotePrefix="1" applyNumberFormat="1" applyFont="1" applyAlignment="1">
      <alignment horizontal="left"/>
    </xf>
    <xf numFmtId="177" fontId="64" fillId="0" borderId="0" xfId="1776" applyNumberFormat="1" applyFont="1"/>
    <xf numFmtId="177" fontId="64" fillId="0" borderId="0" xfId="1776" applyNumberFormat="1" applyFont="1" applyAlignment="1">
      <alignment horizontal="right"/>
    </xf>
    <xf numFmtId="181" fontId="69" fillId="0" borderId="0" xfId="1776" applyNumberFormat="1" applyFont="1" applyAlignment="1">
      <alignment horizontal="left"/>
    </xf>
    <xf numFmtId="180" fontId="69" fillId="0" borderId="105" xfId="1776" applyNumberFormat="1" applyFont="1" applyBorder="1" applyAlignment="1">
      <alignment horizontal="right"/>
    </xf>
    <xf numFmtId="181" fontId="46" fillId="0" borderId="0" xfId="1776" applyNumberFormat="1" applyFont="1"/>
    <xf numFmtId="181" fontId="45" fillId="0" borderId="0" xfId="1776" applyNumberFormat="1" applyFont="1" applyAlignment="1">
      <alignment horizontal="left" vertical="top" wrapText="1"/>
    </xf>
    <xf numFmtId="181" fontId="45" fillId="0" borderId="0" xfId="1776" quotePrefix="1" applyNumberFormat="1" applyFont="1" applyAlignment="1">
      <alignment horizontal="left" wrapText="1"/>
    </xf>
    <xf numFmtId="181" fontId="45" fillId="0" borderId="0" xfId="1776" applyNumberFormat="1" applyFont="1" applyAlignment="1">
      <alignment horizontal="right"/>
    </xf>
    <xf numFmtId="39" fontId="45" fillId="0" borderId="0" xfId="1776" applyNumberFormat="1" applyFont="1"/>
    <xf numFmtId="181" fontId="45" fillId="0" borderId="0" xfId="1776" quotePrefix="1" applyNumberFormat="1" applyFont="1" applyAlignment="1">
      <alignment horizontal="left"/>
    </xf>
    <xf numFmtId="39" fontId="45" fillId="0" borderId="0" xfId="1776" quotePrefix="1" applyNumberFormat="1" applyFont="1" applyAlignment="1">
      <alignment horizontal="center"/>
    </xf>
    <xf numFmtId="39" fontId="45" fillId="0" borderId="0" xfId="1776" quotePrefix="1" applyNumberFormat="1" applyFont="1" applyAlignment="1">
      <alignment horizontal="right"/>
    </xf>
    <xf numFmtId="181" fontId="46" fillId="0" borderId="0" xfId="1776" quotePrefix="1" applyNumberFormat="1" applyFont="1" applyAlignment="1">
      <alignment horizontal="left"/>
    </xf>
    <xf numFmtId="181" fontId="45" fillId="0" borderId="0" xfId="1776" applyNumberFormat="1" applyFont="1" applyAlignment="1">
      <alignment horizontal="left"/>
    </xf>
    <xf numFmtId="39" fontId="46" fillId="0" borderId="0" xfId="1776" quotePrefix="1" applyNumberFormat="1" applyFont="1" applyAlignment="1">
      <alignment horizontal="center"/>
    </xf>
    <xf numFmtId="39" fontId="46" fillId="0" borderId="0" xfId="1776" applyNumberFormat="1" applyFont="1"/>
    <xf numFmtId="172" fontId="171" fillId="0" borderId="0" xfId="1940" applyNumberFormat="1" applyFont="1" applyFill="1" applyAlignment="1"/>
    <xf numFmtId="172" fontId="170" fillId="0" borderId="70" xfId="1940" applyNumberFormat="1" applyFont="1" applyBorder="1" applyAlignment="1"/>
    <xf numFmtId="170" fontId="40" fillId="0" borderId="15" xfId="2" applyNumberFormat="1" applyBorder="1" applyAlignment="1">
      <alignment horizontal="right"/>
    </xf>
    <xf numFmtId="170" fontId="42" fillId="0" borderId="0" xfId="1" applyNumberFormat="1" applyFont="1" applyFill="1" applyBorder="1" applyAlignment="1">
      <alignment horizontal="center"/>
    </xf>
    <xf numFmtId="40" fontId="47" fillId="0" borderId="0" xfId="840" quotePrefix="1" applyNumberFormat="1" applyFont="1" applyAlignment="1">
      <alignment horizontal="center"/>
    </xf>
    <xf numFmtId="0" fontId="47" fillId="0" borderId="0" xfId="17" applyNumberFormat="1" applyFont="1" applyAlignment="1">
      <alignment horizontal="left"/>
    </xf>
    <xf numFmtId="0" fontId="40" fillId="0" borderId="0" xfId="17" applyNumberFormat="1" applyAlignment="1" applyProtection="1">
      <alignment horizontal="left"/>
      <protection locked="0"/>
    </xf>
    <xf numFmtId="0" fontId="47" fillId="0" borderId="0" xfId="17" applyNumberFormat="1" applyFont="1" applyAlignment="1" applyProtection="1">
      <alignment horizontal="left"/>
      <protection locked="0"/>
    </xf>
    <xf numFmtId="190" fontId="169" fillId="0" borderId="0" xfId="1773" applyNumberFormat="1" applyFont="1" applyFill="1"/>
    <xf numFmtId="190" fontId="45" fillId="0" borderId="0" xfId="1773" applyNumberFormat="1" applyFont="1" applyFill="1"/>
    <xf numFmtId="0" fontId="40" fillId="0" borderId="66" xfId="17" applyNumberFormat="1" applyBorder="1" applyAlignment="1">
      <alignment horizontal="center"/>
    </xf>
    <xf numFmtId="170" fontId="47" fillId="0" borderId="0" xfId="1" applyNumberFormat="1" applyFont="1" applyBorder="1" applyAlignment="1"/>
    <xf numFmtId="0" fontId="69" fillId="0" borderId="0" xfId="1776" quotePrefix="1" applyFont="1" applyAlignment="1">
      <alignment horizontal="left"/>
    </xf>
    <xf numFmtId="0" fontId="69" fillId="0" borderId="0" xfId="1776" quotePrefix="1" applyFont="1" applyAlignment="1">
      <alignment horizontal="center"/>
    </xf>
    <xf numFmtId="0" fontId="47" fillId="0" borderId="0" xfId="1776" quotePrefix="1" applyFont="1" applyAlignment="1">
      <alignment horizontal="center"/>
    </xf>
    <xf numFmtId="43" fontId="40" fillId="0" borderId="66" xfId="1776" applyNumberFormat="1" applyBorder="1" applyAlignment="1">
      <alignment horizontal="right"/>
    </xf>
    <xf numFmtId="43" fontId="47" fillId="0" borderId="66" xfId="1776" applyNumberFormat="1" applyFont="1" applyBorder="1"/>
    <xf numFmtId="43" fontId="40" fillId="0" borderId="66" xfId="1776" applyNumberFormat="1" applyBorder="1"/>
    <xf numFmtId="39" fontId="47" fillId="0" borderId="66" xfId="1776" applyNumberFormat="1" applyFont="1" applyBorder="1" applyAlignment="1">
      <alignment horizontal="center"/>
    </xf>
    <xf numFmtId="43" fontId="47" fillId="0" borderId="66" xfId="1776" applyNumberFormat="1" applyFont="1" applyBorder="1" applyAlignment="1">
      <alignment horizontal="right"/>
    </xf>
    <xf numFmtId="170" fontId="40" fillId="0" borderId="0" xfId="1773" applyNumberFormat="1" applyFont="1" applyFill="1" applyAlignment="1"/>
    <xf numFmtId="170" fontId="69" fillId="0" borderId="98" xfId="2" quotePrefix="1" applyNumberFormat="1" applyFont="1" applyBorder="1" applyAlignment="1">
      <alignment horizontal="center"/>
    </xf>
    <xf numFmtId="166" fontId="42" fillId="0" borderId="28" xfId="2" applyNumberFormat="1" applyFont="1" applyBorder="1"/>
    <xf numFmtId="166" fontId="42" fillId="0" borderId="79" xfId="4" applyNumberFormat="1" applyFont="1" applyBorder="1"/>
    <xf numFmtId="170" fontId="47" fillId="0" borderId="46" xfId="2" applyNumberFormat="1" applyFont="1" applyBorder="1"/>
    <xf numFmtId="170" fontId="47" fillId="0" borderId="10" xfId="5" applyNumberFormat="1" applyFont="1" applyFill="1" applyBorder="1" applyProtection="1"/>
    <xf numFmtId="170" fontId="40" fillId="0" borderId="0" xfId="1046" applyNumberFormat="1" applyFont="1" applyFill="1" applyProtection="1"/>
    <xf numFmtId="170" fontId="42" fillId="0" borderId="75" xfId="4" applyNumberFormat="1" applyFont="1" applyBorder="1"/>
    <xf numFmtId="170" fontId="42" fillId="0" borderId="83" xfId="4" applyNumberFormat="1" applyFont="1" applyBorder="1"/>
    <xf numFmtId="166" fontId="40" fillId="0" borderId="21" xfId="2" applyNumberFormat="1" applyBorder="1"/>
    <xf numFmtId="166" fontId="47" fillId="0" borderId="21" xfId="2" applyNumberFormat="1" applyFont="1" applyBorder="1"/>
    <xf numFmtId="170" fontId="47" fillId="0" borderId="18" xfId="2" applyNumberFormat="1" applyFont="1" applyBorder="1"/>
    <xf numFmtId="170" fontId="66" fillId="0" borderId="0" xfId="2" applyNumberFormat="1" applyFont="1" applyAlignment="1">
      <alignment horizontal="right"/>
    </xf>
    <xf numFmtId="174" fontId="40" fillId="0" borderId="18" xfId="2" applyNumberFormat="1" applyBorder="1"/>
    <xf numFmtId="174" fontId="47" fillId="0" borderId="18" xfId="2" applyNumberFormat="1" applyFont="1" applyBorder="1"/>
    <xf numFmtId="170" fontId="42" fillId="0" borderId="28" xfId="2" applyNumberFormat="1" applyFont="1" applyBorder="1"/>
    <xf numFmtId="170" fontId="47" fillId="0" borderId="16" xfId="5" applyNumberFormat="1" applyFont="1" applyFill="1" applyBorder="1" applyProtection="1"/>
    <xf numFmtId="170" fontId="47" fillId="0" borderId="0" xfId="5" applyNumberFormat="1" applyFont="1" applyFill="1" applyBorder="1" applyProtection="1"/>
    <xf numFmtId="0" fontId="42" fillId="0" borderId="18" xfId="2" applyFont="1" applyBorder="1"/>
    <xf numFmtId="0" fontId="47" fillId="0" borderId="18" xfId="2" applyFont="1" applyBorder="1"/>
    <xf numFmtId="173" fontId="40" fillId="0" borderId="0" xfId="740" quotePrefix="1" applyNumberFormat="1" applyFont="1" applyAlignment="1">
      <alignment horizontal="left"/>
    </xf>
    <xf numFmtId="170" fontId="47" fillId="0" borderId="107" xfId="2" applyNumberFormat="1" applyFont="1" applyBorder="1"/>
    <xf numFmtId="174" fontId="47" fillId="0" borderId="87" xfId="2" applyNumberFormat="1" applyFont="1" applyBorder="1"/>
    <xf numFmtId="0" fontId="156" fillId="0" borderId="0" xfId="5458" applyNumberFormat="1" applyFont="1"/>
    <xf numFmtId="0" fontId="69" fillId="0" borderId="0" xfId="5458" applyNumberFormat="1" applyFont="1"/>
    <xf numFmtId="0" fontId="157" fillId="0" borderId="0" xfId="5458" applyNumberFormat="1" applyFont="1"/>
    <xf numFmtId="0" fontId="69" fillId="0" borderId="0" xfId="5458" applyNumberFormat="1" applyFont="1" applyAlignment="1">
      <alignment horizontal="right" vertical="top"/>
    </xf>
    <xf numFmtId="0" fontId="157" fillId="0" borderId="0" xfId="5458" applyNumberFormat="1" applyFont="1" applyAlignment="1">
      <alignment horizontal="right"/>
    </xf>
    <xf numFmtId="0" fontId="69" fillId="0" borderId="0" xfId="5458" applyNumberFormat="1" applyFont="1" applyAlignment="1">
      <alignment horizontal="left" vertical="top"/>
    </xf>
    <xf numFmtId="0" fontId="157" fillId="0" borderId="0" xfId="5458" applyNumberFormat="1" applyFont="1" applyAlignment="1">
      <alignment horizontal="left" vertical="top"/>
    </xf>
    <xf numFmtId="0" fontId="157" fillId="0" borderId="0" xfId="5458" applyNumberFormat="1" applyFont="1" applyAlignment="1">
      <alignment horizontal="left"/>
    </xf>
    <xf numFmtId="0" fontId="156" fillId="0" borderId="0" xfId="5458" quotePrefix="1" applyNumberFormat="1" applyFont="1"/>
    <xf numFmtId="0" fontId="157" fillId="0" borderId="0" xfId="5458" applyNumberFormat="1" applyFont="1" applyAlignment="1">
      <alignment horizontal="center" vertical="top"/>
    </xf>
    <xf numFmtId="0" fontId="157" fillId="0" borderId="0" xfId="5458" applyNumberFormat="1" applyFont="1" applyAlignment="1">
      <alignment horizontal="center"/>
    </xf>
    <xf numFmtId="0" fontId="157" fillId="0" borderId="0" xfId="5458" quotePrefix="1" applyNumberFormat="1" applyFont="1" applyAlignment="1">
      <alignment horizontal="center"/>
    </xf>
    <xf numFmtId="0" fontId="157" fillId="0" borderId="66" xfId="5458" applyNumberFormat="1" applyFont="1" applyBorder="1" applyAlignment="1">
      <alignment horizontal="centerContinuous"/>
    </xf>
    <xf numFmtId="0" fontId="157" fillId="0" borderId="0" xfId="5458" applyNumberFormat="1" applyFont="1" applyAlignment="1">
      <alignment horizontal="centerContinuous"/>
    </xf>
    <xf numFmtId="0" fontId="157" fillId="0" borderId="66" xfId="5458" applyNumberFormat="1" applyFont="1" applyBorder="1"/>
    <xf numFmtId="0" fontId="157" fillId="0" borderId="66" xfId="5458" quotePrefix="1" applyNumberFormat="1" applyFont="1" applyBorder="1" applyAlignment="1">
      <alignment horizontal="center"/>
    </xf>
    <xf numFmtId="49" fontId="157" fillId="0" borderId="66" xfId="5458" applyNumberFormat="1" applyFont="1" applyBorder="1" applyAlignment="1">
      <alignment horizontal="center"/>
    </xf>
    <xf numFmtId="49" fontId="157" fillId="0" borderId="66" xfId="5458" quotePrefix="1" applyNumberFormat="1" applyFont="1" applyBorder="1" applyAlignment="1">
      <alignment horizontal="center"/>
    </xf>
    <xf numFmtId="0" fontId="157" fillId="0" borderId="107" xfId="5458" applyNumberFormat="1" applyFont="1" applyBorder="1" applyAlignment="1">
      <alignment horizontal="center"/>
    </xf>
    <xf numFmtId="0" fontId="157" fillId="0" borderId="66" xfId="5458" applyNumberFormat="1" applyFont="1" applyBorder="1" applyAlignment="1">
      <alignment horizontal="center"/>
    </xf>
    <xf numFmtId="39" fontId="156" fillId="0" borderId="0" xfId="5458" quotePrefix="1" applyNumberFormat="1" applyFont="1"/>
    <xf numFmtId="39" fontId="158" fillId="0" borderId="0" xfId="5458" quotePrefix="1" applyNumberFormat="1" applyFont="1"/>
    <xf numFmtId="39" fontId="156" fillId="0" borderId="0" xfId="5458" applyNumberFormat="1" applyFont="1"/>
    <xf numFmtId="0" fontId="158" fillId="0" borderId="0" xfId="5458" applyNumberFormat="1" applyFont="1"/>
    <xf numFmtId="42" fontId="158" fillId="0" borderId="0" xfId="5458" applyNumberFormat="1" applyFont="1" applyAlignment="1">
      <alignment horizontal="right"/>
    </xf>
    <xf numFmtId="42" fontId="158" fillId="0" borderId="0" xfId="5458" applyNumberFormat="1" applyFont="1" applyAlignment="1">
      <alignment horizontal="right" vertical="top"/>
    </xf>
    <xf numFmtId="41" fontId="158" fillId="0" borderId="0" xfId="5458" applyNumberFormat="1" applyFont="1" applyAlignment="1">
      <alignment horizontal="center"/>
    </xf>
    <xf numFmtId="41" fontId="158" fillId="0" borderId="0" xfId="5458" applyNumberFormat="1" applyFont="1" applyAlignment="1">
      <alignment horizontal="right"/>
    </xf>
    <xf numFmtId="0" fontId="158" fillId="0" borderId="0" xfId="5458" applyNumberFormat="1" applyFont="1" applyAlignment="1">
      <alignment horizontal="right"/>
    </xf>
    <xf numFmtId="41" fontId="156" fillId="0" borderId="0" xfId="5458" applyNumberFormat="1" applyFont="1" applyAlignment="1">
      <alignment horizontal="right"/>
    </xf>
    <xf numFmtId="41" fontId="158" fillId="0" borderId="0" xfId="5458" applyNumberFormat="1" applyFont="1"/>
    <xf numFmtId="0" fontId="156" fillId="0" borderId="0" xfId="5458" quotePrefix="1" applyNumberFormat="1" applyFont="1" applyAlignment="1">
      <alignment horizontal="left" vertical="top"/>
    </xf>
    <xf numFmtId="0" fontId="156" fillId="0" borderId="0" xfId="5458" applyNumberFormat="1" applyFont="1" applyAlignment="1">
      <alignment horizontal="left" vertical="top"/>
    </xf>
    <xf numFmtId="190" fontId="40" fillId="0" borderId="0" xfId="5458" applyNumberFormat="1"/>
    <xf numFmtId="164" fontId="40" fillId="0" borderId="0" xfId="5458"/>
    <xf numFmtId="0" fontId="40" fillId="0" borderId="0" xfId="5458" applyNumberFormat="1"/>
    <xf numFmtId="0" fontId="157" fillId="0" borderId="0" xfId="5458" quotePrefix="1" applyNumberFormat="1" applyFont="1" applyAlignment="1">
      <alignment horizontal="left" vertical="top"/>
    </xf>
    <xf numFmtId="42" fontId="157" fillId="0" borderId="87" xfId="5458" applyNumberFormat="1" applyFont="1" applyBorder="1" applyAlignment="1">
      <alignment horizontal="right" vertical="top"/>
    </xf>
    <xf numFmtId="42" fontId="157" fillId="0" borderId="0" xfId="5458" applyNumberFormat="1" applyFont="1" applyAlignment="1">
      <alignment horizontal="right" vertical="top"/>
    </xf>
    <xf numFmtId="42" fontId="157" fillId="0" borderId="0" xfId="5458" applyNumberFormat="1" applyFont="1" applyAlignment="1">
      <alignment horizontal="right"/>
    </xf>
    <xf numFmtId="37" fontId="156" fillId="0" borderId="0" xfId="5458" applyNumberFormat="1" applyFont="1"/>
    <xf numFmtId="170" fontId="69" fillId="0" borderId="85" xfId="2" quotePrefix="1" applyNumberFormat="1" applyFont="1" applyBorder="1" applyAlignment="1">
      <alignment horizontal="right"/>
    </xf>
    <xf numFmtId="0" fontId="52" fillId="0" borderId="0" xfId="8" applyFont="1" applyAlignment="1">
      <alignment horizontal="left" vertical="top"/>
    </xf>
    <xf numFmtId="165" fontId="190" fillId="0" borderId="0" xfId="2" applyNumberFormat="1" applyFont="1"/>
    <xf numFmtId="170" fontId="69" fillId="0" borderId="33" xfId="2" quotePrefix="1" applyNumberFormat="1" applyFont="1" applyBorder="1" applyAlignment="1">
      <alignment horizontal="right"/>
    </xf>
    <xf numFmtId="170" fontId="69" fillId="0" borderId="33" xfId="2" quotePrefix="1" applyNumberFormat="1" applyFont="1" applyBorder="1" applyAlignment="1">
      <alignment horizontal="center"/>
    </xf>
    <xf numFmtId="172" fontId="170" fillId="0" borderId="66" xfId="1940" applyNumberFormat="1" applyFont="1" applyBorder="1" applyAlignment="1"/>
    <xf numFmtId="172" fontId="170" fillId="0" borderId="66" xfId="2" applyNumberFormat="1" applyFont="1" applyBorder="1"/>
    <xf numFmtId="172" fontId="47" fillId="0" borderId="66" xfId="1940" applyNumberFormat="1" applyFont="1" applyBorder="1" applyAlignment="1"/>
    <xf numFmtId="172" fontId="47" fillId="0" borderId="0" xfId="1940" applyNumberFormat="1" applyFont="1" applyBorder="1" applyAlignment="1"/>
    <xf numFmtId="43" fontId="47" fillId="0" borderId="0" xfId="0" applyNumberFormat="1" applyFont="1" applyAlignment="1">
      <alignment horizontal="right"/>
    </xf>
    <xf numFmtId="177" fontId="40" fillId="0" borderId="0" xfId="740" applyNumberFormat="1" applyFont="1" applyAlignment="1">
      <alignment horizontal="left"/>
    </xf>
    <xf numFmtId="177" fontId="45" fillId="0" borderId="0" xfId="1767" applyNumberFormat="1" applyFont="1" applyAlignment="1">
      <alignment horizontal="center"/>
    </xf>
    <xf numFmtId="177" fontId="47" fillId="0" borderId="0" xfId="1767" applyNumberFormat="1" applyFont="1"/>
    <xf numFmtId="177" fontId="40" fillId="0" borderId="0" xfId="740" quotePrefix="1" applyNumberFormat="1" applyFont="1" applyAlignment="1">
      <alignment horizontal="center"/>
    </xf>
    <xf numFmtId="170" fontId="69" fillId="0" borderId="85" xfId="2" quotePrefix="1" applyNumberFormat="1" applyFont="1" applyBorder="1" applyAlignment="1">
      <alignment horizontal="center"/>
    </xf>
    <xf numFmtId="0" fontId="40" fillId="0" borderId="0" xfId="0" applyNumberFormat="1" applyFont="1" applyAlignment="1">
      <alignment horizontal="left"/>
    </xf>
    <xf numFmtId="170" fontId="62" fillId="0" borderId="0" xfId="2" quotePrefix="1" applyNumberFormat="1" applyFont="1"/>
    <xf numFmtId="0" fontId="47" fillId="0" borderId="28" xfId="2" applyFont="1" applyBorder="1"/>
    <xf numFmtId="0" fontId="40" fillId="0" borderId="0" xfId="17" applyNumberFormat="1" applyAlignment="1">
      <alignment horizontal="center"/>
    </xf>
    <xf numFmtId="165" fontId="87" fillId="0" borderId="0" xfId="2" applyNumberFormat="1" applyFont="1"/>
    <xf numFmtId="174" fontId="69" fillId="0" borderId="0" xfId="2" quotePrefix="1" applyNumberFormat="1" applyFont="1"/>
    <xf numFmtId="5" fontId="40" fillId="0" borderId="0" xfId="2" applyNumberFormat="1"/>
    <xf numFmtId="170" fontId="42" fillId="0" borderId="46" xfId="2" applyNumberFormat="1" applyFont="1" applyBorder="1"/>
    <xf numFmtId="170" fontId="69" fillId="0" borderId="33" xfId="2" applyNumberFormat="1" applyFont="1" applyBorder="1" applyAlignment="1">
      <alignment horizontal="right"/>
    </xf>
    <xf numFmtId="44" fontId="45" fillId="0" borderId="0" xfId="0" applyNumberFormat="1" applyFont="1" applyAlignment="1">
      <alignment horizontal="right" vertical="top"/>
    </xf>
    <xf numFmtId="44" fontId="46" fillId="0" borderId="0" xfId="0" applyNumberFormat="1" applyFont="1" applyAlignment="1">
      <alignment horizontal="right"/>
    </xf>
    <xf numFmtId="164" fontId="69" fillId="0" borderId="66" xfId="0" applyFont="1" applyBorder="1" applyAlignment="1">
      <alignment horizontal="center"/>
    </xf>
    <xf numFmtId="41" fontId="40" fillId="0" borderId="66" xfId="0" quotePrefix="1" applyNumberFormat="1" applyFont="1" applyBorder="1" applyAlignment="1">
      <alignment horizontal="center"/>
    </xf>
    <xf numFmtId="41" fontId="47" fillId="0" borderId="107" xfId="739" applyNumberFormat="1" applyFont="1" applyBorder="1"/>
    <xf numFmtId="43" fontId="40" fillId="0" borderId="0" xfId="17924" applyFont="1" applyFill="1" applyAlignment="1" applyProtection="1">
      <alignment horizontal="right"/>
    </xf>
    <xf numFmtId="166" fontId="42" fillId="0" borderId="106" xfId="4" applyNumberFormat="1" applyFont="1" applyBorder="1"/>
    <xf numFmtId="170" fontId="62" fillId="0" borderId="0" xfId="2" applyNumberFormat="1" applyFont="1" applyAlignment="1">
      <alignment horizontal="center"/>
    </xf>
    <xf numFmtId="170" fontId="64" fillId="0" borderId="43" xfId="2" quotePrefix="1" applyNumberFormat="1" applyFont="1" applyBorder="1" applyAlignment="1">
      <alignment horizontal="right"/>
    </xf>
    <xf numFmtId="4" fontId="47" fillId="0" borderId="0" xfId="1028" quotePrefix="1" applyNumberFormat="1" applyFont="1" applyAlignment="1">
      <alignment horizontal="left"/>
    </xf>
    <xf numFmtId="181" fontId="47" fillId="0" borderId="0" xfId="1776" quotePrefix="1" applyNumberFormat="1" applyFont="1" applyAlignment="1">
      <alignment horizontal="left"/>
    </xf>
    <xf numFmtId="42" fontId="40" fillId="0" borderId="0" xfId="0" quotePrefix="1" applyNumberFormat="1" applyFont="1"/>
    <xf numFmtId="164" fontId="155" fillId="0" borderId="0" xfId="0" applyFont="1"/>
    <xf numFmtId="191" fontId="52" fillId="0" borderId="0" xfId="8" applyNumberFormat="1" applyFont="1" applyAlignment="1">
      <alignment horizontal="right" vertical="top"/>
    </xf>
    <xf numFmtId="165" fontId="47" fillId="0" borderId="0" xfId="2" applyNumberFormat="1" applyFont="1" applyAlignment="1">
      <alignment horizontal="right"/>
    </xf>
    <xf numFmtId="164" fontId="47" fillId="0" borderId="10" xfId="2" applyNumberFormat="1" applyFont="1" applyBorder="1" applyAlignment="1">
      <alignment horizontal="right"/>
    </xf>
    <xf numFmtId="164" fontId="40" fillId="0" borderId="19" xfId="2" applyNumberFormat="1" applyBorder="1" applyAlignment="1">
      <alignment horizontal="right"/>
    </xf>
    <xf numFmtId="172" fontId="47" fillId="0" borderId="81" xfId="2" applyNumberFormat="1" applyFont="1" applyBorder="1"/>
    <xf numFmtId="170" fontId="42" fillId="0" borderId="96" xfId="2" applyNumberFormat="1" applyFont="1" applyBorder="1" applyAlignment="1">
      <alignment horizontal="center"/>
    </xf>
    <xf numFmtId="170" fontId="42" fillId="0" borderId="93" xfId="2" applyNumberFormat="1" applyFont="1" applyBorder="1" applyAlignment="1">
      <alignment horizontal="center"/>
    </xf>
    <xf numFmtId="170" fontId="69" fillId="0" borderId="21" xfId="2" applyNumberFormat="1" applyFont="1" applyBorder="1"/>
    <xf numFmtId="177" fontId="47" fillId="0" borderId="43" xfId="740" applyNumberFormat="1" applyFont="1" applyBorder="1" applyAlignment="1">
      <alignment horizontal="center"/>
    </xf>
    <xf numFmtId="177" fontId="47" fillId="0" borderId="10" xfId="740" applyNumberFormat="1" applyFont="1" applyBorder="1" applyAlignment="1">
      <alignment horizontal="center"/>
    </xf>
    <xf numFmtId="177" fontId="47" fillId="0" borderId="0" xfId="740" quotePrefix="1" applyNumberFormat="1" applyFont="1" applyAlignment="1">
      <alignment horizontal="center"/>
    </xf>
    <xf numFmtId="177" fontId="47" fillId="0" borderId="10" xfId="740" applyNumberFormat="1" applyFont="1" applyBorder="1"/>
    <xf numFmtId="0" fontId="81" fillId="0" borderId="0" xfId="836" applyFont="1"/>
    <xf numFmtId="0" fontId="56" fillId="0" borderId="0" xfId="836" applyFont="1"/>
    <xf numFmtId="0" fontId="64" fillId="0" borderId="20" xfId="836" applyFont="1" applyBorder="1"/>
    <xf numFmtId="185" fontId="64" fillId="0" borderId="20" xfId="836" applyNumberFormat="1" applyFont="1" applyBorder="1"/>
    <xf numFmtId="185" fontId="64" fillId="0" borderId="0" xfId="836" applyNumberFormat="1" applyFont="1"/>
    <xf numFmtId="180" fontId="69" fillId="0" borderId="17" xfId="836" applyNumberFormat="1" applyFont="1" applyBorder="1" applyAlignment="1">
      <alignment horizontal="right"/>
    </xf>
    <xf numFmtId="185" fontId="64" fillId="0" borderId="36" xfId="836" applyNumberFormat="1" applyFont="1" applyBorder="1"/>
    <xf numFmtId="39" fontId="81" fillId="0" borderId="0" xfId="836" applyNumberFormat="1" applyFont="1"/>
    <xf numFmtId="165" fontId="81" fillId="0" borderId="0" xfId="836" applyNumberFormat="1" applyFont="1"/>
    <xf numFmtId="0" fontId="67" fillId="0" borderId="66" xfId="2" applyFont="1" applyBorder="1" applyAlignment="1">
      <alignment horizontal="centerContinuous"/>
    </xf>
    <xf numFmtId="165" fontId="66" fillId="0" borderId="66" xfId="2" applyNumberFormat="1" applyFont="1" applyBorder="1" applyAlignment="1" applyProtection="1">
      <alignment horizontal="centerContinuous"/>
      <protection locked="0"/>
    </xf>
    <xf numFmtId="44" fontId="47" fillId="0" borderId="81" xfId="1776" applyNumberFormat="1" applyFont="1" applyBorder="1"/>
    <xf numFmtId="43" fontId="47" fillId="0" borderId="10" xfId="1776" applyNumberFormat="1" applyFont="1" applyBorder="1"/>
    <xf numFmtId="165" fontId="43" fillId="0" borderId="0" xfId="0" applyNumberFormat="1" applyFont="1"/>
    <xf numFmtId="165" fontId="145" fillId="0" borderId="0" xfId="0" applyNumberFormat="1" applyFont="1"/>
    <xf numFmtId="165" fontId="54" fillId="0" borderId="0" xfId="0" applyNumberFormat="1" applyFont="1"/>
    <xf numFmtId="39" fontId="41" fillId="0" borderId="0" xfId="0" applyNumberFormat="1" applyFont="1" applyAlignment="1">
      <alignment horizontal="left"/>
    </xf>
    <xf numFmtId="164" fontId="42" fillId="0" borderId="0" xfId="0" applyFont="1" applyAlignment="1">
      <alignment horizontal="left"/>
    </xf>
    <xf numFmtId="166" fontId="41" fillId="0" borderId="0" xfId="0" applyNumberFormat="1" applyFont="1" applyAlignment="1">
      <alignment horizontal="right"/>
    </xf>
    <xf numFmtId="166" fontId="146" fillId="0" borderId="0" xfId="0" applyNumberFormat="1" applyFont="1"/>
    <xf numFmtId="166" fontId="47" fillId="0" borderId="0" xfId="0" applyNumberFormat="1" applyFont="1" applyAlignment="1">
      <alignment horizontal="right"/>
    </xf>
    <xf numFmtId="166" fontId="47" fillId="0" borderId="0" xfId="0" quotePrefix="1" applyNumberFormat="1" applyFont="1" applyAlignment="1">
      <alignment horizontal="right"/>
    </xf>
    <xf numFmtId="166" fontId="47" fillId="0" borderId="0" xfId="0" applyNumberFormat="1" applyFont="1"/>
    <xf numFmtId="166" fontId="40" fillId="0" borderId="0" xfId="0" applyNumberFormat="1" applyFont="1" applyAlignment="1">
      <alignment horizontal="center"/>
    </xf>
    <xf numFmtId="168" fontId="43" fillId="0" borderId="0" xfId="0" applyNumberFormat="1" applyFont="1"/>
    <xf numFmtId="183" fontId="42" fillId="0" borderId="0" xfId="0" applyNumberFormat="1" applyFont="1"/>
    <xf numFmtId="37" fontId="42" fillId="0" borderId="0" xfId="0" applyNumberFormat="1" applyFont="1" applyAlignment="1">
      <alignment horizontal="left"/>
    </xf>
    <xf numFmtId="165" fontId="42" fillId="0" borderId="0" xfId="0" quotePrefix="1" applyNumberFormat="1" applyFont="1" applyAlignment="1">
      <alignment horizontal="left"/>
    </xf>
    <xf numFmtId="165" fontId="50" fillId="0" borderId="0" xfId="0" applyNumberFormat="1" applyFont="1"/>
    <xf numFmtId="37" fontId="40" fillId="0" borderId="0" xfId="0" quotePrefix="1" applyNumberFormat="1" applyFont="1" applyAlignment="1">
      <alignment horizontal="left"/>
    </xf>
    <xf numFmtId="166" fontId="42" fillId="0" borderId="0" xfId="0" quotePrefix="1" applyNumberFormat="1" applyFont="1" applyAlignment="1">
      <alignment horizontal="center"/>
    </xf>
    <xf numFmtId="3" fontId="42" fillId="0" borderId="0" xfId="0" applyNumberFormat="1" applyFont="1"/>
    <xf numFmtId="166" fontId="42" fillId="0" borderId="0" xfId="0" quotePrefix="1" applyNumberFormat="1" applyFont="1" applyAlignment="1">
      <alignment horizontal="left"/>
    </xf>
    <xf numFmtId="166" fontId="42" fillId="0" borderId="0" xfId="0" quotePrefix="1" applyNumberFormat="1" applyFont="1"/>
    <xf numFmtId="37" fontId="42" fillId="0" borderId="0" xfId="0" quotePrefix="1" applyNumberFormat="1" applyFont="1" applyAlignment="1">
      <alignment horizontal="left"/>
    </xf>
    <xf numFmtId="166" fontId="42" fillId="0" borderId="0" xfId="0" applyNumberFormat="1" applyFont="1" applyAlignment="1">
      <alignment horizontal="center"/>
    </xf>
    <xf numFmtId="170" fontId="42" fillId="0" borderId="13" xfId="0" applyNumberFormat="1" applyFont="1" applyBorder="1"/>
    <xf numFmtId="170" fontId="42" fillId="0" borderId="14" xfId="0" applyNumberFormat="1" applyFont="1" applyBorder="1"/>
    <xf numFmtId="170" fontId="47" fillId="0" borderId="16" xfId="0" quotePrefix="1" applyNumberFormat="1" applyFont="1" applyBorder="1" applyAlignment="1">
      <alignment horizontal="right"/>
    </xf>
    <xf numFmtId="170" fontId="47" fillId="0" borderId="13" xfId="0" applyNumberFormat="1" applyFont="1" applyBorder="1"/>
    <xf numFmtId="170" fontId="47" fillId="0" borderId="14" xfId="0" applyNumberFormat="1" applyFont="1" applyBorder="1"/>
    <xf numFmtId="164" fontId="47" fillId="0" borderId="10" xfId="0" applyFont="1" applyBorder="1"/>
    <xf numFmtId="166" fontId="47" fillId="0" borderId="0" xfId="0" applyNumberFormat="1" applyFont="1" applyAlignment="1">
      <alignment horizontal="left"/>
    </xf>
    <xf numFmtId="174" fontId="47" fillId="0" borderId="0" xfId="0" applyNumberFormat="1" applyFont="1"/>
    <xf numFmtId="174" fontId="47" fillId="0" borderId="13" xfId="0" applyNumberFormat="1" applyFont="1" applyBorder="1"/>
    <xf numFmtId="174" fontId="47" fillId="0" borderId="14" xfId="0" applyNumberFormat="1" applyFont="1" applyBorder="1"/>
    <xf numFmtId="164" fontId="47" fillId="0" borderId="17" xfId="0" applyFont="1" applyBorder="1"/>
    <xf numFmtId="169" fontId="47" fillId="0" borderId="0" xfId="0" applyNumberFormat="1" applyFont="1"/>
    <xf numFmtId="166" fontId="50" fillId="0" borderId="0" xfId="0" applyNumberFormat="1" applyFont="1"/>
    <xf numFmtId="166" fontId="43" fillId="0" borderId="0" xfId="0" applyNumberFormat="1" applyFont="1"/>
    <xf numFmtId="166" fontId="145" fillId="0" borderId="0" xfId="0" applyNumberFormat="1" applyFont="1"/>
    <xf numFmtId="165" fontId="53" fillId="0" borderId="0" xfId="0" applyNumberFormat="1" applyFont="1"/>
    <xf numFmtId="166" fontId="48" fillId="0" borderId="0" xfId="0" applyNumberFormat="1" applyFont="1" applyAlignment="1">
      <alignment horizontal="left"/>
    </xf>
    <xf numFmtId="165" fontId="48" fillId="0" borderId="0" xfId="0" applyNumberFormat="1" applyFont="1"/>
    <xf numFmtId="165" fontId="147" fillId="0" borderId="0" xfId="0" applyNumberFormat="1" applyFont="1"/>
    <xf numFmtId="165" fontId="49" fillId="0" borderId="0" xfId="0" applyNumberFormat="1" applyFont="1"/>
    <xf numFmtId="165" fontId="132" fillId="0" borderId="0" xfId="0" applyNumberFormat="1" applyFont="1"/>
    <xf numFmtId="166" fontId="41" fillId="0" borderId="0" xfId="0" applyNumberFormat="1" applyFont="1" applyAlignment="1">
      <alignment horizontal="left"/>
    </xf>
    <xf numFmtId="164" fontId="44" fillId="0" borderId="0" xfId="0" applyFont="1" applyAlignment="1">
      <alignment horizontal="left"/>
    </xf>
    <xf numFmtId="165" fontId="57" fillId="0" borderId="0" xfId="0" applyNumberFormat="1" applyFont="1"/>
    <xf numFmtId="166" fontId="58" fillId="0" borderId="0" xfId="0" applyNumberFormat="1" applyFont="1" applyAlignment="1">
      <alignment horizontal="right"/>
    </xf>
    <xf numFmtId="166" fontId="60" fillId="0" borderId="0" xfId="0" applyNumberFormat="1" applyFont="1"/>
    <xf numFmtId="166" fontId="59" fillId="0" borderId="0" xfId="0" applyNumberFormat="1" applyFont="1"/>
    <xf numFmtId="166" fontId="150" fillId="0" borderId="10" xfId="0" applyNumberFormat="1" applyFont="1" applyBorder="1" applyAlignment="1">
      <alignment horizontal="centerContinuous"/>
    </xf>
    <xf numFmtId="166" fontId="47" fillId="0" borderId="66" xfId="0" applyNumberFormat="1" applyFont="1" applyBorder="1" applyAlignment="1">
      <alignment horizontal="center"/>
    </xf>
    <xf numFmtId="166" fontId="59" fillId="0" borderId="66" xfId="0" applyNumberFormat="1" applyFont="1" applyBorder="1"/>
    <xf numFmtId="165" fontId="43" fillId="0" borderId="66" xfId="0" applyNumberFormat="1" applyFont="1" applyBorder="1"/>
    <xf numFmtId="166" fontId="61" fillId="0" borderId="0" xfId="0" applyNumberFormat="1" applyFont="1" applyAlignment="1">
      <alignment horizontal="center"/>
    </xf>
    <xf numFmtId="166" fontId="48" fillId="0" borderId="0" xfId="0" applyNumberFormat="1" applyFont="1" applyAlignment="1">
      <alignment horizontal="center"/>
    </xf>
    <xf numFmtId="166" fontId="40" fillId="0" borderId="0" xfId="0" quotePrefix="1" applyNumberFormat="1" applyFont="1" applyAlignment="1">
      <alignment horizontal="left"/>
    </xf>
    <xf numFmtId="166" fontId="62" fillId="0" borderId="0" xfId="0" applyNumberFormat="1" applyFont="1"/>
    <xf numFmtId="166" fontId="42" fillId="0" borderId="18" xfId="0" applyNumberFormat="1" applyFont="1" applyBorder="1"/>
    <xf numFmtId="166" fontId="42" fillId="0" borderId="14" xfId="0" applyNumberFormat="1" applyFont="1" applyBorder="1"/>
    <xf numFmtId="166" fontId="49" fillId="0" borderId="15" xfId="0" applyNumberFormat="1" applyFont="1" applyBorder="1"/>
    <xf numFmtId="174" fontId="62" fillId="0" borderId="0" xfId="0" applyNumberFormat="1" applyFont="1"/>
    <xf numFmtId="174" fontId="42" fillId="0" borderId="14" xfId="0" applyNumberFormat="1" applyFont="1" applyBorder="1"/>
    <xf numFmtId="169" fontId="42" fillId="0" borderId="0" xfId="0" applyNumberFormat="1" applyFont="1"/>
    <xf numFmtId="169" fontId="49" fillId="0" borderId="15" xfId="0" applyNumberFormat="1" applyFont="1" applyBorder="1"/>
    <xf numFmtId="170" fontId="62" fillId="0" borderId="0" xfId="0" applyNumberFormat="1" applyFont="1"/>
    <xf numFmtId="170" fontId="62" fillId="0" borderId="0" xfId="0" applyNumberFormat="1" applyFont="1" applyAlignment="1">
      <alignment horizontal="center"/>
    </xf>
    <xf numFmtId="170" fontId="42" fillId="0" borderId="14" xfId="0" applyNumberFormat="1" applyFont="1" applyBorder="1" applyAlignment="1">
      <alignment horizontal="center"/>
    </xf>
    <xf numFmtId="170" fontId="61" fillId="0" borderId="0" xfId="0" applyNumberFormat="1" applyFont="1"/>
    <xf numFmtId="166" fontId="48" fillId="0" borderId="15" xfId="0" applyNumberFormat="1" applyFont="1" applyBorder="1"/>
    <xf numFmtId="170" fontId="42" fillId="0" borderId="0" xfId="0" quotePrefix="1" applyNumberFormat="1" applyFont="1" applyAlignment="1">
      <alignment horizontal="right"/>
    </xf>
    <xf numFmtId="3" fontId="40" fillId="0" borderId="0" xfId="0" applyNumberFormat="1" applyFont="1" applyAlignment="1">
      <alignment horizontal="left"/>
    </xf>
    <xf numFmtId="170" fontId="61" fillId="0" borderId="0" xfId="0" applyNumberFormat="1" applyFont="1" applyAlignment="1">
      <alignment horizontal="center"/>
    </xf>
    <xf numFmtId="170" fontId="47" fillId="0" borderId="14" xfId="0" applyNumberFormat="1" applyFont="1" applyBorder="1" applyAlignment="1">
      <alignment horizontal="center"/>
    </xf>
    <xf numFmtId="170" fontId="47" fillId="0" borderId="0" xfId="0" applyNumberFormat="1" applyFont="1" applyAlignment="1">
      <alignment horizontal="center"/>
    </xf>
    <xf numFmtId="170" fontId="42" fillId="0" borderId="18" xfId="0" applyNumberFormat="1" applyFont="1" applyBorder="1"/>
    <xf numFmtId="164" fontId="42" fillId="0" borderId="10" xfId="0" applyFont="1" applyBorder="1"/>
    <xf numFmtId="170" fontId="61" fillId="0" borderId="18" xfId="0" applyNumberFormat="1" applyFont="1" applyBorder="1"/>
    <xf numFmtId="170" fontId="61" fillId="0" borderId="14" xfId="0" applyNumberFormat="1" applyFont="1" applyBorder="1"/>
    <xf numFmtId="166" fontId="47" fillId="0" borderId="0" xfId="0" quotePrefix="1" applyNumberFormat="1" applyFont="1" applyAlignment="1">
      <alignment horizontal="left"/>
    </xf>
    <xf numFmtId="174" fontId="61" fillId="0" borderId="0" xfId="0" applyNumberFormat="1" applyFont="1"/>
    <xf numFmtId="174" fontId="61" fillId="0" borderId="17" xfId="0" applyNumberFormat="1" applyFont="1" applyBorder="1"/>
    <xf numFmtId="174" fontId="61" fillId="0" borderId="28" xfId="0" applyNumberFormat="1" applyFont="1" applyBorder="1"/>
    <xf numFmtId="174" fontId="61" fillId="0" borderId="14" xfId="0" applyNumberFormat="1" applyFont="1" applyBorder="1"/>
    <xf numFmtId="169" fontId="48" fillId="0" borderId="15" xfId="0" applyNumberFormat="1" applyFont="1" applyBorder="1"/>
    <xf numFmtId="166" fontId="63" fillId="0" borderId="0" xfId="0" applyNumberFormat="1" applyFont="1"/>
    <xf numFmtId="166" fontId="40" fillId="0" borderId="0" xfId="0" applyNumberFormat="1" applyFont="1" applyAlignment="1">
      <alignment horizontal="left"/>
    </xf>
    <xf numFmtId="170" fontId="68" fillId="0" borderId="0" xfId="2" applyNumberFormat="1" applyFont="1"/>
    <xf numFmtId="164" fontId="68" fillId="0" borderId="0" xfId="2" applyNumberFormat="1" applyFont="1"/>
    <xf numFmtId="165" fontId="69" fillId="0" borderId="0" xfId="2" applyNumberFormat="1" applyFont="1" applyAlignment="1">
      <alignment horizontal="right"/>
    </xf>
    <xf numFmtId="3" fontId="47" fillId="0" borderId="0" xfId="2" applyNumberFormat="1" applyFont="1" applyAlignment="1">
      <alignment horizontal="center"/>
    </xf>
    <xf numFmtId="1" fontId="47" fillId="0" borderId="0" xfId="2" quotePrefix="1" applyNumberFormat="1" applyFont="1" applyAlignment="1">
      <alignment horizontal="center"/>
    </xf>
    <xf numFmtId="3" fontId="42" fillId="0" borderId="20" xfId="2" applyNumberFormat="1" applyFont="1" applyBorder="1"/>
    <xf numFmtId="165" fontId="68" fillId="0" borderId="15" xfId="2" applyNumberFormat="1" applyFont="1" applyBorder="1"/>
    <xf numFmtId="169" fontId="47" fillId="0" borderId="21" xfId="2" applyNumberFormat="1" applyFont="1" applyBorder="1"/>
    <xf numFmtId="169" fontId="78" fillId="0" borderId="15" xfId="2" applyNumberFormat="1" applyFont="1" applyBorder="1"/>
    <xf numFmtId="169" fontId="46" fillId="0" borderId="0" xfId="2" applyNumberFormat="1" applyFont="1"/>
    <xf numFmtId="170" fontId="47" fillId="0" borderId="95" xfId="2" applyNumberFormat="1" applyFont="1" applyBorder="1"/>
    <xf numFmtId="170" fontId="68" fillId="0" borderId="15" xfId="2" applyNumberFormat="1" applyFont="1" applyBorder="1"/>
    <xf numFmtId="170" fontId="78" fillId="0" borderId="15" xfId="2" applyNumberFormat="1" applyFont="1" applyBorder="1"/>
    <xf numFmtId="170" fontId="47" fillId="0" borderId="66" xfId="1046" applyNumberFormat="1" applyFont="1" applyFill="1" applyBorder="1" applyProtection="1"/>
    <xf numFmtId="170" fontId="85" fillId="0" borderId="0" xfId="2" applyNumberFormat="1" applyFont="1"/>
    <xf numFmtId="170" fontId="40" fillId="0" borderId="15" xfId="0" quotePrefix="1" applyNumberFormat="1" applyFont="1" applyBorder="1" applyAlignment="1">
      <alignment horizontal="right"/>
    </xf>
    <xf numFmtId="172" fontId="40" fillId="0" borderId="10" xfId="2" applyNumberFormat="1" applyBorder="1"/>
    <xf numFmtId="170" fontId="40" fillId="0" borderId="10" xfId="2" applyNumberFormat="1" applyBorder="1"/>
    <xf numFmtId="170" fontId="49" fillId="0" borderId="0" xfId="2" applyNumberFormat="1" applyFont="1" applyAlignment="1">
      <alignment horizontal="right"/>
    </xf>
    <xf numFmtId="170" fontId="68" fillId="0" borderId="15" xfId="2" applyNumberFormat="1" applyFont="1" applyBorder="1" applyAlignment="1">
      <alignment horizontal="center"/>
    </xf>
    <xf numFmtId="164" fontId="47" fillId="0" borderId="45" xfId="2" quotePrefix="1" applyNumberFormat="1" applyFont="1" applyBorder="1"/>
    <xf numFmtId="164" fontId="47" fillId="0" borderId="10" xfId="2" quotePrefix="1" applyNumberFormat="1" applyFont="1" applyBorder="1" applyAlignment="1">
      <alignment horizontal="right"/>
    </xf>
    <xf numFmtId="170" fontId="46" fillId="0" borderId="0" xfId="2" applyNumberFormat="1" applyFont="1"/>
    <xf numFmtId="164" fontId="40" fillId="0" borderId="20" xfId="2" applyNumberFormat="1" applyBorder="1"/>
    <xf numFmtId="169" fontId="47" fillId="0" borderId="18" xfId="2" applyNumberFormat="1" applyFont="1" applyBorder="1"/>
    <xf numFmtId="165" fontId="50" fillId="0" borderId="0" xfId="2" applyNumberFormat="1" applyFont="1"/>
    <xf numFmtId="165" fontId="43" fillId="0" borderId="0" xfId="2" applyNumberFormat="1" applyFont="1"/>
    <xf numFmtId="166" fontId="49" fillId="0" borderId="0" xfId="2" quotePrefix="1" applyNumberFormat="1" applyFont="1" applyAlignment="1">
      <alignment horizontal="left"/>
    </xf>
    <xf numFmtId="168" fontId="47" fillId="0" borderId="0" xfId="2" applyNumberFormat="1" applyFont="1"/>
    <xf numFmtId="193" fontId="40" fillId="0" borderId="0" xfId="2" applyNumberFormat="1"/>
    <xf numFmtId="170" fontId="42" fillId="0" borderId="100" xfId="2" applyNumberFormat="1" applyFont="1" applyBorder="1"/>
    <xf numFmtId="170" fontId="47" fillId="0" borderId="100" xfId="2" applyNumberFormat="1" applyFont="1" applyBorder="1"/>
    <xf numFmtId="166" fontId="42" fillId="0" borderId="0" xfId="2" quotePrefix="1" applyNumberFormat="1" applyFont="1" applyAlignment="1">
      <alignment horizontal="right"/>
    </xf>
    <xf numFmtId="195" fontId="42" fillId="0" borderId="0" xfId="2" applyNumberFormat="1" applyFont="1"/>
    <xf numFmtId="170" fontId="42" fillId="0" borderId="0" xfId="5" applyNumberFormat="1" applyFont="1" applyFill="1" applyProtection="1"/>
    <xf numFmtId="174" fontId="47" fillId="0" borderId="101" xfId="2" applyNumberFormat="1" applyFont="1" applyBorder="1"/>
    <xf numFmtId="168" fontId="42" fillId="0" borderId="36" xfId="2" applyNumberFormat="1" applyFont="1" applyBorder="1"/>
    <xf numFmtId="169" fontId="42" fillId="0" borderId="0" xfId="2" quotePrefix="1" applyNumberFormat="1" applyFont="1" applyAlignment="1">
      <alignment horizontal="right"/>
    </xf>
    <xf numFmtId="170" fontId="40" fillId="0" borderId="0" xfId="1" applyNumberFormat="1" applyFont="1" applyFill="1" applyAlignment="1" applyProtection="1">
      <alignment horizontal="right"/>
    </xf>
    <xf numFmtId="170" fontId="40" fillId="0" borderId="15" xfId="1" applyNumberFormat="1" applyFont="1" applyFill="1" applyBorder="1" applyAlignment="1" applyProtection="1">
      <alignment horizontal="right"/>
    </xf>
    <xf numFmtId="170" fontId="47" fillId="0" borderId="45" xfId="1046" applyNumberFormat="1" applyFont="1" applyFill="1" applyBorder="1" applyProtection="1"/>
    <xf numFmtId="43" fontId="0" fillId="0" borderId="0" xfId="2" applyNumberFormat="1" applyFont="1"/>
    <xf numFmtId="170" fontId="40" fillId="0" borderId="20" xfId="2" quotePrefix="1" applyNumberFormat="1" applyBorder="1"/>
    <xf numFmtId="170" fontId="40" fillId="0" borderId="46" xfId="0" quotePrefix="1" applyNumberFormat="1" applyFont="1" applyBorder="1" applyAlignment="1">
      <alignment horizontal="right"/>
    </xf>
    <xf numFmtId="170" fontId="47" fillId="0" borderId="43" xfId="2" applyNumberFormat="1" applyFont="1" applyBorder="1"/>
    <xf numFmtId="170" fontId="47" fillId="0" borderId="66" xfId="6" applyNumberFormat="1" applyFont="1" applyFill="1" applyBorder="1" applyAlignment="1" applyProtection="1"/>
    <xf numFmtId="170" fontId="47" fillId="0" borderId="0" xfId="6" applyNumberFormat="1" applyFont="1" applyFill="1" applyAlignment="1" applyProtection="1"/>
    <xf numFmtId="170" fontId="47" fillId="0" borderId="21" xfId="6" applyNumberFormat="1" applyFont="1" applyFill="1" applyBorder="1" applyAlignment="1" applyProtection="1"/>
    <xf numFmtId="0" fontId="0" fillId="0" borderId="28" xfId="2" applyFont="1" applyBorder="1"/>
    <xf numFmtId="0" fontId="0" fillId="0" borderId="15" xfId="2" applyFont="1" applyBorder="1"/>
    <xf numFmtId="166" fontId="45" fillId="0" borderId="0" xfId="4" applyNumberFormat="1" applyFont="1"/>
    <xf numFmtId="43" fontId="45" fillId="0" borderId="0" xfId="5" applyFont="1" applyFill="1" applyBorder="1" applyAlignment="1" applyProtection="1">
      <alignment horizontal="right"/>
    </xf>
    <xf numFmtId="0" fontId="69" fillId="0" borderId="0" xfId="4" quotePrefix="1" applyFont="1" applyAlignment="1">
      <alignment horizontal="left"/>
    </xf>
    <xf numFmtId="0" fontId="69" fillId="0" borderId="0" xfId="4" applyFont="1" applyAlignment="1">
      <alignment horizontal="right"/>
    </xf>
    <xf numFmtId="0" fontId="88" fillId="0" borderId="0" xfId="4"/>
    <xf numFmtId="43" fontId="46" fillId="0" borderId="0" xfId="5" applyFont="1" applyFill="1" applyBorder="1" applyAlignment="1" applyProtection="1">
      <alignment horizontal="right"/>
    </xf>
    <xf numFmtId="0" fontId="47" fillId="0" borderId="0" xfId="4" applyFont="1" applyAlignment="1">
      <alignment horizontal="center"/>
    </xf>
    <xf numFmtId="166" fontId="47" fillId="0" borderId="0" xfId="4" applyNumberFormat="1" applyFont="1"/>
    <xf numFmtId="166" fontId="47" fillId="0" borderId="0" xfId="4" applyNumberFormat="1" applyFont="1" applyAlignment="1">
      <alignment horizontal="center"/>
    </xf>
    <xf numFmtId="165" fontId="47" fillId="0" borderId="0" xfId="4" applyNumberFormat="1" applyFont="1"/>
    <xf numFmtId="165" fontId="47" fillId="0" borderId="0" xfId="4" applyNumberFormat="1" applyFont="1" applyAlignment="1">
      <alignment horizontal="center"/>
    </xf>
    <xf numFmtId="0" fontId="47" fillId="0" borderId="10" xfId="4" applyFont="1" applyBorder="1" applyAlignment="1">
      <alignment horizontal="center"/>
    </xf>
    <xf numFmtId="166" fontId="47" fillId="0" borderId="10" xfId="4" applyNumberFormat="1" applyFont="1" applyBorder="1" applyAlignment="1">
      <alignment horizontal="center"/>
    </xf>
    <xf numFmtId="0" fontId="47" fillId="0" borderId="10" xfId="4" quotePrefix="1" applyFont="1" applyBorder="1" applyAlignment="1">
      <alignment horizontal="center"/>
    </xf>
    <xf numFmtId="166" fontId="42" fillId="0" borderId="0" xfId="4" applyNumberFormat="1" applyFont="1" applyAlignment="1">
      <alignment horizontal="center"/>
    </xf>
    <xf numFmtId="0" fontId="42" fillId="0" borderId="0" xfId="4" quotePrefix="1" applyFont="1" applyAlignment="1">
      <alignment horizontal="center"/>
    </xf>
    <xf numFmtId="169" fontId="42" fillId="0" borderId="0" xfId="4" applyNumberFormat="1" applyFont="1" applyAlignment="1">
      <alignment horizontal="center"/>
    </xf>
    <xf numFmtId="0" fontId="42" fillId="0" borderId="15" xfId="4" applyFont="1" applyBorder="1" applyAlignment="1">
      <alignment horizontal="center"/>
    </xf>
    <xf numFmtId="0" fontId="47" fillId="0" borderId="0" xfId="4" applyFont="1" applyAlignment="1">
      <alignment horizontal="left"/>
    </xf>
    <xf numFmtId="174" fontId="47" fillId="0" borderId="0" xfId="4" quotePrefix="1" applyNumberFormat="1" applyFont="1" applyAlignment="1">
      <alignment horizontal="right"/>
    </xf>
    <xf numFmtId="174" fontId="47" fillId="0" borderId="13" xfId="4" applyNumberFormat="1" applyFont="1" applyBorder="1"/>
    <xf numFmtId="174" fontId="47" fillId="0" borderId="0" xfId="4" applyNumberFormat="1" applyFont="1" applyAlignment="1">
      <alignment horizontal="center"/>
    </xf>
    <xf numFmtId="174" fontId="47" fillId="0" borderId="15" xfId="4" applyNumberFormat="1" applyFont="1" applyBorder="1"/>
    <xf numFmtId="164" fontId="47" fillId="0" borderId="0" xfId="4" applyNumberFormat="1" applyFont="1"/>
    <xf numFmtId="0" fontId="42" fillId="0" borderId="13" xfId="4" applyFont="1" applyBorder="1"/>
    <xf numFmtId="166" fontId="42" fillId="0" borderId="13" xfId="4" applyNumberFormat="1" applyFont="1" applyBorder="1"/>
    <xf numFmtId="170" fontId="47" fillId="0" borderId="45" xfId="4" applyNumberFormat="1" applyFont="1" applyBorder="1"/>
    <xf numFmtId="170" fontId="42" fillId="0" borderId="0" xfId="4" applyNumberFormat="1" applyFont="1" applyAlignment="1">
      <alignment horizontal="center"/>
    </xf>
    <xf numFmtId="170" fontId="42" fillId="0" borderId="15" xfId="4" applyNumberFormat="1" applyFont="1" applyBorder="1"/>
    <xf numFmtId="0" fontId="42" fillId="0" borderId="106" xfId="4" applyFont="1" applyBorder="1"/>
    <xf numFmtId="170" fontId="47" fillId="0" borderId="0" xfId="5517" applyNumberFormat="1" applyFont="1"/>
    <xf numFmtId="170" fontId="47" fillId="0" borderId="13" xfId="4" applyNumberFormat="1" applyFont="1" applyBorder="1"/>
    <xf numFmtId="170" fontId="47" fillId="0" borderId="0" xfId="4" applyNumberFormat="1" applyFont="1" applyAlignment="1">
      <alignment horizontal="center"/>
    </xf>
    <xf numFmtId="170" fontId="47" fillId="0" borderId="15" xfId="4" applyNumberFormat="1" applyFont="1" applyBorder="1"/>
    <xf numFmtId="172" fontId="47" fillId="0" borderId="16" xfId="0" applyNumberFormat="1" applyFont="1" applyBorder="1"/>
    <xf numFmtId="0" fontId="46" fillId="0" borderId="0" xfId="4" applyFont="1"/>
    <xf numFmtId="170" fontId="47" fillId="0" borderId="75" xfId="4" applyNumberFormat="1" applyFont="1" applyBorder="1"/>
    <xf numFmtId="0" fontId="40" fillId="0" borderId="0" xfId="4" applyFont="1"/>
    <xf numFmtId="170" fontId="42" fillId="0" borderId="13" xfId="4" applyNumberFormat="1" applyFont="1" applyBorder="1"/>
    <xf numFmtId="170" fontId="40" fillId="0" borderId="66" xfId="5517" quotePrefix="1" applyNumberFormat="1" applyFont="1" applyBorder="1" applyAlignment="1">
      <alignment horizontal="center"/>
    </xf>
    <xf numFmtId="170" fontId="42" fillId="0" borderId="10" xfId="4" quotePrefix="1" applyNumberFormat="1" applyFont="1" applyBorder="1"/>
    <xf numFmtId="170" fontId="40" fillId="0" borderId="46" xfId="5517" applyNumberFormat="1" applyFont="1" applyBorder="1"/>
    <xf numFmtId="170" fontId="42" fillId="0" borderId="46" xfId="4" applyNumberFormat="1" applyFont="1" applyBorder="1"/>
    <xf numFmtId="170" fontId="47" fillId="0" borderId="0" xfId="5517" applyNumberFormat="1" applyFont="1" applyAlignment="1">
      <alignment horizontal="right"/>
    </xf>
    <xf numFmtId="170" fontId="47" fillId="0" borderId="0" xfId="4" applyNumberFormat="1" applyFont="1" applyAlignment="1">
      <alignment horizontal="right"/>
    </xf>
    <xf numFmtId="39" fontId="46" fillId="0" borderId="0" xfId="4" applyNumberFormat="1" applyFont="1"/>
    <xf numFmtId="0" fontId="47" fillId="0" borderId="0" xfId="4" quotePrefix="1" applyFont="1" applyAlignment="1">
      <alignment horizontal="left"/>
    </xf>
    <xf numFmtId="0" fontId="42" fillId="0" borderId="0" xfId="4" quotePrefix="1" applyFont="1" applyAlignment="1">
      <alignment horizontal="left"/>
    </xf>
    <xf numFmtId="170" fontId="40" fillId="0" borderId="0" xfId="5517" quotePrefix="1" applyNumberFormat="1" applyFont="1" applyAlignment="1">
      <alignment horizontal="right"/>
    </xf>
    <xf numFmtId="0" fontId="40" fillId="0" borderId="0" xfId="4" quotePrefix="1" applyFont="1" applyAlignment="1">
      <alignment horizontal="left"/>
    </xf>
    <xf numFmtId="0" fontId="40" fillId="0" borderId="0" xfId="4" applyFont="1" applyAlignment="1">
      <alignment horizontal="left"/>
    </xf>
    <xf numFmtId="170" fontId="40" fillId="0" borderId="66" xfId="5517" applyNumberFormat="1" applyFont="1" applyBorder="1"/>
    <xf numFmtId="170" fontId="42" fillId="0" borderId="10" xfId="4" applyNumberFormat="1" applyFont="1" applyBorder="1"/>
    <xf numFmtId="39" fontId="60" fillId="0" borderId="0" xfId="4" applyNumberFormat="1" applyFont="1"/>
    <xf numFmtId="170" fontId="40" fillId="0" borderId="0" xfId="5517" applyNumberFormat="1" applyFont="1" applyAlignment="1">
      <alignment horizontal="right"/>
    </xf>
    <xf numFmtId="170" fontId="42" fillId="0" borderId="0" xfId="4" applyNumberFormat="1" applyFont="1" applyAlignment="1">
      <alignment horizontal="right"/>
    </xf>
    <xf numFmtId="170" fontId="40" fillId="0" borderId="66" xfId="1046" applyNumberFormat="1" applyFont="1" applyFill="1" applyBorder="1" applyProtection="1"/>
    <xf numFmtId="170" fontId="42" fillId="0" borderId="46" xfId="4" applyNumberFormat="1" applyFont="1" applyBorder="1" applyAlignment="1">
      <alignment horizontal="center"/>
    </xf>
    <xf numFmtId="166" fontId="42" fillId="0" borderId="19" xfId="4" applyNumberFormat="1" applyFont="1" applyBorder="1"/>
    <xf numFmtId="166" fontId="42" fillId="0" borderId="19" xfId="4" applyNumberFormat="1" applyFont="1" applyBorder="1" applyAlignment="1">
      <alignment horizontal="right"/>
    </xf>
    <xf numFmtId="174" fontId="47" fillId="0" borderId="17" xfId="4" applyNumberFormat="1" applyFont="1" applyBorder="1"/>
    <xf numFmtId="174" fontId="47" fillId="0" borderId="17" xfId="4" applyNumberFormat="1" applyFont="1" applyBorder="1" applyAlignment="1">
      <alignment horizontal="center"/>
    </xf>
    <xf numFmtId="7" fontId="46" fillId="0" borderId="0" xfId="4" applyNumberFormat="1" applyFont="1"/>
    <xf numFmtId="169" fontId="45" fillId="0" borderId="0" xfId="4" applyNumberFormat="1" applyFont="1"/>
    <xf numFmtId="169" fontId="45" fillId="0" borderId="0" xfId="4" quotePrefix="1" applyNumberFormat="1" applyFont="1" applyAlignment="1">
      <alignment horizontal="right"/>
    </xf>
    <xf numFmtId="0" fontId="45" fillId="0" borderId="0" xfId="4" applyFont="1" applyAlignment="1">
      <alignment horizontal="center"/>
    </xf>
    <xf numFmtId="164" fontId="45" fillId="0" borderId="0" xfId="4" applyNumberFormat="1" applyFont="1"/>
    <xf numFmtId="39" fontId="45" fillId="0" borderId="0" xfId="4" applyNumberFormat="1" applyFont="1"/>
    <xf numFmtId="174" fontId="45" fillId="0" borderId="0" xfId="4" applyNumberFormat="1" applyFont="1"/>
    <xf numFmtId="43" fontId="45" fillId="0" borderId="0" xfId="5" applyFont="1" applyFill="1" applyProtection="1"/>
    <xf numFmtId="0" fontId="45" fillId="0" borderId="0" xfId="4" quotePrefix="1" applyFont="1" applyAlignment="1">
      <alignment horizontal="left"/>
    </xf>
    <xf numFmtId="170" fontId="45" fillId="0" borderId="0" xfId="4" quotePrefix="1" applyNumberFormat="1" applyFont="1" applyAlignment="1">
      <alignment horizontal="left"/>
    </xf>
    <xf numFmtId="43" fontId="45" fillId="0" borderId="0" xfId="4" applyNumberFormat="1" applyFont="1"/>
    <xf numFmtId="49" fontId="89" fillId="0" borderId="0" xfId="4" applyNumberFormat="1" applyFont="1" applyAlignment="1">
      <alignment horizontal="left"/>
    </xf>
    <xf numFmtId="0" fontId="89" fillId="0" borderId="0" xfId="4" applyFont="1" applyAlignment="1">
      <alignment horizontal="left"/>
    </xf>
    <xf numFmtId="165" fontId="40" fillId="0" borderId="0" xfId="5458" applyNumberFormat="1"/>
    <xf numFmtId="166" fontId="61" fillId="0" borderId="10" xfId="2" applyNumberFormat="1" applyFont="1" applyBorder="1" applyAlignment="1">
      <alignment horizontal="center"/>
    </xf>
    <xf numFmtId="174" fontId="61" fillId="0" borderId="28" xfId="2" applyNumberFormat="1" applyFont="1" applyBorder="1"/>
    <xf numFmtId="3" fontId="40" fillId="0" borderId="0" xfId="2" applyNumberFormat="1" applyAlignment="1">
      <alignment vertical="center"/>
    </xf>
    <xf numFmtId="3" fontId="40" fillId="0" borderId="0" xfId="2" applyNumberFormat="1" applyAlignment="1">
      <alignment horizontal="left" vertical="center"/>
    </xf>
    <xf numFmtId="170" fontId="61" fillId="0" borderId="66" xfId="2" applyNumberFormat="1" applyFont="1" applyBorder="1" applyAlignment="1">
      <alignment horizontal="right"/>
    </xf>
    <xf numFmtId="170" fontId="62" fillId="0" borderId="75" xfId="2" applyNumberFormat="1" applyFont="1" applyBorder="1"/>
    <xf numFmtId="170" fontId="62" fillId="0" borderId="66" xfId="2" applyNumberFormat="1" applyFont="1" applyBorder="1" applyAlignment="1">
      <alignment horizontal="center"/>
    </xf>
    <xf numFmtId="0" fontId="68" fillId="0" borderId="0" xfId="1776" applyFont="1"/>
    <xf numFmtId="165" fontId="45" fillId="0" borderId="0" xfId="0" applyNumberFormat="1" applyFont="1" applyAlignment="1">
      <alignment horizontal="left"/>
    </xf>
    <xf numFmtId="165" fontId="45" fillId="0" borderId="0" xfId="0" applyNumberFormat="1" applyFont="1" applyAlignment="1">
      <alignment horizontal="centerContinuous"/>
    </xf>
    <xf numFmtId="0" fontId="68" fillId="0" borderId="0" xfId="0" applyNumberFormat="1" applyFont="1"/>
    <xf numFmtId="165" fontId="69" fillId="0" borderId="0" xfId="0" quotePrefix="1" applyNumberFormat="1" applyFont="1" applyAlignment="1">
      <alignment horizontal="left"/>
    </xf>
    <xf numFmtId="165" fontId="40" fillId="0" borderId="0" xfId="0" applyNumberFormat="1" applyFont="1" applyAlignment="1">
      <alignment horizontal="centerContinuous"/>
    </xf>
    <xf numFmtId="165" fontId="47" fillId="0" borderId="0" xfId="0" applyNumberFormat="1" applyFont="1" applyAlignment="1">
      <alignment horizontal="centerContinuous"/>
    </xf>
    <xf numFmtId="165" fontId="66" fillId="0" borderId="0" xfId="0" applyNumberFormat="1" applyFont="1"/>
    <xf numFmtId="165" fontId="68" fillId="0" borderId="0" xfId="0" applyNumberFormat="1" applyFont="1"/>
    <xf numFmtId="165" fontId="69" fillId="0" borderId="0" xfId="0" applyNumberFormat="1" applyFont="1" applyAlignment="1">
      <alignment horizontal="left"/>
    </xf>
    <xf numFmtId="165" fontId="69" fillId="0" borderId="0" xfId="0" quotePrefix="1" applyNumberFormat="1" applyFont="1" applyAlignment="1">
      <alignment horizontal="right"/>
    </xf>
    <xf numFmtId="165" fontId="66" fillId="0" borderId="0" xfId="0" applyNumberFormat="1" applyFont="1" applyAlignment="1">
      <alignment horizontal="centerContinuous"/>
    </xf>
    <xf numFmtId="165" fontId="47" fillId="0" borderId="0" xfId="0" quotePrefix="1" applyNumberFormat="1" applyFont="1" applyAlignment="1">
      <alignment horizontal="centerContinuous"/>
    </xf>
    <xf numFmtId="165" fontId="40" fillId="0" borderId="66" xfId="0" applyNumberFormat="1" applyFont="1" applyBorder="1" applyAlignment="1">
      <alignment horizontal="centerContinuous"/>
    </xf>
    <xf numFmtId="165" fontId="47" fillId="0" borderId="82" xfId="0" quotePrefix="1" applyNumberFormat="1" applyFont="1" applyBorder="1" applyAlignment="1">
      <alignment horizontal="center"/>
    </xf>
    <xf numFmtId="165" fontId="66" fillId="0" borderId="0" xfId="0" quotePrefix="1" applyNumberFormat="1" applyFont="1" applyAlignment="1">
      <alignment horizontal="center"/>
    </xf>
    <xf numFmtId="165" fontId="40" fillId="0" borderId="21" xfId="0" applyNumberFormat="1" applyFont="1" applyBorder="1"/>
    <xf numFmtId="165" fontId="40" fillId="0" borderId="14" xfId="0" applyNumberFormat="1" applyFont="1" applyBorder="1"/>
    <xf numFmtId="0" fontId="47" fillId="0" borderId="0" xfId="0" applyNumberFormat="1" applyFont="1"/>
    <xf numFmtId="174" fontId="40" fillId="0" borderId="21" xfId="0" applyNumberFormat="1" applyFont="1" applyBorder="1"/>
    <xf numFmtId="174" fontId="40" fillId="0" borderId="18" xfId="0" applyNumberFormat="1" applyFont="1" applyBorder="1"/>
    <xf numFmtId="174" fontId="40" fillId="0" borderId="14" xfId="0" applyNumberFormat="1" applyFont="1" applyBorder="1"/>
    <xf numFmtId="0" fontId="40" fillId="0" borderId="0" xfId="0" quotePrefix="1" applyNumberFormat="1" applyFont="1" applyAlignment="1">
      <alignment horizontal="left"/>
    </xf>
    <xf numFmtId="0" fontId="40" fillId="0" borderId="0" xfId="0" quotePrefix="1" applyNumberFormat="1" applyFont="1" applyAlignment="1">
      <alignment horizontal="center"/>
    </xf>
    <xf numFmtId="170" fontId="40" fillId="0" borderId="21" xfId="0" applyNumberFormat="1" applyFont="1" applyBorder="1"/>
    <xf numFmtId="170" fontId="40" fillId="0" borderId="0" xfId="0" quotePrefix="1" applyNumberFormat="1" applyFont="1" applyAlignment="1">
      <alignment horizontal="left"/>
    </xf>
    <xf numFmtId="170" fontId="40" fillId="0" borderId="14" xfId="0" applyNumberFormat="1" applyFont="1" applyBorder="1"/>
    <xf numFmtId="166" fontId="40" fillId="0" borderId="0" xfId="0" quotePrefix="1" applyNumberFormat="1" applyFont="1" applyAlignment="1">
      <alignment horizontal="center"/>
    </xf>
    <xf numFmtId="170" fontId="47" fillId="0" borderId="0" xfId="0" quotePrefix="1" applyNumberFormat="1" applyFont="1"/>
    <xf numFmtId="170" fontId="47" fillId="0" borderId="21" xfId="0" applyNumberFormat="1" applyFont="1" applyBorder="1"/>
    <xf numFmtId="170" fontId="47" fillId="0" borderId="82" xfId="0" quotePrefix="1" applyNumberFormat="1" applyFont="1" applyBorder="1"/>
    <xf numFmtId="170" fontId="47" fillId="0" borderId="0" xfId="0" quotePrefix="1" applyNumberFormat="1" applyFont="1" applyAlignment="1">
      <alignment horizontal="left"/>
    </xf>
    <xf numFmtId="164" fontId="67" fillId="0" borderId="0" xfId="0" applyFont="1"/>
    <xf numFmtId="165" fontId="67" fillId="0" borderId="0" xfId="0" applyNumberFormat="1" applyFont="1"/>
    <xf numFmtId="165" fontId="78" fillId="0" borderId="0" xfId="0" applyNumberFormat="1" applyFont="1"/>
    <xf numFmtId="170" fontId="40" fillId="0" borderId="84" xfId="0" quotePrefix="1" applyNumberFormat="1" applyFont="1" applyBorder="1"/>
    <xf numFmtId="166" fontId="66" fillId="0" borderId="0" xfId="0" applyNumberFormat="1" applyFont="1"/>
    <xf numFmtId="0" fontId="47" fillId="0" borderId="0" xfId="0" quotePrefix="1" applyNumberFormat="1" applyFont="1" applyAlignment="1">
      <alignment horizontal="left"/>
    </xf>
    <xf numFmtId="170" fontId="47" fillId="0" borderId="93" xfId="0" quotePrefix="1" applyNumberFormat="1" applyFont="1" applyBorder="1" applyAlignment="1">
      <alignment horizontal="left"/>
    </xf>
    <xf numFmtId="164" fontId="68" fillId="0" borderId="0" xfId="0" applyFont="1"/>
    <xf numFmtId="166" fontId="40" fillId="0" borderId="0" xfId="0" quotePrefix="1" applyNumberFormat="1" applyFont="1"/>
    <xf numFmtId="166" fontId="40" fillId="0" borderId="0" xfId="0" quotePrefix="1" applyNumberFormat="1" applyFont="1" applyAlignment="1">
      <alignment horizontal="right"/>
    </xf>
    <xf numFmtId="0" fontId="40" fillId="0" borderId="0" xfId="1767" applyFont="1"/>
    <xf numFmtId="0" fontId="17" fillId="0" borderId="0" xfId="841" applyFont="1"/>
    <xf numFmtId="4" fontId="46" fillId="0" borderId="0" xfId="1028" applyNumberFormat="1" applyFont="1"/>
    <xf numFmtId="4" fontId="117" fillId="0" borderId="0" xfId="1028" applyNumberFormat="1" applyFont="1" applyAlignment="1">
      <alignment horizontal="right"/>
    </xf>
    <xf numFmtId="1" fontId="46" fillId="0" borderId="0" xfId="1028" applyNumberFormat="1" applyFont="1"/>
    <xf numFmtId="0" fontId="46" fillId="0" borderId="0" xfId="1028" applyFont="1" applyAlignment="1">
      <alignment horizontal="left"/>
    </xf>
    <xf numFmtId="4" fontId="69" fillId="0" borderId="0" xfId="1028" applyNumberFormat="1" applyFont="1" applyAlignment="1">
      <alignment horizontal="left" vertical="center"/>
    </xf>
    <xf numFmtId="39" fontId="46" fillId="0" borderId="0" xfId="1028" applyNumberFormat="1" applyFont="1"/>
    <xf numFmtId="4" fontId="117" fillId="0" borderId="0" xfId="1028" applyNumberFormat="1" applyFont="1"/>
    <xf numFmtId="39" fontId="117" fillId="0" borderId="0" xfId="1028" applyNumberFormat="1" applyFont="1" applyAlignment="1">
      <alignment horizontal="right"/>
    </xf>
    <xf numFmtId="4" fontId="89" fillId="0" borderId="0" xfId="1028" applyNumberFormat="1" applyFont="1"/>
    <xf numFmtId="0" fontId="46" fillId="0" borderId="0" xfId="1028" applyFont="1" applyAlignment="1">
      <alignment horizontal="right"/>
    </xf>
    <xf numFmtId="39" fontId="117" fillId="0" borderId="0" xfId="1028" applyNumberFormat="1" applyFont="1"/>
    <xf numFmtId="4" fontId="117" fillId="0" borderId="0" xfId="1028" quotePrefix="1" applyNumberFormat="1" applyFont="1" applyAlignment="1">
      <alignment horizontal="left"/>
    </xf>
    <xf numFmtId="4" fontId="46" fillId="0" borderId="0" xfId="1028" applyNumberFormat="1" applyFont="1" applyAlignment="1">
      <alignment horizontal="center"/>
    </xf>
    <xf numFmtId="39" fontId="117" fillId="0" borderId="0" xfId="1028" quotePrefix="1" applyNumberFormat="1" applyFont="1" applyAlignment="1">
      <alignment horizontal="left"/>
    </xf>
    <xf numFmtId="4" fontId="45" fillId="0" borderId="0" xfId="1028" applyNumberFormat="1" applyFont="1" applyAlignment="1">
      <alignment horizontal="right"/>
    </xf>
    <xf numFmtId="1" fontId="47" fillId="0" borderId="50" xfId="1028" applyNumberFormat="1" applyFont="1" applyBorder="1"/>
    <xf numFmtId="4" fontId="47" fillId="0" borderId="50" xfId="1028" applyNumberFormat="1" applyFont="1" applyBorder="1"/>
    <xf numFmtId="4" fontId="47" fillId="0" borderId="50" xfId="1028" applyNumberFormat="1" applyFont="1" applyBorder="1" applyAlignment="1">
      <alignment horizontal="center"/>
    </xf>
    <xf numFmtId="186" fontId="47" fillId="0" borderId="50" xfId="0" applyNumberFormat="1" applyFont="1" applyBorder="1" applyAlignment="1">
      <alignment horizontal="center"/>
    </xf>
    <xf numFmtId="39" fontId="47" fillId="0" borderId="50" xfId="0" applyNumberFormat="1" applyFont="1" applyBorder="1" applyAlignment="1">
      <alignment horizontal="center"/>
    </xf>
    <xf numFmtId="1" fontId="47" fillId="0" borderId="0" xfId="1028" applyNumberFormat="1" applyFont="1"/>
    <xf numFmtId="0" fontId="118" fillId="0" borderId="0" xfId="841" applyFont="1"/>
    <xf numFmtId="0" fontId="0" fillId="0" borderId="0" xfId="0" applyNumberFormat="1"/>
    <xf numFmtId="4" fontId="47" fillId="0" borderId="0" xfId="1028" applyNumberFormat="1" applyFont="1"/>
    <xf numFmtId="4" fontId="47" fillId="35" borderId="97" xfId="1028" applyNumberFormat="1" applyFont="1" applyFill="1" applyBorder="1" applyAlignment="1">
      <alignment horizontal="center"/>
    </xf>
    <xf numFmtId="4" fontId="47" fillId="0" borderId="0" xfId="1028" applyNumberFormat="1" applyFont="1" applyAlignment="1">
      <alignment horizontal="center"/>
    </xf>
    <xf numFmtId="0" fontId="100" fillId="0" borderId="0" xfId="0" applyNumberFormat="1" applyFont="1"/>
    <xf numFmtId="0" fontId="40" fillId="0" borderId="0" xfId="1028" quotePrefix="1" applyAlignment="1">
      <alignment horizontal="center"/>
    </xf>
    <xf numFmtId="4" fontId="40" fillId="0" borderId="0" xfId="1028" applyNumberFormat="1" applyAlignment="1">
      <alignment horizontal="left"/>
    </xf>
    <xf numFmtId="0" fontId="104" fillId="0" borderId="0" xfId="0" applyNumberFormat="1" applyFont="1"/>
    <xf numFmtId="44" fontId="40" fillId="0" borderId="0" xfId="1767" applyNumberFormat="1" applyFont="1" applyAlignment="1">
      <alignment horizontal="right"/>
    </xf>
    <xf numFmtId="1" fontId="40" fillId="0" borderId="0" xfId="1028" applyNumberFormat="1" applyAlignment="1">
      <alignment horizontal="center"/>
    </xf>
    <xf numFmtId="44" fontId="118" fillId="0" borderId="0" xfId="841" applyNumberFormat="1" applyFont="1"/>
    <xf numFmtId="4" fontId="47" fillId="35" borderId="97" xfId="1028" quotePrefix="1" applyNumberFormat="1" applyFont="1" applyFill="1" applyBorder="1" applyAlignment="1">
      <alignment horizontal="center"/>
    </xf>
    <xf numFmtId="4" fontId="47" fillId="0" borderId="0" xfId="1028" quotePrefix="1" applyNumberFormat="1" applyFont="1" applyAlignment="1">
      <alignment horizontal="center"/>
    </xf>
    <xf numFmtId="4" fontId="40" fillId="0" borderId="0" xfId="1028" quotePrefix="1" applyNumberFormat="1" applyAlignment="1">
      <alignment horizontal="left"/>
    </xf>
    <xf numFmtId="4" fontId="40" fillId="0" borderId="0" xfId="1028" applyNumberFormat="1"/>
    <xf numFmtId="4" fontId="40" fillId="0" borderId="0" xfId="1028" applyNumberFormat="1" applyAlignment="1">
      <alignment horizontal="center"/>
    </xf>
    <xf numFmtId="1" fontId="40" fillId="0" borderId="0" xfId="1028" quotePrefix="1" applyNumberFormat="1"/>
    <xf numFmtId="4" fontId="47" fillId="0" borderId="0" xfId="0" applyNumberFormat="1" applyFont="1"/>
    <xf numFmtId="0" fontId="100" fillId="0" borderId="0" xfId="1028" quotePrefix="1" applyFont="1"/>
    <xf numFmtId="1" fontId="40" fillId="0" borderId="0" xfId="1028" applyNumberFormat="1"/>
    <xf numFmtId="4" fontId="47" fillId="35" borderId="97" xfId="0" applyNumberFormat="1" applyFont="1" applyFill="1" applyBorder="1" applyAlignment="1">
      <alignment horizontal="center"/>
    </xf>
    <xf numFmtId="4" fontId="47" fillId="0" borderId="0" xfId="0" applyNumberFormat="1" applyFont="1" applyAlignment="1">
      <alignment horizontal="center"/>
    </xf>
    <xf numFmtId="4" fontId="40" fillId="0" borderId="0" xfId="0" applyNumberFormat="1" applyFont="1"/>
    <xf numFmtId="4" fontId="40" fillId="0" borderId="0" xfId="0" applyNumberFormat="1" applyFont="1" applyAlignment="1">
      <alignment horizontal="center"/>
    </xf>
    <xf numFmtId="1" fontId="40" fillId="0" borderId="0" xfId="1028" quotePrefix="1" applyNumberFormat="1" applyAlignment="1">
      <alignment horizontal="center"/>
    </xf>
    <xf numFmtId="4" fontId="40" fillId="0" borderId="0" xfId="1028" quotePrefix="1" applyNumberFormat="1" applyAlignment="1">
      <alignment horizontal="right"/>
    </xf>
    <xf numFmtId="4" fontId="40" fillId="0" borderId="0" xfId="1028" quotePrefix="1" applyNumberFormat="1" applyAlignment="1">
      <alignment horizontal="center"/>
    </xf>
    <xf numFmtId="37" fontId="47" fillId="0" borderId="0" xfId="1028" quotePrefix="1" applyNumberFormat="1" applyFont="1" applyAlignment="1">
      <alignment horizontal="center"/>
    </xf>
    <xf numFmtId="43" fontId="47" fillId="0" borderId="0" xfId="17924" applyFont="1" applyFill="1" applyAlignment="1" applyProtection="1">
      <alignment horizontal="right"/>
    </xf>
    <xf numFmtId="4" fontId="40" fillId="33" borderId="0" xfId="1028" applyNumberFormat="1" applyFill="1" applyAlignment="1">
      <alignment horizontal="centerContinuous"/>
    </xf>
    <xf numFmtId="4" fontId="40" fillId="33" borderId="0" xfId="1028" applyNumberFormat="1" applyFill="1" applyAlignment="1">
      <alignment horizontal="center"/>
    </xf>
    <xf numFmtId="4" fontId="40" fillId="0" borderId="0" xfId="1028" applyNumberFormat="1" applyAlignment="1">
      <alignment horizontal="right"/>
    </xf>
    <xf numFmtId="1" fontId="47" fillId="0" borderId="0" xfId="1028" quotePrefix="1" applyNumberFormat="1" applyFont="1"/>
    <xf numFmtId="0" fontId="100" fillId="0" borderId="0" xfId="1028" applyFont="1"/>
    <xf numFmtId="0" fontId="47" fillId="0" borderId="0" xfId="1028" applyFont="1" applyAlignment="1">
      <alignment horizontal="center"/>
    </xf>
    <xf numFmtId="4" fontId="47" fillId="35" borderId="57" xfId="1028" applyNumberFormat="1" applyFont="1" applyFill="1" applyBorder="1" applyAlignment="1">
      <alignment horizontal="left"/>
    </xf>
    <xf numFmtId="164" fontId="40" fillId="0" borderId="0" xfId="1028" applyNumberFormat="1"/>
    <xf numFmtId="4" fontId="47" fillId="0" borderId="0" xfId="0" applyNumberFormat="1" applyFont="1" applyAlignment="1">
      <alignment horizontal="left"/>
    </xf>
    <xf numFmtId="0" fontId="118" fillId="0" borderId="0" xfId="1028" quotePrefix="1" applyFont="1"/>
    <xf numFmtId="164" fontId="40" fillId="0" borderId="0" xfId="1028" quotePrefix="1" applyNumberFormat="1"/>
    <xf numFmtId="7" fontId="47" fillId="0" borderId="0" xfId="1767" applyNumberFormat="1" applyFont="1" applyAlignment="1">
      <alignment horizontal="right"/>
    </xf>
    <xf numFmtId="7" fontId="47" fillId="0" borderId="0" xfId="0" applyNumberFormat="1" applyFont="1" applyAlignment="1">
      <alignment horizontal="right"/>
    </xf>
    <xf numFmtId="37" fontId="47" fillId="0" borderId="0" xfId="1028" applyNumberFormat="1" applyFont="1" applyAlignment="1">
      <alignment horizontal="right"/>
    </xf>
    <xf numFmtId="4" fontId="47" fillId="0" borderId="0" xfId="0" applyNumberFormat="1" applyFont="1" applyAlignment="1">
      <alignment horizontal="left" vertical="top"/>
    </xf>
    <xf numFmtId="37" fontId="47" fillId="0" borderId="0" xfId="0" applyNumberFormat="1" applyFont="1" applyAlignment="1">
      <alignment horizontal="right" vertical="top"/>
    </xf>
    <xf numFmtId="37" fontId="104" fillId="0" borderId="0" xfId="0" applyNumberFormat="1" applyFont="1" applyAlignment="1">
      <alignment horizontal="right" vertical="top"/>
    </xf>
    <xf numFmtId="37" fontId="47" fillId="0" borderId="0" xfId="841" applyNumberFormat="1" applyFont="1" applyAlignment="1">
      <alignment horizontal="right"/>
    </xf>
    <xf numFmtId="37" fontId="47" fillId="0" borderId="0" xfId="0" applyNumberFormat="1" applyFont="1" applyAlignment="1">
      <alignment horizontal="right"/>
    </xf>
    <xf numFmtId="43" fontId="100" fillId="0" borderId="0" xfId="0" applyNumberFormat="1" applyFont="1"/>
    <xf numFmtId="7" fontId="47" fillId="0" borderId="0" xfId="1028" applyNumberFormat="1" applyFont="1" applyAlignment="1">
      <alignment horizontal="right"/>
    </xf>
    <xf numFmtId="37" fontId="47" fillId="0" borderId="0" xfId="1028" quotePrefix="1" applyNumberFormat="1" applyFont="1" applyAlignment="1">
      <alignment horizontal="right"/>
    </xf>
    <xf numFmtId="39" fontId="40" fillId="0" borderId="0" xfId="1028" applyNumberFormat="1"/>
    <xf numFmtId="0" fontId="138" fillId="0" borderId="0" xfId="841" applyFont="1"/>
    <xf numFmtId="0" fontId="4" fillId="0" borderId="0" xfId="841" applyFont="1"/>
    <xf numFmtId="4" fontId="45" fillId="0" borderId="0" xfId="1767" applyNumberFormat="1" applyFont="1" applyAlignment="1">
      <alignment horizontal="right"/>
    </xf>
    <xf numFmtId="42" fontId="40" fillId="0" borderId="0" xfId="739" applyNumberFormat="1"/>
    <xf numFmtId="42" fontId="47" fillId="0" borderId="17" xfId="840" applyNumberFormat="1" applyFont="1" applyBorder="1"/>
    <xf numFmtId="165" fontId="40" fillId="0" borderId="0" xfId="740" applyNumberFormat="1" applyFont="1" applyProtection="1">
      <protection locked="0"/>
    </xf>
    <xf numFmtId="177" fontId="69" fillId="0" borderId="0" xfId="740" applyNumberFormat="1" applyFont="1"/>
    <xf numFmtId="177" fontId="69" fillId="0" borderId="0" xfId="740" quotePrefix="1" applyNumberFormat="1" applyFont="1" applyAlignment="1">
      <alignment horizontal="right"/>
    </xf>
    <xf numFmtId="177" fontId="47" fillId="0" borderId="0" xfId="740" quotePrefix="1" applyNumberFormat="1" applyFont="1" applyAlignment="1">
      <alignment horizontal="right"/>
    </xf>
    <xf numFmtId="0" fontId="87" fillId="0" borderId="0" xfId="740" applyFont="1" applyAlignment="1">
      <alignment horizontal="right"/>
    </xf>
    <xf numFmtId="177" fontId="69" fillId="0" borderId="0" xfId="740" quotePrefix="1" applyNumberFormat="1" applyFont="1" applyAlignment="1">
      <alignment horizontal="left"/>
    </xf>
    <xf numFmtId="177" fontId="40" fillId="0" borderId="0" xfId="740" applyNumberFormat="1" applyFont="1" applyAlignment="1">
      <alignment horizontal="fill"/>
    </xf>
    <xf numFmtId="179" fontId="47" fillId="0" borderId="10" xfId="740" quotePrefix="1" applyNumberFormat="1" applyFont="1" applyBorder="1" applyAlignment="1">
      <alignment horizontal="center"/>
    </xf>
    <xf numFmtId="179" fontId="47" fillId="0" borderId="0" xfId="740" quotePrefix="1" applyNumberFormat="1" applyFont="1" applyAlignment="1">
      <alignment horizontal="center"/>
    </xf>
    <xf numFmtId="173" fontId="40" fillId="0" borderId="0" xfId="740" applyNumberFormat="1" applyFont="1"/>
    <xf numFmtId="182" fontId="100" fillId="0" borderId="0" xfId="740" applyNumberFormat="1" applyFont="1"/>
    <xf numFmtId="177" fontId="47" fillId="0" borderId="0" xfId="740" applyNumberFormat="1" applyFont="1" applyAlignment="1">
      <alignment horizontal="left"/>
    </xf>
    <xf numFmtId="43" fontId="40" fillId="0" borderId="0" xfId="741" applyFont="1" applyFill="1" applyAlignment="1"/>
    <xf numFmtId="181" fontId="40" fillId="0" borderId="0" xfId="740" applyNumberFormat="1" applyFont="1" applyAlignment="1">
      <alignment horizontal="right"/>
    </xf>
    <xf numFmtId="177" fontId="73" fillId="0" borderId="0" xfId="740" applyNumberFormat="1" applyFont="1" applyAlignment="1">
      <alignment horizontal="left"/>
    </xf>
    <xf numFmtId="41" fontId="0" fillId="0" borderId="0" xfId="0" applyNumberFormat="1"/>
    <xf numFmtId="41" fontId="46" fillId="0" borderId="0" xfId="0" applyNumberFormat="1" applyFont="1" applyAlignment="1">
      <alignment horizontal="center" wrapText="1"/>
    </xf>
    <xf numFmtId="198" fontId="0" fillId="0" borderId="0" xfId="0" applyNumberFormat="1"/>
    <xf numFmtId="41" fontId="113" fillId="0" borderId="0" xfId="0" applyNumberFormat="1" applyFont="1"/>
    <xf numFmtId="41" fontId="169" fillId="0" borderId="0" xfId="0" applyNumberFormat="1" applyFont="1" applyAlignment="1">
      <alignment horizontal="center" vertical="top"/>
    </xf>
    <xf numFmtId="170" fontId="69" fillId="0" borderId="98" xfId="2" quotePrefix="1" applyNumberFormat="1" applyFont="1" applyBorder="1" applyAlignment="1">
      <alignment horizontal="right"/>
    </xf>
    <xf numFmtId="185" fontId="64" fillId="0" borderId="0" xfId="836" applyNumberFormat="1" applyFont="1" applyAlignment="1">
      <alignment horizontal="right"/>
    </xf>
    <xf numFmtId="193" fontId="171" fillId="0" borderId="66" xfId="2" applyNumberFormat="1" applyFont="1" applyBorder="1"/>
    <xf numFmtId="170" fontId="40" fillId="0" borderId="66" xfId="2" quotePrefix="1" applyNumberFormat="1" applyBorder="1" applyAlignment="1">
      <alignment horizontal="center"/>
    </xf>
    <xf numFmtId="170" fontId="40" fillId="0" borderId="31" xfId="2" applyNumberFormat="1" applyBorder="1"/>
    <xf numFmtId="193" fontId="40" fillId="0" borderId="10" xfId="0" applyNumberFormat="1" applyFont="1" applyBorder="1"/>
    <xf numFmtId="0" fontId="42" fillId="0" borderId="0" xfId="2" quotePrefix="1" applyFont="1" applyAlignment="1">
      <alignment horizontal="center"/>
    </xf>
    <xf numFmtId="177" fontId="64" fillId="0" borderId="0" xfId="836" applyNumberFormat="1" applyFont="1" applyAlignment="1">
      <alignment horizontal="fill"/>
    </xf>
    <xf numFmtId="165" fontId="40" fillId="0" borderId="0" xfId="836" applyNumberFormat="1" applyFont="1" applyProtection="1">
      <protection locked="0"/>
    </xf>
    <xf numFmtId="0" fontId="55" fillId="0" borderId="0" xfId="836" applyFont="1"/>
    <xf numFmtId="0" fontId="42" fillId="0" borderId="0" xfId="836" quotePrefix="1" applyAlignment="1">
      <alignment horizontal="left"/>
    </xf>
    <xf numFmtId="181" fontId="81" fillId="0" borderId="0" xfId="836" applyNumberFormat="1" applyFont="1"/>
    <xf numFmtId="181" fontId="81" fillId="0" borderId="0" xfId="836" applyNumberFormat="1" applyFont="1" applyAlignment="1">
      <alignment horizontal="left"/>
    </xf>
    <xf numFmtId="182" fontId="81" fillId="0" borderId="0" xfId="836" applyNumberFormat="1" applyFont="1"/>
    <xf numFmtId="185" fontId="64" fillId="0" borderId="0" xfId="836" quotePrefix="1" applyNumberFormat="1" applyFont="1" applyAlignment="1">
      <alignment horizontal="center"/>
    </xf>
    <xf numFmtId="176" fontId="81" fillId="0" borderId="0" xfId="836" applyNumberFormat="1" applyFont="1"/>
    <xf numFmtId="0" fontId="116" fillId="0" borderId="0" xfId="2" applyFont="1"/>
    <xf numFmtId="165" fontId="45" fillId="0" borderId="0" xfId="0" applyNumberFormat="1" applyFont="1" applyProtection="1">
      <protection locked="0"/>
    </xf>
    <xf numFmtId="165" fontId="169" fillId="0" borderId="0" xfId="0" applyNumberFormat="1" applyFont="1" applyProtection="1">
      <protection locked="0"/>
    </xf>
    <xf numFmtId="174" fontId="47" fillId="0" borderId="15" xfId="0" applyNumberFormat="1" applyFont="1" applyBorder="1"/>
    <xf numFmtId="168" fontId="50" fillId="0" borderId="0" xfId="0" applyNumberFormat="1" applyFont="1"/>
    <xf numFmtId="170" fontId="42" fillId="0" borderId="15" xfId="0" applyNumberFormat="1" applyFont="1" applyBorder="1"/>
    <xf numFmtId="170" fontId="47" fillId="0" borderId="15" xfId="0" applyNumberFormat="1" applyFont="1" applyBorder="1"/>
    <xf numFmtId="165" fontId="45" fillId="0" borderId="0" xfId="2" applyNumberFormat="1" applyFont="1" applyAlignment="1">
      <alignment horizontal="centerContinuous"/>
    </xf>
    <xf numFmtId="37" fontId="47" fillId="0" borderId="0" xfId="1028" applyNumberFormat="1" applyFont="1" applyAlignment="1">
      <alignment horizontal="center"/>
    </xf>
    <xf numFmtId="4" fontId="40" fillId="0" borderId="0" xfId="0" applyNumberFormat="1" applyFont="1" applyAlignment="1">
      <alignment horizontal="left"/>
    </xf>
    <xf numFmtId="1" fontId="40" fillId="0" borderId="0" xfId="0" applyNumberFormat="1" applyFont="1" applyAlignment="1">
      <alignment horizontal="center"/>
    </xf>
    <xf numFmtId="189" fontId="0" fillId="0" borderId="0" xfId="17" applyNumberFormat="1" applyFont="1"/>
    <xf numFmtId="180" fontId="40" fillId="0" borderId="0" xfId="17" applyNumberFormat="1"/>
    <xf numFmtId="181" fontId="64" fillId="0" borderId="0" xfId="1776" applyNumberFormat="1" applyFont="1" applyAlignment="1">
      <alignment horizontal="left"/>
    </xf>
    <xf numFmtId="180" fontId="69" fillId="0" borderId="0" xfId="1776" applyNumberFormat="1" applyFont="1" applyAlignment="1">
      <alignment horizontal="right"/>
    </xf>
    <xf numFmtId="164" fontId="192" fillId="0" borderId="0" xfId="0" applyFont="1"/>
    <xf numFmtId="0" fontId="40" fillId="0" borderId="0" xfId="1028" quotePrefix="1" applyAlignment="1">
      <alignment horizontal="left"/>
    </xf>
    <xf numFmtId="165" fontId="41" fillId="0" borderId="0" xfId="2" applyNumberFormat="1" applyFont="1" applyAlignment="1">
      <alignment horizontal="right"/>
    </xf>
    <xf numFmtId="43" fontId="0" fillId="0" borderId="0" xfId="0" applyNumberFormat="1" applyAlignment="1">
      <alignment horizontal="right"/>
    </xf>
    <xf numFmtId="165" fontId="47" fillId="0" borderId="0" xfId="0" applyNumberFormat="1" applyFont="1" applyAlignment="1">
      <alignment horizontal="right"/>
    </xf>
    <xf numFmtId="171" fontId="61" fillId="0" borderId="0" xfId="2" quotePrefix="1" applyNumberFormat="1" applyFont="1" applyAlignment="1">
      <alignment horizontal="center"/>
    </xf>
    <xf numFmtId="170" fontId="62" fillId="0" borderId="10" xfId="2" applyNumberFormat="1" applyFont="1" applyBorder="1"/>
    <xf numFmtId="170" fontId="62" fillId="0" borderId="13" xfId="2" applyNumberFormat="1" applyFont="1" applyBorder="1"/>
    <xf numFmtId="170" fontId="62" fillId="0" borderId="24" xfId="2" applyNumberFormat="1" applyFont="1" applyBorder="1"/>
    <xf numFmtId="170" fontId="61" fillId="0" borderId="24" xfId="2" applyNumberFormat="1" applyFont="1" applyBorder="1"/>
    <xf numFmtId="165" fontId="46" fillId="0" borderId="0" xfId="2" applyNumberFormat="1" applyFont="1" applyAlignment="1">
      <alignment horizontal="right"/>
    </xf>
    <xf numFmtId="1" fontId="47" fillId="0" borderId="10" xfId="2" quotePrefix="1" applyNumberFormat="1" applyFont="1" applyBorder="1" applyAlignment="1">
      <alignment horizontal="center"/>
    </xf>
    <xf numFmtId="0" fontId="40" fillId="0" borderId="21" xfId="2" applyBorder="1"/>
    <xf numFmtId="170" fontId="47" fillId="0" borderId="10" xfId="1046" applyNumberFormat="1" applyFont="1" applyFill="1" applyBorder="1" applyProtection="1"/>
    <xf numFmtId="0" fontId="47" fillId="0" borderId="66" xfId="2" quotePrefix="1" applyFont="1" applyBorder="1" applyAlignment="1">
      <alignment horizontal="center"/>
    </xf>
    <xf numFmtId="174" fontId="47" fillId="0" borderId="0" xfId="2" quotePrefix="1" applyNumberFormat="1" applyFont="1" applyAlignment="1">
      <alignment horizontal="center"/>
    </xf>
    <xf numFmtId="170" fontId="47" fillId="0" borderId="96" xfId="2" applyNumberFormat="1" applyFont="1" applyBorder="1"/>
    <xf numFmtId="0" fontId="47" fillId="0" borderId="28" xfId="2" applyFont="1" applyBorder="1" applyAlignment="1">
      <alignment horizontal="center"/>
    </xf>
    <xf numFmtId="174" fontId="40" fillId="0" borderId="18" xfId="2" applyNumberFormat="1" applyBorder="1" applyAlignment="1">
      <alignment horizontal="right"/>
    </xf>
    <xf numFmtId="170" fontId="47" fillId="0" borderId="28" xfId="2" applyNumberFormat="1" applyFont="1" applyBorder="1"/>
    <xf numFmtId="170" fontId="40" fillId="0" borderId="18" xfId="2" applyNumberFormat="1" applyBorder="1" applyAlignment="1">
      <alignment horizontal="right"/>
    </xf>
    <xf numFmtId="166" fontId="42" fillId="0" borderId="0" xfId="2" applyNumberFormat="1" applyFont="1" applyAlignment="1">
      <alignment horizontal="center"/>
    </xf>
    <xf numFmtId="170" fontId="42" fillId="0" borderId="71" xfId="2" applyNumberFormat="1" applyFont="1" applyBorder="1"/>
    <xf numFmtId="170" fontId="42" fillId="0" borderId="12" xfId="2" applyNumberFormat="1" applyFont="1" applyBorder="1"/>
    <xf numFmtId="166" fontId="42" fillId="0" borderId="18" xfId="2" applyNumberFormat="1" applyFont="1" applyBorder="1"/>
    <xf numFmtId="170" fontId="0" fillId="0" borderId="28" xfId="2" applyNumberFormat="1" applyFont="1" applyBorder="1"/>
    <xf numFmtId="170" fontId="40" fillId="0" borderId="13" xfId="1" applyNumberFormat="1" applyFont="1" applyFill="1" applyBorder="1" applyAlignment="1" applyProtection="1"/>
    <xf numFmtId="170" fontId="40" fillId="0" borderId="0" xfId="1" applyNumberFormat="1" applyFont="1" applyFill="1" applyBorder="1" applyAlignment="1" applyProtection="1"/>
    <xf numFmtId="170" fontId="42" fillId="0" borderId="13" xfId="2" applyNumberFormat="1" applyFont="1" applyBorder="1" applyAlignment="1">
      <alignment horizontal="center"/>
    </xf>
    <xf numFmtId="170" fontId="47" fillId="0" borderId="75" xfId="2" applyNumberFormat="1" applyFont="1" applyBorder="1" applyAlignment="1">
      <alignment horizontal="center"/>
    </xf>
    <xf numFmtId="170" fontId="42" fillId="0" borderId="83" xfId="2" applyNumberFormat="1" applyFont="1" applyBorder="1"/>
    <xf numFmtId="170" fontId="40" fillId="0" borderId="83" xfId="2" applyNumberFormat="1" applyBorder="1"/>
    <xf numFmtId="170" fontId="42" fillId="0" borderId="93" xfId="2" applyNumberFormat="1" applyFont="1" applyBorder="1"/>
    <xf numFmtId="170" fontId="47" fillId="0" borderId="75" xfId="2" applyNumberFormat="1" applyFont="1" applyBorder="1"/>
    <xf numFmtId="170" fontId="47" fillId="0" borderId="13" xfId="6" applyNumberFormat="1" applyFont="1" applyFill="1" applyBorder="1" applyAlignment="1" applyProtection="1"/>
    <xf numFmtId="193" fontId="42" fillId="0" borderId="0" xfId="2" applyNumberFormat="1" applyFont="1" applyAlignment="1">
      <alignment horizontal="right"/>
    </xf>
    <xf numFmtId="170" fontId="40" fillId="0" borderId="75" xfId="2" applyNumberFormat="1" applyBorder="1"/>
    <xf numFmtId="170" fontId="40" fillId="0" borderId="66" xfId="2" quotePrefix="1" applyNumberFormat="1" applyBorder="1"/>
    <xf numFmtId="170" fontId="167" fillId="0" borderId="96" xfId="2" applyNumberFormat="1" applyFont="1" applyBorder="1"/>
    <xf numFmtId="170" fontId="167" fillId="0" borderId="18" xfId="2" applyNumberFormat="1" applyFont="1" applyBorder="1"/>
    <xf numFmtId="174" fontId="167" fillId="0" borderId="18" xfId="2" applyNumberFormat="1" applyFont="1" applyBorder="1"/>
    <xf numFmtId="170" fontId="82" fillId="0" borderId="13" xfId="2" applyNumberFormat="1" applyFont="1" applyBorder="1"/>
    <xf numFmtId="170" fontId="79" fillId="0" borderId="24" xfId="2" applyNumberFormat="1" applyFont="1" applyBorder="1"/>
    <xf numFmtId="174" fontId="69" fillId="0" borderId="0" xfId="2" quotePrefix="1" applyNumberFormat="1" applyFont="1" applyAlignment="1">
      <alignment horizontal="right"/>
    </xf>
    <xf numFmtId="169" fontId="170" fillId="0" borderId="0" xfId="2" applyNumberFormat="1" applyFont="1" applyAlignment="1" applyProtection="1">
      <alignment horizontal="right"/>
      <protection locked="0"/>
    </xf>
    <xf numFmtId="0" fontId="171" fillId="0" borderId="0" xfId="2" applyFont="1" applyProtection="1">
      <protection locked="0"/>
    </xf>
    <xf numFmtId="170" fontId="171" fillId="0" borderId="0" xfId="1" applyNumberFormat="1" applyFont="1" applyFill="1" applyAlignment="1">
      <alignment horizontal="center"/>
    </xf>
    <xf numFmtId="170" fontId="171" fillId="0" borderId="66" xfId="1" applyNumberFormat="1" applyFont="1" applyFill="1" applyBorder="1" applyAlignment="1">
      <alignment horizontal="center"/>
    </xf>
    <xf numFmtId="170" fontId="170" fillId="0" borderId="66" xfId="2" applyNumberFormat="1" applyFont="1" applyBorder="1"/>
    <xf numFmtId="170" fontId="64" fillId="0" borderId="66" xfId="2" applyNumberFormat="1" applyFont="1" applyBorder="1"/>
    <xf numFmtId="174" fontId="170" fillId="0" borderId="17" xfId="2" applyNumberFormat="1" applyFont="1" applyBorder="1"/>
    <xf numFmtId="174" fontId="69" fillId="0" borderId="21" xfId="2" applyNumberFormat="1" applyFont="1" applyBorder="1"/>
    <xf numFmtId="174" fontId="69" fillId="0" borderId="13" xfId="2" applyNumberFormat="1" applyFont="1" applyBorder="1"/>
    <xf numFmtId="0" fontId="64" fillId="0" borderId="21" xfId="2" applyFont="1" applyBorder="1"/>
    <xf numFmtId="0" fontId="64" fillId="0" borderId="13" xfId="2" applyFont="1" applyBorder="1"/>
    <xf numFmtId="170" fontId="64" fillId="0" borderId="66" xfId="2" quotePrefix="1" applyNumberFormat="1" applyFont="1" applyBorder="1"/>
    <xf numFmtId="170" fontId="64" fillId="0" borderId="13" xfId="2" applyNumberFormat="1" applyFont="1" applyBorder="1"/>
    <xf numFmtId="170" fontId="69" fillId="0" borderId="13" xfId="2" applyNumberFormat="1" applyFont="1" applyBorder="1"/>
    <xf numFmtId="170" fontId="64" fillId="0" borderId="20" xfId="2" applyNumberFormat="1" applyFont="1" applyBorder="1" applyAlignment="1">
      <alignment horizontal="center"/>
    </xf>
    <xf numFmtId="174" fontId="170" fillId="0" borderId="20" xfId="2" quotePrefix="1" applyNumberFormat="1" applyFont="1" applyBorder="1" applyAlignment="1">
      <alignment horizontal="right"/>
    </xf>
    <xf numFmtId="174" fontId="170" fillId="0" borderId="24" xfId="2" applyNumberFormat="1" applyFont="1" applyBorder="1" applyProtection="1">
      <protection locked="0"/>
    </xf>
    <xf numFmtId="174" fontId="170" fillId="0" borderId="0" xfId="2" applyNumberFormat="1" applyFont="1" applyProtection="1">
      <protection locked="0"/>
    </xf>
    <xf numFmtId="0" fontId="171" fillId="0" borderId="24" xfId="2" applyFont="1" applyBorder="1" applyProtection="1">
      <protection locked="0"/>
    </xf>
    <xf numFmtId="170" fontId="170" fillId="0" borderId="0" xfId="2" applyNumberFormat="1" applyFont="1"/>
    <xf numFmtId="174" fontId="47" fillId="0" borderId="35" xfId="2" quotePrefix="1" applyNumberFormat="1" applyFont="1" applyBorder="1"/>
    <xf numFmtId="166" fontId="61" fillId="0" borderId="0" xfId="2" quotePrefix="1" applyNumberFormat="1" applyFont="1" applyAlignment="1">
      <alignment horizontal="center"/>
    </xf>
    <xf numFmtId="174" fontId="61" fillId="0" borderId="21" xfId="2" applyNumberFormat="1" applyFont="1" applyBorder="1"/>
    <xf numFmtId="166" fontId="62" fillId="0" borderId="21" xfId="2" applyNumberFormat="1" applyFont="1" applyBorder="1"/>
    <xf numFmtId="172" fontId="40" fillId="0" borderId="0" xfId="0" applyNumberFormat="1" applyFont="1" applyProtection="1">
      <protection locked="0"/>
    </xf>
    <xf numFmtId="164" fontId="47" fillId="0" borderId="66" xfId="0" applyFont="1" applyBorder="1" applyProtection="1">
      <protection locked="0"/>
    </xf>
    <xf numFmtId="170" fontId="62" fillId="0" borderId="21" xfId="2" applyNumberFormat="1" applyFont="1" applyBorder="1"/>
    <xf numFmtId="170" fontId="78" fillId="0" borderId="0" xfId="2" applyNumberFormat="1" applyFont="1"/>
    <xf numFmtId="164" fontId="40" fillId="0" borderId="66" xfId="0" applyFont="1" applyBorder="1" applyProtection="1">
      <protection locked="0"/>
    </xf>
    <xf numFmtId="166" fontId="62" fillId="0" borderId="19" xfId="2" applyNumberFormat="1" applyFont="1" applyBorder="1"/>
    <xf numFmtId="170" fontId="61" fillId="0" borderId="21" xfId="2" applyNumberFormat="1" applyFont="1" applyBorder="1"/>
    <xf numFmtId="170" fontId="61" fillId="0" borderId="10" xfId="2" applyNumberFormat="1" applyFont="1" applyBorder="1"/>
    <xf numFmtId="172" fontId="47" fillId="0" borderId="66" xfId="0" applyNumberFormat="1" applyFont="1" applyBorder="1" applyProtection="1">
      <protection locked="0"/>
    </xf>
    <xf numFmtId="196" fontId="66" fillId="0" borderId="0" xfId="2" applyNumberFormat="1" applyFont="1"/>
    <xf numFmtId="164" fontId="47" fillId="0" borderId="17" xfId="0" applyFont="1" applyBorder="1" applyProtection="1">
      <protection locked="0"/>
    </xf>
    <xf numFmtId="166" fontId="61" fillId="0" borderId="66" xfId="2" applyNumberFormat="1" applyFont="1" applyBorder="1" applyAlignment="1">
      <alignment horizontal="center"/>
    </xf>
    <xf numFmtId="170" fontId="61" fillId="0" borderId="66" xfId="2" applyNumberFormat="1" applyFont="1" applyBorder="1"/>
    <xf numFmtId="164" fontId="40" fillId="0" borderId="66" xfId="2" applyNumberFormat="1" applyBorder="1"/>
    <xf numFmtId="165" fontId="47" fillId="0" borderId="66" xfId="0" quotePrefix="1" applyNumberFormat="1" applyFont="1" applyBorder="1"/>
    <xf numFmtId="165" fontId="40" fillId="0" borderId="66" xfId="0" applyNumberFormat="1" applyFont="1" applyBorder="1"/>
    <xf numFmtId="165" fontId="47" fillId="0" borderId="66" xfId="0" applyNumberFormat="1" applyFont="1" applyBorder="1" applyAlignment="1">
      <alignment horizontal="centerContinuous"/>
    </xf>
    <xf numFmtId="165" fontId="47" fillId="0" borderId="84" xfId="0" applyNumberFormat="1" applyFont="1" applyBorder="1" applyAlignment="1">
      <alignment horizontal="center"/>
    </xf>
    <xf numFmtId="170" fontId="47" fillId="0" borderId="86" xfId="0" quotePrefix="1" applyNumberFormat="1" applyFont="1" applyBorder="1"/>
    <xf numFmtId="166" fontId="47" fillId="0" borderId="84" xfId="0" applyNumberFormat="1" applyFont="1" applyBorder="1"/>
    <xf numFmtId="170" fontId="42" fillId="0" borderId="0" xfId="0" applyNumberFormat="1" applyFont="1" applyAlignment="1">
      <alignment horizontal="right"/>
    </xf>
    <xf numFmtId="170" fontId="51" fillId="0" borderId="0" xfId="0" applyNumberFormat="1" applyFont="1"/>
    <xf numFmtId="170" fontId="62" fillId="0" borderId="73" xfId="2" applyNumberFormat="1" applyFont="1" applyBorder="1"/>
    <xf numFmtId="170" fontId="62" fillId="0" borderId="74" xfId="2" applyNumberFormat="1" applyFont="1" applyBorder="1"/>
    <xf numFmtId="170" fontId="61" fillId="0" borderId="74" xfId="2" applyNumberFormat="1" applyFont="1" applyBorder="1"/>
    <xf numFmtId="0" fontId="64" fillId="0" borderId="0" xfId="836" quotePrefix="1" applyFont="1" applyAlignment="1">
      <alignment horizontal="left"/>
    </xf>
    <xf numFmtId="165" fontId="68" fillId="0" borderId="0" xfId="840" quotePrefix="1" applyNumberFormat="1" applyFont="1"/>
    <xf numFmtId="44" fontId="156" fillId="0" borderId="0" xfId="5458" applyNumberFormat="1" applyFont="1"/>
    <xf numFmtId="44" fontId="45" fillId="0" borderId="0" xfId="5508" applyNumberFormat="1" applyFont="1"/>
    <xf numFmtId="41" fontId="46" fillId="0" borderId="0" xfId="1773" applyNumberFormat="1" applyFont="1" applyFill="1" applyAlignment="1">
      <alignment horizontal="right"/>
    </xf>
    <xf numFmtId="174" fontId="40" fillId="0" borderId="0" xfId="17" applyNumberFormat="1" applyAlignment="1">
      <alignment horizontal="right"/>
    </xf>
    <xf numFmtId="189" fontId="0" fillId="0" borderId="0" xfId="17" applyNumberFormat="1" applyFont="1" applyAlignment="1">
      <alignment horizontal="right"/>
    </xf>
    <xf numFmtId="177" fontId="0" fillId="0" borderId="0" xfId="17" applyNumberFormat="1" applyFont="1"/>
    <xf numFmtId="180" fontId="40" fillId="0" borderId="0" xfId="17" applyNumberFormat="1" applyAlignment="1">
      <alignment horizontal="right"/>
    </xf>
    <xf numFmtId="170" fontId="40" fillId="0" borderId="10" xfId="0" quotePrefix="1" applyNumberFormat="1" applyFont="1" applyBorder="1" applyAlignment="1">
      <alignment horizontal="right"/>
    </xf>
    <xf numFmtId="170" fontId="47" fillId="0" borderId="16" xfId="0" quotePrefix="1" applyNumberFormat="1" applyFont="1" applyBorder="1" applyAlignment="1">
      <alignment horizontal="center"/>
    </xf>
    <xf numFmtId="166" fontId="135" fillId="0" borderId="0" xfId="0" applyNumberFormat="1" applyFont="1"/>
    <xf numFmtId="166" fontId="132" fillId="0" borderId="0" xfId="0" applyNumberFormat="1" applyFont="1"/>
    <xf numFmtId="165" fontId="135" fillId="0" borderId="0" xfId="0" applyNumberFormat="1" applyFont="1"/>
    <xf numFmtId="177" fontId="40" fillId="0" borderId="0" xfId="740" quotePrefix="1" applyNumberFormat="1" applyFont="1"/>
    <xf numFmtId="182" fontId="40" fillId="0" borderId="0" xfId="740" applyNumberFormat="1" applyFont="1"/>
    <xf numFmtId="170" fontId="42" fillId="0" borderId="0" xfId="5" applyNumberFormat="1" applyFont="1" applyFill="1"/>
    <xf numFmtId="185" fontId="81" fillId="0" borderId="0" xfId="836" applyNumberFormat="1" applyFont="1"/>
    <xf numFmtId="184" fontId="69" fillId="0" borderId="0" xfId="836" quotePrefix="1" applyNumberFormat="1" applyFont="1" applyAlignment="1">
      <alignment horizontal="center"/>
    </xf>
    <xf numFmtId="0" fontId="65" fillId="0" borderId="20" xfId="836" applyFont="1" applyBorder="1"/>
    <xf numFmtId="185" fontId="64" fillId="0" borderId="20" xfId="836" applyNumberFormat="1" applyFont="1" applyBorder="1" applyAlignment="1">
      <alignment horizontal="right"/>
    </xf>
    <xf numFmtId="177" fontId="47" fillId="0" borderId="66" xfId="740" quotePrefix="1" applyNumberFormat="1" applyFont="1" applyBorder="1" applyAlignment="1">
      <alignment horizontal="center"/>
    </xf>
    <xf numFmtId="177" fontId="40" fillId="0" borderId="0" xfId="0" applyNumberFormat="1" applyFont="1" applyAlignment="1">
      <alignment horizontal="center"/>
    </xf>
    <xf numFmtId="165" fontId="40" fillId="0" borderId="0" xfId="840" applyNumberFormat="1" applyFont="1" applyProtection="1">
      <protection locked="0"/>
    </xf>
    <xf numFmtId="165" fontId="47" fillId="0" borderId="0" xfId="840" applyNumberFormat="1" applyFont="1" applyAlignment="1">
      <alignment horizontal="right"/>
    </xf>
    <xf numFmtId="165" fontId="47" fillId="0" borderId="0" xfId="840" applyNumberFormat="1" applyFont="1"/>
    <xf numFmtId="170" fontId="51" fillId="0" borderId="0" xfId="2" applyNumberFormat="1" applyFont="1"/>
    <xf numFmtId="170" fontId="51" fillId="0" borderId="21" xfId="2" applyNumberFormat="1" applyFont="1" applyBorder="1"/>
    <xf numFmtId="0" fontId="170" fillId="0" borderId="10" xfId="2" applyFont="1" applyBorder="1" applyAlignment="1">
      <alignment horizontal="center"/>
    </xf>
    <xf numFmtId="174" fontId="47" fillId="0" borderId="0" xfId="5517" applyNumberFormat="1" applyFont="1"/>
    <xf numFmtId="170" fontId="42" fillId="0" borderId="0" xfId="1" quotePrefix="1" applyNumberFormat="1" applyFont="1" applyFill="1" applyAlignment="1"/>
    <xf numFmtId="170" fontId="40" fillId="0" borderId="0" xfId="1" quotePrefix="1" applyNumberFormat="1" applyFont="1" applyFill="1" applyAlignment="1"/>
    <xf numFmtId="170" fontId="0" fillId="0" borderId="0" xfId="0" applyNumberFormat="1"/>
    <xf numFmtId="170" fontId="40" fillId="0" borderId="66" xfId="2" applyNumberFormat="1" applyBorder="1" applyAlignment="1">
      <alignment horizontal="center"/>
    </xf>
    <xf numFmtId="169" fontId="0" fillId="0" borderId="0" xfId="2" applyNumberFormat="1" applyFont="1"/>
    <xf numFmtId="166" fontId="40" fillId="0" borderId="0" xfId="5517" applyNumberFormat="1" applyFont="1"/>
    <xf numFmtId="174" fontId="40" fillId="0" borderId="47" xfId="2" applyNumberFormat="1" applyBorder="1"/>
    <xf numFmtId="170" fontId="0" fillId="0" borderId="47" xfId="2" applyNumberFormat="1" applyFont="1" applyBorder="1"/>
    <xf numFmtId="165" fontId="40" fillId="0" borderId="82" xfId="0" applyNumberFormat="1" applyFont="1" applyBorder="1"/>
    <xf numFmtId="174" fontId="40" fillId="0" borderId="0" xfId="0" quotePrefix="1" applyNumberFormat="1" applyFont="1" applyAlignment="1">
      <alignment horizontal="right"/>
    </xf>
    <xf numFmtId="170" fontId="47" fillId="0" borderId="98" xfId="0" quotePrefix="1" applyNumberFormat="1" applyFont="1" applyBorder="1"/>
    <xf numFmtId="166" fontId="47" fillId="0" borderId="82" xfId="0" applyNumberFormat="1" applyFont="1" applyBorder="1"/>
    <xf numFmtId="174" fontId="47" fillId="0" borderId="41" xfId="0" applyNumberFormat="1" applyFont="1" applyBorder="1"/>
    <xf numFmtId="165" fontId="137" fillId="0" borderId="0" xfId="2" applyNumberFormat="1" applyFont="1"/>
    <xf numFmtId="0" fontId="47" fillId="0" borderId="10" xfId="2" quotePrefix="1" applyFont="1" applyBorder="1" applyAlignment="1">
      <alignment horizontal="center"/>
    </xf>
    <xf numFmtId="170" fontId="47" fillId="0" borderId="95" xfId="2" quotePrefix="1" applyNumberFormat="1" applyFont="1" applyBorder="1"/>
    <xf numFmtId="174" fontId="66" fillId="0" borderId="0" xfId="2" applyNumberFormat="1" applyFont="1"/>
    <xf numFmtId="193" fontId="47" fillId="0" borderId="0" xfId="2" applyNumberFormat="1" applyFont="1"/>
    <xf numFmtId="42" fontId="158" fillId="0" borderId="0" xfId="5488" applyNumberFormat="1" applyFont="1" applyAlignment="1">
      <alignment horizontal="right"/>
    </xf>
    <xf numFmtId="42" fontId="156" fillId="0" borderId="0" xfId="5458" applyNumberFormat="1" applyFont="1" applyAlignment="1">
      <alignment horizontal="right"/>
    </xf>
    <xf numFmtId="41" fontId="158" fillId="0" borderId="0" xfId="5488" applyNumberFormat="1" applyFont="1" applyAlignment="1">
      <alignment horizontal="right"/>
    </xf>
    <xf numFmtId="164" fontId="66" fillId="0" borderId="0" xfId="0" quotePrefix="1" applyFont="1"/>
    <xf numFmtId="164" fontId="67" fillId="0" borderId="107" xfId="0" applyFont="1" applyBorder="1"/>
    <xf numFmtId="42" fontId="45" fillId="0" borderId="0" xfId="0" applyNumberFormat="1" applyFont="1"/>
    <xf numFmtId="41" fontId="45" fillId="0" borderId="0" xfId="0" applyNumberFormat="1" applyFont="1" applyAlignment="1">
      <alignment horizontal="right"/>
    </xf>
    <xf numFmtId="41" fontId="45" fillId="0" borderId="0" xfId="0" quotePrefix="1" applyNumberFormat="1" applyFont="1" applyAlignment="1">
      <alignment horizontal="right"/>
    </xf>
    <xf numFmtId="3" fontId="45" fillId="0" borderId="0" xfId="0" applyNumberFormat="1" applyFont="1"/>
    <xf numFmtId="42" fontId="46" fillId="0" borderId="87" xfId="0" applyNumberFormat="1" applyFont="1" applyBorder="1" applyAlignment="1">
      <alignment horizontal="right"/>
    </xf>
    <xf numFmtId="43" fontId="185" fillId="0" borderId="0" xfId="9967" applyNumberFormat="1"/>
    <xf numFmtId="43" fontId="46" fillId="0" borderId="66" xfId="9967" quotePrefix="1" applyNumberFormat="1" applyFont="1" applyBorder="1" applyAlignment="1">
      <alignment horizontal="center"/>
    </xf>
    <xf numFmtId="43" fontId="45" fillId="0" borderId="0" xfId="0" quotePrefix="1" applyNumberFormat="1" applyFont="1"/>
    <xf numFmtId="43" fontId="45" fillId="0" borderId="0" xfId="0" applyNumberFormat="1" applyFont="1" applyAlignment="1">
      <alignment horizontal="left" vertical="top"/>
    </xf>
    <xf numFmtId="170" fontId="62" fillId="0" borderId="46" xfId="2" applyNumberFormat="1" applyFont="1" applyBorder="1"/>
    <xf numFmtId="164" fontId="40" fillId="0" borderId="46" xfId="2" applyNumberFormat="1" applyBorder="1"/>
    <xf numFmtId="170" fontId="62" fillId="0" borderId="10" xfId="2" applyNumberFormat="1" applyFont="1" applyBorder="1" applyAlignment="1">
      <alignment horizontal="center"/>
    </xf>
    <xf numFmtId="170" fontId="47" fillId="0" borderId="10" xfId="1046" applyNumberFormat="1" applyFont="1" applyFill="1" applyBorder="1"/>
    <xf numFmtId="164" fontId="47" fillId="0" borderId="10" xfId="1046" applyNumberFormat="1" applyFont="1" applyFill="1" applyBorder="1"/>
    <xf numFmtId="165" fontId="40" fillId="58" borderId="0" xfId="0" applyNumberFormat="1" applyFont="1" applyFill="1"/>
    <xf numFmtId="170" fontId="40" fillId="58" borderId="0" xfId="0" applyNumberFormat="1" applyFont="1" applyFill="1"/>
    <xf numFmtId="170" fontId="47" fillId="58" borderId="0" xfId="0" applyNumberFormat="1" applyFont="1" applyFill="1"/>
    <xf numFmtId="165" fontId="47" fillId="58" borderId="0" xfId="0" applyNumberFormat="1" applyFont="1" applyFill="1"/>
    <xf numFmtId="174" fontId="47" fillId="58" borderId="0" xfId="0" applyNumberFormat="1" applyFont="1" applyFill="1"/>
    <xf numFmtId="41" fontId="156" fillId="0" borderId="0" xfId="5458" applyNumberFormat="1" applyFont="1" applyAlignment="1">
      <alignment horizontal="center"/>
    </xf>
    <xf numFmtId="172" fontId="47" fillId="0" borderId="80" xfId="2" applyNumberFormat="1" applyFont="1" applyBorder="1"/>
    <xf numFmtId="166" fontId="172" fillId="0" borderId="0" xfId="2" applyNumberFormat="1" applyFont="1"/>
    <xf numFmtId="166" fontId="172" fillId="0" borderId="0" xfId="2" quotePrefix="1" applyNumberFormat="1" applyFont="1" applyAlignment="1">
      <alignment horizontal="left"/>
    </xf>
    <xf numFmtId="0" fontId="172" fillId="0" borderId="0" xfId="2" applyFont="1"/>
    <xf numFmtId="0" fontId="172" fillId="0" borderId="0" xfId="2" quotePrefix="1" applyFont="1" applyAlignment="1">
      <alignment horizontal="left"/>
    </xf>
    <xf numFmtId="0" fontId="41" fillId="0" borderId="0" xfId="2" applyFont="1"/>
    <xf numFmtId="165" fontId="85" fillId="0" borderId="0" xfId="0" applyNumberFormat="1" applyFont="1" applyProtection="1">
      <protection locked="0"/>
    </xf>
    <xf numFmtId="170" fontId="42" fillId="0" borderId="72" xfId="0" applyNumberFormat="1" applyFont="1" applyBorder="1"/>
    <xf numFmtId="0" fontId="40" fillId="0" borderId="106" xfId="4" applyFont="1" applyBorder="1"/>
    <xf numFmtId="166" fontId="40" fillId="0" borderId="106" xfId="4" applyNumberFormat="1" applyFont="1" applyBorder="1"/>
    <xf numFmtId="166" fontId="40" fillId="0" borderId="0" xfId="4" applyNumberFormat="1" applyFont="1"/>
    <xf numFmtId="0" fontId="40" fillId="0" borderId="0" xfId="4" applyFont="1" applyAlignment="1">
      <alignment horizontal="center"/>
    </xf>
    <xf numFmtId="166" fontId="40" fillId="0" borderId="15" xfId="4" applyNumberFormat="1" applyFont="1" applyBorder="1"/>
    <xf numFmtId="170" fontId="47" fillId="0" borderId="107" xfId="0" quotePrefix="1" applyNumberFormat="1" applyFont="1" applyBorder="1"/>
    <xf numFmtId="172" fontId="47" fillId="0" borderId="10" xfId="2" applyNumberFormat="1" applyFont="1" applyBorder="1" applyAlignment="1">
      <alignment horizontal="right"/>
    </xf>
    <xf numFmtId="164" fontId="171" fillId="0" borderId="10" xfId="1940" applyNumberFormat="1" applyFont="1" applyBorder="1" applyAlignment="1"/>
    <xf numFmtId="164" fontId="113" fillId="0" borderId="10" xfId="0" applyFont="1" applyBorder="1" applyAlignment="1">
      <alignment horizontal="center"/>
    </xf>
    <xf numFmtId="164" fontId="113" fillId="0" borderId="10" xfId="0" applyFont="1" applyBorder="1" applyAlignment="1">
      <alignment horizontal="center" wrapText="1"/>
    </xf>
    <xf numFmtId="43" fontId="169" fillId="0" borderId="0" xfId="0" applyNumberFormat="1" applyFont="1"/>
    <xf numFmtId="49" fontId="113" fillId="0" borderId="0" xfId="0" applyNumberFormat="1" applyFont="1"/>
    <xf numFmtId="0" fontId="169" fillId="0" borderId="0" xfId="0" applyNumberFormat="1" applyFont="1" applyAlignment="1">
      <alignment horizontal="left"/>
    </xf>
    <xf numFmtId="0" fontId="169" fillId="0" borderId="0" xfId="0" applyNumberFormat="1" applyFont="1" applyAlignment="1">
      <alignment vertical="top"/>
    </xf>
    <xf numFmtId="0" fontId="45" fillId="0" borderId="0" xfId="0" applyNumberFormat="1" applyFont="1" applyAlignment="1">
      <alignment horizontal="left"/>
    </xf>
    <xf numFmtId="43" fontId="169" fillId="0" borderId="0" xfId="17924" applyFont="1"/>
    <xf numFmtId="164" fontId="45" fillId="0" borderId="0" xfId="0" applyFont="1" applyAlignment="1">
      <alignment horizontal="left" indent="1"/>
    </xf>
    <xf numFmtId="0" fontId="46" fillId="0" borderId="0" xfId="9967" applyFont="1" applyAlignment="1">
      <alignment horizontal="centerContinuous" vertical="top"/>
    </xf>
    <xf numFmtId="0" fontId="46" fillId="0" borderId="0" xfId="9967" applyFont="1" applyAlignment="1">
      <alignment horizontal="centerContinuous"/>
    </xf>
    <xf numFmtId="0" fontId="46" fillId="0" borderId="10" xfId="9967" applyFont="1" applyBorder="1" applyAlignment="1">
      <alignment horizontal="centerContinuous"/>
    </xf>
    <xf numFmtId="49" fontId="169" fillId="0" borderId="0" xfId="0" applyNumberFormat="1" applyFont="1" applyAlignment="1">
      <alignment vertical="top" wrapText="1"/>
    </xf>
    <xf numFmtId="172" fontId="188" fillId="0" borderId="66" xfId="2" applyNumberFormat="1" applyFont="1" applyBorder="1"/>
    <xf numFmtId="49" fontId="46" fillId="0" borderId="10" xfId="9967" applyNumberFormat="1" applyFont="1" applyBorder="1" applyAlignment="1">
      <alignment horizontal="center"/>
    </xf>
    <xf numFmtId="169" fontId="52" fillId="0" borderId="0" xfId="8" applyNumberFormat="1" applyFont="1" applyAlignment="1">
      <alignment horizontal="right" vertical="top"/>
    </xf>
    <xf numFmtId="0" fontId="193" fillId="0" borderId="0" xfId="25863"/>
    <xf numFmtId="0" fontId="195" fillId="0" borderId="0" xfId="25863" applyFont="1" applyAlignment="1">
      <alignment horizontal="left"/>
    </xf>
    <xf numFmtId="7" fontId="193" fillId="0" borderId="0" xfId="25863" applyNumberFormat="1"/>
    <xf numFmtId="0" fontId="69" fillId="0" borderId="0" xfId="25863" applyFont="1"/>
    <xf numFmtId="0" fontId="69" fillId="0" borderId="0" xfId="25863" applyFont="1" applyAlignment="1">
      <alignment horizontal="right"/>
    </xf>
    <xf numFmtId="0" fontId="40" fillId="0" borderId="0" xfId="25866" applyFont="1" applyBorder="1" applyAlignment="1">
      <alignment horizontal="left"/>
    </xf>
    <xf numFmtId="44" fontId="113" fillId="0" borderId="87" xfId="25862" applyFont="1" applyBorder="1"/>
    <xf numFmtId="43" fontId="167" fillId="0" borderId="0" xfId="25873" applyFont="1" applyFill="1" applyBorder="1"/>
    <xf numFmtId="0" fontId="45" fillId="0" borderId="0" xfId="25863" applyFont="1"/>
    <xf numFmtId="43" fontId="47" fillId="0" borderId="0" xfId="25870" applyNumberFormat="1" applyFont="1" applyFill="1" applyBorder="1"/>
    <xf numFmtId="164" fontId="113" fillId="0" borderId="0" xfId="0" applyFont="1" applyAlignment="1">
      <alignment horizontal="left"/>
    </xf>
    <xf numFmtId="43" fontId="113" fillId="0" borderId="0" xfId="0" applyNumberFormat="1" applyFont="1"/>
    <xf numFmtId="44" fontId="40" fillId="0" borderId="0" xfId="25868" applyFont="1" applyFill="1" applyBorder="1"/>
    <xf numFmtId="43" fontId="40" fillId="0" borderId="0" xfId="25870" applyNumberFormat="1" applyFont="1" applyFill="1" applyBorder="1"/>
    <xf numFmtId="44" fontId="150" fillId="0" borderId="0" xfId="25863" applyNumberFormat="1" applyFont="1" applyAlignment="1">
      <alignment horizontal="left"/>
    </xf>
    <xf numFmtId="44" fontId="40" fillId="0" borderId="0" xfId="25863" applyNumberFormat="1" applyFont="1"/>
    <xf numFmtId="0" fontId="87" fillId="0" borderId="0" xfId="841" applyFont="1" applyAlignment="1">
      <alignment horizontal="right"/>
    </xf>
    <xf numFmtId="0" fontId="85" fillId="0" borderId="0" xfId="1028" applyFont="1" applyAlignment="1">
      <alignment horizontal="right"/>
    </xf>
    <xf numFmtId="186" fontId="47" fillId="0" borderId="50" xfId="1767" quotePrefix="1" applyNumberFormat="1" applyFont="1" applyBorder="1" applyAlignment="1">
      <alignment horizontal="center"/>
    </xf>
    <xf numFmtId="39" fontId="47" fillId="0" borderId="0" xfId="0" applyNumberFormat="1" applyFont="1" applyAlignment="1">
      <alignment horizontal="center"/>
    </xf>
    <xf numFmtId="43" fontId="47" fillId="0" borderId="35" xfId="1028" applyNumberFormat="1" applyFont="1" applyBorder="1" applyAlignment="1">
      <alignment horizontal="right"/>
    </xf>
    <xf numFmtId="43" fontId="47" fillId="0" borderId="0" xfId="1028" applyNumberFormat="1" applyFont="1" applyAlignment="1">
      <alignment horizontal="right"/>
    </xf>
    <xf numFmtId="164" fontId="47" fillId="0" borderId="0" xfId="0" applyFont="1" applyAlignment="1">
      <alignment horizontal="right"/>
    </xf>
    <xf numFmtId="43" fontId="40"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7" fillId="0" borderId="87" xfId="0" applyNumberFormat="1" applyFont="1" applyBorder="1" applyAlignment="1">
      <alignment horizontal="right"/>
    </xf>
    <xf numFmtId="177" fontId="206" fillId="0" borderId="0" xfId="1767" applyNumberFormat="1" applyFont="1" applyAlignment="1">
      <alignment horizontal="left"/>
    </xf>
    <xf numFmtId="10" fontId="171" fillId="0" borderId="0" xfId="2" applyNumberFormat="1" applyFont="1"/>
    <xf numFmtId="10" fontId="171" fillId="0" borderId="0" xfId="1940" applyNumberFormat="1" applyFont="1" applyBorder="1" applyAlignment="1"/>
    <xf numFmtId="10" fontId="171" fillId="0" borderId="0" xfId="1940" applyNumberFormat="1" applyFont="1" applyFill="1" applyBorder="1" applyAlignment="1"/>
    <xf numFmtId="199" fontId="170" fillId="0" borderId="66" xfId="1940" applyNumberFormat="1" applyFont="1" applyBorder="1" applyAlignment="1"/>
    <xf numFmtId="199" fontId="171" fillId="0" borderId="66" xfId="1940" applyNumberFormat="1" applyFont="1" applyBorder="1" applyAlignment="1"/>
    <xf numFmtId="43" fontId="40" fillId="0" borderId="0" xfId="25863" applyNumberFormat="1" applyFont="1"/>
    <xf numFmtId="0" fontId="40" fillId="0" borderId="0" xfId="25863" applyFont="1"/>
    <xf numFmtId="0" fontId="199" fillId="0" borderId="0" xfId="25863" applyFont="1" applyAlignment="1">
      <alignment horizontal="center"/>
    </xf>
    <xf numFmtId="44" fontId="47" fillId="0" borderId="87" xfId="25874" applyFont="1" applyFill="1" applyBorder="1"/>
    <xf numFmtId="44" fontId="113" fillId="0" borderId="0" xfId="0" applyNumberFormat="1" applyFont="1"/>
    <xf numFmtId="172" fontId="47" fillId="0" borderId="16" xfId="2" applyNumberFormat="1" applyFont="1" applyBorder="1"/>
    <xf numFmtId="0" fontId="150" fillId="0" borderId="0" xfId="1028" quotePrefix="1" applyFont="1" applyAlignment="1">
      <alignment horizontal="right"/>
    </xf>
    <xf numFmtId="170" fontId="90" fillId="0" borderId="0" xfId="2" applyNumberFormat="1" applyFont="1"/>
    <xf numFmtId="164" fontId="42" fillId="0" borderId="16" xfId="0" applyFont="1" applyBorder="1"/>
    <xf numFmtId="172" fontId="42" fillId="0" borderId="0" xfId="1940" applyNumberFormat="1" applyFont="1" applyFill="1" applyBorder="1" applyAlignment="1" applyProtection="1"/>
    <xf numFmtId="178" fontId="0" fillId="0" borderId="0" xfId="2" applyNumberFormat="1" applyFont="1"/>
    <xf numFmtId="170" fontId="47" fillId="0" borderId="0" xfId="6" applyNumberFormat="1" applyFont="1" applyFill="1" applyBorder="1" applyAlignment="1" applyProtection="1"/>
    <xf numFmtId="169" fontId="42" fillId="0" borderId="0" xfId="6" applyNumberFormat="1" applyFont="1" applyFill="1" applyBorder="1" applyAlignment="1" applyProtection="1"/>
    <xf numFmtId="165" fontId="0" fillId="0" borderId="0" xfId="2" quotePrefix="1" applyNumberFormat="1" applyFont="1" applyAlignment="1">
      <alignment horizontal="left"/>
    </xf>
    <xf numFmtId="172" fontId="47" fillId="0" borderId="70" xfId="2" applyNumberFormat="1" applyFont="1" applyBorder="1"/>
    <xf numFmtId="164" fontId="40" fillId="0" borderId="0" xfId="1940" applyNumberFormat="1" applyFont="1" applyBorder="1" applyAlignment="1"/>
    <xf numFmtId="164" fontId="64" fillId="0" borderId="0" xfId="1940" applyNumberFormat="1" applyFont="1" applyFill="1" applyBorder="1" applyAlignment="1"/>
    <xf numFmtId="164" fontId="64" fillId="0" borderId="66" xfId="1940" applyNumberFormat="1" applyFont="1" applyBorder="1" applyAlignment="1"/>
    <xf numFmtId="164" fontId="69" fillId="0" borderId="66" xfId="1940" applyNumberFormat="1" applyFont="1" applyFill="1" applyBorder="1" applyAlignment="1"/>
    <xf numFmtId="164" fontId="47" fillId="0" borderId="107" xfId="2" applyNumberFormat="1" applyFont="1" applyBorder="1"/>
    <xf numFmtId="0" fontId="42" fillId="0" borderId="28" xfId="2" applyFont="1" applyBorder="1"/>
    <xf numFmtId="172" fontId="171" fillId="0" borderId="66" xfId="0" applyNumberFormat="1" applyFont="1" applyBorder="1"/>
    <xf numFmtId="165" fontId="92" fillId="0" borderId="0" xfId="2" applyNumberFormat="1" applyFont="1" applyAlignment="1">
      <alignment horizontal="left"/>
    </xf>
    <xf numFmtId="165" fontId="165" fillId="0" borderId="0" xfId="2" applyNumberFormat="1" applyFont="1"/>
    <xf numFmtId="170" fontId="42" fillId="0" borderId="0" xfId="2" quotePrefix="1" applyNumberFormat="1" applyFont="1" applyAlignment="1">
      <alignment horizontal="left"/>
    </xf>
    <xf numFmtId="0" fontId="0" fillId="0" borderId="0" xfId="2" applyFont="1" applyAlignment="1">
      <alignment horizontal="center"/>
    </xf>
    <xf numFmtId="164" fontId="0" fillId="0" borderId="19" xfId="2" applyNumberFormat="1" applyFont="1" applyBorder="1" applyAlignment="1">
      <alignment horizontal="center"/>
    </xf>
    <xf numFmtId="172" fontId="47" fillId="0" borderId="81" xfId="0" applyNumberFormat="1" applyFont="1" applyBorder="1"/>
    <xf numFmtId="164" fontId="0" fillId="0" borderId="42" xfId="2" applyNumberFormat="1" applyFont="1" applyBorder="1"/>
    <xf numFmtId="165" fontId="40" fillId="0" borderId="0" xfId="2" quotePrefix="1" applyNumberFormat="1" applyAlignment="1">
      <alignment horizontal="left"/>
    </xf>
    <xf numFmtId="170" fontId="171" fillId="0" borderId="24" xfId="2" applyNumberFormat="1" applyFont="1" applyBorder="1" applyProtection="1">
      <protection locked="0"/>
    </xf>
    <xf numFmtId="170" fontId="171" fillId="0" borderId="0" xfId="2" applyNumberFormat="1" applyFont="1" applyProtection="1">
      <protection locked="0"/>
    </xf>
    <xf numFmtId="170" fontId="170" fillId="0" borderId="24" xfId="2" applyNumberFormat="1" applyFont="1" applyBorder="1" applyProtection="1">
      <protection locked="0"/>
    </xf>
    <xf numFmtId="170" fontId="170" fillId="0" borderId="21" xfId="2" applyNumberFormat="1" applyFont="1" applyBorder="1" applyProtection="1">
      <protection locked="0"/>
    </xf>
    <xf numFmtId="170" fontId="171" fillId="0" borderId="20" xfId="2" applyNumberFormat="1" applyFont="1" applyBorder="1"/>
    <xf numFmtId="170" fontId="171" fillId="0" borderId="24" xfId="2" applyNumberFormat="1" applyFont="1" applyBorder="1" applyAlignment="1" applyProtection="1">
      <alignment horizontal="center"/>
      <protection locked="0"/>
    </xf>
    <xf numFmtId="170" fontId="171" fillId="0" borderId="0" xfId="2" applyNumberFormat="1" applyFont="1" applyAlignment="1" applyProtection="1">
      <alignment horizontal="center"/>
      <protection locked="0"/>
    </xf>
    <xf numFmtId="170" fontId="64" fillId="0" borderId="10" xfId="2" quotePrefix="1" applyNumberFormat="1" applyFont="1" applyBorder="1" applyAlignment="1">
      <alignment horizontal="center"/>
    </xf>
    <xf numFmtId="170" fontId="170" fillId="0" borderId="10" xfId="2" quotePrefix="1" applyNumberFormat="1" applyFont="1" applyBorder="1" applyAlignment="1">
      <alignment horizontal="right"/>
    </xf>
    <xf numFmtId="170" fontId="170" fillId="0" borderId="0" xfId="2" applyNumberFormat="1" applyFont="1" applyProtection="1">
      <protection locked="0"/>
    </xf>
    <xf numFmtId="170" fontId="171" fillId="0" borderId="24" xfId="2" applyNumberFormat="1" applyFont="1" applyBorder="1" applyAlignment="1">
      <alignment horizontal="center"/>
    </xf>
    <xf numFmtId="170" fontId="171" fillId="0" borderId="0" xfId="2" applyNumberFormat="1" applyFont="1" applyAlignment="1">
      <alignment horizontal="center"/>
    </xf>
    <xf numFmtId="170" fontId="170" fillId="0" borderId="20" xfId="2" quotePrefix="1" applyNumberFormat="1" applyFont="1" applyBorder="1" applyAlignment="1">
      <alignment horizontal="center"/>
    </xf>
    <xf numFmtId="170" fontId="170" fillId="0" borderId="24" xfId="2" applyNumberFormat="1" applyFont="1" applyBorder="1" applyAlignment="1" applyProtection="1">
      <alignment horizontal="right"/>
      <protection locked="0"/>
    </xf>
    <xf numFmtId="170" fontId="170" fillId="0" borderId="0" xfId="2" applyNumberFormat="1" applyFont="1" applyAlignment="1" applyProtection="1">
      <alignment horizontal="right"/>
      <protection locked="0"/>
    </xf>
    <xf numFmtId="170" fontId="170" fillId="0" borderId="18" xfId="2" applyNumberFormat="1" applyFont="1" applyBorder="1"/>
    <xf numFmtId="174" fontId="170" fillId="0" borderId="18" xfId="2" applyNumberFormat="1" applyFont="1" applyBorder="1"/>
    <xf numFmtId="170" fontId="64" fillId="0" borderId="24" xfId="2" applyNumberFormat="1" applyFont="1" applyBorder="1" applyAlignment="1" applyProtection="1">
      <alignment horizontal="center"/>
      <protection locked="0"/>
    </xf>
    <xf numFmtId="170" fontId="64" fillId="0" borderId="0" xfId="2" applyNumberFormat="1" applyFont="1" applyAlignment="1" applyProtection="1">
      <alignment horizontal="center"/>
      <protection locked="0"/>
    </xf>
    <xf numFmtId="170" fontId="64" fillId="0" borderId="66" xfId="2" quotePrefix="1" applyNumberFormat="1" applyFont="1" applyBorder="1" applyAlignment="1">
      <alignment horizontal="right"/>
    </xf>
    <xf numFmtId="170" fontId="69" fillId="0" borderId="24" xfId="2" applyNumberFormat="1" applyFont="1" applyBorder="1" applyAlignment="1" applyProtection="1">
      <alignment horizontal="right"/>
      <protection locked="0"/>
    </xf>
    <xf numFmtId="170" fontId="69" fillId="0" borderId="18" xfId="2" applyNumberFormat="1" applyFont="1" applyBorder="1"/>
    <xf numFmtId="174" fontId="69" fillId="0" borderId="18" xfId="2" applyNumberFormat="1" applyFont="1" applyBorder="1"/>
    <xf numFmtId="174" fontId="69" fillId="0" borderId="35" xfId="2" applyNumberFormat="1" applyFont="1" applyBorder="1"/>
    <xf numFmtId="0" fontId="52" fillId="0" borderId="0" xfId="0" applyNumberFormat="1" applyFont="1" applyAlignment="1">
      <alignment horizontal="left"/>
    </xf>
    <xf numFmtId="7" fontId="47" fillId="0" borderId="0" xfId="25863" applyNumberFormat="1" applyFont="1" applyAlignment="1">
      <alignment horizontal="center"/>
    </xf>
    <xf numFmtId="7" fontId="40" fillId="0" borderId="0" xfId="25863" applyNumberFormat="1" applyFont="1"/>
    <xf numFmtId="0" fontId="40" fillId="0" borderId="0" xfId="25864" applyFont="1" applyBorder="1">
      <alignment horizontal="right"/>
    </xf>
    <xf numFmtId="44" fontId="40" fillId="0" borderId="0" xfId="25874" applyFont="1" applyFill="1" applyBorder="1"/>
    <xf numFmtId="44" fontId="47" fillId="0" borderId="0" xfId="25874" applyFont="1" applyFill="1" applyBorder="1"/>
    <xf numFmtId="0" fontId="38" fillId="0" borderId="0" xfId="25863" applyFont="1" applyAlignment="1">
      <alignment horizontal="left"/>
    </xf>
    <xf numFmtId="177" fontId="40" fillId="0" borderId="0" xfId="1776" applyNumberFormat="1"/>
    <xf numFmtId="164" fontId="113" fillId="0" borderId="103" xfId="0" applyFont="1" applyBorder="1" applyAlignment="1">
      <alignment horizontal="left"/>
    </xf>
    <xf numFmtId="4" fontId="113" fillId="0" borderId="0" xfId="0" applyNumberFormat="1" applyFont="1"/>
    <xf numFmtId="43" fontId="113" fillId="0" borderId="103" xfId="0" applyNumberFormat="1" applyFont="1" applyBorder="1"/>
    <xf numFmtId="170" fontId="47" fillId="0" borderId="10" xfId="0" applyNumberFormat="1" applyFont="1" applyBorder="1" applyAlignment="1">
      <alignment horizontal="center"/>
    </xf>
    <xf numFmtId="170" fontId="47" fillId="0" borderId="18" xfId="0" applyNumberFormat="1" applyFont="1" applyBorder="1"/>
    <xf numFmtId="42" fontId="45" fillId="0" borderId="0" xfId="5508" applyNumberFormat="1" applyFont="1"/>
    <xf numFmtId="199" fontId="40" fillId="0" borderId="0" xfId="0" applyNumberFormat="1" applyFont="1"/>
    <xf numFmtId="170" fontId="47" fillId="0" borderId="93" xfId="0" applyNumberFormat="1" applyFont="1" applyBorder="1"/>
    <xf numFmtId="165" fontId="47" fillId="0" borderId="21" xfId="0" applyNumberFormat="1" applyFont="1" applyBorder="1"/>
    <xf numFmtId="165" fontId="47" fillId="0" borderId="14" xfId="0" applyNumberFormat="1" applyFont="1" applyBorder="1"/>
    <xf numFmtId="174" fontId="47" fillId="0" borderId="81" xfId="0" applyNumberFormat="1" applyFont="1" applyBorder="1"/>
    <xf numFmtId="174" fontId="47" fillId="0" borderId="0" xfId="0" applyNumberFormat="1" applyFont="1" applyAlignment="1">
      <alignment horizontal="center"/>
    </xf>
    <xf numFmtId="174" fontId="47" fillId="0" borderId="26" xfId="0" applyNumberFormat="1" applyFont="1" applyBorder="1"/>
    <xf numFmtId="174" fontId="47" fillId="0" borderId="93" xfId="0" applyNumberFormat="1" applyFont="1" applyBorder="1"/>
    <xf numFmtId="0" fontId="194" fillId="0" borderId="0" xfId="25863" applyFont="1" applyAlignment="1">
      <alignment horizontal="left"/>
    </xf>
    <xf numFmtId="0" fontId="41" fillId="0" borderId="0" xfId="25863" quotePrefix="1" applyFont="1" applyAlignment="1">
      <alignment horizontal="left"/>
    </xf>
    <xf numFmtId="0" fontId="150" fillId="0" borderId="0" xfId="25863" applyFont="1" applyAlignment="1">
      <alignment horizontal="left"/>
    </xf>
    <xf numFmtId="0" fontId="47" fillId="0" borderId="0" xfId="25865" applyFont="1" applyFill="1"/>
    <xf numFmtId="37" fontId="150" fillId="0" borderId="0" xfId="25864" applyNumberFormat="1" applyFont="1" applyBorder="1">
      <alignment horizontal="right"/>
    </xf>
    <xf numFmtId="0" fontId="0" fillId="0" borderId="0" xfId="25864" applyFont="1" applyBorder="1">
      <alignment horizontal="right"/>
    </xf>
    <xf numFmtId="0" fontId="51" fillId="0" borderId="0" xfId="25866" applyFont="1" applyBorder="1" applyAlignment="1">
      <alignment horizontal="left"/>
    </xf>
    <xf numFmtId="0" fontId="40" fillId="0" borderId="0" xfId="25866" applyFont="1"/>
    <xf numFmtId="44" fontId="47" fillId="0" borderId="0" xfId="25868" applyFont="1" applyFill="1" applyBorder="1"/>
    <xf numFmtId="0" fontId="0" fillId="0" borderId="0" xfId="25866" applyFont="1"/>
    <xf numFmtId="43" fontId="40" fillId="0" borderId="0" xfId="25869" applyFont="1" applyFill="1" applyBorder="1"/>
    <xf numFmtId="0" fontId="167" fillId="0" borderId="0" xfId="25866" applyFont="1"/>
    <xf numFmtId="0" fontId="47" fillId="0" borderId="0" xfId="25871" applyFill="1"/>
    <xf numFmtId="44" fontId="47" fillId="0" borderId="0" xfId="25868" applyFont="1" applyFill="1" applyBorder="1" applyAlignment="1">
      <alignment horizontal="right"/>
    </xf>
    <xf numFmtId="0" fontId="169" fillId="0" borderId="0" xfId="25872" applyFont="1" applyAlignment="1">
      <alignment horizontal="left" wrapText="1"/>
    </xf>
    <xf numFmtId="0" fontId="150" fillId="0" borderId="0" xfId="25872" applyFont="1"/>
    <xf numFmtId="44" fontId="47" fillId="0" borderId="87" xfId="25868" applyFont="1" applyFill="1" applyBorder="1"/>
    <xf numFmtId="0" fontId="113" fillId="0" borderId="0" xfId="25863" applyFont="1" applyAlignment="1">
      <alignment horizontal="left"/>
    </xf>
    <xf numFmtId="0" fontId="205" fillId="0" borderId="0" xfId="25863" applyFont="1" applyAlignment="1">
      <alignment horizontal="left" vertical="top"/>
    </xf>
    <xf numFmtId="43" fontId="113" fillId="0" borderId="0" xfId="25863" applyNumberFormat="1" applyFont="1" applyAlignment="1">
      <alignment horizontal="left"/>
    </xf>
    <xf numFmtId="0" fontId="169" fillId="0" borderId="0" xfId="25863" applyFont="1" applyAlignment="1">
      <alignment horizontal="left" vertical="top"/>
    </xf>
    <xf numFmtId="43" fontId="167" fillId="0" borderId="0" xfId="25872" applyNumberFormat="1" applyFont="1" applyAlignment="1">
      <alignment horizontal="left"/>
    </xf>
    <xf numFmtId="44" fontId="167" fillId="0" borderId="0" xfId="25872" applyNumberFormat="1" applyFont="1" applyAlignment="1">
      <alignment horizontal="left"/>
    </xf>
    <xf numFmtId="44" fontId="167" fillId="0" borderId="0" xfId="25873" applyNumberFormat="1" applyFont="1" applyFill="1" applyBorder="1" applyAlignment="1">
      <alignment horizontal="left"/>
    </xf>
    <xf numFmtId="0" fontId="169" fillId="0" borderId="0" xfId="25863" applyFont="1" applyAlignment="1">
      <alignment horizontal="left" vertical="top" wrapText="1"/>
    </xf>
    <xf numFmtId="43" fontId="45" fillId="0" borderId="0" xfId="25863" applyNumberFormat="1" applyFont="1"/>
    <xf numFmtId="43" fontId="38" fillId="0" borderId="0" xfId="25863" applyNumberFormat="1" applyFont="1" applyAlignment="1">
      <alignment horizontal="left"/>
    </xf>
    <xf numFmtId="43" fontId="193" fillId="0" borderId="0" xfId="25863" applyNumberFormat="1"/>
    <xf numFmtId="0" fontId="196" fillId="0" borderId="0" xfId="25863" quotePrefix="1" applyFont="1" applyAlignment="1">
      <alignment horizontal="left"/>
    </xf>
    <xf numFmtId="0" fontId="51" fillId="0" borderId="0" xfId="25863" applyFont="1" applyAlignment="1">
      <alignment horizontal="left"/>
    </xf>
    <xf numFmtId="0" fontId="202" fillId="0" borderId="0" xfId="25863" applyFont="1" applyAlignment="1">
      <alignment horizontal="center"/>
    </xf>
    <xf numFmtId="0" fontId="201" fillId="0" borderId="0" xfId="25863" applyFont="1"/>
    <xf numFmtId="44" fontId="40" fillId="0" borderId="0" xfId="0" applyNumberFormat="1" applyFont="1"/>
    <xf numFmtId="0" fontId="169" fillId="0" borderId="0" xfId="25863" applyFont="1" applyAlignment="1">
      <alignment horizontal="left"/>
    </xf>
    <xf numFmtId="170" fontId="42" fillId="0" borderId="10" xfId="2" applyNumberFormat="1" applyFont="1" applyBorder="1"/>
    <xf numFmtId="170" fontId="47" fillId="0" borderId="10" xfId="1" applyNumberFormat="1" applyFont="1" applyFill="1" applyBorder="1" applyAlignment="1"/>
    <xf numFmtId="170" fontId="62" fillId="0" borderId="20" xfId="2" applyNumberFormat="1" applyFont="1" applyBorder="1"/>
    <xf numFmtId="170" fontId="47" fillId="0" borderId="95" xfId="0" quotePrefix="1" applyNumberFormat="1" applyFont="1" applyBorder="1"/>
    <xf numFmtId="0" fontId="0" fillId="0" borderId="0" xfId="0" applyNumberFormat="1" applyAlignment="1">
      <alignment horizontal="left"/>
    </xf>
    <xf numFmtId="170" fontId="51" fillId="0" borderId="0" xfId="2" applyNumberFormat="1" applyFont="1" applyAlignment="1">
      <alignment horizontal="right"/>
    </xf>
    <xf numFmtId="43" fontId="51" fillId="0" borderId="0" xfId="1767" applyNumberFormat="1" applyFont="1" applyAlignment="1">
      <alignment horizontal="right"/>
    </xf>
    <xf numFmtId="170" fontId="40" fillId="0" borderId="15" xfId="4" applyNumberFormat="1" applyFont="1" applyBorder="1"/>
    <xf numFmtId="170" fontId="40" fillId="0" borderId="0" xfId="4" applyNumberFormat="1" applyFont="1"/>
    <xf numFmtId="43" fontId="40" fillId="0" borderId="0" xfId="25872" applyNumberFormat="1" applyFont="1"/>
    <xf numFmtId="44" fontId="169" fillId="0" borderId="0" xfId="0" applyNumberFormat="1" applyFont="1"/>
    <xf numFmtId="49" fontId="45" fillId="0" borderId="0" xfId="0" applyNumberFormat="1" applyFont="1" applyAlignment="1">
      <alignment horizontal="left" vertical="top"/>
    </xf>
    <xf numFmtId="177" fontId="64" fillId="0" borderId="0" xfId="740" applyNumberFormat="1" applyFont="1"/>
    <xf numFmtId="0" fontId="40" fillId="0" borderId="0" xfId="1028" applyAlignment="1">
      <alignment horizontal="left"/>
    </xf>
    <xf numFmtId="172" fontId="171" fillId="0" borderId="0" xfId="1940" applyNumberFormat="1" applyFont="1" applyAlignment="1"/>
    <xf numFmtId="172" fontId="171" fillId="0" borderId="0" xfId="0" applyNumberFormat="1" applyFont="1"/>
    <xf numFmtId="181" fontId="100" fillId="0" borderId="0" xfId="740" applyNumberFormat="1" applyFont="1"/>
    <xf numFmtId="0" fontId="69" fillId="0" borderId="0" xfId="25863" quotePrefix="1" applyFont="1" applyAlignment="1">
      <alignment horizontal="left"/>
    </xf>
    <xf numFmtId="172" fontId="40" fillId="0" borderId="10" xfId="0" applyNumberFormat="1" applyFont="1" applyBorder="1"/>
    <xf numFmtId="172" fontId="69" fillId="0" borderId="0" xfId="1940" applyNumberFormat="1" applyFont="1" applyAlignment="1"/>
    <xf numFmtId="172" fontId="66" fillId="0" borderId="0" xfId="0" applyNumberFormat="1" applyFont="1"/>
    <xf numFmtId="166" fontId="52" fillId="0" borderId="0" xfId="8" quotePrefix="1" applyNumberFormat="1" applyFont="1"/>
    <xf numFmtId="43" fontId="40" fillId="0" borderId="0" xfId="25863" applyNumberFormat="1" applyFont="1" applyAlignment="1">
      <alignment horizontal="right" wrapText="1"/>
    </xf>
    <xf numFmtId="164" fontId="52" fillId="0" borderId="0" xfId="0" applyFont="1"/>
    <xf numFmtId="42" fontId="51" fillId="0" borderId="0" xfId="840" applyNumberFormat="1" applyFont="1"/>
    <xf numFmtId="42" fontId="150" fillId="0" borderId="0" xfId="840" applyNumberFormat="1" applyFont="1"/>
    <xf numFmtId="37" fontId="150" fillId="0" borderId="0" xfId="840" applyNumberFormat="1" applyFont="1"/>
    <xf numFmtId="42" fontId="150" fillId="0" borderId="81" xfId="840" applyNumberFormat="1" applyFont="1" applyBorder="1"/>
    <xf numFmtId="172" fontId="64" fillId="0" borderId="10" xfId="2" applyNumberFormat="1" applyFont="1" applyBorder="1"/>
    <xf numFmtId="183" fontId="40" fillId="0" borderId="0" xfId="0" applyNumberFormat="1" applyFont="1"/>
    <xf numFmtId="164" fontId="40" fillId="0" borderId="0" xfId="5458" applyAlignment="1">
      <alignment horizontal="left"/>
    </xf>
    <xf numFmtId="167" fontId="42" fillId="0" borderId="13" xfId="0" applyNumberFormat="1" applyFont="1" applyBorder="1"/>
    <xf numFmtId="41" fontId="51" fillId="0" borderId="0" xfId="11" applyNumberFormat="1" applyFont="1" applyFill="1" applyAlignment="1"/>
    <xf numFmtId="170" fontId="47" fillId="0" borderId="16" xfId="0" applyNumberFormat="1" applyFont="1" applyBorder="1" applyAlignment="1">
      <alignment horizontal="center"/>
    </xf>
    <xf numFmtId="170" fontId="43" fillId="0" borderId="0" xfId="0" applyNumberFormat="1" applyFont="1"/>
    <xf numFmtId="170" fontId="40" fillId="0" borderId="10" xfId="0" applyNumberFormat="1" applyFont="1" applyBorder="1"/>
    <xf numFmtId="170" fontId="47" fillId="0" borderId="10" xfId="0" applyNumberFormat="1" applyFont="1" applyBorder="1" applyAlignment="1">
      <alignment horizontal="right"/>
    </xf>
    <xf numFmtId="170" fontId="47" fillId="0" borderId="0" xfId="0" quotePrefix="1" applyNumberFormat="1" applyFont="1" applyAlignment="1">
      <alignment horizontal="right"/>
    </xf>
    <xf numFmtId="170" fontId="98" fillId="0" borderId="0" xfId="2" applyNumberFormat="1" applyFont="1"/>
    <xf numFmtId="166" fontId="52" fillId="0" borderId="0" xfId="8" applyNumberFormat="1" applyFont="1" applyAlignment="1">
      <alignment horizontal="right"/>
    </xf>
    <xf numFmtId="169" fontId="100" fillId="0" borderId="0" xfId="8" applyNumberFormat="1"/>
    <xf numFmtId="166" fontId="67" fillId="0" borderId="0" xfId="2" quotePrefix="1" applyNumberFormat="1" applyFont="1" applyAlignment="1">
      <alignment horizontal="left"/>
    </xf>
    <xf numFmtId="186" fontId="46" fillId="0" borderId="66" xfId="9967" applyNumberFormat="1" applyFont="1" applyBorder="1" applyAlignment="1">
      <alignment horizontal="center"/>
    </xf>
    <xf numFmtId="4" fontId="40" fillId="0" borderId="0" xfId="1028" applyNumberFormat="1" applyAlignment="1">
      <alignment horizontal="centerContinuous"/>
    </xf>
    <xf numFmtId="43" fontId="40" fillId="0" borderId="0" xfId="9049" applyFont="1" applyFill="1" applyAlignment="1" applyProtection="1">
      <alignment horizontal="right"/>
    </xf>
    <xf numFmtId="170" fontId="150" fillId="0" borderId="0" xfId="2" applyNumberFormat="1" applyFont="1"/>
    <xf numFmtId="43" fontId="40" fillId="0" borderId="0" xfId="0" applyNumberFormat="1" applyFont="1" applyAlignment="1">
      <alignment horizontal="right" wrapText="1"/>
    </xf>
    <xf numFmtId="43" fontId="51" fillId="0" borderId="0" xfId="25872" applyNumberFormat="1" applyFont="1" applyAlignment="1">
      <alignment horizontal="left"/>
    </xf>
    <xf numFmtId="43" fontId="51" fillId="0" borderId="0" xfId="25876" applyNumberFormat="1" applyFont="1" applyAlignment="1">
      <alignment horizontal="right"/>
    </xf>
    <xf numFmtId="43" fontId="51" fillId="0" borderId="0" xfId="25876" applyNumberFormat="1" applyFont="1"/>
    <xf numFmtId="43" fontId="51" fillId="0" borderId="0" xfId="25872" applyNumberFormat="1" applyFont="1"/>
    <xf numFmtId="43" fontId="51" fillId="0" borderId="0" xfId="4579" applyNumberFormat="1" applyFont="1" applyAlignment="1">
      <alignment wrapText="1"/>
    </xf>
    <xf numFmtId="43" fontId="40" fillId="0" borderId="0" xfId="25873" applyFont="1" applyFill="1" applyBorder="1" applyAlignment="1">
      <alignment horizontal="left"/>
    </xf>
    <xf numFmtId="44" fontId="40" fillId="0" borderId="0" xfId="25873" applyNumberFormat="1" applyFont="1" applyFill="1" applyBorder="1" applyAlignment="1">
      <alignment horizontal="left"/>
    </xf>
    <xf numFmtId="43" fontId="40" fillId="0" borderId="0" xfId="25873" applyFont="1" applyFill="1" applyBorder="1"/>
    <xf numFmtId="0" fontId="42" fillId="0" borderId="108" xfId="4" applyFont="1" applyBorder="1"/>
    <xf numFmtId="166" fontId="42" fillId="0" borderId="108" xfId="4" applyNumberFormat="1" applyFont="1" applyBorder="1"/>
    <xf numFmtId="0" fontId="40" fillId="0" borderId="108" xfId="4" applyFont="1" applyBorder="1"/>
    <xf numFmtId="0" fontId="52" fillId="0" borderId="0" xfId="0" applyNumberFormat="1" applyFont="1" applyAlignment="1">
      <alignment horizontal="left" vertical="top"/>
    </xf>
    <xf numFmtId="174" fontId="40" fillId="0" borderId="0" xfId="1" applyNumberFormat="1" applyFont="1" applyFill="1" applyAlignment="1" applyProtection="1"/>
    <xf numFmtId="174" fontId="0" fillId="0" borderId="0" xfId="0" applyNumberFormat="1"/>
    <xf numFmtId="174" fontId="40" fillId="0" borderId="0" xfId="0" applyNumberFormat="1" applyFont="1" applyAlignment="1">
      <alignment horizontal="right"/>
    </xf>
    <xf numFmtId="174" fontId="42" fillId="0" borderId="18" xfId="0" applyNumberFormat="1" applyFont="1" applyBorder="1"/>
    <xf numFmtId="170" fontId="0" fillId="0" borderId="0" xfId="0" applyNumberFormat="1" applyAlignment="1">
      <alignment horizontal="right"/>
    </xf>
    <xf numFmtId="170" fontId="42" fillId="0" borderId="18" xfId="0" applyNumberFormat="1" applyFont="1" applyBorder="1" applyAlignment="1">
      <alignment horizontal="center"/>
    </xf>
    <xf numFmtId="170" fontId="42" fillId="0" borderId="10" xfId="0" applyNumberFormat="1" applyFont="1" applyBorder="1" applyAlignment="1">
      <alignment horizontal="right"/>
    </xf>
    <xf numFmtId="170" fontId="47" fillId="0" borderId="18" xfId="0" applyNumberFormat="1" applyFont="1" applyBorder="1" applyAlignment="1">
      <alignment horizontal="center"/>
    </xf>
    <xf numFmtId="170" fontId="42" fillId="0" borderId="28" xfId="0" applyNumberFormat="1" applyFont="1" applyBorder="1"/>
    <xf numFmtId="0" fontId="69" fillId="33" borderId="0" xfId="2" applyFont="1" applyFill="1" applyAlignment="1">
      <alignment horizontal="left" vertical="center"/>
    </xf>
    <xf numFmtId="37" fontId="45" fillId="33" borderId="0" xfId="2" applyNumberFormat="1" applyFont="1" applyFill="1" applyAlignment="1">
      <alignment vertical="center"/>
    </xf>
    <xf numFmtId="37" fontId="45" fillId="0" borderId="0" xfId="2" applyNumberFormat="1" applyFont="1" applyAlignment="1">
      <alignment vertical="center"/>
    </xf>
    <xf numFmtId="0" fontId="69" fillId="0" borderId="0" xfId="2" applyFont="1" applyAlignment="1" applyProtection="1">
      <alignment horizontal="left" vertical="center"/>
      <protection locked="0"/>
    </xf>
    <xf numFmtId="0" fontId="69" fillId="0" borderId="0" xfId="2" applyFont="1" applyAlignment="1">
      <alignment horizontal="left" vertical="center"/>
    </xf>
    <xf numFmtId="170" fontId="40" fillId="0" borderId="10" xfId="2" applyNumberFormat="1" applyBorder="1" applyAlignment="1">
      <alignment horizontal="center"/>
    </xf>
    <xf numFmtId="170" fontId="69" fillId="0" borderId="43" xfId="2" quotePrefix="1" applyNumberFormat="1" applyFont="1" applyBorder="1" applyAlignment="1">
      <alignment horizontal="right"/>
    </xf>
    <xf numFmtId="170" fontId="69" fillId="0" borderId="43" xfId="2" quotePrefix="1" applyNumberFormat="1" applyFont="1" applyBorder="1" applyAlignment="1">
      <alignment horizontal="center"/>
    </xf>
    <xf numFmtId="2" fontId="45" fillId="0" borderId="0" xfId="2" applyNumberFormat="1" applyFont="1"/>
    <xf numFmtId="170" fontId="40" fillId="0" borderId="108" xfId="2" quotePrefix="1" applyNumberFormat="1" applyBorder="1"/>
    <xf numFmtId="170" fontId="42" fillId="0" borderId="108" xfId="2" applyNumberFormat="1" applyFont="1" applyBorder="1" applyAlignment="1">
      <alignment horizontal="right"/>
    </xf>
    <xf numFmtId="170" fontId="40" fillId="0" borderId="108" xfId="2" applyNumberFormat="1" applyBorder="1"/>
    <xf numFmtId="170" fontId="42" fillId="0" borderId="108" xfId="2" applyNumberFormat="1" applyFont="1" applyBorder="1"/>
    <xf numFmtId="170" fontId="40" fillId="0" borderId="108" xfId="0" quotePrefix="1" applyNumberFormat="1" applyFont="1" applyBorder="1" applyAlignment="1">
      <alignment horizontal="right"/>
    </xf>
    <xf numFmtId="191" fontId="52" fillId="0" borderId="0" xfId="8" applyNumberFormat="1" applyFont="1" applyAlignment="1">
      <alignment horizontal="right"/>
    </xf>
    <xf numFmtId="164" fontId="140" fillId="0" borderId="0" xfId="0" applyFont="1"/>
    <xf numFmtId="164" fontId="52" fillId="0" borderId="0" xfId="0" applyFont="1" applyAlignment="1">
      <alignment horizontal="left"/>
    </xf>
    <xf numFmtId="164" fontId="52" fillId="0" borderId="0" xfId="0" applyFont="1" applyAlignment="1">
      <alignment horizontal="right"/>
    </xf>
    <xf numFmtId="164" fontId="141" fillId="0" borderId="0" xfId="0" applyFont="1"/>
    <xf numFmtId="164" fontId="141" fillId="0" borderId="0" xfId="0" applyFont="1" applyAlignment="1">
      <alignment horizontal="left"/>
    </xf>
    <xf numFmtId="172" fontId="0" fillId="0" borderId="10" xfId="2" applyNumberFormat="1" applyFont="1" applyBorder="1"/>
    <xf numFmtId="177" fontId="219" fillId="0" borderId="0" xfId="740" applyNumberFormat="1" applyFont="1"/>
    <xf numFmtId="170" fontId="47" fillId="0" borderId="107" xfId="2" applyNumberFormat="1" applyFont="1" applyBorder="1" applyAlignment="1">
      <alignment horizontal="right"/>
    </xf>
    <xf numFmtId="170" fontId="47" fillId="0" borderId="85" xfId="2" applyNumberFormat="1" applyFont="1" applyBorder="1"/>
    <xf numFmtId="4" fontId="0" fillId="0" borderId="0" xfId="0" applyNumberFormat="1" applyAlignment="1">
      <alignment horizontal="right"/>
    </xf>
    <xf numFmtId="43" fontId="40" fillId="0" borderId="0" xfId="1028" applyNumberFormat="1" applyAlignment="1">
      <alignment horizontal="right"/>
    </xf>
    <xf numFmtId="43" fontId="0" fillId="0" borderId="0" xfId="0" applyNumberFormat="1"/>
    <xf numFmtId="43" fontId="47" fillId="0" borderId="35" xfId="0" applyNumberFormat="1" applyFont="1" applyBorder="1" applyAlignment="1">
      <alignment horizontal="right"/>
    </xf>
    <xf numFmtId="43" fontId="132" fillId="0" borderId="0" xfId="2" applyNumberFormat="1" applyFont="1"/>
    <xf numFmtId="43" fontId="0" fillId="0" borderId="0" xfId="2" applyNumberFormat="1" applyFont="1" applyAlignment="1">
      <alignment horizontal="center" vertical="top"/>
    </xf>
    <xf numFmtId="177" fontId="51" fillId="0" borderId="0" xfId="740" applyNumberFormat="1" applyFont="1" applyAlignment="1">
      <alignment horizontal="center"/>
    </xf>
    <xf numFmtId="177" fontId="51" fillId="0" borderId="0" xfId="1767" applyNumberFormat="1" applyFont="1" applyAlignment="1">
      <alignment horizontal="left"/>
    </xf>
    <xf numFmtId="177" fontId="51" fillId="0" borderId="0" xfId="740" applyNumberFormat="1" applyFont="1" applyAlignment="1">
      <alignment horizontal="right"/>
    </xf>
    <xf numFmtId="39" fontId="47" fillId="0" borderId="0" xfId="1776" applyNumberFormat="1" applyFont="1" applyAlignment="1">
      <alignment horizontal="left"/>
    </xf>
    <xf numFmtId="43" fontId="47" fillId="0" borderId="103" xfId="25874" applyNumberFormat="1" applyFont="1" applyFill="1" applyBorder="1" applyAlignment="1">
      <alignment horizontal="right"/>
    </xf>
    <xf numFmtId="43" fontId="47" fillId="0" borderId="0" xfId="25874" applyNumberFormat="1" applyFont="1" applyFill="1" applyBorder="1" applyAlignment="1">
      <alignment horizontal="right"/>
    </xf>
    <xf numFmtId="43" fontId="47" fillId="0" borderId="103" xfId="25868" applyNumberFormat="1" applyFont="1" applyFill="1" applyBorder="1" applyAlignment="1">
      <alignment horizontal="right"/>
    </xf>
    <xf numFmtId="174" fontId="0" fillId="0" borderId="0" xfId="2" quotePrefix="1" applyNumberFormat="1" applyFont="1"/>
    <xf numFmtId="43" fontId="0" fillId="0" borderId="0" xfId="25864" applyNumberFormat="1" applyFont="1" applyBorder="1">
      <alignment horizontal="right"/>
    </xf>
    <xf numFmtId="43" fontId="0" fillId="0" borderId="0" xfId="25866" applyNumberFormat="1" applyFont="1"/>
    <xf numFmtId="44" fontId="0" fillId="0" borderId="0" xfId="25866" applyNumberFormat="1" applyFont="1"/>
    <xf numFmtId="170" fontId="40" fillId="0" borderId="73" xfId="2" applyNumberFormat="1" applyBorder="1"/>
    <xf numFmtId="170" fontId="40" fillId="0" borderId="73" xfId="2" applyNumberFormat="1" applyBorder="1" applyAlignment="1">
      <alignment horizontal="center"/>
    </xf>
    <xf numFmtId="170" fontId="47" fillId="0" borderId="73" xfId="2" applyNumberFormat="1" applyFont="1" applyBorder="1"/>
    <xf numFmtId="174" fontId="47" fillId="0" borderId="73" xfId="2" applyNumberFormat="1" applyFont="1" applyBorder="1"/>
    <xf numFmtId="43" fontId="40" fillId="0" borderId="0" xfId="840" applyNumberFormat="1" applyFont="1" applyAlignment="1">
      <alignment horizontal="right"/>
    </xf>
    <xf numFmtId="43" fontId="47" fillId="0" borderId="107" xfId="1776" applyNumberFormat="1" applyFont="1" applyBorder="1"/>
    <xf numFmtId="166" fontId="42" fillId="0" borderId="13" xfId="0" applyNumberFormat="1" applyFont="1" applyBorder="1"/>
    <xf numFmtId="166" fontId="42" fillId="0" borderId="15" xfId="0" applyNumberFormat="1" applyFont="1" applyBorder="1"/>
    <xf numFmtId="167" fontId="42" fillId="0" borderId="0" xfId="0" applyNumberFormat="1" applyFont="1" applyAlignment="1">
      <alignment horizontal="center"/>
    </xf>
    <xf numFmtId="174" fontId="42" fillId="0" borderId="13" xfId="0" applyNumberFormat="1" applyFont="1" applyBorder="1"/>
    <xf numFmtId="167" fontId="42" fillId="0" borderId="14" xfId="0" applyNumberFormat="1" applyFont="1" applyBorder="1"/>
    <xf numFmtId="167" fontId="42" fillId="0" borderId="15" xfId="0" applyNumberFormat="1" applyFont="1" applyBorder="1"/>
    <xf numFmtId="37" fontId="40" fillId="0" borderId="0" xfId="0" applyNumberFormat="1" applyFont="1" applyAlignment="1">
      <alignment horizontal="left"/>
    </xf>
    <xf numFmtId="170" fontId="47" fillId="0" borderId="0" xfId="0" applyNumberFormat="1" applyFont="1" applyAlignment="1">
      <alignment horizontal="right"/>
    </xf>
    <xf numFmtId="170" fontId="42" fillId="0" borderId="15" xfId="0" quotePrefix="1" applyNumberFormat="1" applyFont="1" applyBorder="1" applyAlignment="1">
      <alignment horizontal="right"/>
    </xf>
    <xf numFmtId="3" fontId="42" fillId="0" borderId="0" xfId="0" applyNumberFormat="1" applyFont="1" applyAlignment="1">
      <alignment horizontal="left"/>
    </xf>
    <xf numFmtId="170" fontId="52" fillId="0" borderId="0" xfId="0" applyNumberFormat="1" applyFont="1"/>
    <xf numFmtId="170" fontId="42" fillId="0" borderId="15" xfId="0" applyNumberFormat="1" applyFont="1" applyBorder="1" applyAlignment="1">
      <alignment horizontal="center"/>
    </xf>
    <xf numFmtId="170" fontId="42" fillId="0" borderId="10" xfId="0" applyNumberFormat="1" applyFont="1" applyBorder="1"/>
    <xf numFmtId="166" fontId="48" fillId="0" borderId="0" xfId="0" quotePrefix="1" applyNumberFormat="1" applyFont="1" applyAlignment="1">
      <alignment horizontal="left"/>
    </xf>
    <xf numFmtId="164" fontId="46" fillId="0" borderId="0" xfId="0" quotePrefix="1" applyFont="1" applyAlignment="1">
      <alignment horizontal="right"/>
    </xf>
    <xf numFmtId="177" fontId="0" fillId="0" borderId="0" xfId="0" applyNumberFormat="1"/>
    <xf numFmtId="199" fontId="42" fillId="0" borderId="0" xfId="0" applyNumberFormat="1" applyFont="1"/>
    <xf numFmtId="201" fontId="40" fillId="0" borderId="0" xfId="2" quotePrefix="1" applyNumberFormat="1"/>
    <xf numFmtId="0" fontId="52" fillId="0" borderId="0" xfId="0" applyNumberFormat="1" applyFont="1"/>
    <xf numFmtId="193" fontId="40" fillId="0" borderId="0" xfId="0" quotePrefix="1" applyNumberFormat="1" applyFont="1" applyAlignment="1">
      <alignment horizontal="right"/>
    </xf>
    <xf numFmtId="200" fontId="40" fillId="0" borderId="0" xfId="0" applyNumberFormat="1" applyFont="1"/>
    <xf numFmtId="170" fontId="170" fillId="0" borderId="20" xfId="2" applyNumberFormat="1" applyFont="1" applyBorder="1"/>
    <xf numFmtId="170" fontId="171" fillId="0" borderId="36" xfId="2" applyNumberFormat="1" applyFont="1" applyBorder="1"/>
    <xf numFmtId="197" fontId="52" fillId="0" borderId="0" xfId="8" applyNumberFormat="1" applyFont="1"/>
    <xf numFmtId="170" fontId="47" fillId="0" borderId="99" xfId="2" applyNumberFormat="1" applyFont="1" applyBorder="1"/>
    <xf numFmtId="170" fontId="69" fillId="0" borderId="0" xfId="2" quotePrefix="1" applyNumberFormat="1" applyFont="1"/>
    <xf numFmtId="170" fontId="42" fillId="0" borderId="0" xfId="5" applyNumberFormat="1" applyFont="1" applyFill="1" applyBorder="1" applyProtection="1"/>
    <xf numFmtId="44" fontId="51" fillId="0" borderId="0" xfId="25872" applyNumberFormat="1" applyFont="1" applyAlignment="1">
      <alignment horizontal="left"/>
    </xf>
    <xf numFmtId="44" fontId="40" fillId="0" borderId="0" xfId="25870" applyNumberFormat="1" applyFont="1" applyFill="1" applyBorder="1"/>
    <xf numFmtId="172" fontId="47" fillId="0" borderId="17" xfId="0" applyNumberFormat="1" applyFont="1" applyBorder="1"/>
    <xf numFmtId="170" fontId="52" fillId="0" borderId="0" xfId="8" applyNumberFormat="1" applyFont="1" applyAlignment="1">
      <alignment horizontal="right"/>
    </xf>
    <xf numFmtId="170" fontId="52" fillId="0" borderId="0" xfId="8" applyNumberFormat="1" applyFont="1"/>
    <xf numFmtId="169" fontId="52" fillId="0" borderId="0" xfId="8" applyNumberFormat="1" applyFont="1"/>
    <xf numFmtId="170" fontId="40" fillId="0" borderId="100" xfId="0" quotePrefix="1" applyNumberFormat="1" applyFont="1" applyBorder="1" applyAlignment="1">
      <alignment horizontal="right"/>
    </xf>
    <xf numFmtId="166" fontId="100" fillId="0" borderId="0" xfId="8" applyNumberFormat="1"/>
    <xf numFmtId="169" fontId="142" fillId="0" borderId="0" xfId="8" applyNumberFormat="1" applyFont="1"/>
    <xf numFmtId="0" fontId="201" fillId="0" borderId="0" xfId="25863" applyFont="1" applyAlignment="1">
      <alignment horizontal="left"/>
    </xf>
    <xf numFmtId="0" fontId="199" fillId="0" borderId="0" xfId="25863" applyFont="1" applyAlignment="1">
      <alignment horizontal="center" wrapText="1"/>
    </xf>
    <xf numFmtId="0" fontId="150" fillId="0" borderId="0" xfId="25864" applyFont="1" applyBorder="1">
      <alignment horizontal="right"/>
    </xf>
    <xf numFmtId="7" fontId="40" fillId="0" borderId="0" xfId="25864" applyNumberFormat="1" applyFont="1" applyBorder="1">
      <alignment horizontal="right"/>
    </xf>
    <xf numFmtId="43" fontId="150" fillId="0" borderId="0" xfId="25863" applyNumberFormat="1" applyFont="1" applyAlignment="1">
      <alignment horizontal="left"/>
    </xf>
    <xf numFmtId="43" fontId="51" fillId="0" borderId="0" xfId="0" applyNumberFormat="1" applyFont="1" applyAlignment="1">
      <alignment horizontal="right" wrapText="1"/>
    </xf>
    <xf numFmtId="37" fontId="40" fillId="0" borderId="0" xfId="25872" applyNumberFormat="1" applyFont="1" applyAlignment="1">
      <alignment horizontal="left"/>
    </xf>
    <xf numFmtId="37" fontId="40" fillId="0" borderId="0" xfId="25872" applyNumberFormat="1" applyFont="1"/>
    <xf numFmtId="0" fontId="221" fillId="0" borderId="0" xfId="25863" applyFont="1" applyAlignment="1">
      <alignment horizontal="left"/>
    </xf>
    <xf numFmtId="7" fontId="45" fillId="0" borderId="0" xfId="25863" applyNumberFormat="1" applyFont="1"/>
    <xf numFmtId="44" fontId="221" fillId="0" borderId="0" xfId="25863" applyNumberFormat="1" applyFont="1" applyAlignment="1">
      <alignment horizontal="left"/>
    </xf>
    <xf numFmtId="43" fontId="221" fillId="0" borderId="0" xfId="25863" applyNumberFormat="1" applyFont="1" applyAlignment="1">
      <alignment horizontal="left"/>
    </xf>
    <xf numFmtId="43" fontId="40" fillId="0" borderId="0" xfId="25872" applyNumberFormat="1" applyFont="1" applyAlignment="1">
      <alignment horizontal="left"/>
    </xf>
    <xf numFmtId="43" fontId="40" fillId="0" borderId="0" xfId="25876" applyNumberFormat="1" applyFont="1" applyAlignment="1">
      <alignment horizontal="right"/>
    </xf>
    <xf numFmtId="43" fontId="40" fillId="0" borderId="0" xfId="25876" applyNumberFormat="1" applyFont="1"/>
    <xf numFmtId="43" fontId="40" fillId="0" borderId="0" xfId="4579" applyNumberFormat="1" applyAlignment="1">
      <alignment wrapText="1"/>
    </xf>
    <xf numFmtId="43" fontId="40" fillId="0" borderId="0" xfId="25863" applyNumberFormat="1" applyFont="1" applyAlignment="1">
      <alignment horizontal="left"/>
    </xf>
    <xf numFmtId="43" fontId="40" fillId="0" borderId="0" xfId="25863" applyNumberFormat="1" applyFont="1" applyAlignment="1">
      <alignment horizontal="right"/>
    </xf>
    <xf numFmtId="43" fontId="40" fillId="0" borderId="0" xfId="25863" applyNumberFormat="1" applyFont="1" applyAlignment="1">
      <alignment wrapText="1"/>
    </xf>
    <xf numFmtId="43" fontId="64" fillId="0" borderId="0" xfId="25863" applyNumberFormat="1" applyFont="1"/>
    <xf numFmtId="37" fontId="40" fillId="0" borderId="0" xfId="25864" applyNumberFormat="1" applyFont="1" applyBorder="1">
      <alignment horizontal="right"/>
    </xf>
    <xf numFmtId="44" fontId="40" fillId="0" borderId="0" xfId="25872" applyNumberFormat="1" applyFont="1"/>
    <xf numFmtId="171" fontId="113" fillId="0" borderId="0" xfId="25863" applyNumberFormat="1" applyFont="1" applyAlignment="1">
      <alignment horizontal="left"/>
    </xf>
    <xf numFmtId="171" fontId="45" fillId="0" borderId="0" xfId="25863" applyNumberFormat="1" applyFont="1"/>
    <xf numFmtId="43" fontId="104" fillId="0" borderId="0" xfId="0" applyNumberFormat="1" applyFont="1" applyAlignment="1">
      <alignment vertical="top" wrapText="1"/>
    </xf>
    <xf numFmtId="43" fontId="167" fillId="0" borderId="0" xfId="25872" applyNumberFormat="1" applyFont="1"/>
    <xf numFmtId="44" fontId="167" fillId="0" borderId="0" xfId="25872" applyNumberFormat="1" applyFont="1"/>
    <xf numFmtId="44" fontId="40" fillId="0" borderId="0" xfId="25863" applyNumberFormat="1" applyFont="1" applyAlignment="1">
      <alignment horizontal="left"/>
    </xf>
    <xf numFmtId="44" fontId="45" fillId="0" borderId="0" xfId="25863" applyNumberFormat="1" applyFont="1"/>
    <xf numFmtId="39" fontId="45" fillId="0" borderId="0" xfId="0" quotePrefix="1" applyNumberFormat="1" applyFont="1" applyAlignment="1">
      <alignment horizontal="right"/>
    </xf>
    <xf numFmtId="39" fontId="45" fillId="0" borderId="0" xfId="0" quotePrefix="1" applyNumberFormat="1" applyFont="1"/>
    <xf numFmtId="4" fontId="45" fillId="0" borderId="0" xfId="0" applyNumberFormat="1" applyFont="1"/>
    <xf numFmtId="41" fontId="169" fillId="0" borderId="0" xfId="0" applyNumberFormat="1" applyFont="1" applyAlignment="1">
      <alignment horizontal="right"/>
    </xf>
    <xf numFmtId="0" fontId="46" fillId="0" borderId="49" xfId="0" applyNumberFormat="1" applyFont="1" applyBorder="1"/>
    <xf numFmtId="7" fontId="46" fillId="0" borderId="0" xfId="0" applyNumberFormat="1" applyFont="1" applyAlignment="1">
      <alignment horizontal="right" vertical="top"/>
    </xf>
    <xf numFmtId="7" fontId="45" fillId="0" borderId="0" xfId="0" applyNumberFormat="1" applyFont="1"/>
    <xf numFmtId="42" fontId="45" fillId="0" borderId="0" xfId="0" applyNumberFormat="1" applyFont="1" applyAlignment="1">
      <alignment horizontal="right"/>
    </xf>
    <xf numFmtId="43" fontId="45" fillId="0" borderId="0" xfId="0" applyNumberFormat="1" applyFont="1" applyAlignment="1">
      <alignment horizontal="center"/>
    </xf>
    <xf numFmtId="39" fontId="45" fillId="0" borderId="0" xfId="0" quotePrefix="1" applyNumberFormat="1" applyFont="1" applyAlignment="1">
      <alignment horizontal="center"/>
    </xf>
    <xf numFmtId="43" fontId="45" fillId="0" borderId="0" xfId="0" applyNumberFormat="1" applyFont="1" applyAlignment="1">
      <alignment horizontal="center" vertical="top"/>
    </xf>
    <xf numFmtId="39" fontId="46" fillId="0" borderId="0" xfId="0" applyNumberFormat="1" applyFont="1" applyAlignment="1">
      <alignment horizontal="right"/>
    </xf>
    <xf numFmtId="43" fontId="46" fillId="0" borderId="0" xfId="0" applyNumberFormat="1" applyFont="1" applyAlignment="1">
      <alignment horizontal="center" vertical="top"/>
    </xf>
    <xf numFmtId="170" fontId="52" fillId="0" borderId="0" xfId="8" applyNumberFormat="1" applyFont="1" applyAlignment="1">
      <alignment horizontal="right" vertical="top"/>
    </xf>
    <xf numFmtId="170" fontId="52" fillId="0" borderId="0" xfId="8" quotePrefix="1" applyNumberFormat="1" applyFont="1" applyAlignment="1">
      <alignment horizontal="right"/>
    </xf>
    <xf numFmtId="174" fontId="42" fillId="0" borderId="0" xfId="0" applyNumberFormat="1" applyFont="1" applyAlignment="1">
      <alignment horizontal="right"/>
    </xf>
    <xf numFmtId="199" fontId="40" fillId="0" borderId="0" xfId="2" applyNumberFormat="1"/>
    <xf numFmtId="172" fontId="42" fillId="0" borderId="66" xfId="0" applyNumberFormat="1" applyFont="1" applyBorder="1"/>
    <xf numFmtId="166" fontId="41" fillId="0" borderId="0" xfId="0" applyNumberFormat="1" applyFont="1" applyAlignment="1">
      <alignment horizontal="left"/>
    </xf>
    <xf numFmtId="164" fontId="42" fillId="0" borderId="0" xfId="0" applyFont="1" applyAlignment="1">
      <alignment horizontal="left"/>
    </xf>
    <xf numFmtId="164" fontId="44" fillId="0" borderId="0" xfId="0" applyFont="1" applyAlignment="1">
      <alignment horizontal="left"/>
    </xf>
    <xf numFmtId="166" fontId="47" fillId="0" borderId="10" xfId="0" applyNumberFormat="1" applyFont="1" applyBorder="1" applyAlignment="1">
      <alignment horizontal="left"/>
    </xf>
    <xf numFmtId="164" fontId="40" fillId="0" borderId="10" xfId="0" applyFont="1" applyBorder="1" applyAlignment="1">
      <alignment horizontal="left"/>
    </xf>
    <xf numFmtId="166" fontId="47" fillId="0" borderId="0" xfId="0" applyNumberFormat="1" applyFont="1" applyAlignment="1">
      <alignment horizontal="center"/>
    </xf>
    <xf numFmtId="164" fontId="42" fillId="0" borderId="0" xfId="0" applyFont="1" applyAlignment="1">
      <alignment horizontal="center"/>
    </xf>
    <xf numFmtId="166" fontId="47" fillId="0" borderId="10" xfId="0" applyNumberFormat="1" applyFont="1" applyBorder="1" applyAlignment="1">
      <alignment horizontal="center"/>
    </xf>
    <xf numFmtId="39" fontId="41" fillId="0" borderId="0" xfId="0" applyNumberFormat="1" applyFont="1" applyAlignment="1">
      <alignment horizontal="left"/>
    </xf>
    <xf numFmtId="0" fontId="47" fillId="0" borderId="0" xfId="2" applyFont="1" applyAlignment="1">
      <alignment horizontal="right"/>
    </xf>
    <xf numFmtId="0" fontId="47" fillId="0" borderId="0" xfId="2" applyFont="1" applyAlignment="1">
      <alignment horizontal="left"/>
    </xf>
    <xf numFmtId="0" fontId="47" fillId="0" borderId="66" xfId="2" applyFont="1" applyBorder="1" applyAlignment="1">
      <alignment horizontal="center"/>
    </xf>
    <xf numFmtId="0" fontId="69" fillId="0" borderId="0" xfId="2" applyFont="1" applyAlignment="1" applyProtection="1">
      <alignment vertical="center"/>
      <protection locked="0"/>
    </xf>
    <xf numFmtId="0" fontId="0" fillId="0" borderId="0" xfId="2" applyFont="1" applyAlignment="1">
      <alignment vertical="center"/>
    </xf>
    <xf numFmtId="0" fontId="47" fillId="33" borderId="66" xfId="2" applyFont="1" applyFill="1" applyBorder="1" applyAlignment="1">
      <alignment horizontal="center"/>
    </xf>
    <xf numFmtId="0" fontId="69" fillId="0" borderId="0" xfId="2" applyFont="1"/>
    <xf numFmtId="0" fontId="0" fillId="0" borderId="0" xfId="2" applyFont="1"/>
    <xf numFmtId="166" fontId="77" fillId="0" borderId="0" xfId="2" applyNumberFormat="1" applyFont="1" applyAlignment="1">
      <alignment horizontal="right"/>
    </xf>
    <xf numFmtId="0" fontId="42" fillId="0" borderId="0" xfId="2" applyFont="1"/>
    <xf numFmtId="0" fontId="47" fillId="0" borderId="10" xfId="2" quotePrefix="1" applyFont="1" applyBorder="1" applyAlignment="1" applyProtection="1">
      <alignment horizontal="center"/>
      <protection locked="0"/>
    </xf>
    <xf numFmtId="0" fontId="47" fillId="0" borderId="10" xfId="2" applyFont="1" applyBorder="1" applyAlignment="1" applyProtection="1">
      <alignment horizontal="center"/>
      <protection locked="0"/>
    </xf>
    <xf numFmtId="0" fontId="40" fillId="0" borderId="0" xfId="2"/>
    <xf numFmtId="166" fontId="47" fillId="0" borderId="66" xfId="2" applyNumberFormat="1" applyFont="1" applyBorder="1" applyAlignment="1">
      <alignment horizontal="center"/>
    </xf>
    <xf numFmtId="0" fontId="47" fillId="0" borderId="10" xfId="2" quotePrefix="1" applyFont="1" applyBorder="1" applyAlignment="1">
      <alignment horizontal="center"/>
    </xf>
    <xf numFmtId="0" fontId="46" fillId="0" borderId="0" xfId="4" quotePrefix="1" applyFont="1" applyAlignment="1">
      <alignment horizontal="right"/>
    </xf>
    <xf numFmtId="0" fontId="88" fillId="0" borderId="0" xfId="4"/>
    <xf numFmtId="0" fontId="47" fillId="0" borderId="10" xfId="4" quotePrefix="1" applyFont="1" applyBorder="1" applyAlignment="1">
      <alignment horizontal="center"/>
    </xf>
    <xf numFmtId="0" fontId="0" fillId="0" borderId="10" xfId="2" applyFont="1" applyBorder="1"/>
    <xf numFmtId="166" fontId="69" fillId="0" borderId="66" xfId="2" quotePrefix="1" applyNumberFormat="1" applyFont="1" applyBorder="1" applyAlignment="1" applyProtection="1">
      <alignment horizontal="center"/>
      <protection locked="0"/>
    </xf>
    <xf numFmtId="166" fontId="69" fillId="0" borderId="66" xfId="2" applyNumberFormat="1" applyFont="1" applyBorder="1" applyAlignment="1" applyProtection="1">
      <alignment horizontal="center"/>
      <protection locked="0"/>
    </xf>
    <xf numFmtId="165" fontId="69" fillId="0" borderId="66" xfId="2" quotePrefix="1" applyNumberFormat="1" applyFont="1" applyBorder="1" applyAlignment="1" applyProtection="1">
      <alignment horizontal="center"/>
      <protection locked="0"/>
    </xf>
    <xf numFmtId="165" fontId="69" fillId="0" borderId="66" xfId="2" applyNumberFormat="1" applyFont="1" applyBorder="1" applyAlignment="1" applyProtection="1">
      <alignment horizontal="center"/>
      <protection locked="0"/>
    </xf>
    <xf numFmtId="0" fontId="69" fillId="0" borderId="0" xfId="2" quotePrefix="1" applyFont="1" applyAlignment="1">
      <alignment horizontal="center"/>
    </xf>
    <xf numFmtId="0" fontId="64" fillId="0" borderId="0" xfId="2" applyFont="1" applyAlignment="1">
      <alignment horizontal="center"/>
    </xf>
    <xf numFmtId="0" fontId="69" fillId="0" borderId="66" xfId="2" quotePrefix="1" applyFont="1" applyBorder="1" applyAlignment="1">
      <alignment horizontal="center"/>
    </xf>
    <xf numFmtId="0" fontId="170" fillId="0" borderId="0" xfId="2" quotePrefix="1" applyFont="1" applyAlignment="1">
      <alignment horizontal="center"/>
    </xf>
    <xf numFmtId="0" fontId="171" fillId="0" borderId="0" xfId="2" applyFont="1" applyAlignment="1">
      <alignment horizontal="center"/>
    </xf>
    <xf numFmtId="0" fontId="170" fillId="0" borderId="66" xfId="2" quotePrefix="1" applyFont="1" applyBorder="1" applyAlignment="1">
      <alignment horizontal="center"/>
    </xf>
    <xf numFmtId="181" fontId="85" fillId="0" borderId="0" xfId="1776" quotePrefix="1" applyNumberFormat="1" applyFont="1" applyAlignment="1">
      <alignment horizontal="justify" vertical="top"/>
    </xf>
    <xf numFmtId="181" fontId="85" fillId="0" borderId="0" xfId="1776" quotePrefix="1" applyNumberFormat="1" applyFont="1" applyAlignment="1">
      <alignment horizontal="justify" vertical="top" wrapText="1"/>
    </xf>
    <xf numFmtId="181" fontId="47" fillId="0" borderId="0" xfId="1776" quotePrefix="1" applyNumberFormat="1" applyFont="1" applyAlignment="1">
      <alignment horizontal="left" vertical="distributed" wrapText="1"/>
    </xf>
    <xf numFmtId="181" fontId="45" fillId="0" borderId="0" xfId="1776" applyNumberFormat="1" applyFont="1" applyAlignment="1">
      <alignment horizontal="left" vertical="top" wrapText="1"/>
    </xf>
    <xf numFmtId="0" fontId="46" fillId="0" borderId="66" xfId="9967" applyFont="1" applyBorder="1" applyAlignment="1">
      <alignment horizontal="center"/>
    </xf>
    <xf numFmtId="0" fontId="40" fillId="0" borderId="0" xfId="17" applyNumberFormat="1" applyAlignment="1">
      <alignment horizontal="left" wrapText="1"/>
    </xf>
    <xf numFmtId="0" fontId="44" fillId="0" borderId="51" xfId="739" applyFont="1" applyBorder="1" applyAlignment="1">
      <alignment horizontal="justify" wrapText="1"/>
    </xf>
    <xf numFmtId="0" fontId="44" fillId="0" borderId="52" xfId="739" applyFont="1" applyBorder="1" applyAlignment="1">
      <alignment horizontal="justify" wrapText="1"/>
    </xf>
    <xf numFmtId="0" fontId="44" fillId="0" borderId="53" xfId="739" applyFont="1" applyBorder="1" applyAlignment="1">
      <alignment horizontal="justify" wrapText="1"/>
    </xf>
    <xf numFmtId="0" fontId="44" fillId="0" borderId="54" xfId="739" applyFont="1" applyBorder="1" applyAlignment="1">
      <alignment horizontal="justify" wrapText="1"/>
    </xf>
    <xf numFmtId="0" fontId="44" fillId="0" borderId="0" xfId="739" applyFont="1" applyAlignment="1">
      <alignment horizontal="justify" wrapText="1"/>
    </xf>
    <xf numFmtId="0" fontId="44" fillId="0" borderId="44" xfId="739" applyFont="1" applyBorder="1" applyAlignment="1">
      <alignment horizontal="justify" wrapText="1"/>
    </xf>
    <xf numFmtId="0" fontId="44" fillId="0" borderId="55" xfId="739" applyFont="1" applyBorder="1" applyAlignment="1">
      <alignment horizontal="justify" wrapText="1"/>
    </xf>
    <xf numFmtId="0" fontId="44" fillId="0" borderId="50" xfId="739" applyFont="1" applyBorder="1" applyAlignment="1">
      <alignment horizontal="justify" wrapText="1"/>
    </xf>
    <xf numFmtId="0" fontId="44" fillId="0" borderId="56" xfId="739" applyFont="1" applyBorder="1" applyAlignment="1">
      <alignment horizontal="justify" wrapText="1"/>
    </xf>
    <xf numFmtId="17" fontId="47" fillId="0" borderId="10" xfId="25863" quotePrefix="1" applyNumberFormat="1" applyFont="1" applyBorder="1" applyAlignment="1">
      <alignment horizontal="center"/>
    </xf>
    <xf numFmtId="7" fontId="47" fillId="0" borderId="10" xfId="25863" applyNumberFormat="1" applyFont="1" applyBorder="1" applyAlignment="1">
      <alignment horizontal="center"/>
    </xf>
  </cellXfs>
  <cellStyles count="49833">
    <cellStyle name="20% - Accent1" xfId="49697" builtinId="30" customBuiltin="1"/>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17" xfId="49795" xr:uid="{AE8DAC52-152C-4F1E-939B-2959056DA31D}"/>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12" xfId="49780" xr:uid="{FF70C2F3-BDC1-47F6-A1AA-6640D5C4D4FD}"/>
    <cellStyle name="20% - Accent1 2 13" xfId="49808" xr:uid="{39772119-6921-4D37-AAA4-8EDDC133DFDA}"/>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12" xfId="49766" xr:uid="{FB93CA43-A575-46C0-86E2-2B60FD799D0C}"/>
    <cellStyle name="20% - Accent1 3 13" xfId="49820" xr:uid="{F8B71A7A-8B90-450A-A611-30C9E3FA662B}"/>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xfId="49699" builtinId="34" customBuiltin="1"/>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17" xfId="49797" xr:uid="{4EA6636B-C334-4ADA-B3CB-2D061A0EA5F7}"/>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12" xfId="49782" xr:uid="{4962DD1E-A98E-4B5C-BB81-6DB015CCF39F}"/>
    <cellStyle name="20% - Accent2 2 13" xfId="49810" xr:uid="{51AB3F9F-C239-4278-A4F8-72E29BD372DC}"/>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12" xfId="49768" xr:uid="{EB552E18-EDC7-4049-810A-36656014AA5F}"/>
    <cellStyle name="20% - Accent2 3 13" xfId="49822" xr:uid="{0CE10550-1644-4066-AFBA-FFF5DDAEEDEC}"/>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xfId="49701" builtinId="38" customBuiltin="1"/>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17" xfId="49799" xr:uid="{DB6CC688-E3D5-4727-A2A7-DC444F6247D5}"/>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12" xfId="49784" xr:uid="{E56AE9A0-7888-4ED3-B2D9-2911EB824B94}"/>
    <cellStyle name="20% - Accent3 2 13" xfId="49812" xr:uid="{47C185E8-F829-49A6-A144-8E08F480EBDA}"/>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12" xfId="49770" xr:uid="{44423A31-A165-4E2F-A96B-1B515125CDFD}"/>
    <cellStyle name="20% - Accent3 3 13" xfId="49824" xr:uid="{FD0A2C74-BFAF-4DD1-9F8B-1384F2D6860F}"/>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xfId="49703" builtinId="42" customBuiltin="1"/>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17" xfId="49801" xr:uid="{A3501623-C8C2-484F-8D1E-F1490D9A75DE}"/>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12" xfId="49786" xr:uid="{EFEC892A-EA61-455C-B0F7-D0FEFE212ADF}"/>
    <cellStyle name="20% - Accent4 2 13" xfId="49814" xr:uid="{1F55978E-94B2-40ED-B708-93BCE7F77B75}"/>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12" xfId="49772" xr:uid="{1E383888-81A5-4DA1-9954-657F544F9775}"/>
    <cellStyle name="20% - Accent4 3 13" xfId="49826" xr:uid="{F79DD019-C9D3-43F5-A6CD-1027756ABF3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xfId="49705" builtinId="46" customBuiltin="1"/>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17" xfId="49803" xr:uid="{F21BA508-5F2E-4B0C-8F2F-67B8E340F3EE}"/>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12" xfId="49788" xr:uid="{39659C3B-173F-45B7-AFE5-9CDB25164FCD}"/>
    <cellStyle name="20% - Accent5 2 13" xfId="49816" xr:uid="{FF1607C8-D95D-42DD-9AF6-5B2CB418C4B8}"/>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12" xfId="49774" xr:uid="{B1364B62-E969-4E62-A715-EC57E16D280D}"/>
    <cellStyle name="20% - Accent5 3 13" xfId="49828" xr:uid="{67BC31E0-703A-42E3-BF41-EDE96BDA5966}"/>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xfId="49707" builtinId="50" customBuiltin="1"/>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17" xfId="49805" xr:uid="{85126466-3381-4F1E-AC4E-42C398EDD258}"/>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12" xfId="49790" xr:uid="{4BD6B06A-5F58-4177-B94C-C69E7A627DC8}"/>
    <cellStyle name="20% - Accent6 2 13" xfId="49818" xr:uid="{9D491E89-21BC-4054-A9C0-6D1A5616E8EE}"/>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12" xfId="49776" xr:uid="{3E199D84-80C6-4646-B96A-FADB6B9E1079}"/>
    <cellStyle name="20% - Accent6 3 13" xfId="49830" xr:uid="{033E4528-90A1-41C8-879F-D9CC4D2C2978}"/>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xfId="49698" builtinId="31" customBuiltin="1"/>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17" xfId="49796" xr:uid="{F62B029B-2D75-4EA3-A495-2FD429FA3D0B}"/>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12" xfId="49781" xr:uid="{66CA3E8F-B26B-4EC7-BF6A-1F1190FF6009}"/>
    <cellStyle name="40% - Accent1 2 13" xfId="49809" xr:uid="{A53EC18E-CC7F-4DF8-8627-8B66CCBC3A52}"/>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12" xfId="49767" xr:uid="{34093A2A-A300-4429-974F-9F9A80591ECC}"/>
    <cellStyle name="40% - Accent1 3 13" xfId="49821" xr:uid="{85D4948B-FEB0-46FC-8349-D362A10CEA58}"/>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xfId="49700" builtinId="35" customBuiltin="1"/>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17" xfId="49798" xr:uid="{934B2669-FC89-4786-8809-887C9D873CF5}"/>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12" xfId="49783" xr:uid="{5715E6A7-F654-4C3D-8C00-95E516144BEE}"/>
    <cellStyle name="40% - Accent2 2 13" xfId="49811" xr:uid="{E8829EC1-FC92-4745-93C9-4787E6015ADC}"/>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12" xfId="49769" xr:uid="{DF3D5C3A-C82C-42EA-AF19-AFE978B1DE03}"/>
    <cellStyle name="40% - Accent2 3 13" xfId="49823" xr:uid="{ABD6F147-D953-423D-8A69-4ED201EB38F7}"/>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xfId="49702" builtinId="39" customBuiltin="1"/>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17" xfId="49800" xr:uid="{B5A0FDEE-3C92-4941-950E-9F4541255B67}"/>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12" xfId="49785" xr:uid="{4085C49D-FE00-49C5-8B1B-9EE9C3396E0A}"/>
    <cellStyle name="40% - Accent3 2 13" xfId="49813" xr:uid="{7C300A7D-4D9D-4390-B3D5-8A3F5265E0B3}"/>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12" xfId="49771" xr:uid="{7446BB79-9E0C-4567-BAFA-59C504C43327}"/>
    <cellStyle name="40% - Accent3 3 13" xfId="49825" xr:uid="{191CA0B3-1FFC-48F8-AFE1-7779E4E20301}"/>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xfId="49704" builtinId="43" customBuiltin="1"/>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17" xfId="49802" xr:uid="{50B61F38-D25E-4EB7-8710-268F673E3CCC}"/>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12" xfId="49787" xr:uid="{C13CB8F4-CA60-4765-8B23-CCD3878CE86D}"/>
    <cellStyle name="40% - Accent4 2 13" xfId="49815" xr:uid="{20DEE15C-4915-43B4-B034-7BE8861D20D7}"/>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12" xfId="49773" xr:uid="{035F9CAE-C5B0-4BA8-ACB3-3374E481DDF7}"/>
    <cellStyle name="40% - Accent4 3 13" xfId="49827" xr:uid="{90095F8B-97D1-444B-B9E6-FF108C247D51}"/>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xfId="49706" builtinId="47" customBuiltin="1"/>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17" xfId="49804" xr:uid="{99DE8CAF-EB84-4B39-9AD5-47FE7C321F29}"/>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12" xfId="49789" xr:uid="{3FC80A06-80CE-4E62-B198-8C88D52433E7}"/>
    <cellStyle name="40% - Accent5 2 13" xfId="49817" xr:uid="{349A4023-ABC3-430F-A2CF-620CC5436BCF}"/>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12" xfId="49775" xr:uid="{E9067AC6-71D6-4C19-954F-52F030945BF8}"/>
    <cellStyle name="40% - Accent5 3 13" xfId="49829" xr:uid="{C3299C45-9F08-4EF2-89D0-E1082B118B35}"/>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xfId="49708" builtinId="51" customBuiltin="1"/>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17" xfId="49806" xr:uid="{60AD41B5-0542-4FE1-8B26-83CEFE52DEAC}"/>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12" xfId="49791" xr:uid="{175283D7-0F46-41BF-8D02-EBBBCDC91C77}"/>
    <cellStyle name="40% - Accent6 2 13" xfId="49819" xr:uid="{E4A7DADC-2FAE-4279-B5E9-85ACB7F036E4}"/>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12" xfId="49777" xr:uid="{DC3A46B5-4EAF-4E11-8C9A-2EB334DF966A}"/>
    <cellStyle name="40% - Accent6 3 13" xfId="49831" xr:uid="{73E4ADF5-EEDD-49EB-9881-6910580C8D2B}"/>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10" xr:uid="{651E60E2-5F16-4971-B758-5E1DB5D226C5}"/>
    <cellStyle name="C00B" xfId="49711" xr:uid="{D7A9A9E8-AD47-4B47-9C8B-19F346E1F606}"/>
    <cellStyle name="C00L" xfId="49712" xr:uid="{972D11D0-E098-4593-B08F-41EFD348E95A}"/>
    <cellStyle name="C01A" xfId="49713" xr:uid="{373A0D2D-F697-43FA-8B25-0BE173B4FA7D}"/>
    <cellStyle name="C01B" xfId="49714" xr:uid="{C4782731-6FA2-4EE0-B720-0CAD77B50ADF}"/>
    <cellStyle name="C01H" xfId="49715" xr:uid="{BE517F0B-DB1B-49BB-BCDE-A6AC4BBD2A79}"/>
    <cellStyle name="C01L" xfId="49716" xr:uid="{5786AC69-F3E4-4899-A40D-FC463116F031}"/>
    <cellStyle name="C02A" xfId="49717" xr:uid="{1BCDA1EB-D915-4765-A23E-DCDB9977D44B}"/>
    <cellStyle name="C02B" xfId="49718" xr:uid="{5E3E6CDD-2FC2-4FCB-AABC-1E67F9133BA0}"/>
    <cellStyle name="C02H" xfId="49719" xr:uid="{167DFFC2-9900-410D-B8BB-2E3CBD12A30E}"/>
    <cellStyle name="C02L" xfId="49720" xr:uid="{A4C1EBB3-67A6-485B-9573-4658D738D0FE}"/>
    <cellStyle name="C03A" xfId="49721" xr:uid="{08EC0611-1AD1-44E7-A718-90876E55854B}"/>
    <cellStyle name="C03B" xfId="49722" xr:uid="{4D73D23E-B894-4527-A4F8-DB11C4EB11B7}"/>
    <cellStyle name="C03H" xfId="49723" xr:uid="{E21B60C1-1062-4305-A4AD-70C0ABFA318D}"/>
    <cellStyle name="C03L" xfId="49724" xr:uid="{C417BB95-5CD3-42F0-89F1-F039F1658FF7}"/>
    <cellStyle name="C04A" xfId="49725" xr:uid="{58D0B77C-3A42-4B8C-A801-FDBB76597CA1}"/>
    <cellStyle name="C04B" xfId="49726" xr:uid="{10E70545-BAC4-4740-A525-974712F0FEC1}"/>
    <cellStyle name="C04H" xfId="49727" xr:uid="{7DDA02B7-5DA4-4E6C-B6D9-C34698E33A0E}"/>
    <cellStyle name="C04L" xfId="49728" xr:uid="{492D8597-D88B-4399-8714-14B414A5AB67}"/>
    <cellStyle name="C05A" xfId="49729" xr:uid="{1C20608B-0408-43FC-8277-80C453594AEE}"/>
    <cellStyle name="C05B" xfId="49730" xr:uid="{E55CF831-5429-485F-9C11-1581956DB610}"/>
    <cellStyle name="C05H" xfId="49731" xr:uid="{1810EA43-ECCE-45E7-989D-F6E0C218F4BF}"/>
    <cellStyle name="C05L" xfId="49732" xr:uid="{5088F11A-1BF3-4CD0-8E88-363147E86014}"/>
    <cellStyle name="C05L 2" xfId="49792" xr:uid="{31623C7F-A7CA-4C0D-9001-73A280F914CC}"/>
    <cellStyle name="C05L 3" xfId="49778" xr:uid="{8D89F559-5BAB-4253-AEF6-9ABC7DD8000B}"/>
    <cellStyle name="C06A" xfId="49733" xr:uid="{E39FCB18-6B11-4E9E-88C5-DE06CD1AF104}"/>
    <cellStyle name="C06B" xfId="49734" xr:uid="{35ED561A-B862-45A5-BA57-A07AAAD0B5BC}"/>
    <cellStyle name="C06H" xfId="49735" xr:uid="{E1ED3CD1-7FEA-4B81-AA48-73529559A72E}"/>
    <cellStyle name="C06L" xfId="49736" xr:uid="{67E30422-E94B-492A-AED2-F3B045EA9115}"/>
    <cellStyle name="C07A" xfId="49737" xr:uid="{0BE651D3-CDBA-4999-A05C-ADD85E64B371}"/>
    <cellStyle name="C07B" xfId="49738" xr:uid="{B895DDF3-8628-453D-8D49-74EE6C29468A}"/>
    <cellStyle name="C07H" xfId="49739" xr:uid="{76E5E761-5C38-4800-B034-9D8C2BCFC0B3}"/>
    <cellStyle name="C07L" xfId="49740"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12" xfId="49807"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2" xr:uid="{A9B57D07-A9FA-43B9-B1EA-A68B6BE4180B}"/>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60" xfId="49709" xr:uid="{21714B4E-006B-4FAF-8A57-C62674FCFD8C}"/>
    <cellStyle name="Normal 61" xfId="49794" xr:uid="{E268CA34-7E45-483D-ABEB-5CE3333CD824}"/>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1" xr:uid="{7B6C0521-7885-4DB5-B264-E219D81DF26D}"/>
    <cellStyle name="R00B" xfId="49742" xr:uid="{98E9EBBF-D33C-4870-8619-E4CCB7FE6D7E}"/>
    <cellStyle name="R00L" xfId="49743" xr:uid="{C4FF600F-1EAC-4A4F-B738-673259829868}"/>
    <cellStyle name="R01A" xfId="49744" xr:uid="{DE1E0AE8-EA60-4498-92F0-43FB7007CDEC}"/>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H" xfId="49745" xr:uid="{9CBCAA73-9F11-4254-8054-AF0AA71F6F70}"/>
    <cellStyle name="R02L" xfId="25867" xr:uid="{00000000-0005-0000-0000-000009650000}"/>
    <cellStyle name="R03A" xfId="49746" xr:uid="{B8150B26-A38B-411A-9C1F-713565795023}"/>
    <cellStyle name="R03B" xfId="49747" xr:uid="{0B8CD15F-4416-430F-8748-8DD071013D90}"/>
    <cellStyle name="R03H" xfId="49748" xr:uid="{8CF50398-D3EE-434B-A96F-22B187A24912}"/>
    <cellStyle name="R03L" xfId="49749" xr:uid="{B2E5094E-A000-4592-A4B7-39799F3C4979}"/>
    <cellStyle name="R04A" xfId="49750" xr:uid="{30C3E21F-4C7D-4492-9DD8-6DDAA92046A5}"/>
    <cellStyle name="R04B" xfId="49751" xr:uid="{E1BD74AC-8068-4BAB-A82E-97C36F6650B9}"/>
    <cellStyle name="R04H" xfId="49752" xr:uid="{66CE1DD6-250A-44DD-B070-B6DF6B0071F2}"/>
    <cellStyle name="R04L" xfId="49753" xr:uid="{67189EA3-ADB9-487C-8F42-160572CC00F3}"/>
    <cellStyle name="R05A" xfId="49754" xr:uid="{C8E11FEA-5847-4E79-8849-696E1F4BD714}"/>
    <cellStyle name="R05B" xfId="49755" xr:uid="{F12A779A-FC04-4EA5-9ACB-6BEE437BD4D5}"/>
    <cellStyle name="R05H" xfId="49756" xr:uid="{4A349211-27A5-45F0-9A61-EDA5810BF6D3}"/>
    <cellStyle name="R05L" xfId="49757" xr:uid="{CCF23101-AF9D-42AA-9A10-A1AFDB9DE572}"/>
    <cellStyle name="R05L 2" xfId="49793" xr:uid="{6F9D4CE7-1A52-4BEE-B2DF-49672611DE7C}"/>
    <cellStyle name="R05L 3" xfId="49779" xr:uid="{B3B8F5D7-F2EB-45E8-B55C-76C55797736C}"/>
    <cellStyle name="R06A" xfId="49758" xr:uid="{60DBFAD4-68B0-4C88-994E-FA60A95F9159}"/>
    <cellStyle name="R06B" xfId="49759" xr:uid="{54C3346D-A60C-4C4F-9405-2B2D147C4413}"/>
    <cellStyle name="R06H" xfId="49760" xr:uid="{3AEA0AAD-CFA7-4AE6-B8B9-BD7E01ED1A46}"/>
    <cellStyle name="R06L" xfId="49761" xr:uid="{048A8497-953F-4DE4-859C-27069A4DFE88}"/>
    <cellStyle name="R07A" xfId="49762" xr:uid="{F4E5A1A0-6741-4EE6-A45A-9723749FE4D0}"/>
    <cellStyle name="R07B" xfId="49763" xr:uid="{9ECF5628-EEC7-433D-9063-2A60C438965E}"/>
    <cellStyle name="R07H" xfId="49764" xr:uid="{5852413E-657C-470A-AACE-EA9CFA079B29}"/>
    <cellStyle name="R07L" xfId="49765"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148</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148</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84375" defaultRowHeight="12.5"/>
  <cols>
    <col min="1" max="1" width="2.07421875" style="426" customWidth="1"/>
    <col min="2" max="2" width="22.84375" style="426" customWidth="1"/>
    <col min="3" max="3" width="6" style="426" customWidth="1"/>
    <col min="4" max="4" width="24.07421875" style="426" customWidth="1"/>
    <col min="5" max="6" width="12.4609375" style="426" customWidth="1"/>
    <col min="7" max="7" width="4" style="426" customWidth="1"/>
    <col min="8" max="8" width="12.4609375" style="426" customWidth="1"/>
    <col min="9" max="9" width="12" style="426" customWidth="1"/>
    <col min="10" max="10" width="3.84375" style="426" customWidth="1"/>
    <col min="11" max="11" width="28.4609375" style="426" customWidth="1"/>
    <col min="12" max="16384" width="8.84375" style="426"/>
  </cols>
  <sheetData>
    <row r="1" spans="1:10" s="423" customFormat="1" ht="13">
      <c r="A1" s="421"/>
      <c r="B1" s="421"/>
      <c r="C1" s="421"/>
      <c r="D1" s="421"/>
      <c r="E1" s="421"/>
      <c r="F1" s="421"/>
      <c r="G1" s="421"/>
      <c r="H1" s="421"/>
      <c r="I1" s="421"/>
      <c r="J1" s="422"/>
    </row>
    <row r="2" spans="1:10" s="423" customFormat="1" ht="13">
      <c r="A2" s="421"/>
      <c r="B2" s="421"/>
      <c r="C2" s="421"/>
      <c r="D2" s="421"/>
      <c r="E2" s="421"/>
      <c r="F2" s="421"/>
      <c r="G2" s="421"/>
      <c r="H2" s="421"/>
      <c r="I2" s="421"/>
      <c r="J2" s="422"/>
    </row>
    <row r="3" spans="1:10" s="423" customFormat="1" ht="13">
      <c r="A3" s="421"/>
      <c r="B3" s="421"/>
      <c r="C3" s="421"/>
      <c r="D3" s="421"/>
      <c r="E3" s="421"/>
      <c r="F3" s="421"/>
      <c r="G3" s="421"/>
      <c r="H3" s="421"/>
      <c r="I3" s="421"/>
      <c r="J3" s="422"/>
    </row>
    <row r="4" spans="1:10" s="423" customFormat="1" ht="13">
      <c r="A4" s="421" t="s">
        <v>833</v>
      </c>
      <c r="B4" s="421"/>
      <c r="C4" s="421"/>
      <c r="D4" s="421"/>
      <c r="E4" s="421"/>
      <c r="F4" s="421"/>
      <c r="G4" s="421"/>
      <c r="H4" s="421"/>
      <c r="I4" s="563" t="s">
        <v>829</v>
      </c>
      <c r="J4" s="422"/>
    </row>
    <row r="5" spans="1:10" ht="18">
      <c r="A5" s="421" t="s">
        <v>831</v>
      </c>
      <c r="B5" s="424"/>
      <c r="C5" s="424"/>
      <c r="D5" s="424"/>
      <c r="E5" s="424"/>
      <c r="F5" s="424"/>
      <c r="G5" s="424"/>
      <c r="H5" s="424"/>
      <c r="I5" s="563" t="s">
        <v>830</v>
      </c>
      <c r="J5" s="425"/>
    </row>
    <row r="6" spans="1:10" ht="18">
      <c r="A6" s="421" t="s">
        <v>712</v>
      </c>
      <c r="B6" s="424"/>
      <c r="C6" s="424"/>
      <c r="D6" s="424"/>
      <c r="E6" s="424"/>
      <c r="F6" s="424"/>
      <c r="G6" s="424"/>
      <c r="H6" s="424"/>
      <c r="I6" s="424"/>
      <c r="J6" s="425"/>
    </row>
    <row r="7" spans="1:10" ht="18">
      <c r="A7" s="421" t="s">
        <v>713</v>
      </c>
      <c r="B7" s="424"/>
      <c r="C7" s="424"/>
      <c r="D7" s="424"/>
      <c r="E7" s="424"/>
      <c r="F7" s="424"/>
      <c r="G7" s="424"/>
      <c r="H7" s="424"/>
      <c r="I7" s="424"/>
      <c r="J7" s="425"/>
    </row>
    <row r="8" spans="1:10" ht="18.5" thickBot="1">
      <c r="A8" s="424"/>
      <c r="B8" s="424"/>
      <c r="C8" s="424"/>
      <c r="D8" s="424"/>
      <c r="E8" s="424"/>
      <c r="F8" s="424"/>
      <c r="G8" s="424"/>
      <c r="H8" s="424"/>
      <c r="I8" s="424"/>
      <c r="J8" s="425"/>
    </row>
    <row r="9" spans="1:10" ht="18.5" thickTop="1">
      <c r="A9" s="427" t="s">
        <v>714</v>
      </c>
      <c r="B9" s="428"/>
      <c r="C9" s="428"/>
      <c r="D9" s="428"/>
      <c r="E9" s="428"/>
      <c r="F9" s="428"/>
      <c r="G9" s="428"/>
      <c r="H9" s="428"/>
      <c r="I9" s="428"/>
      <c r="J9" s="429"/>
    </row>
    <row r="10" spans="1:10" ht="18.5" thickBot="1">
      <c r="A10" s="1012" t="s">
        <v>1550</v>
      </c>
      <c r="B10" s="424"/>
      <c r="C10" s="424"/>
      <c r="D10" s="424"/>
      <c r="E10" s="424"/>
      <c r="F10" s="424"/>
      <c r="G10" s="424"/>
      <c r="H10" s="424"/>
      <c r="I10" s="424"/>
      <c r="J10" s="429"/>
    </row>
    <row r="11" spans="1:10" ht="18.5" thickTop="1">
      <c r="A11" s="430"/>
      <c r="B11" s="431"/>
      <c r="C11" s="431"/>
      <c r="D11" s="431"/>
      <c r="E11" s="431"/>
      <c r="F11" s="431"/>
      <c r="G11" s="431"/>
      <c r="H11" s="431"/>
      <c r="I11" s="431"/>
      <c r="J11" s="432"/>
    </row>
    <row r="12" spans="1:10" ht="13">
      <c r="A12" s="421" t="s">
        <v>715</v>
      </c>
      <c r="B12" s="424"/>
      <c r="C12" s="424"/>
      <c r="D12" s="424"/>
      <c r="E12" s="421"/>
      <c r="F12" s="421"/>
      <c r="G12" s="421"/>
      <c r="H12" s="424"/>
      <c r="I12" s="424"/>
      <c r="J12" s="433"/>
    </row>
    <row r="13" spans="1:10" ht="13">
      <c r="A13" s="423"/>
      <c r="J13" s="433"/>
    </row>
    <row r="14" spans="1:10" ht="13">
      <c r="A14" s="423" t="s">
        <v>716</v>
      </c>
      <c r="B14" s="436"/>
      <c r="J14" s="434"/>
    </row>
    <row r="15" spans="1:10" ht="13">
      <c r="A15" s="423"/>
      <c r="B15" s="475"/>
      <c r="J15" s="434"/>
    </row>
    <row r="16" spans="1:10" ht="13">
      <c r="A16" s="423"/>
      <c r="B16" s="929" t="s">
        <v>746</v>
      </c>
      <c r="D16" s="435" t="s">
        <v>717</v>
      </c>
      <c r="F16" s="436"/>
      <c r="J16" s="476">
        <v>2</v>
      </c>
    </row>
    <row r="17" spans="1:11" ht="13">
      <c r="A17" s="423"/>
      <c r="B17" s="929" t="s">
        <v>747</v>
      </c>
      <c r="D17" s="426" t="s">
        <v>1047</v>
      </c>
      <c r="E17" s="438"/>
      <c r="F17" s="439"/>
      <c r="G17" s="438"/>
      <c r="H17" s="438"/>
      <c r="I17" s="438"/>
      <c r="J17" s="476">
        <v>3</v>
      </c>
    </row>
    <row r="18" spans="1:11" ht="13">
      <c r="A18" s="440"/>
      <c r="B18" s="924" t="s">
        <v>1165</v>
      </c>
      <c r="D18" s="442" t="s">
        <v>866</v>
      </c>
      <c r="E18" s="435"/>
      <c r="F18" s="435"/>
      <c r="G18" s="435"/>
      <c r="H18" s="435"/>
      <c r="I18" s="435"/>
      <c r="J18" s="476">
        <v>4</v>
      </c>
    </row>
    <row r="19" spans="1:11" ht="13">
      <c r="A19" s="423"/>
      <c r="B19" s="924" t="s">
        <v>748</v>
      </c>
      <c r="D19" s="441" t="s">
        <v>718</v>
      </c>
      <c r="E19" s="441"/>
      <c r="F19" s="441"/>
      <c r="G19" s="441"/>
      <c r="H19" s="441"/>
      <c r="I19" s="441"/>
      <c r="J19" s="476">
        <v>6</v>
      </c>
    </row>
    <row r="20" spans="1:11" ht="13">
      <c r="A20" s="423"/>
      <c r="B20" s="924" t="s">
        <v>749</v>
      </c>
      <c r="D20" s="441" t="s">
        <v>719</v>
      </c>
      <c r="E20" s="441"/>
      <c r="F20" s="441"/>
      <c r="G20" s="441"/>
      <c r="H20" s="441"/>
      <c r="I20" s="441"/>
      <c r="J20" s="476">
        <v>7</v>
      </c>
    </row>
    <row r="21" spans="1:11" ht="13">
      <c r="A21" s="423"/>
      <c r="B21" s="924" t="s">
        <v>1013</v>
      </c>
      <c r="D21" s="442" t="s">
        <v>1048</v>
      </c>
      <c r="E21" s="441"/>
      <c r="F21" s="441"/>
      <c r="G21" s="441"/>
      <c r="H21" s="441"/>
      <c r="I21" s="441"/>
      <c r="J21" s="476">
        <v>8</v>
      </c>
    </row>
    <row r="22" spans="1:11" ht="13">
      <c r="A22" s="423"/>
      <c r="B22" s="924" t="s">
        <v>1014</v>
      </c>
      <c r="D22" s="442" t="s">
        <v>1049</v>
      </c>
      <c r="E22" s="441"/>
      <c r="F22" s="441"/>
      <c r="G22" s="441"/>
      <c r="H22" s="441"/>
      <c r="I22" s="441"/>
      <c r="J22" s="476">
        <v>9</v>
      </c>
    </row>
    <row r="23" spans="1:11" ht="13">
      <c r="A23" s="423"/>
      <c r="B23" s="929" t="s">
        <v>1015</v>
      </c>
      <c r="D23" s="442" t="s">
        <v>1056</v>
      </c>
      <c r="E23" s="441"/>
      <c r="F23" s="441"/>
      <c r="G23" s="441"/>
      <c r="H23" s="441"/>
      <c r="I23" s="441"/>
      <c r="J23" s="476">
        <v>10</v>
      </c>
    </row>
    <row r="24" spans="1:11" ht="13">
      <c r="A24" s="423"/>
      <c r="B24" s="924" t="s">
        <v>1016</v>
      </c>
      <c r="D24" s="442" t="s">
        <v>1050</v>
      </c>
      <c r="E24" s="441"/>
      <c r="F24" s="441"/>
      <c r="G24" s="441"/>
      <c r="H24" s="441"/>
      <c r="I24" s="441"/>
      <c r="J24" s="476">
        <v>11</v>
      </c>
    </row>
    <row r="25" spans="1:11" ht="13">
      <c r="A25" s="423"/>
      <c r="B25" s="924" t="s">
        <v>1017</v>
      </c>
      <c r="D25" s="442" t="s">
        <v>1051</v>
      </c>
      <c r="E25" s="441"/>
      <c r="F25" s="441"/>
      <c r="G25" s="441"/>
      <c r="H25" s="441"/>
      <c r="I25" s="441"/>
      <c r="J25" s="476">
        <v>12</v>
      </c>
    </row>
    <row r="26" spans="1:11" ht="13">
      <c r="A26" s="423"/>
      <c r="B26" s="924" t="s">
        <v>1018</v>
      </c>
      <c r="D26" s="442" t="s">
        <v>1052</v>
      </c>
      <c r="E26" s="441"/>
      <c r="F26" s="441"/>
      <c r="G26" s="441"/>
      <c r="H26" s="441"/>
      <c r="I26" s="441"/>
      <c r="J26" s="476">
        <v>13</v>
      </c>
    </row>
    <row r="27" spans="1:11" ht="13">
      <c r="A27" s="423"/>
      <c r="B27" s="924" t="s">
        <v>1019</v>
      </c>
      <c r="D27" s="442" t="s">
        <v>1053</v>
      </c>
      <c r="E27" s="441"/>
      <c r="F27" s="441"/>
      <c r="G27" s="441"/>
      <c r="H27" s="441"/>
      <c r="I27" s="441"/>
      <c r="J27" s="476">
        <v>14</v>
      </c>
    </row>
    <row r="28" spans="1:11" ht="13">
      <c r="A28" s="423"/>
      <c r="B28" s="924" t="s">
        <v>1020</v>
      </c>
      <c r="D28" s="442" t="s">
        <v>1054</v>
      </c>
      <c r="E28" s="441"/>
      <c r="F28" s="441"/>
      <c r="G28" s="441"/>
      <c r="H28" s="441"/>
      <c r="I28" s="441"/>
      <c r="J28" s="476">
        <v>15</v>
      </c>
    </row>
    <row r="29" spans="1:11" ht="13">
      <c r="A29" s="423"/>
      <c r="B29" s="924" t="s">
        <v>750</v>
      </c>
      <c r="D29" s="443" t="s">
        <v>720</v>
      </c>
      <c r="E29" s="441"/>
      <c r="F29" s="441"/>
      <c r="G29" s="441"/>
      <c r="H29" s="441"/>
      <c r="I29" s="441"/>
      <c r="J29" s="476">
        <v>16</v>
      </c>
    </row>
    <row r="30" spans="1:11" ht="13">
      <c r="A30" s="423"/>
      <c r="B30" s="929" t="s">
        <v>768</v>
      </c>
      <c r="D30" s="442" t="s">
        <v>1055</v>
      </c>
      <c r="E30" s="442"/>
      <c r="F30" s="442"/>
      <c r="G30" s="442"/>
      <c r="H30" s="442"/>
      <c r="I30" s="442"/>
      <c r="J30" s="476">
        <v>17</v>
      </c>
      <c r="K30" s="423"/>
    </row>
    <row r="31" spans="1:11" ht="13">
      <c r="A31" s="423"/>
      <c r="B31" s="924" t="s">
        <v>1021</v>
      </c>
      <c r="D31" s="442" t="s">
        <v>1047</v>
      </c>
      <c r="E31" s="438"/>
      <c r="F31" s="438"/>
      <c r="G31" s="438"/>
      <c r="H31" s="438"/>
      <c r="I31" s="438"/>
      <c r="J31" s="476">
        <v>19</v>
      </c>
      <c r="K31" s="423"/>
    </row>
    <row r="32" spans="1:11" ht="13">
      <c r="A32" s="423"/>
      <c r="B32" s="924"/>
      <c r="J32" s="476"/>
      <c r="K32" s="423"/>
    </row>
    <row r="33" spans="1:11" ht="13">
      <c r="A33" s="423"/>
      <c r="B33" s="925"/>
      <c r="J33" s="476"/>
    </row>
    <row r="34" spans="1:11" ht="13">
      <c r="A34" s="423" t="s">
        <v>721</v>
      </c>
      <c r="B34" s="926"/>
      <c r="C34" s="423"/>
      <c r="D34" s="423"/>
      <c r="E34" s="423"/>
      <c r="F34" s="423"/>
      <c r="G34" s="423"/>
      <c r="H34" s="423"/>
      <c r="I34" s="423"/>
      <c r="J34" s="477"/>
    </row>
    <row r="35" spans="1:11" ht="13">
      <c r="A35" s="423"/>
      <c r="B35" s="926"/>
      <c r="C35" s="423"/>
      <c r="D35" s="423"/>
      <c r="E35" s="423"/>
      <c r="F35" s="423"/>
      <c r="G35" s="423"/>
      <c r="H35" s="423"/>
      <c r="I35" s="423"/>
      <c r="J35" s="477"/>
    </row>
    <row r="36" spans="1:11" ht="13">
      <c r="A36" s="423"/>
      <c r="B36" s="929" t="s">
        <v>751</v>
      </c>
      <c r="D36" s="435" t="s">
        <v>771</v>
      </c>
      <c r="E36" s="435"/>
      <c r="F36" s="435"/>
      <c r="G36" s="435"/>
      <c r="H36" s="435"/>
      <c r="I36" s="435"/>
      <c r="J36" s="476">
        <v>21</v>
      </c>
    </row>
    <row r="37" spans="1:11" ht="13">
      <c r="A37" s="423"/>
      <c r="B37" s="929" t="s">
        <v>722</v>
      </c>
      <c r="D37" s="426" t="s">
        <v>767</v>
      </c>
      <c r="J37" s="476">
        <v>23</v>
      </c>
    </row>
    <row r="38" spans="1:11" ht="13">
      <c r="A38" s="423"/>
      <c r="B38" s="929" t="s">
        <v>752</v>
      </c>
      <c r="D38" s="441" t="s">
        <v>1166</v>
      </c>
      <c r="E38" s="441"/>
      <c r="F38" s="441"/>
      <c r="G38" s="441"/>
      <c r="H38" s="441"/>
      <c r="I38" s="441"/>
      <c r="J38" s="476">
        <v>25</v>
      </c>
    </row>
    <row r="39" spans="1:11" ht="13">
      <c r="A39" s="423"/>
      <c r="B39" s="929" t="s">
        <v>753</v>
      </c>
      <c r="D39" s="441" t="s">
        <v>1167</v>
      </c>
      <c r="E39" s="441"/>
      <c r="F39" s="441"/>
      <c r="G39" s="441"/>
      <c r="H39" s="441"/>
      <c r="I39" s="441"/>
      <c r="J39" s="476">
        <v>27</v>
      </c>
    </row>
    <row r="40" spans="1:11" ht="13">
      <c r="A40" s="423"/>
      <c r="B40" s="924" t="s">
        <v>723</v>
      </c>
      <c r="D40" s="441" t="s">
        <v>911</v>
      </c>
      <c r="E40" s="441"/>
      <c r="F40" s="441"/>
      <c r="G40" s="441"/>
      <c r="H40" s="441"/>
      <c r="I40" s="441"/>
      <c r="J40" s="476">
        <v>29</v>
      </c>
    </row>
    <row r="41" spans="1:11" ht="13">
      <c r="A41" s="423"/>
      <c r="B41" s="929" t="s">
        <v>724</v>
      </c>
      <c r="D41" s="441" t="s">
        <v>874</v>
      </c>
      <c r="E41" s="441"/>
      <c r="F41" s="441"/>
      <c r="G41" s="441"/>
      <c r="H41" s="441"/>
      <c r="I41" s="441"/>
      <c r="J41" s="476">
        <v>30</v>
      </c>
    </row>
    <row r="42" spans="1:11" ht="13">
      <c r="A42" s="423"/>
      <c r="B42" s="929" t="s">
        <v>754</v>
      </c>
      <c r="D42" s="441" t="s">
        <v>1168</v>
      </c>
      <c r="E42" s="441"/>
      <c r="F42" s="441"/>
      <c r="G42" s="441"/>
      <c r="H42" s="441"/>
      <c r="I42" s="441"/>
      <c r="J42" s="476">
        <v>32</v>
      </c>
    </row>
    <row r="43" spans="1:11" ht="13">
      <c r="A43" s="423"/>
      <c r="B43" s="929" t="s">
        <v>755</v>
      </c>
      <c r="D43" s="441" t="s">
        <v>1169</v>
      </c>
      <c r="E43" s="441"/>
      <c r="F43" s="441"/>
      <c r="G43" s="441"/>
      <c r="H43" s="441"/>
      <c r="I43" s="441"/>
      <c r="J43" s="476">
        <v>34</v>
      </c>
    </row>
    <row r="44" spans="1:11" ht="13">
      <c r="A44" s="423"/>
      <c r="B44" s="924" t="s">
        <v>725</v>
      </c>
      <c r="D44" s="441" t="s">
        <v>772</v>
      </c>
      <c r="E44" s="441"/>
      <c r="F44" s="441"/>
      <c r="G44" s="441"/>
      <c r="H44" s="441"/>
      <c r="I44" s="441"/>
      <c r="J44" s="476">
        <v>35</v>
      </c>
    </row>
    <row r="45" spans="1:11" ht="13">
      <c r="A45" s="423"/>
      <c r="B45" s="929" t="s">
        <v>726</v>
      </c>
      <c r="D45" s="441" t="s">
        <v>769</v>
      </c>
      <c r="E45" s="441"/>
      <c r="F45" s="441"/>
      <c r="G45" s="441"/>
      <c r="H45" s="441"/>
      <c r="I45" s="441"/>
      <c r="J45" s="476">
        <v>36</v>
      </c>
    </row>
    <row r="46" spans="1:11" ht="13">
      <c r="A46" s="423"/>
      <c r="B46" s="924" t="s">
        <v>727</v>
      </c>
      <c r="D46" s="441" t="s">
        <v>1460</v>
      </c>
      <c r="E46" s="441"/>
      <c r="F46" s="441"/>
      <c r="G46" s="441"/>
      <c r="H46" s="441"/>
      <c r="I46" s="441"/>
      <c r="J46" s="476">
        <v>37</v>
      </c>
    </row>
    <row r="47" spans="1:11" ht="13">
      <c r="A47" s="423"/>
      <c r="B47" s="924" t="s">
        <v>728</v>
      </c>
      <c r="D47" s="442" t="s">
        <v>770</v>
      </c>
      <c r="E47" s="442"/>
      <c r="F47" s="442"/>
      <c r="G47" s="442"/>
      <c r="H47" s="442"/>
      <c r="I47" s="442"/>
      <c r="J47" s="476">
        <v>38</v>
      </c>
      <c r="K47" s="423"/>
    </row>
    <row r="48" spans="1:11" ht="13">
      <c r="A48" s="423"/>
      <c r="B48" s="925"/>
      <c r="J48" s="476"/>
    </row>
    <row r="49" spans="1:11" ht="13">
      <c r="A49" s="423" t="s">
        <v>729</v>
      </c>
      <c r="B49" s="925"/>
      <c r="J49" s="476"/>
    </row>
    <row r="50" spans="1:11" ht="13">
      <c r="A50" s="423"/>
      <c r="B50" s="926"/>
      <c r="C50" s="423"/>
      <c r="D50" s="423"/>
      <c r="E50" s="423"/>
      <c r="F50" s="423"/>
      <c r="G50" s="423"/>
      <c r="H50" s="423"/>
      <c r="I50" s="423"/>
      <c r="J50" s="477"/>
    </row>
    <row r="51" spans="1:11" ht="13">
      <c r="A51" s="423"/>
      <c r="B51" s="924" t="s">
        <v>730</v>
      </c>
      <c r="D51" s="426" t="s">
        <v>773</v>
      </c>
      <c r="J51" s="476">
        <v>39</v>
      </c>
    </row>
    <row r="52" spans="1:11" ht="13">
      <c r="A52" s="423"/>
      <c r="B52" s="924" t="s">
        <v>731</v>
      </c>
      <c r="D52" s="441" t="s">
        <v>774</v>
      </c>
      <c r="E52" s="441"/>
      <c r="F52" s="441"/>
      <c r="G52" s="441"/>
      <c r="H52" s="441"/>
      <c r="I52" s="441"/>
      <c r="J52" s="476">
        <v>42</v>
      </c>
    </row>
    <row r="53" spans="1:11" ht="13">
      <c r="A53" s="423"/>
      <c r="B53" s="924" t="s">
        <v>732</v>
      </c>
      <c r="D53" s="441" t="s">
        <v>775</v>
      </c>
      <c r="E53" s="441"/>
      <c r="F53" s="441"/>
      <c r="G53" s="441"/>
      <c r="H53" s="441"/>
      <c r="I53" s="441"/>
      <c r="J53" s="476">
        <v>43</v>
      </c>
    </row>
    <row r="54" spans="1:11" ht="13">
      <c r="A54" s="423"/>
      <c r="B54" s="924" t="s">
        <v>733</v>
      </c>
      <c r="D54" s="441" t="s">
        <v>778</v>
      </c>
      <c r="E54" s="441"/>
      <c r="F54" s="441"/>
      <c r="G54" s="441"/>
      <c r="H54" s="441"/>
      <c r="I54" s="441"/>
      <c r="J54" s="476">
        <v>44</v>
      </c>
    </row>
    <row r="55" spans="1:11" ht="13">
      <c r="A55" s="423"/>
      <c r="B55" s="924" t="s">
        <v>734</v>
      </c>
      <c r="D55" s="441" t="s">
        <v>776</v>
      </c>
      <c r="E55" s="441"/>
      <c r="F55" s="441"/>
      <c r="G55" s="441"/>
      <c r="H55" s="441"/>
      <c r="I55" s="441"/>
      <c r="J55" s="476">
        <v>45</v>
      </c>
      <c r="K55" s="444"/>
    </row>
    <row r="56" spans="1:11" ht="13">
      <c r="A56" s="423"/>
      <c r="B56" s="929" t="s">
        <v>735</v>
      </c>
      <c r="D56" s="441" t="s">
        <v>777</v>
      </c>
      <c r="E56" s="441"/>
      <c r="F56" s="441"/>
      <c r="G56" s="441"/>
      <c r="H56" s="441"/>
      <c r="I56" s="441"/>
      <c r="J56" s="476">
        <v>46</v>
      </c>
      <c r="K56" s="433"/>
    </row>
    <row r="57" spans="1:11" ht="13">
      <c r="A57" s="423"/>
      <c r="B57" s="924" t="s">
        <v>736</v>
      </c>
      <c r="D57" s="442" t="s">
        <v>737</v>
      </c>
      <c r="E57" s="442"/>
      <c r="F57" s="442"/>
      <c r="G57" s="442"/>
      <c r="H57" s="442"/>
      <c r="I57" s="442"/>
      <c r="J57" s="476">
        <v>47</v>
      </c>
      <c r="K57" s="433"/>
    </row>
    <row r="58" spans="1:11" ht="13">
      <c r="A58" s="423"/>
      <c r="B58" s="927" t="s">
        <v>756</v>
      </c>
      <c r="D58" s="435" t="s">
        <v>738</v>
      </c>
      <c r="E58" s="435"/>
      <c r="F58" s="435"/>
      <c r="G58" s="435"/>
      <c r="H58" s="435"/>
      <c r="I58" s="435"/>
      <c r="J58" s="476">
        <v>48</v>
      </c>
      <c r="K58" s="433"/>
    </row>
    <row r="59" spans="1:11" ht="13">
      <c r="A59" s="423"/>
      <c r="B59" s="928" t="s">
        <v>757</v>
      </c>
      <c r="D59" s="438" t="s">
        <v>739</v>
      </c>
      <c r="E59" s="438"/>
      <c r="F59" s="438"/>
      <c r="G59" s="438"/>
      <c r="H59" s="438"/>
      <c r="I59" s="438"/>
      <c r="J59" s="476">
        <v>49</v>
      </c>
      <c r="K59" s="433"/>
    </row>
    <row r="60" spans="1:11" ht="13">
      <c r="A60" s="423"/>
      <c r="B60" s="928" t="s">
        <v>758</v>
      </c>
      <c r="D60" s="445" t="s">
        <v>740</v>
      </c>
      <c r="E60" s="438"/>
      <c r="F60" s="445"/>
      <c r="G60" s="438"/>
      <c r="H60" s="438"/>
      <c r="I60" s="438"/>
      <c r="J60" s="476">
        <v>50</v>
      </c>
      <c r="K60" s="433"/>
    </row>
    <row r="61" spans="1:11" ht="13">
      <c r="A61" s="423"/>
      <c r="B61" s="928" t="s">
        <v>759</v>
      </c>
      <c r="D61" s="438" t="s">
        <v>741</v>
      </c>
      <c r="E61" s="438"/>
      <c r="F61" s="438"/>
      <c r="G61" s="438"/>
      <c r="H61" s="438"/>
      <c r="I61" s="438"/>
      <c r="J61" s="476">
        <v>51</v>
      </c>
    </row>
    <row r="62" spans="1:11" ht="13">
      <c r="A62" s="423"/>
      <c r="B62" s="1069" t="s">
        <v>760</v>
      </c>
      <c r="D62" s="438" t="s">
        <v>1170</v>
      </c>
      <c r="E62" s="438"/>
      <c r="F62" s="438"/>
      <c r="G62" s="438"/>
      <c r="H62" s="439"/>
      <c r="I62" s="438"/>
      <c r="J62" s="476">
        <v>52</v>
      </c>
    </row>
    <row r="63" spans="1:11" ht="13">
      <c r="A63" s="423"/>
      <c r="B63" s="1069" t="s">
        <v>761</v>
      </c>
      <c r="D63" s="438" t="s">
        <v>742</v>
      </c>
      <c r="E63" s="438"/>
      <c r="F63" s="438"/>
      <c r="G63" s="438"/>
      <c r="H63" s="439"/>
      <c r="I63" s="438"/>
      <c r="J63" s="476">
        <v>53</v>
      </c>
    </row>
    <row r="64" spans="1:11" ht="13">
      <c r="A64" s="423"/>
      <c r="B64" s="929" t="s">
        <v>762</v>
      </c>
      <c r="D64" s="438" t="s">
        <v>1118</v>
      </c>
      <c r="E64" s="438"/>
      <c r="F64" s="438"/>
      <c r="G64" s="438"/>
      <c r="H64" s="439"/>
      <c r="I64" s="438"/>
      <c r="J64" s="476">
        <v>57</v>
      </c>
    </row>
    <row r="65" spans="1:10" ht="13.4" customHeight="1">
      <c r="A65" s="423"/>
      <c r="B65" s="929" t="s">
        <v>1295</v>
      </c>
      <c r="D65" s="438" t="s">
        <v>1321</v>
      </c>
      <c r="E65" s="438"/>
      <c r="F65" s="438"/>
      <c r="G65" s="438"/>
      <c r="H65" s="439"/>
      <c r="I65" s="438"/>
      <c r="J65" s="476">
        <v>58</v>
      </c>
    </row>
    <row r="66" spans="1:10" ht="13.4" customHeight="1">
      <c r="A66" s="423"/>
      <c r="B66" s="929" t="s">
        <v>1296</v>
      </c>
      <c r="D66" s="438" t="s">
        <v>1322</v>
      </c>
      <c r="E66" s="438"/>
      <c r="F66" s="438"/>
      <c r="G66" s="438"/>
      <c r="H66" s="439"/>
      <c r="I66" s="438"/>
      <c r="J66" s="476">
        <v>59</v>
      </c>
    </row>
    <row r="67" spans="1:10" ht="13.4" customHeight="1">
      <c r="A67" s="423"/>
      <c r="B67" s="446"/>
      <c r="D67" s="436"/>
      <c r="E67" s="436"/>
      <c r="F67" s="436"/>
      <c r="G67" s="436"/>
      <c r="H67" s="436"/>
      <c r="I67" s="436"/>
      <c r="J67" s="437"/>
    </row>
    <row r="68" spans="1:10" ht="13.4" customHeight="1">
      <c r="A68" s="423"/>
      <c r="B68" s="446"/>
      <c r="D68" s="436"/>
      <c r="E68" s="436"/>
      <c r="F68" s="436"/>
      <c r="G68" s="436"/>
      <c r="H68" s="436"/>
      <c r="I68" s="436"/>
      <c r="J68" s="437"/>
    </row>
    <row r="69" spans="1:10" ht="13.4" customHeight="1">
      <c r="A69" s="423"/>
      <c r="B69" s="446"/>
      <c r="D69" s="436"/>
      <c r="E69" s="436"/>
      <c r="F69" s="436"/>
      <c r="G69" s="436"/>
      <c r="H69" s="436"/>
      <c r="I69" s="436"/>
      <c r="J69" s="437"/>
    </row>
    <row r="70" spans="1:10" ht="13.4" customHeight="1">
      <c r="A70" s="423"/>
      <c r="B70" s="446"/>
      <c r="D70" s="436"/>
      <c r="E70" s="436"/>
      <c r="F70" s="436"/>
      <c r="G70" s="436"/>
      <c r="H70" s="436"/>
      <c r="I70" s="436"/>
      <c r="J70" s="437"/>
    </row>
    <row r="71" spans="1:10" ht="13.4" customHeight="1">
      <c r="A71" s="423"/>
      <c r="B71" s="446"/>
      <c r="D71" s="436"/>
      <c r="E71" s="436"/>
      <c r="F71" s="436"/>
      <c r="G71" s="436"/>
      <c r="H71" s="436"/>
      <c r="I71" s="436"/>
      <c r="J71" s="437"/>
    </row>
    <row r="72" spans="1:10" ht="13.4" customHeight="1">
      <c r="A72" s="423"/>
      <c r="B72" s="446"/>
      <c r="D72" s="436"/>
      <c r="E72" s="436"/>
      <c r="F72" s="436"/>
      <c r="G72" s="436"/>
      <c r="H72" s="436"/>
      <c r="I72" s="436"/>
      <c r="J72" s="437"/>
    </row>
    <row r="73" spans="1:10" ht="13.4" customHeight="1">
      <c r="A73" s="423"/>
      <c r="B73" s="446"/>
      <c r="D73" s="436"/>
      <c r="E73" s="436"/>
      <c r="F73" s="436"/>
      <c r="G73" s="436"/>
      <c r="H73" s="436"/>
      <c r="I73" s="436"/>
      <c r="J73" s="437"/>
    </row>
    <row r="74" spans="1:10" ht="13.4" customHeight="1">
      <c r="A74" s="423"/>
      <c r="B74" s="446"/>
      <c r="D74" s="436"/>
      <c r="E74" s="436"/>
      <c r="F74" s="436"/>
      <c r="G74" s="436"/>
      <c r="H74" s="436"/>
      <c r="I74" s="436"/>
      <c r="J74" s="437"/>
    </row>
    <row r="75" spans="1:10" ht="13.4" customHeight="1">
      <c r="A75" s="423"/>
      <c r="B75" s="446"/>
      <c r="D75" s="436"/>
      <c r="E75" s="436"/>
      <c r="F75" s="436"/>
      <c r="G75" s="436"/>
      <c r="H75" s="436"/>
      <c r="I75" s="436"/>
      <c r="J75" s="437"/>
    </row>
    <row r="76" spans="1:10" ht="13.4" customHeight="1">
      <c r="A76" s="423"/>
      <c r="B76" s="446"/>
      <c r="D76" s="436"/>
      <c r="E76" s="436"/>
      <c r="F76" s="436"/>
      <c r="G76" s="436"/>
      <c r="H76" s="436"/>
      <c r="I76" s="436"/>
      <c r="J76" s="437"/>
    </row>
    <row r="77" spans="1:10" ht="13.4" customHeight="1">
      <c r="A77" s="423"/>
      <c r="B77" s="446"/>
      <c r="D77" s="436"/>
      <c r="E77" s="436"/>
      <c r="F77" s="436"/>
      <c r="G77" s="436"/>
      <c r="H77" s="436"/>
      <c r="I77" s="436"/>
      <c r="J77" s="437"/>
    </row>
    <row r="78" spans="1:10" ht="13.4" customHeight="1">
      <c r="A78" s="423"/>
      <c r="B78" s="446"/>
      <c r="D78" s="436"/>
      <c r="E78" s="436"/>
      <c r="F78" s="436"/>
      <c r="G78" s="436"/>
      <c r="H78" s="436"/>
      <c r="I78" s="436"/>
      <c r="J78" s="437"/>
    </row>
    <row r="79" spans="1:10" ht="13.4" customHeight="1">
      <c r="A79" s="423"/>
      <c r="B79" s="446"/>
      <c r="D79" s="436"/>
      <c r="E79" s="436"/>
      <c r="F79" s="436"/>
      <c r="G79" s="436"/>
      <c r="H79" s="436"/>
      <c r="I79" s="436"/>
      <c r="J79" s="437"/>
    </row>
    <row r="80" spans="1:10" ht="13.4" customHeight="1">
      <c r="A80" s="423"/>
      <c r="B80" s="446"/>
      <c r="D80" s="436"/>
      <c r="E80" s="436"/>
      <c r="F80" s="436"/>
      <c r="G80" s="436"/>
      <c r="H80" s="436"/>
      <c r="I80" s="436"/>
      <c r="J80" s="437"/>
    </row>
    <row r="81" spans="1:10" ht="13.4" customHeight="1">
      <c r="A81" s="423"/>
      <c r="B81" s="446"/>
      <c r="D81" s="436"/>
      <c r="E81" s="436"/>
      <c r="F81" s="436"/>
      <c r="G81" s="436"/>
      <c r="H81" s="436"/>
      <c r="I81" s="436"/>
      <c r="J81" s="437"/>
    </row>
    <row r="82" spans="1:10" ht="13.4" customHeight="1">
      <c r="A82" s="423"/>
      <c r="B82" s="446"/>
      <c r="D82" s="436"/>
      <c r="E82" s="436"/>
      <c r="F82" s="436"/>
      <c r="G82" s="436"/>
      <c r="H82" s="436"/>
      <c r="I82" s="436"/>
      <c r="J82" s="437"/>
    </row>
    <row r="83" spans="1:10" ht="13.4" customHeight="1">
      <c r="A83" s="423"/>
      <c r="B83" s="446"/>
      <c r="D83" s="436"/>
      <c r="E83" s="436"/>
      <c r="F83" s="436"/>
      <c r="G83" s="436"/>
      <c r="H83" s="436"/>
      <c r="I83" s="436"/>
      <c r="J83" s="437"/>
    </row>
    <row r="84" spans="1:10" ht="13.4" customHeight="1">
      <c r="A84" s="423"/>
      <c r="B84" s="446"/>
      <c r="D84" s="436"/>
      <c r="E84" s="436"/>
      <c r="F84" s="436"/>
      <c r="G84" s="436"/>
      <c r="H84" s="436"/>
      <c r="I84" s="436"/>
      <c r="J84" s="437"/>
    </row>
    <row r="85" spans="1:10" ht="13.4" customHeight="1">
      <c r="A85" s="423"/>
      <c r="B85" s="446"/>
      <c r="D85" s="436"/>
      <c r="E85" s="436"/>
      <c r="F85" s="436"/>
      <c r="G85" s="436"/>
      <c r="H85" s="436"/>
      <c r="I85" s="436"/>
      <c r="J85" s="437"/>
    </row>
    <row r="86" spans="1:10" ht="13.4" customHeight="1">
      <c r="A86" s="423"/>
      <c r="B86" s="446"/>
      <c r="D86" s="436"/>
      <c r="E86" s="436"/>
      <c r="F86" s="436"/>
      <c r="G86" s="436"/>
      <c r="H86" s="436"/>
      <c r="I86" s="436"/>
      <c r="J86" s="437"/>
    </row>
    <row r="87" spans="1:10" ht="13.4" customHeight="1">
      <c r="A87" s="423"/>
      <c r="B87" s="446"/>
      <c r="D87" s="436"/>
      <c r="E87" s="436"/>
      <c r="F87" s="436"/>
      <c r="G87" s="436"/>
      <c r="H87" s="436"/>
      <c r="I87" s="436"/>
      <c r="J87" s="437"/>
    </row>
    <row r="88" spans="1:10" ht="13.4" customHeight="1">
      <c r="A88" s="423"/>
      <c r="B88" s="446"/>
      <c r="D88" s="436"/>
      <c r="E88" s="436"/>
      <c r="F88" s="436"/>
      <c r="G88" s="436"/>
      <c r="H88" s="436"/>
      <c r="I88" s="436"/>
      <c r="J88" s="437"/>
    </row>
    <row r="89" spans="1:10" ht="13.4" customHeight="1">
      <c r="A89" s="423"/>
      <c r="B89" s="446"/>
      <c r="D89" s="436"/>
      <c r="E89" s="436"/>
      <c r="F89" s="436"/>
      <c r="G89" s="436"/>
      <c r="H89" s="436"/>
      <c r="I89" s="436"/>
      <c r="J89" s="437"/>
    </row>
    <row r="90" spans="1:10" ht="13.4" customHeight="1">
      <c r="A90" s="423"/>
      <c r="B90" s="446"/>
      <c r="D90" s="436"/>
      <c r="E90" s="436"/>
      <c r="F90" s="436"/>
      <c r="G90" s="436"/>
      <c r="H90" s="436"/>
      <c r="I90" s="436"/>
      <c r="J90" s="437"/>
    </row>
    <row r="91" spans="1:10" ht="13.4" customHeight="1">
      <c r="A91" s="423"/>
      <c r="B91" s="446"/>
      <c r="D91" s="436"/>
      <c r="E91" s="436"/>
      <c r="F91" s="436"/>
      <c r="G91" s="436"/>
      <c r="H91" s="436"/>
      <c r="I91" s="436"/>
      <c r="J91" s="437"/>
    </row>
    <row r="92" spans="1:10" ht="13.4" customHeight="1">
      <c r="A92" s="423"/>
      <c r="B92" s="446"/>
      <c r="D92" s="436"/>
      <c r="E92" s="436"/>
      <c r="F92" s="436"/>
      <c r="G92" s="436"/>
      <c r="H92" s="436"/>
      <c r="I92" s="436"/>
      <c r="J92" s="437"/>
    </row>
    <row r="93" spans="1:10" ht="13.4" customHeight="1">
      <c r="A93" s="423"/>
      <c r="B93" s="446"/>
      <c r="D93" s="436"/>
      <c r="E93" s="436"/>
      <c r="F93" s="436"/>
      <c r="G93" s="436"/>
      <c r="H93" s="436"/>
      <c r="I93" s="436"/>
      <c r="J93" s="437"/>
    </row>
    <row r="94" spans="1:10" ht="13.4" customHeight="1">
      <c r="A94" s="423"/>
      <c r="B94" s="446"/>
      <c r="D94" s="436"/>
      <c r="E94" s="436"/>
      <c r="F94" s="436"/>
      <c r="G94" s="436"/>
      <c r="H94" s="436"/>
      <c r="I94" s="436"/>
      <c r="J94" s="437"/>
    </row>
    <row r="95" spans="1:10" ht="13.4" customHeight="1">
      <c r="A95" s="423"/>
      <c r="B95" s="446"/>
      <c r="D95" s="436"/>
      <c r="E95" s="436"/>
      <c r="F95" s="436"/>
      <c r="G95" s="436"/>
      <c r="H95" s="436"/>
      <c r="I95" s="436"/>
      <c r="J95" s="437"/>
    </row>
    <row r="96" spans="1:10" ht="13.4" customHeight="1">
      <c r="A96" s="423"/>
      <c r="B96" s="446"/>
      <c r="D96" s="436"/>
      <c r="E96" s="436"/>
      <c r="F96" s="436"/>
      <c r="G96" s="436"/>
      <c r="H96" s="436"/>
      <c r="I96" s="436"/>
      <c r="J96" s="437"/>
    </row>
    <row r="97" spans="1:10" ht="13.4" customHeight="1">
      <c r="A97" s="423"/>
      <c r="B97" s="446"/>
      <c r="D97" s="436"/>
      <c r="E97" s="436"/>
      <c r="F97" s="436"/>
      <c r="G97" s="436"/>
      <c r="H97" s="436"/>
      <c r="I97" s="436"/>
      <c r="J97" s="437"/>
    </row>
    <row r="98" spans="1:10" ht="13.4" customHeight="1">
      <c r="A98" s="423"/>
      <c r="B98" s="446"/>
      <c r="D98" s="436"/>
      <c r="E98" s="436"/>
      <c r="F98" s="436"/>
      <c r="G98" s="436"/>
      <c r="H98" s="436"/>
      <c r="I98" s="436"/>
      <c r="J98" s="437"/>
    </row>
    <row r="99" spans="1:10" ht="13.4" customHeight="1">
      <c r="A99" s="423"/>
      <c r="B99" s="446"/>
      <c r="D99" s="436"/>
      <c r="E99" s="436"/>
      <c r="F99" s="436"/>
      <c r="G99" s="436"/>
      <c r="H99" s="436"/>
      <c r="I99" s="436"/>
      <c r="J99" s="437"/>
    </row>
    <row r="100" spans="1:10" ht="13.4" customHeight="1">
      <c r="A100" s="423"/>
      <c r="B100" s="446"/>
      <c r="D100" s="436"/>
      <c r="E100" s="436"/>
      <c r="F100" s="436"/>
      <c r="G100" s="436"/>
      <c r="H100" s="436"/>
      <c r="I100" s="436"/>
      <c r="J100" s="437"/>
    </row>
    <row r="101" spans="1:10">
      <c r="B101" s="446"/>
      <c r="J101" s="447"/>
    </row>
    <row r="102" spans="1:10">
      <c r="B102" s="446"/>
      <c r="J102" s="447"/>
    </row>
    <row r="103" spans="1:10">
      <c r="B103" s="446"/>
      <c r="J103" s="447"/>
    </row>
    <row r="104" spans="1:10">
      <c r="B104" s="446"/>
    </row>
    <row r="105" spans="1:10">
      <c r="B105" s="446"/>
    </row>
    <row r="106" spans="1:10">
      <c r="B106" s="446"/>
    </row>
    <row r="107" spans="1:10">
      <c r="B107" s="446"/>
    </row>
    <row r="108" spans="1:10">
      <c r="B108" s="446"/>
    </row>
    <row r="109" spans="1:10">
      <c r="B109" s="446"/>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workbookViewId="0"/>
  </sheetViews>
  <sheetFormatPr defaultColWidth="8.84375" defaultRowHeight="15.5"/>
  <cols>
    <col min="1" max="1" width="50.07421875" style="499" customWidth="1"/>
    <col min="2" max="2" width="3.84375" style="454" customWidth="1"/>
    <col min="3" max="3" width="16.84375" style="454" customWidth="1"/>
    <col min="4" max="4" width="1.53515625" style="454" customWidth="1"/>
    <col min="5" max="5" width="16.4609375" style="301" customWidth="1"/>
    <col min="6" max="6" width="3.07421875" style="454" customWidth="1"/>
    <col min="7" max="7" width="14.07421875" style="454" customWidth="1"/>
    <col min="8" max="8" width="2.07421875" style="454" customWidth="1"/>
    <col min="9" max="9" width="14.07421875" style="454" customWidth="1"/>
    <col min="10" max="10" width="1.07421875" style="454" customWidth="1"/>
    <col min="11" max="11" width="14.07421875" style="454" customWidth="1"/>
    <col min="12" max="12" width="1.07421875" style="454" customWidth="1"/>
    <col min="13" max="13" width="16.07421875" style="454" customWidth="1"/>
    <col min="14" max="14" width="1.53515625" style="454" customWidth="1"/>
    <col min="15" max="15" width="12.53515625" style="454" customWidth="1"/>
    <col min="16" max="16" width="11.4609375" style="454" customWidth="1"/>
    <col min="17" max="17" width="1.84375" style="454" customWidth="1"/>
    <col min="18" max="18" width="11.84375" style="454" customWidth="1"/>
    <col min="19" max="19" width="2.07421875" style="454" customWidth="1"/>
    <col min="20" max="20" width="11.4609375" style="454" customWidth="1"/>
    <col min="21" max="21" width="0.53515625" style="454" customWidth="1"/>
    <col min="22" max="22" width="2.07421875" style="454" customWidth="1"/>
    <col min="23" max="23" width="10.53515625" style="454" customWidth="1"/>
    <col min="24" max="24" width="11.07421875" style="454" customWidth="1"/>
    <col min="25" max="25" width="2.07421875" style="454" customWidth="1"/>
    <col min="26" max="26" width="11.07421875" style="454" customWidth="1"/>
    <col min="27" max="27" width="2.07421875" style="454" customWidth="1"/>
    <col min="28" max="28" width="12.4609375" style="454" customWidth="1"/>
    <col min="29" max="34" width="8.84375" style="454"/>
    <col min="35" max="16384" width="8.84375" style="499"/>
  </cols>
  <sheetData>
    <row r="1" spans="1:28">
      <c r="A1" s="468" t="s">
        <v>868</v>
      </c>
      <c r="B1" s="126"/>
      <c r="C1" s="126"/>
      <c r="D1" s="126"/>
      <c r="E1" s="297"/>
      <c r="F1" s="126"/>
      <c r="G1" s="126"/>
      <c r="H1" s="126"/>
      <c r="I1" s="126"/>
      <c r="J1" s="126"/>
      <c r="K1" s="126"/>
      <c r="L1" s="126"/>
      <c r="M1" s="126"/>
      <c r="N1" s="126"/>
      <c r="O1" s="126"/>
      <c r="P1" s="126"/>
      <c r="Q1" s="126"/>
      <c r="R1" s="126"/>
      <c r="S1" s="126"/>
      <c r="T1" s="126"/>
      <c r="U1" s="126"/>
      <c r="V1" s="126"/>
      <c r="W1" s="126"/>
      <c r="X1" s="126"/>
      <c r="Y1" s="126"/>
      <c r="Z1" s="126"/>
      <c r="AA1" s="126"/>
      <c r="AB1" s="126"/>
    </row>
    <row r="2" spans="1:28" ht="17.25" customHeight="1">
      <c r="A2" s="127"/>
      <c r="B2" s="126"/>
      <c r="C2" s="126"/>
      <c r="D2" s="126"/>
      <c r="E2" s="297"/>
      <c r="F2" s="126"/>
      <c r="G2" s="126"/>
      <c r="H2" s="126"/>
      <c r="I2" s="126"/>
      <c r="J2" s="126"/>
      <c r="K2" s="126"/>
      <c r="L2" s="126"/>
      <c r="M2" s="126"/>
      <c r="N2" s="126"/>
      <c r="O2" s="126"/>
      <c r="P2" s="126"/>
      <c r="Q2" s="126"/>
      <c r="R2" s="126"/>
      <c r="S2" s="126"/>
      <c r="T2" s="126"/>
      <c r="U2" s="126"/>
      <c r="V2" s="126"/>
      <c r="W2" s="126"/>
      <c r="X2" s="126"/>
      <c r="Y2" s="126"/>
      <c r="Z2" s="126"/>
      <c r="AA2" s="126"/>
      <c r="AB2" s="126"/>
    </row>
    <row r="3" spans="1:28" ht="18" customHeight="1">
      <c r="A3" s="128" t="s">
        <v>0</v>
      </c>
      <c r="B3" s="94"/>
      <c r="C3" s="94"/>
      <c r="D3" s="94"/>
      <c r="E3" s="298"/>
      <c r="F3" s="94"/>
      <c r="G3" s="94"/>
      <c r="H3" s="94"/>
      <c r="I3" s="94"/>
      <c r="J3" s="94"/>
      <c r="K3" s="94"/>
      <c r="L3" s="94"/>
      <c r="M3" s="598"/>
      <c r="N3" s="94"/>
      <c r="O3" s="598" t="s">
        <v>81</v>
      </c>
      <c r="P3" s="94"/>
      <c r="Q3" s="94"/>
      <c r="R3" s="94"/>
      <c r="S3" s="94"/>
      <c r="T3" s="94"/>
      <c r="U3" s="94"/>
      <c r="V3" s="94"/>
      <c r="W3" s="94"/>
      <c r="X3" s="94"/>
      <c r="Y3" s="94"/>
      <c r="Z3" s="94"/>
      <c r="AA3" s="94"/>
      <c r="AB3" s="129"/>
    </row>
    <row r="4" spans="1:28" ht="18" customHeight="1">
      <c r="A4" s="128" t="s">
        <v>80</v>
      </c>
      <c r="B4" s="94"/>
      <c r="C4" s="94"/>
      <c r="D4" s="94"/>
      <c r="E4" s="298"/>
      <c r="F4" s="94"/>
      <c r="G4" s="94"/>
      <c r="H4" s="94"/>
      <c r="I4" s="94"/>
      <c r="J4" s="94"/>
      <c r="K4" s="94"/>
      <c r="L4" s="94"/>
      <c r="M4" s="599"/>
      <c r="N4" s="94"/>
      <c r="O4" s="599"/>
      <c r="P4" s="94"/>
      <c r="Q4" s="94"/>
      <c r="R4" s="94"/>
      <c r="S4" s="94"/>
      <c r="T4" s="94"/>
      <c r="U4" s="94"/>
      <c r="V4" s="94"/>
      <c r="W4" s="94"/>
      <c r="X4" s="94"/>
      <c r="Y4" s="94"/>
      <c r="Z4" s="94"/>
      <c r="AA4" s="94"/>
      <c r="AB4" s="94"/>
    </row>
    <row r="5" spans="1:28" ht="18" customHeight="1">
      <c r="A5" s="2309" t="str">
        <f>'Exh D-Governmental  '!A5:E5</f>
        <v>FISCAL YEAR 2022-2023</v>
      </c>
      <c r="B5" s="2310"/>
      <c r="C5" s="2310"/>
      <c r="D5" s="2310"/>
      <c r="E5" s="2310"/>
      <c r="F5" s="94"/>
      <c r="G5" s="94"/>
      <c r="H5" s="94"/>
      <c r="I5" s="94"/>
      <c r="J5" s="94"/>
      <c r="K5" s="94"/>
      <c r="L5" s="94"/>
      <c r="M5" s="94"/>
      <c r="N5" s="94"/>
      <c r="O5" s="94"/>
      <c r="P5" s="94"/>
      <c r="Q5" s="94"/>
      <c r="R5" s="94"/>
      <c r="S5" s="94"/>
      <c r="T5" s="94"/>
      <c r="U5" s="94"/>
      <c r="V5" s="94"/>
      <c r="W5" s="94"/>
      <c r="X5" s="94"/>
      <c r="Y5" s="94"/>
      <c r="Z5" s="94"/>
      <c r="AA5" s="94"/>
      <c r="AB5" s="94"/>
    </row>
    <row r="6" spans="1:28" ht="18" customHeight="1">
      <c r="A6" s="128" t="str">
        <f>+'Exh D-Governmental  '!A6</f>
        <v xml:space="preserve">FOR TWELVE MONTHS ENDED MARCH 31, 2023    </v>
      </c>
      <c r="B6" s="94"/>
      <c r="C6" s="94"/>
      <c r="D6" s="94"/>
      <c r="E6" s="298"/>
      <c r="F6" s="94"/>
      <c r="G6" s="94"/>
      <c r="H6" s="94"/>
      <c r="I6" s="94"/>
      <c r="J6" s="94"/>
      <c r="K6" s="94"/>
      <c r="L6" s="94"/>
      <c r="M6" s="94"/>
      <c r="N6" s="94"/>
      <c r="O6" s="94"/>
      <c r="P6" s="94"/>
      <c r="Q6" s="94"/>
      <c r="R6" s="94"/>
      <c r="S6" s="94"/>
      <c r="T6" s="94"/>
      <c r="U6" s="94"/>
      <c r="V6" s="94"/>
      <c r="W6" s="94"/>
      <c r="X6" s="94"/>
      <c r="Y6" s="94"/>
      <c r="Z6" s="94"/>
      <c r="AA6" s="94"/>
      <c r="AB6" s="94"/>
    </row>
    <row r="7" spans="1:28" ht="18" customHeight="1">
      <c r="A7" s="128" t="s">
        <v>1248</v>
      </c>
      <c r="B7" s="94"/>
      <c r="C7" s="94"/>
      <c r="D7" s="94"/>
      <c r="E7" s="298"/>
      <c r="F7" s="94"/>
      <c r="G7" s="94"/>
      <c r="H7" s="94"/>
      <c r="I7" s="94"/>
      <c r="J7" s="94"/>
      <c r="K7" s="94"/>
      <c r="L7" s="94"/>
      <c r="M7" s="94"/>
      <c r="N7" s="94"/>
      <c r="O7" s="94"/>
      <c r="P7" s="94"/>
      <c r="Q7" s="94"/>
      <c r="R7" s="94"/>
      <c r="S7" s="94"/>
      <c r="T7" s="94"/>
      <c r="U7" s="94"/>
      <c r="V7" s="94"/>
      <c r="W7" s="94"/>
      <c r="X7" s="94"/>
      <c r="Y7" s="94"/>
      <c r="Z7" s="94"/>
      <c r="AA7" s="94"/>
      <c r="AB7" s="94"/>
    </row>
    <row r="8" spans="1:28" ht="15" customHeight="1">
      <c r="A8" s="98"/>
      <c r="B8" s="94"/>
      <c r="C8" s="94"/>
      <c r="D8" s="94"/>
      <c r="E8" s="298"/>
      <c r="F8" s="94"/>
      <c r="G8" s="94"/>
      <c r="H8" s="94"/>
      <c r="I8" s="94"/>
      <c r="J8" s="94"/>
      <c r="K8" s="94"/>
      <c r="L8" s="94"/>
      <c r="M8" s="94"/>
      <c r="N8" s="94"/>
      <c r="O8" s="94"/>
      <c r="P8" s="94"/>
      <c r="Q8" s="94"/>
      <c r="R8" s="94"/>
      <c r="S8" s="94"/>
      <c r="T8" s="94"/>
      <c r="U8" s="94"/>
      <c r="V8" s="94"/>
      <c r="W8" s="94"/>
      <c r="X8" s="94"/>
      <c r="Y8" s="94"/>
      <c r="Z8" s="94"/>
      <c r="AA8" s="94"/>
      <c r="AB8" s="94"/>
    </row>
    <row r="9" spans="1:28">
      <c r="A9" s="99"/>
      <c r="B9" s="94"/>
      <c r="C9" s="94"/>
      <c r="D9" s="94"/>
      <c r="E9" s="298"/>
      <c r="F9" s="94"/>
      <c r="G9" s="94"/>
      <c r="H9" s="94"/>
      <c r="I9" s="94"/>
      <c r="J9" s="94"/>
      <c r="K9" s="94"/>
      <c r="L9" s="94"/>
      <c r="M9" s="94"/>
      <c r="N9" s="94"/>
      <c r="O9" s="94"/>
      <c r="P9" s="94"/>
      <c r="Q9" s="94"/>
      <c r="R9" s="94"/>
      <c r="S9" s="94"/>
      <c r="T9" s="94"/>
      <c r="U9" s="94"/>
      <c r="V9" s="94"/>
      <c r="W9" s="94"/>
      <c r="X9" s="94"/>
      <c r="Y9" s="94"/>
      <c r="Z9" s="94"/>
      <c r="AA9" s="94"/>
      <c r="AB9" s="94"/>
    </row>
    <row r="10" spans="1:28">
      <c r="A10" s="99"/>
      <c r="B10" s="94"/>
      <c r="C10" s="94"/>
      <c r="D10" s="94"/>
      <c r="E10" s="298"/>
      <c r="F10" s="94"/>
      <c r="G10" s="94"/>
      <c r="H10" s="94"/>
      <c r="I10" s="94"/>
      <c r="J10" s="94"/>
      <c r="K10" s="94"/>
      <c r="L10" s="94"/>
      <c r="M10" s="94"/>
      <c r="N10" s="94"/>
      <c r="O10" s="94"/>
      <c r="P10" s="94"/>
      <c r="Q10" s="94"/>
      <c r="R10" s="94"/>
      <c r="S10" s="94"/>
      <c r="T10" s="94"/>
      <c r="U10" s="94"/>
      <c r="V10" s="94"/>
      <c r="W10" s="94"/>
      <c r="X10" s="94"/>
      <c r="Y10" s="94"/>
      <c r="Z10" s="94"/>
      <c r="AA10" s="94"/>
      <c r="AB10" s="94"/>
    </row>
    <row r="11" spans="1:28">
      <c r="C11" s="808"/>
      <c r="D11" s="808"/>
      <c r="E11" s="554"/>
      <c r="F11" s="554"/>
      <c r="G11" s="554" t="s">
        <v>1026</v>
      </c>
      <c r="H11" s="745"/>
      <c r="I11" s="554"/>
      <c r="J11" s="745"/>
      <c r="K11" s="745"/>
      <c r="L11" s="554"/>
      <c r="M11" s="554"/>
      <c r="N11" s="812"/>
      <c r="O11" s="807"/>
      <c r="P11" s="130"/>
      <c r="Q11" s="130"/>
      <c r="R11" s="130"/>
      <c r="S11" s="130"/>
      <c r="T11" s="130"/>
      <c r="U11" s="130"/>
      <c r="V11" s="100"/>
      <c r="W11" s="130"/>
      <c r="X11" s="131"/>
      <c r="Y11" s="130"/>
      <c r="Z11" s="130"/>
      <c r="AA11" s="130"/>
      <c r="AB11" s="130"/>
    </row>
    <row r="12" spans="1:28">
      <c r="F12" s="132"/>
      <c r="G12" s="133"/>
      <c r="H12" s="133"/>
      <c r="I12" s="133"/>
      <c r="J12" s="133"/>
      <c r="K12" s="133"/>
      <c r="L12" s="132"/>
      <c r="M12" s="132" t="s">
        <v>82</v>
      </c>
      <c r="N12" s="100"/>
      <c r="O12" s="132" t="s">
        <v>82</v>
      </c>
      <c r="P12" s="130"/>
      <c r="Q12" s="130"/>
      <c r="R12" s="130"/>
      <c r="S12" s="130"/>
      <c r="T12" s="130"/>
      <c r="U12" s="130"/>
      <c r="V12" s="100"/>
      <c r="W12" s="130"/>
      <c r="X12" s="131"/>
      <c r="Y12" s="130"/>
      <c r="Z12" s="130"/>
      <c r="AA12" s="130"/>
      <c r="AB12" s="130"/>
    </row>
    <row r="13" spans="1:28">
      <c r="F13" s="132"/>
      <c r="G13" s="133"/>
      <c r="H13" s="133"/>
      <c r="I13" s="133"/>
      <c r="J13" s="133"/>
      <c r="K13" s="133"/>
      <c r="L13" s="132"/>
      <c r="M13" s="101" t="s">
        <v>783</v>
      </c>
      <c r="N13" s="100"/>
      <c r="O13" s="101" t="s">
        <v>783</v>
      </c>
      <c r="P13" s="130"/>
      <c r="Q13" s="130"/>
      <c r="R13" s="130"/>
      <c r="S13" s="130"/>
      <c r="T13" s="130"/>
      <c r="U13" s="130"/>
      <c r="V13" s="100"/>
      <c r="W13" s="130"/>
      <c r="X13" s="131"/>
      <c r="Y13" s="130"/>
      <c r="Z13" s="130"/>
      <c r="AA13" s="130"/>
      <c r="AB13" s="130"/>
    </row>
    <row r="14" spans="1:28">
      <c r="B14" s="100"/>
      <c r="C14" s="102" t="s">
        <v>975</v>
      </c>
      <c r="D14" s="100"/>
      <c r="E14" s="101" t="s">
        <v>976</v>
      </c>
      <c r="F14" s="100"/>
      <c r="G14" s="100"/>
      <c r="H14" s="100"/>
      <c r="I14" s="100"/>
      <c r="J14" s="100"/>
      <c r="K14" s="100"/>
      <c r="L14" s="100"/>
      <c r="M14" s="101" t="s">
        <v>83</v>
      </c>
      <c r="N14" s="100"/>
      <c r="O14" s="101" t="s">
        <v>83</v>
      </c>
      <c r="P14" s="100"/>
      <c r="Q14" s="100"/>
      <c r="R14" s="100"/>
      <c r="S14" s="100"/>
      <c r="T14" s="102"/>
      <c r="U14" s="101"/>
      <c r="V14" s="100"/>
      <c r="W14" s="100"/>
      <c r="X14" s="100"/>
      <c r="Y14" s="100"/>
      <c r="Z14" s="100"/>
      <c r="AA14" s="100"/>
      <c r="AB14" s="102"/>
    </row>
    <row r="15" spans="1:28">
      <c r="B15" s="134"/>
      <c r="C15" s="101" t="s">
        <v>1011</v>
      </c>
      <c r="D15" s="134"/>
      <c r="E15" s="101" t="s">
        <v>1011</v>
      </c>
      <c r="F15" s="100"/>
      <c r="G15" s="100"/>
      <c r="H15" s="100"/>
      <c r="I15" s="100"/>
      <c r="J15" s="100"/>
      <c r="K15" s="100"/>
      <c r="L15" s="100"/>
      <c r="M15" s="101" t="s">
        <v>975</v>
      </c>
      <c r="N15" s="100"/>
      <c r="O15" s="101" t="s">
        <v>976</v>
      </c>
      <c r="P15" s="101"/>
      <c r="Q15" s="100"/>
      <c r="R15" s="100"/>
      <c r="S15" s="100"/>
      <c r="T15" s="102"/>
      <c r="U15" s="101"/>
      <c r="V15" s="100"/>
      <c r="W15" s="102"/>
      <c r="X15" s="101"/>
      <c r="Y15" s="100"/>
      <c r="Z15" s="100"/>
      <c r="AA15" s="100"/>
      <c r="AB15" s="102"/>
    </row>
    <row r="16" spans="1:28">
      <c r="B16" s="101"/>
      <c r="C16" s="811" t="s">
        <v>1012</v>
      </c>
      <c r="D16" s="101"/>
      <c r="E16" s="101" t="s">
        <v>1508</v>
      </c>
      <c r="F16" s="100"/>
      <c r="G16" s="102" t="s">
        <v>82</v>
      </c>
      <c r="H16" s="102"/>
      <c r="I16" s="1072" t="s">
        <v>1143</v>
      </c>
      <c r="J16" s="102"/>
      <c r="K16" s="1072" t="s">
        <v>711</v>
      </c>
      <c r="L16" s="100"/>
      <c r="M16" s="101" t="s">
        <v>84</v>
      </c>
      <c r="N16" s="100"/>
      <c r="O16" s="811" t="s">
        <v>84</v>
      </c>
      <c r="P16" s="101"/>
      <c r="Q16" s="100"/>
      <c r="R16" s="102"/>
      <c r="S16" s="100"/>
      <c r="T16" s="102"/>
      <c r="U16" s="101"/>
      <c r="V16" s="100"/>
      <c r="W16" s="101"/>
      <c r="X16" s="101"/>
      <c r="Y16" s="100"/>
      <c r="Z16" s="102"/>
      <c r="AA16" s="100"/>
      <c r="AB16" s="102"/>
    </row>
    <row r="17" spans="1:28">
      <c r="A17" s="103"/>
      <c r="B17" s="94"/>
      <c r="C17" s="94"/>
      <c r="D17" s="94"/>
      <c r="E17" s="104"/>
      <c r="F17" s="94"/>
      <c r="G17" s="104"/>
      <c r="H17" s="94"/>
      <c r="I17" s="94"/>
      <c r="J17" s="94"/>
      <c r="K17" s="94"/>
      <c r="L17" s="94"/>
      <c r="M17" s="104"/>
      <c r="N17" s="94"/>
      <c r="O17" s="94"/>
      <c r="P17" s="94"/>
      <c r="Q17" s="94"/>
      <c r="R17" s="94"/>
      <c r="S17" s="94"/>
      <c r="T17" s="94"/>
      <c r="U17" s="94"/>
      <c r="V17" s="94"/>
      <c r="W17" s="94"/>
      <c r="X17" s="94"/>
      <c r="Y17" s="94"/>
      <c r="Z17" s="94"/>
      <c r="AA17" s="94"/>
      <c r="AB17" s="94"/>
    </row>
    <row r="18" spans="1:28">
      <c r="A18" s="19" t="s">
        <v>13</v>
      </c>
      <c r="E18" s="454"/>
    </row>
    <row r="19" spans="1:28">
      <c r="A19" s="597" t="s">
        <v>85</v>
      </c>
      <c r="B19" s="669"/>
      <c r="C19" s="669"/>
      <c r="D19" s="669"/>
      <c r="E19" s="454"/>
      <c r="L19" s="669"/>
      <c r="O19" s="1014"/>
    </row>
    <row r="20" spans="1:28">
      <c r="A20" s="597" t="s">
        <v>86</v>
      </c>
      <c r="B20" s="669"/>
      <c r="C20" s="681">
        <f>'Exh D Special Revenue State Fed'!C20+'Exh D Special Revenue State Fed'!N20</f>
        <v>1831</v>
      </c>
      <c r="D20" s="669"/>
      <c r="E20" s="681">
        <f>'Exh D Special Revenue State Fed'!E20+'Exh D Special Revenue State Fed'!P20</f>
        <v>1781</v>
      </c>
      <c r="F20" s="481"/>
      <c r="G20" s="681">
        <f>+'Exh D Special Revenue State Fed'!G20</f>
        <v>1781.2</v>
      </c>
      <c r="H20" s="681"/>
      <c r="I20" s="681">
        <v>0</v>
      </c>
      <c r="J20" s="681"/>
      <c r="K20" s="681">
        <f t="shared" ref="K20:K25" si="0">+G20+I20</f>
        <v>1781.2</v>
      </c>
      <c r="L20" s="481"/>
      <c r="M20" s="479">
        <f>ROUND(SUM(K20)-SUM(C20),1)</f>
        <v>-49.8</v>
      </c>
      <c r="O20" s="479">
        <f>K20-E20</f>
        <v>0.20000000000004547</v>
      </c>
    </row>
    <row r="21" spans="1:28">
      <c r="A21" s="597" t="s">
        <v>87</v>
      </c>
      <c r="C21" s="495">
        <f>'Exh D Special Revenue State Fed'!C21+'Exh D Special Revenue State Fed'!N21</f>
        <v>1930</v>
      </c>
      <c r="E21" s="495">
        <f>'Exh D Special Revenue State Fed'!E21+'Exh D Special Revenue State Fed'!P21</f>
        <v>1931</v>
      </c>
      <c r="F21" s="467"/>
      <c r="G21" s="467">
        <f>+'Exh D Special Revenue State Fed'!G21</f>
        <v>1915.5</v>
      </c>
      <c r="H21" s="467"/>
      <c r="I21" s="467">
        <v>0</v>
      </c>
      <c r="J21" s="467"/>
      <c r="K21" s="467">
        <f t="shared" si="0"/>
        <v>1915.5</v>
      </c>
      <c r="L21" s="467"/>
      <c r="M21" s="467">
        <f>ROUND(SUM(K21)-SUM(C21),1)</f>
        <v>-14.5</v>
      </c>
      <c r="N21" s="467"/>
      <c r="O21" s="467">
        <f t="shared" ref="O21:O25" si="1">K21-E21</f>
        <v>-15.5</v>
      </c>
    </row>
    <row r="22" spans="1:28">
      <c r="A22" s="597" t="s">
        <v>88</v>
      </c>
      <c r="B22" s="669"/>
      <c r="C22" s="495">
        <f>'Exh D Special Revenue State Fed'!C22+'Exh D Special Revenue State Fed'!N22</f>
        <v>2602</v>
      </c>
      <c r="D22" s="669"/>
      <c r="E22" s="495">
        <f>'Exh D Special Revenue State Fed'!E22+'Exh D Special Revenue State Fed'!P22</f>
        <v>2589</v>
      </c>
      <c r="F22" s="493"/>
      <c r="G22" s="467">
        <f>+'Exh D Special Revenue State Fed'!G22</f>
        <v>2663.8</v>
      </c>
      <c r="H22" s="467"/>
      <c r="I22" s="467">
        <v>0</v>
      </c>
      <c r="J22" s="467"/>
      <c r="K22" s="467">
        <f t="shared" si="0"/>
        <v>2663.8</v>
      </c>
      <c r="L22" s="493"/>
      <c r="M22" s="467">
        <f t="shared" ref="M22:M25" si="2">ROUND(SUM(K22)-SUM(C22),1)</f>
        <v>61.8</v>
      </c>
      <c r="N22" s="493"/>
      <c r="O22" s="467">
        <f t="shared" si="1"/>
        <v>74.800000000000182</v>
      </c>
      <c r="Q22" s="669"/>
      <c r="S22" s="669"/>
      <c r="V22" s="669"/>
      <c r="Y22" s="669"/>
      <c r="Z22" s="135"/>
      <c r="AA22" s="669"/>
    </row>
    <row r="23" spans="1:28" ht="15" customHeight="1">
      <c r="A23" s="597" t="s">
        <v>19</v>
      </c>
      <c r="C23" s="495">
        <f>'Exh D Special Revenue State Fed'!C23+'Exh D Special Revenue State Fed'!N23</f>
        <v>15556</v>
      </c>
      <c r="E23" s="495">
        <f>'Exh D Special Revenue State Fed'!E23+'Exh D Special Revenue State Fed'!P23</f>
        <v>17212</v>
      </c>
      <c r="F23" s="467"/>
      <c r="G23" s="467">
        <f>+'Exh D Special Revenue State Fed'!G23+'Exh D Special Revenue State Fed'!R23</f>
        <v>21413.600000000002</v>
      </c>
      <c r="H23" s="467"/>
      <c r="I23" s="467">
        <v>0</v>
      </c>
      <c r="J23" s="467"/>
      <c r="K23" s="467">
        <f t="shared" si="0"/>
        <v>21413.600000000002</v>
      </c>
      <c r="L23" s="467"/>
      <c r="M23" s="467">
        <f t="shared" si="2"/>
        <v>5857.6</v>
      </c>
      <c r="N23" s="467"/>
      <c r="O23" s="467">
        <f t="shared" si="1"/>
        <v>4201.6000000000022</v>
      </c>
    </row>
    <row r="24" spans="1:28" ht="15" customHeight="1">
      <c r="A24" s="597" t="s">
        <v>20</v>
      </c>
      <c r="C24" s="495">
        <f>'Exh D Special Revenue State Fed'!C24+'Exh D Special Revenue State Fed'!N24</f>
        <v>82374</v>
      </c>
      <c r="E24" s="495">
        <f>'Exh D Special Revenue State Fed'!E24+'Exh D Special Revenue State Fed'!P24</f>
        <v>83880</v>
      </c>
      <c r="F24" s="467"/>
      <c r="G24" s="467">
        <f>+'Exh D Special Revenue State Fed'!G24+'Exh D Special Revenue State Fed'!R24</f>
        <v>84618.8</v>
      </c>
      <c r="H24" s="467"/>
      <c r="I24" s="467">
        <v>0</v>
      </c>
      <c r="J24" s="467"/>
      <c r="K24" s="467">
        <f t="shared" si="0"/>
        <v>84618.8</v>
      </c>
      <c r="L24" s="467"/>
      <c r="M24" s="467">
        <f t="shared" si="2"/>
        <v>2244.8000000000002</v>
      </c>
      <c r="N24" s="467"/>
      <c r="O24" s="467">
        <f t="shared" si="1"/>
        <v>738.80000000000291</v>
      </c>
      <c r="P24" s="671"/>
      <c r="R24" s="671"/>
      <c r="T24" s="671"/>
      <c r="U24" s="683"/>
    </row>
    <row r="25" spans="1:28">
      <c r="A25" s="597" t="s">
        <v>1516</v>
      </c>
      <c r="B25" s="671"/>
      <c r="C25" s="1104">
        <f>'Exh D Special Revenue State Fed'!C25+'Exh D Special Revenue State Fed'!N25</f>
        <v>3447</v>
      </c>
      <c r="D25" s="671"/>
      <c r="E25" s="1104">
        <f>'Exh D Special Revenue State Fed'!E25+'Exh D Special Revenue State Fed'!P25</f>
        <v>3392</v>
      </c>
      <c r="F25" s="467"/>
      <c r="G25" s="672">
        <f>+'Exh D Special Revenue State Fed'!G25</f>
        <v>3781.4</v>
      </c>
      <c r="H25" s="493"/>
      <c r="I25" s="672">
        <f>+'Exhibit G'!AB115</f>
        <v>-493</v>
      </c>
      <c r="J25" s="493"/>
      <c r="K25" s="673">
        <f t="shared" si="0"/>
        <v>3288.4</v>
      </c>
      <c r="L25" s="467"/>
      <c r="M25" s="467">
        <f t="shared" si="2"/>
        <v>-158.6</v>
      </c>
      <c r="N25" s="467"/>
      <c r="O25" s="673">
        <f t="shared" si="1"/>
        <v>-103.59999999999991</v>
      </c>
      <c r="P25" s="671"/>
      <c r="R25" s="671"/>
      <c r="T25" s="671"/>
      <c r="U25" s="683"/>
    </row>
    <row r="26" spans="1:28" ht="18" customHeight="1">
      <c r="A26" s="117" t="s">
        <v>106</v>
      </c>
      <c r="B26" s="100"/>
      <c r="C26" s="603">
        <f>ROUND(SUM(C20:C25),1)</f>
        <v>107740</v>
      </c>
      <c r="D26" s="100"/>
      <c r="E26" s="603">
        <f>ROUND(SUM(E20:E25),1)</f>
        <v>110785</v>
      </c>
      <c r="F26" s="42"/>
      <c r="G26" s="603">
        <f>ROUND(SUM(G20:G25),1)</f>
        <v>116174.3</v>
      </c>
      <c r="H26" s="42"/>
      <c r="I26" s="603">
        <f>ROUND(SUM(I20:I25),1)</f>
        <v>-493</v>
      </c>
      <c r="J26" s="42"/>
      <c r="K26" s="603">
        <f>ROUND(SUM(K20:K25),1)</f>
        <v>115681.3</v>
      </c>
      <c r="L26" s="42"/>
      <c r="M26" s="2187">
        <f>ROUND(SUM(M20:M25),1)</f>
        <v>7941.3</v>
      </c>
      <c r="N26" s="42"/>
      <c r="O26" s="50">
        <f>ROUND(SUM(O20:O25),1)</f>
        <v>4896.3</v>
      </c>
      <c r="P26" s="100"/>
      <c r="Q26" s="100"/>
      <c r="R26" s="100"/>
      <c r="S26" s="100"/>
      <c r="T26" s="100"/>
      <c r="U26" s="100"/>
      <c r="V26" s="100"/>
      <c r="W26" s="100"/>
      <c r="X26" s="100"/>
      <c r="Y26" s="100"/>
      <c r="Z26" s="100"/>
      <c r="AA26" s="100"/>
      <c r="AB26" s="100"/>
    </row>
    <row r="27" spans="1:28">
      <c r="C27" s="467"/>
      <c r="E27" s="467"/>
      <c r="F27" s="467"/>
      <c r="G27" s="497"/>
      <c r="H27" s="467"/>
      <c r="I27" s="467"/>
      <c r="J27" s="467"/>
      <c r="K27" s="467"/>
      <c r="L27" s="467"/>
      <c r="M27" s="497"/>
      <c r="N27" s="467"/>
      <c r="O27" s="497"/>
    </row>
    <row r="28" spans="1:28">
      <c r="A28" s="19" t="s">
        <v>22</v>
      </c>
      <c r="C28" s="467"/>
      <c r="E28" s="467"/>
      <c r="F28" s="467"/>
      <c r="G28" s="467"/>
      <c r="H28" s="467"/>
      <c r="I28" s="467" t="s">
        <v>14</v>
      </c>
      <c r="J28" s="467" t="s">
        <v>14</v>
      </c>
      <c r="K28" s="467" t="s">
        <v>14</v>
      </c>
      <c r="L28" s="467"/>
      <c r="M28" s="467"/>
      <c r="N28" s="467"/>
      <c r="O28" s="467"/>
    </row>
    <row r="29" spans="1:28">
      <c r="A29" s="597" t="s">
        <v>91</v>
      </c>
      <c r="B29" s="669"/>
      <c r="C29" s="495">
        <f>'Exh D Special Revenue State Fed'!C29+'Exh D Special Revenue State Fed'!N29</f>
        <v>96630</v>
      </c>
      <c r="D29" s="669"/>
      <c r="E29" s="495">
        <f>'Exh D Special Revenue State Fed'!E29+'Exh D Special Revenue State Fed'!P29</f>
        <v>97881</v>
      </c>
      <c r="F29" s="467"/>
      <c r="G29" s="493">
        <f>+'Exh D Special Revenue State Fed'!G29+'Exh D Special Revenue State Fed'!R29</f>
        <v>98991.5</v>
      </c>
      <c r="H29" s="493"/>
      <c r="I29" s="493">
        <v>0</v>
      </c>
      <c r="J29" s="493"/>
      <c r="K29" s="467">
        <f t="shared" ref="K29:K34" si="3">+G29+I29</f>
        <v>98991.5</v>
      </c>
      <c r="L29" s="467"/>
      <c r="M29" s="467">
        <f t="shared" ref="M29:M31" si="4">ROUND(SUM(K29)-SUM(C29),1)</f>
        <v>2361.5</v>
      </c>
      <c r="N29" s="467"/>
      <c r="O29" s="467">
        <f t="shared" ref="O29:O34" si="5">K29-E29</f>
        <v>1110.5</v>
      </c>
      <c r="P29" s="671"/>
      <c r="R29" s="671"/>
      <c r="T29" s="671"/>
      <c r="U29" s="683"/>
    </row>
    <row r="30" spans="1:28">
      <c r="A30" s="597" t="s">
        <v>92</v>
      </c>
      <c r="B30" s="669"/>
      <c r="C30" s="495">
        <f>'Exh D Special Revenue State Fed'!C30+'Exh D Special Revenue State Fed'!N30</f>
        <v>11030</v>
      </c>
      <c r="D30" s="669"/>
      <c r="E30" s="495">
        <f>'Exh D Special Revenue State Fed'!E30+'Exh D Special Revenue State Fed'!P30</f>
        <v>11310</v>
      </c>
      <c r="F30" s="467"/>
      <c r="G30" s="493">
        <f>+'Exh D Special Revenue State Fed'!G30+'Exh D Special Revenue State Fed'!R30</f>
        <v>10970.2</v>
      </c>
      <c r="H30" s="493"/>
      <c r="I30" s="493">
        <v>0</v>
      </c>
      <c r="J30" s="493"/>
      <c r="K30" s="467">
        <f t="shared" si="3"/>
        <v>10970.2</v>
      </c>
      <c r="L30" s="467"/>
      <c r="M30" s="467">
        <f t="shared" si="4"/>
        <v>-59.8</v>
      </c>
      <c r="N30" s="467"/>
      <c r="O30" s="467">
        <f t="shared" si="5"/>
        <v>-339.79999999999927</v>
      </c>
      <c r="P30" s="669"/>
      <c r="R30" s="669"/>
      <c r="T30" s="671"/>
      <c r="W30" s="671"/>
      <c r="X30" s="671"/>
      <c r="Z30" s="671"/>
      <c r="AB30" s="671"/>
    </row>
    <row r="31" spans="1:28">
      <c r="A31" s="597" t="s">
        <v>68</v>
      </c>
      <c r="B31" s="669"/>
      <c r="C31" s="495">
        <f>'Exh D Special Revenue State Fed'!C31+'Exh D Special Revenue State Fed'!N31</f>
        <v>1549</v>
      </c>
      <c r="D31" s="669"/>
      <c r="E31" s="495">
        <f>'Exh D Special Revenue State Fed'!E31+'Exh D Special Revenue State Fed'!P31</f>
        <v>1575</v>
      </c>
      <c r="F31" s="467"/>
      <c r="G31" s="493">
        <f>+'Exh D Special Revenue State Fed'!G31+'Exh D Special Revenue State Fed'!R31</f>
        <v>1472.6999999999998</v>
      </c>
      <c r="H31" s="493"/>
      <c r="I31" s="493">
        <v>0</v>
      </c>
      <c r="J31" s="493"/>
      <c r="K31" s="467">
        <f t="shared" si="3"/>
        <v>1472.6999999999998</v>
      </c>
      <c r="L31" s="467"/>
      <c r="M31" s="467">
        <f t="shared" si="4"/>
        <v>-76.3</v>
      </c>
      <c r="N31" s="467"/>
      <c r="O31" s="467">
        <f t="shared" si="5"/>
        <v>-102.30000000000018</v>
      </c>
      <c r="P31" s="671"/>
      <c r="R31" s="671"/>
      <c r="T31" s="671"/>
      <c r="U31" s="683"/>
      <c r="W31" s="671"/>
      <c r="X31" s="671"/>
      <c r="Z31" s="671"/>
      <c r="AB31" s="671"/>
    </row>
    <row r="32" spans="1:28">
      <c r="A32" s="597" t="s">
        <v>93</v>
      </c>
      <c r="B32" s="669"/>
      <c r="C32" s="495">
        <f>'Exh D Special Revenue State Fed'!C32+'Exh D Special Revenue State Fed'!N32</f>
        <v>0</v>
      </c>
      <c r="D32" s="669"/>
      <c r="E32" s="495">
        <f>'Exh D Special Revenue State Fed'!E32+'Exh D Special Revenue State Fed'!P32</f>
        <v>0</v>
      </c>
      <c r="F32" s="467"/>
      <c r="G32" s="493">
        <f>+'Exh D Special Revenue State Fed'!G32+'Exh D Special Revenue State Fed'!R32</f>
        <v>0</v>
      </c>
      <c r="H32" s="493"/>
      <c r="I32" s="493">
        <v>0</v>
      </c>
      <c r="J32" s="493"/>
      <c r="K32" s="467">
        <f t="shared" si="3"/>
        <v>0</v>
      </c>
      <c r="L32" s="467"/>
      <c r="M32" s="467">
        <f t="shared" ref="M32:M34" si="6">ROUND(SUM(K32)-SUM(C32),1)</f>
        <v>0</v>
      </c>
      <c r="N32" s="467"/>
      <c r="O32" s="467">
        <f t="shared" si="5"/>
        <v>0</v>
      </c>
      <c r="P32" s="671"/>
      <c r="R32" s="671"/>
      <c r="T32" s="671"/>
      <c r="U32" s="683"/>
      <c r="W32" s="671"/>
      <c r="X32" s="671"/>
      <c r="Z32" s="671"/>
      <c r="AB32" s="671"/>
    </row>
    <row r="33" spans="1:28">
      <c r="A33" s="597" t="s">
        <v>41</v>
      </c>
      <c r="B33" s="669"/>
      <c r="C33" s="495">
        <f>'Exh D Special Revenue State Fed'!C33+'Exh D Special Revenue State Fed'!N33</f>
        <v>0</v>
      </c>
      <c r="D33" s="669"/>
      <c r="E33" s="495">
        <f>'Exh D Special Revenue State Fed'!E33+'Exh D Special Revenue State Fed'!P33</f>
        <v>0</v>
      </c>
      <c r="F33" s="467"/>
      <c r="G33" s="495">
        <f>+'Exh D Special Revenue State Fed'!G33+'Exh D Special Revenue State Fed'!R33</f>
        <v>0</v>
      </c>
      <c r="H33" s="495"/>
      <c r="I33" s="495">
        <v>0</v>
      </c>
      <c r="J33" s="495"/>
      <c r="K33" s="467">
        <f t="shared" si="3"/>
        <v>0</v>
      </c>
      <c r="L33" s="467"/>
      <c r="M33" s="467">
        <f t="shared" si="6"/>
        <v>0</v>
      </c>
      <c r="N33" s="467"/>
      <c r="O33" s="467">
        <f t="shared" si="5"/>
        <v>0</v>
      </c>
      <c r="P33" s="671"/>
      <c r="R33" s="671"/>
      <c r="T33" s="671"/>
      <c r="U33" s="683"/>
    </row>
    <row r="34" spans="1:28">
      <c r="A34" s="597" t="s">
        <v>1515</v>
      </c>
      <c r="B34" s="669"/>
      <c r="C34" s="495">
        <f>'Exh D Special Revenue State Fed'!C34+'Exh D Special Revenue State Fed'!N34</f>
        <v>666</v>
      </c>
      <c r="D34" s="669"/>
      <c r="E34" s="495">
        <f>'Exh D Special Revenue State Fed'!E34+'Exh D Special Revenue State Fed'!P34</f>
        <v>843</v>
      </c>
      <c r="F34" s="467"/>
      <c r="G34" s="493">
        <f>+'Exh D Special Revenue State Fed'!G34+'Exh D Special Revenue State Fed'!R34</f>
        <v>2737.8999999999996</v>
      </c>
      <c r="H34" s="493"/>
      <c r="I34" s="493">
        <f>-'Exhibit G'!AB116</f>
        <v>-493</v>
      </c>
      <c r="J34" s="493"/>
      <c r="K34" s="467">
        <f t="shared" si="3"/>
        <v>2244.8999999999996</v>
      </c>
      <c r="L34" s="467"/>
      <c r="M34" s="467">
        <f t="shared" si="6"/>
        <v>1578.9</v>
      </c>
      <c r="N34" s="467"/>
      <c r="O34" s="467">
        <f t="shared" si="5"/>
        <v>1401.8999999999996</v>
      </c>
      <c r="P34" s="671"/>
      <c r="R34" s="671"/>
      <c r="T34" s="671"/>
      <c r="U34" s="683"/>
    </row>
    <row r="35" spans="1:28" ht="18" customHeight="1">
      <c r="A35" s="117" t="s">
        <v>115</v>
      </c>
      <c r="B35" s="100"/>
      <c r="C35" s="1171">
        <f>ROUND(SUM(C29:C34),1)</f>
        <v>109875</v>
      </c>
      <c r="D35" s="100"/>
      <c r="E35" s="1171">
        <f>ROUND(SUM(E29:E34),1)</f>
        <v>111609</v>
      </c>
      <c r="F35" s="42"/>
      <c r="G35" s="142">
        <f>ROUND(SUM(G29:G34),1)</f>
        <v>114172.3</v>
      </c>
      <c r="H35" s="42"/>
      <c r="I35" s="1013">
        <f>ROUND(SUM(I29:I34),1)</f>
        <v>-493</v>
      </c>
      <c r="J35" s="42"/>
      <c r="K35" s="1013">
        <f>ROUND(SUM(K29:K34),1)</f>
        <v>113679.3</v>
      </c>
      <c r="L35" s="42"/>
      <c r="M35" s="142">
        <f>ROUND(SUM(M29:M34),1)</f>
        <v>3804.3</v>
      </c>
      <c r="N35" s="42"/>
      <c r="O35" s="142">
        <f>ROUND(SUM(O29:O34),1)</f>
        <v>2070.3000000000002</v>
      </c>
      <c r="P35" s="100"/>
      <c r="Q35" s="100"/>
      <c r="R35" s="100"/>
      <c r="S35" s="100"/>
      <c r="T35" s="100"/>
      <c r="U35" s="100"/>
      <c r="V35" s="100"/>
      <c r="W35" s="100"/>
      <c r="X35" s="100"/>
      <c r="Y35" s="100"/>
      <c r="Z35" s="100"/>
      <c r="AA35" s="100"/>
      <c r="AB35" s="100"/>
    </row>
    <row r="36" spans="1:28">
      <c r="C36" s="467"/>
      <c r="E36" s="467"/>
      <c r="F36" s="467"/>
      <c r="G36" s="497"/>
      <c r="H36" s="467"/>
      <c r="I36" s="467"/>
      <c r="J36" s="467"/>
      <c r="K36" s="467"/>
      <c r="L36" s="467"/>
      <c r="M36" s="497"/>
      <c r="N36" s="467"/>
      <c r="O36" s="497"/>
    </row>
    <row r="37" spans="1:28">
      <c r="A37" s="19" t="s">
        <v>116</v>
      </c>
      <c r="C37" s="467"/>
      <c r="E37" s="467"/>
      <c r="F37" s="467"/>
      <c r="G37" s="467"/>
      <c r="H37" s="467"/>
      <c r="I37" s="467"/>
      <c r="J37" s="467"/>
      <c r="K37" s="467"/>
      <c r="L37" s="467"/>
      <c r="M37" s="467"/>
      <c r="N37" s="467"/>
      <c r="O37" s="467"/>
    </row>
    <row r="38" spans="1:28">
      <c r="A38" s="19" t="s">
        <v>117</v>
      </c>
      <c r="C38" s="467"/>
      <c r="E38" s="467"/>
      <c r="F38" s="467"/>
      <c r="G38" s="467"/>
      <c r="H38" s="467"/>
      <c r="I38" s="467"/>
      <c r="J38" s="467"/>
      <c r="K38" s="467"/>
      <c r="L38" s="467"/>
      <c r="M38" s="467"/>
      <c r="N38" s="467"/>
      <c r="O38" s="467"/>
    </row>
    <row r="39" spans="1:28">
      <c r="A39" s="117" t="s">
        <v>100</v>
      </c>
      <c r="B39" s="118"/>
      <c r="C39" s="42">
        <f>ROUND(SUM(C26)-SUM(C35),1)</f>
        <v>-2135</v>
      </c>
      <c r="D39" s="118"/>
      <c r="E39" s="42">
        <f>ROUND(SUM(E26)-SUM(E35),1)</f>
        <v>-824</v>
      </c>
      <c r="F39" s="57"/>
      <c r="G39" s="42">
        <f>ROUND(SUM(G26)-SUM(G35),1)</f>
        <v>2002</v>
      </c>
      <c r="H39" s="42"/>
      <c r="I39" s="42">
        <v>0</v>
      </c>
      <c r="J39" s="42"/>
      <c r="K39" s="42">
        <f>+G39+I39</f>
        <v>2002</v>
      </c>
      <c r="L39" s="57"/>
      <c r="M39" s="42">
        <f>ROUND(SUM(M26)-SUM(M35),1)</f>
        <v>4137</v>
      </c>
      <c r="N39" s="57"/>
      <c r="O39" s="42">
        <f>ROUND(SUM(O26)-SUM(O35),1)</f>
        <v>2826</v>
      </c>
      <c r="P39" s="100"/>
      <c r="Q39" s="118"/>
      <c r="R39" s="100"/>
      <c r="S39" s="118"/>
      <c r="T39" s="100"/>
      <c r="U39" s="100"/>
      <c r="V39" s="118"/>
      <c r="W39" s="100"/>
      <c r="X39" s="100"/>
      <c r="Y39" s="118"/>
      <c r="Z39" s="100"/>
      <c r="AA39" s="118"/>
      <c r="AB39" s="100"/>
    </row>
    <row r="40" spans="1:28" ht="15" customHeight="1">
      <c r="C40" s="467"/>
      <c r="E40" s="467"/>
      <c r="F40" s="467"/>
      <c r="G40" s="467"/>
      <c r="H40" s="467"/>
      <c r="I40" s="467"/>
      <c r="J40" s="467"/>
      <c r="K40" s="467"/>
      <c r="L40" s="467"/>
      <c r="M40" s="467"/>
      <c r="N40" s="467"/>
      <c r="O40" s="467"/>
    </row>
    <row r="41" spans="1:28">
      <c r="A41" s="117" t="str">
        <f>+'Exh D-Governmental  '!A49</f>
        <v>Fund Balances (Deficits) at April 1</v>
      </c>
      <c r="C41" s="83">
        <f>'Exh D Special Revenue State Fed'!C41+'Exh D Special Revenue State Fed'!N41</f>
        <v>21938</v>
      </c>
      <c r="E41" s="83">
        <f>'Exh D Special Revenue State Fed'!E41+'Exh D Special Revenue State Fed'!P41</f>
        <v>21938</v>
      </c>
      <c r="F41" s="467"/>
      <c r="G41" s="42">
        <f>'Exh D Special Revenue State Fed'!G41+'Exh D Special Revenue State Fed'!R41</f>
        <v>21938.2</v>
      </c>
      <c r="H41" s="42"/>
      <c r="I41" s="42">
        <v>0</v>
      </c>
      <c r="J41" s="42"/>
      <c r="K41" s="42">
        <f>+G41+I41</f>
        <v>21938.2</v>
      </c>
      <c r="L41" s="467"/>
      <c r="M41" s="42">
        <f t="shared" ref="M41" si="7">ROUND(SUM(K41)-SUM(C41),1)</f>
        <v>0.2</v>
      </c>
      <c r="N41" s="467"/>
      <c r="O41" s="42">
        <f>K41-E41</f>
        <v>0.2000000000007276</v>
      </c>
    </row>
    <row r="42" spans="1:28" ht="18" customHeight="1" thickBot="1">
      <c r="A42" s="117" t="str">
        <f>+'Exh D-Governmental  '!A50</f>
        <v xml:space="preserve">Fund Balances (Deficits) at March 31, 2023 </v>
      </c>
      <c r="B42" s="118"/>
      <c r="C42" s="69">
        <f>ROUND(SUM(C39:C41),1)</f>
        <v>19803</v>
      </c>
      <c r="D42" s="118"/>
      <c r="E42" s="69">
        <f>ROUND(SUM(E39:E41),1)</f>
        <v>21114</v>
      </c>
      <c r="F42" s="121"/>
      <c r="G42" s="69">
        <f>ROUND(SUM(G39:G41),1)</f>
        <v>23940.2</v>
      </c>
      <c r="H42" s="65"/>
      <c r="I42" s="69">
        <f>ROUND(SUM(I39:I41),1)</f>
        <v>0</v>
      </c>
      <c r="J42" s="65"/>
      <c r="K42" s="69">
        <f>ROUND(SUM(K39:K41),1)</f>
        <v>23940.2</v>
      </c>
      <c r="L42" s="121"/>
      <c r="M42" s="69">
        <f>ROUND(SUM(M39:M41),1)</f>
        <v>4137.2</v>
      </c>
      <c r="O42" s="69">
        <f>ROUND(SUM(O39:O41),1)</f>
        <v>2826.2</v>
      </c>
    </row>
    <row r="43" spans="1:28" ht="15" customHeight="1" thickTop="1">
      <c r="A43" s="103"/>
      <c r="E43" s="498"/>
      <c r="F43" s="479"/>
      <c r="G43" s="479"/>
      <c r="H43" s="479"/>
      <c r="I43" s="479"/>
      <c r="J43" s="479"/>
      <c r="K43" s="479"/>
      <c r="L43" s="479"/>
      <c r="M43" s="479"/>
      <c r="O43" s="1015"/>
    </row>
    <row r="44" spans="1:28">
      <c r="A44" s="676" t="str">
        <f>'Exh D-Governmental  '!A52</f>
        <v>(*)    Source: 2022-23 Enacted Financial Plan dated May 20, 2022.</v>
      </c>
    </row>
    <row r="45" spans="1:28">
      <c r="A45" s="676" t="str">
        <f>'Exh D-Governmental  '!A53</f>
        <v>(**)   Source: 2023-24 Executive Budget with 30-day amendments dated March 3, 2023.</v>
      </c>
    </row>
    <row r="46" spans="1:28">
      <c r="A46" s="597" t="s">
        <v>1514</v>
      </c>
    </row>
    <row r="47" spans="1:28">
      <c r="A47" s="597"/>
    </row>
    <row r="49" spans="1:1">
      <c r="A49" s="136"/>
    </row>
    <row r="50" spans="1:1">
      <c r="A50" s="136"/>
    </row>
  </sheetData>
  <mergeCells count="1">
    <mergeCell ref="A5:E5"/>
  </mergeCells>
  <printOptions horizontalCentered="1"/>
  <pageMargins left="0.7" right="0.7" top="0.75" bottom="0.6" header="0.3" footer="0.3"/>
  <pageSetup scale="60" firstPageNumber="11"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90" workbookViewId="0"/>
  </sheetViews>
  <sheetFormatPr defaultColWidth="8.84375" defaultRowHeight="15.5"/>
  <cols>
    <col min="1" max="1" width="53.07421875" style="499" customWidth="1"/>
    <col min="2" max="2" width="0.84375" style="454" customWidth="1"/>
    <col min="3" max="3" width="15.84375" style="301" customWidth="1"/>
    <col min="4" max="4" width="0.84375" style="454" customWidth="1"/>
    <col min="5" max="5" width="15.84375" style="301" customWidth="1"/>
    <col min="6" max="6" width="0.84375" style="454" customWidth="1"/>
    <col min="7" max="7" width="15.84375" style="454" customWidth="1"/>
    <col min="8" max="8" width="0.84375" style="454" customWidth="1"/>
    <col min="9" max="9" width="15.84375" style="454" customWidth="1"/>
    <col min="10" max="10" width="0.84375" style="454" customWidth="1"/>
    <col min="11" max="11" width="15.84375" style="454" customWidth="1"/>
    <col min="12" max="12" width="1.84375" style="454" customWidth="1"/>
    <col min="13" max="13" width="0.84375" style="454" customWidth="1"/>
    <col min="14" max="14" width="15.84375" style="454" customWidth="1"/>
    <col min="15" max="15" width="1.07421875" style="454" customWidth="1"/>
    <col min="16" max="16" width="15.84375" style="454" customWidth="1"/>
    <col min="17" max="17" width="1.07421875" style="454" customWidth="1"/>
    <col min="18" max="18" width="15.84375" style="454" customWidth="1"/>
    <col min="19" max="19" width="0.53515625" style="454" customWidth="1"/>
    <col min="20" max="20" width="15.84375" style="454" customWidth="1"/>
    <col min="21" max="21" width="1.07421875" style="454" customWidth="1"/>
    <col min="22" max="22" width="15.84375" style="301" customWidth="1"/>
    <col min="23" max="23" width="1" style="454" customWidth="1"/>
    <col min="24" max="24" width="3.84375" style="301" customWidth="1"/>
    <col min="25" max="25" width="1" style="454" customWidth="1"/>
    <col min="26" max="26" width="15.84375" style="454" customWidth="1"/>
    <col min="27" max="27" width="0.84375" style="454" customWidth="1"/>
    <col min="28" max="28" width="15.84375" style="454" customWidth="1"/>
    <col min="29" max="29" width="7.421875E-2" style="454" customWidth="1"/>
    <col min="30" max="30" width="11.84375" style="454" customWidth="1"/>
    <col min="31" max="31" width="11.4609375" style="454" customWidth="1"/>
    <col min="32" max="32" width="1.84375" style="454" customWidth="1"/>
    <col min="33" max="33" width="11.84375" style="454" customWidth="1"/>
    <col min="34" max="34" width="2.07421875" style="454" customWidth="1"/>
    <col min="35" max="35" width="11.4609375" style="454" customWidth="1"/>
    <col min="36" max="36" width="0.53515625" style="454" customWidth="1"/>
    <col min="37" max="37" width="2.07421875" style="454" customWidth="1"/>
    <col min="38" max="38" width="10.53515625" style="454" customWidth="1"/>
    <col min="39" max="39" width="11.07421875" style="454" customWidth="1"/>
    <col min="40" max="40" width="2.07421875" style="454" customWidth="1"/>
    <col min="41" max="41" width="11.07421875" style="454" customWidth="1"/>
    <col min="42" max="42" width="2.07421875" style="454" customWidth="1"/>
    <col min="43" max="43" width="12.4609375" style="454" customWidth="1"/>
    <col min="44" max="49" width="8.84375" style="454"/>
    <col min="50" max="16384" width="8.84375" style="499"/>
  </cols>
  <sheetData>
    <row r="1" spans="1:49">
      <c r="A1" s="677" t="s">
        <v>868</v>
      </c>
      <c r="B1" s="126"/>
      <c r="C1" s="297"/>
      <c r="D1" s="126"/>
      <c r="E1" s="297"/>
      <c r="F1" s="126"/>
      <c r="G1" s="126"/>
      <c r="H1" s="126"/>
      <c r="I1" s="126"/>
      <c r="J1" s="126"/>
      <c r="K1" s="126"/>
      <c r="L1" s="126"/>
      <c r="M1" s="126"/>
      <c r="N1" s="126"/>
      <c r="O1" s="126"/>
      <c r="P1" s="126"/>
      <c r="Q1" s="126"/>
      <c r="R1" s="126"/>
      <c r="S1" s="126"/>
      <c r="T1" s="126"/>
      <c r="U1" s="126"/>
      <c r="V1" s="297"/>
      <c r="W1" s="126"/>
      <c r="X1" s="297"/>
      <c r="Y1" s="126"/>
      <c r="Z1" s="126"/>
      <c r="AA1" s="126"/>
      <c r="AB1" s="126"/>
      <c r="AC1" s="126"/>
      <c r="AD1" s="126"/>
      <c r="AE1" s="126"/>
      <c r="AF1" s="126"/>
      <c r="AG1" s="126"/>
      <c r="AH1" s="126"/>
      <c r="AI1" s="126"/>
      <c r="AJ1" s="126"/>
      <c r="AK1" s="126"/>
      <c r="AL1" s="126"/>
      <c r="AM1" s="126"/>
      <c r="AN1" s="126"/>
      <c r="AO1" s="126"/>
      <c r="AP1" s="126"/>
      <c r="AQ1" s="126"/>
      <c r="AR1" s="499"/>
      <c r="AS1" s="499"/>
      <c r="AT1" s="499"/>
      <c r="AU1" s="499"/>
      <c r="AV1" s="499"/>
      <c r="AW1" s="499"/>
    </row>
    <row r="2" spans="1:49" ht="17.25" customHeight="1">
      <c r="A2" s="127"/>
      <c r="B2" s="126"/>
      <c r="C2" s="297"/>
      <c r="D2" s="126"/>
      <c r="E2" s="297"/>
      <c r="F2" s="126"/>
      <c r="G2" s="126"/>
      <c r="H2" s="126"/>
      <c r="I2" s="126"/>
      <c r="J2" s="126"/>
      <c r="K2" s="126"/>
      <c r="L2" s="126"/>
      <c r="M2" s="126"/>
      <c r="N2" s="126"/>
      <c r="O2" s="126"/>
      <c r="P2" s="126"/>
      <c r="Q2" s="126"/>
      <c r="R2" s="126"/>
      <c r="S2" s="126"/>
      <c r="T2" s="126"/>
      <c r="U2" s="126"/>
      <c r="V2" s="297"/>
      <c r="W2" s="126"/>
      <c r="X2" s="297"/>
      <c r="Y2" s="126"/>
      <c r="Z2" s="126"/>
      <c r="AA2" s="126"/>
      <c r="AB2" s="126"/>
      <c r="AC2" s="126"/>
      <c r="AD2" s="126"/>
      <c r="AE2" s="126"/>
      <c r="AF2" s="126"/>
      <c r="AG2" s="126"/>
      <c r="AH2" s="126"/>
      <c r="AI2" s="126"/>
      <c r="AJ2" s="126"/>
      <c r="AK2" s="126"/>
      <c r="AL2" s="126"/>
      <c r="AM2" s="126"/>
      <c r="AN2" s="126"/>
      <c r="AO2" s="126"/>
      <c r="AP2" s="126"/>
      <c r="AQ2" s="126"/>
      <c r="AR2" s="499"/>
      <c r="AS2" s="499"/>
      <c r="AT2" s="499"/>
      <c r="AU2" s="499"/>
      <c r="AV2" s="499"/>
      <c r="AW2" s="499"/>
    </row>
    <row r="3" spans="1:49" ht="18.75" customHeight="1">
      <c r="A3" s="128" t="s">
        <v>0</v>
      </c>
      <c r="B3" s="94"/>
      <c r="C3" s="298"/>
      <c r="D3" s="94"/>
      <c r="E3" s="298"/>
      <c r="F3" s="94"/>
      <c r="G3" s="94"/>
      <c r="H3" s="94"/>
      <c r="I3" s="94"/>
      <c r="J3" s="94"/>
      <c r="K3" s="94"/>
      <c r="L3" s="94"/>
      <c r="M3" s="94"/>
      <c r="N3" s="94"/>
      <c r="O3" s="94"/>
      <c r="P3" s="94"/>
      <c r="Q3" s="94"/>
      <c r="R3" s="94"/>
      <c r="S3" s="94"/>
      <c r="T3" s="598"/>
      <c r="U3" s="94"/>
      <c r="V3" s="598" t="s">
        <v>81</v>
      </c>
      <c r="W3" s="94"/>
      <c r="X3" s="298"/>
      <c r="Y3" s="94"/>
      <c r="Z3" s="94"/>
      <c r="AA3" s="94"/>
      <c r="AB3" s="598"/>
      <c r="AC3" s="94"/>
      <c r="AD3" s="94"/>
      <c r="AE3" s="94"/>
      <c r="AF3" s="94"/>
      <c r="AG3" s="94"/>
      <c r="AH3" s="94"/>
      <c r="AI3" s="94"/>
      <c r="AJ3" s="94"/>
      <c r="AK3" s="94"/>
      <c r="AL3" s="94"/>
      <c r="AM3" s="94"/>
      <c r="AN3" s="94"/>
      <c r="AO3" s="94"/>
      <c r="AP3" s="94"/>
      <c r="AQ3" s="129"/>
      <c r="AR3" s="499"/>
      <c r="AS3" s="499"/>
      <c r="AT3" s="499"/>
      <c r="AU3" s="499"/>
      <c r="AV3" s="499"/>
      <c r="AW3" s="499"/>
    </row>
    <row r="4" spans="1:49" ht="18.75" customHeight="1">
      <c r="A4" s="128" t="s">
        <v>80</v>
      </c>
      <c r="B4" s="94"/>
      <c r="C4" s="298"/>
      <c r="D4" s="94"/>
      <c r="E4" s="298"/>
      <c r="F4" s="94"/>
      <c r="G4" s="94"/>
      <c r="H4" s="94"/>
      <c r="I4" s="94"/>
      <c r="J4" s="94"/>
      <c r="K4" s="94"/>
      <c r="L4" s="94"/>
      <c r="M4" s="94"/>
      <c r="N4" s="94"/>
      <c r="O4" s="94"/>
      <c r="P4" s="94"/>
      <c r="Q4" s="94"/>
      <c r="R4" s="94"/>
      <c r="S4" s="94"/>
      <c r="T4" s="599"/>
      <c r="U4" s="94"/>
      <c r="V4" s="599"/>
      <c r="W4" s="94"/>
      <c r="X4" s="298"/>
      <c r="Y4" s="94"/>
      <c r="Z4" s="94"/>
      <c r="AA4" s="94"/>
      <c r="AB4" s="599"/>
      <c r="AC4" s="94"/>
      <c r="AD4" s="94"/>
      <c r="AE4" s="94"/>
      <c r="AF4" s="94"/>
      <c r="AG4" s="94"/>
      <c r="AH4" s="94"/>
      <c r="AI4" s="94"/>
      <c r="AJ4" s="94"/>
      <c r="AK4" s="94"/>
      <c r="AL4" s="94"/>
      <c r="AM4" s="94"/>
      <c r="AN4" s="94"/>
      <c r="AO4" s="94"/>
      <c r="AP4" s="94"/>
      <c r="AQ4" s="94"/>
      <c r="AR4" s="499"/>
      <c r="AS4" s="499"/>
      <c r="AT4" s="499"/>
      <c r="AU4" s="499"/>
      <c r="AV4" s="499"/>
      <c r="AW4" s="499"/>
    </row>
    <row r="5" spans="1:49" ht="18.75" customHeight="1">
      <c r="A5" s="2309" t="str">
        <f>'Exh D-Governmental  '!A5:E5</f>
        <v>FISCAL YEAR 2022-2023</v>
      </c>
      <c r="B5" s="2310"/>
      <c r="C5" s="2310"/>
      <c r="D5" s="2310"/>
      <c r="E5" s="2310"/>
      <c r="F5" s="94"/>
      <c r="G5" s="472"/>
      <c r="H5" s="94"/>
      <c r="I5" s="94"/>
      <c r="J5" s="94"/>
      <c r="K5" s="94"/>
      <c r="L5" s="94"/>
      <c r="M5" s="94"/>
      <c r="N5" s="482"/>
      <c r="O5" s="94"/>
      <c r="P5" s="94"/>
      <c r="Q5" s="94"/>
      <c r="R5" s="94"/>
      <c r="S5" s="94"/>
      <c r="T5" s="94"/>
      <c r="U5" s="94"/>
      <c r="V5" s="298"/>
      <c r="W5" s="94"/>
      <c r="X5" s="298"/>
      <c r="Y5" s="94"/>
      <c r="Z5" s="94"/>
      <c r="AA5" s="94"/>
      <c r="AB5" s="94"/>
      <c r="AC5" s="94"/>
      <c r="AD5" s="94"/>
      <c r="AE5" s="94"/>
      <c r="AF5" s="94"/>
      <c r="AG5" s="94"/>
      <c r="AH5" s="94"/>
      <c r="AI5" s="94"/>
      <c r="AJ5" s="94"/>
      <c r="AK5" s="94"/>
      <c r="AL5" s="94"/>
      <c r="AM5" s="94"/>
      <c r="AN5" s="94"/>
      <c r="AO5" s="94"/>
      <c r="AP5" s="94"/>
      <c r="AQ5" s="94"/>
      <c r="AR5" s="499"/>
      <c r="AS5" s="499"/>
      <c r="AT5" s="499"/>
      <c r="AU5" s="499"/>
      <c r="AV5" s="499"/>
      <c r="AW5" s="499"/>
    </row>
    <row r="6" spans="1:49" ht="18.75" customHeight="1">
      <c r="A6" s="974" t="str">
        <f>'Exh D-Governmental  '!A6</f>
        <v xml:space="preserve">FOR TWELVE MONTHS ENDED MARCH 31, 2023    </v>
      </c>
      <c r="B6" s="94"/>
      <c r="C6" s="298"/>
      <c r="D6" s="94"/>
      <c r="E6" s="298"/>
      <c r="F6" s="94"/>
      <c r="G6" s="94"/>
      <c r="H6" s="94"/>
      <c r="I6" s="94"/>
      <c r="J6" s="94"/>
      <c r="K6" s="94"/>
      <c r="L6" s="94"/>
      <c r="M6" s="94"/>
      <c r="N6" s="94"/>
      <c r="O6" s="94"/>
      <c r="P6" s="94"/>
      <c r="Q6" s="94"/>
      <c r="R6" s="94"/>
      <c r="S6" s="94"/>
      <c r="T6" s="94"/>
      <c r="U6" s="94"/>
      <c r="V6" s="298"/>
      <c r="W6" s="94"/>
      <c r="X6" s="298"/>
      <c r="Y6" s="94"/>
      <c r="Z6" s="94"/>
      <c r="AA6" s="94"/>
      <c r="AB6" s="94"/>
      <c r="AC6" s="94"/>
      <c r="AD6" s="94"/>
      <c r="AE6" s="94"/>
      <c r="AF6" s="94"/>
      <c r="AG6" s="94"/>
      <c r="AH6" s="94"/>
      <c r="AI6" s="94"/>
      <c r="AJ6" s="94"/>
      <c r="AK6" s="94"/>
      <c r="AL6" s="94"/>
      <c r="AM6" s="94"/>
      <c r="AN6" s="94"/>
      <c r="AO6" s="94"/>
      <c r="AP6" s="94"/>
      <c r="AQ6" s="94"/>
      <c r="AR6" s="499"/>
      <c r="AS6" s="499"/>
      <c r="AT6" s="499"/>
      <c r="AU6" s="499"/>
      <c r="AV6" s="499"/>
      <c r="AW6" s="499"/>
    </row>
    <row r="7" spans="1:49" ht="18.75" customHeight="1">
      <c r="A7" s="128" t="s">
        <v>1248</v>
      </c>
      <c r="B7" s="94"/>
      <c r="C7" s="298"/>
      <c r="D7" s="94"/>
      <c r="E7" s="298"/>
      <c r="F7" s="94"/>
      <c r="G7" s="94"/>
      <c r="H7" s="94"/>
      <c r="I7" s="94"/>
      <c r="J7" s="94"/>
      <c r="K7" s="94"/>
      <c r="L7" s="94"/>
      <c r="M7" s="94"/>
      <c r="N7" s="94"/>
      <c r="O7" s="94"/>
      <c r="P7" s="94"/>
      <c r="Q7" s="94"/>
      <c r="R7" s="94"/>
      <c r="S7" s="94"/>
      <c r="T7" s="94"/>
      <c r="U7" s="94"/>
      <c r="V7" s="298"/>
      <c r="W7" s="94"/>
      <c r="X7" s="298"/>
      <c r="Y7" s="94"/>
      <c r="Z7" s="94"/>
      <c r="AA7" s="94"/>
      <c r="AB7" s="94"/>
      <c r="AC7" s="94"/>
      <c r="AD7" s="94"/>
      <c r="AE7" s="94"/>
      <c r="AF7" s="94"/>
      <c r="AG7" s="94"/>
      <c r="AH7" s="94"/>
      <c r="AI7" s="94"/>
      <c r="AJ7" s="94"/>
      <c r="AK7" s="94"/>
      <c r="AL7" s="94"/>
      <c r="AM7" s="94"/>
      <c r="AN7" s="94"/>
      <c r="AO7" s="94"/>
      <c r="AP7" s="94"/>
      <c r="AQ7" s="94"/>
      <c r="AR7" s="499"/>
      <c r="AS7" s="499"/>
      <c r="AT7" s="499"/>
      <c r="AU7" s="499"/>
      <c r="AV7" s="499"/>
      <c r="AW7" s="499"/>
    </row>
    <row r="8" spans="1:49" ht="15" customHeight="1">
      <c r="A8" s="98"/>
      <c r="B8" s="94"/>
      <c r="C8" s="298"/>
      <c r="D8" s="94"/>
      <c r="E8" s="298"/>
      <c r="F8" s="94"/>
      <c r="G8" s="94"/>
      <c r="H8" s="94"/>
      <c r="I8" s="94"/>
      <c r="J8" s="94"/>
      <c r="K8" s="94"/>
      <c r="L8" s="94"/>
      <c r="M8" s="94"/>
      <c r="N8" s="94"/>
      <c r="O8" s="94"/>
      <c r="P8" s="94"/>
      <c r="Q8" s="94"/>
      <c r="R8" s="94"/>
      <c r="S8" s="94"/>
      <c r="T8" s="94"/>
      <c r="U8" s="94"/>
      <c r="V8" s="298"/>
      <c r="W8" s="94"/>
      <c r="X8" s="298"/>
      <c r="Y8" s="94"/>
      <c r="Z8" s="94"/>
      <c r="AA8" s="94"/>
      <c r="AB8" s="94"/>
      <c r="AC8" s="94"/>
      <c r="AD8" s="94"/>
      <c r="AE8" s="94"/>
      <c r="AF8" s="94"/>
      <c r="AG8" s="94"/>
      <c r="AH8" s="94"/>
      <c r="AI8" s="94"/>
      <c r="AJ8" s="94"/>
      <c r="AK8" s="94"/>
      <c r="AL8" s="94"/>
      <c r="AM8" s="94"/>
      <c r="AN8" s="94"/>
      <c r="AO8" s="94"/>
      <c r="AP8" s="94"/>
      <c r="AQ8" s="94"/>
      <c r="AR8" s="499"/>
      <c r="AS8" s="499"/>
      <c r="AT8" s="499"/>
      <c r="AU8" s="499"/>
      <c r="AV8" s="499"/>
      <c r="AW8" s="499"/>
    </row>
    <row r="9" spans="1:49">
      <c r="A9" s="99"/>
      <c r="B9" s="94"/>
      <c r="C9" s="298"/>
      <c r="D9" s="94"/>
      <c r="E9" s="298"/>
      <c r="F9" s="94"/>
      <c r="G9" s="94"/>
      <c r="H9" s="94"/>
      <c r="I9" s="94"/>
      <c r="J9" s="94"/>
      <c r="K9" s="94"/>
      <c r="L9" s="94"/>
      <c r="M9" s="94"/>
      <c r="N9" s="94"/>
      <c r="O9" s="94"/>
      <c r="P9" s="94"/>
      <c r="Q9" s="94"/>
      <c r="R9" s="94"/>
      <c r="S9" s="94"/>
      <c r="T9" s="94"/>
      <c r="U9" s="94"/>
      <c r="V9" s="298"/>
      <c r="W9" s="94"/>
      <c r="X9" s="298"/>
      <c r="Y9" s="94"/>
      <c r="Z9" s="94"/>
      <c r="AA9" s="94"/>
      <c r="AB9" s="94"/>
      <c r="AC9" s="94"/>
      <c r="AD9" s="94"/>
      <c r="AE9" s="94"/>
      <c r="AF9" s="94"/>
      <c r="AG9" s="94"/>
      <c r="AH9" s="94"/>
      <c r="AI9" s="94"/>
      <c r="AJ9" s="94"/>
      <c r="AK9" s="94"/>
      <c r="AL9" s="94"/>
      <c r="AM9" s="94"/>
      <c r="AN9" s="94"/>
      <c r="AO9" s="94"/>
      <c r="AP9" s="94"/>
      <c r="AQ9" s="94"/>
      <c r="AR9" s="499"/>
      <c r="AS9" s="499"/>
      <c r="AT9" s="499"/>
      <c r="AU9" s="499"/>
      <c r="AV9" s="499"/>
      <c r="AW9" s="499"/>
    </row>
    <row r="10" spans="1:49">
      <c r="A10" s="99"/>
      <c r="B10" s="94"/>
      <c r="C10" s="298"/>
      <c r="D10" s="94"/>
      <c r="E10" s="298"/>
      <c r="F10" s="94"/>
      <c r="G10" s="94"/>
      <c r="H10" s="94"/>
      <c r="I10" s="94"/>
      <c r="J10" s="94"/>
      <c r="K10" s="94"/>
      <c r="L10" s="94"/>
      <c r="M10" s="94"/>
      <c r="N10" s="94"/>
      <c r="O10" s="94"/>
      <c r="P10" s="94"/>
      <c r="Q10" s="94"/>
      <c r="R10" s="94"/>
      <c r="S10" s="94"/>
      <c r="T10" s="94"/>
      <c r="U10" s="94"/>
      <c r="V10" s="298"/>
      <c r="W10" s="94"/>
      <c r="X10" s="298"/>
      <c r="Y10" s="94"/>
      <c r="Z10" s="94"/>
      <c r="AA10" s="94"/>
      <c r="AB10" s="94"/>
      <c r="AC10" s="94"/>
      <c r="AD10" s="94"/>
      <c r="AE10" s="94"/>
      <c r="AF10" s="94"/>
      <c r="AG10" s="94"/>
      <c r="AH10" s="94"/>
      <c r="AI10" s="94"/>
      <c r="AJ10" s="94"/>
      <c r="AK10" s="94"/>
      <c r="AL10" s="94"/>
      <c r="AM10" s="94"/>
      <c r="AN10" s="94"/>
      <c r="AO10" s="94"/>
      <c r="AP10" s="94"/>
      <c r="AQ10" s="94"/>
      <c r="AR10" s="499"/>
      <c r="AS10" s="499"/>
      <c r="AT10" s="499"/>
      <c r="AU10" s="499"/>
      <c r="AV10" s="499"/>
      <c r="AW10" s="499"/>
    </row>
    <row r="11" spans="1:49">
      <c r="C11" s="2305" t="s">
        <v>1022</v>
      </c>
      <c r="D11" s="2305"/>
      <c r="E11" s="2305"/>
      <c r="F11" s="2305"/>
      <c r="G11" s="2305"/>
      <c r="H11" s="2305"/>
      <c r="I11" s="2305"/>
      <c r="J11" s="554"/>
      <c r="K11" s="554"/>
      <c r="L11" s="132"/>
      <c r="M11" s="130"/>
      <c r="N11" s="2305" t="s">
        <v>1023</v>
      </c>
      <c r="O11" s="2305"/>
      <c r="P11" s="2305"/>
      <c r="Q11" s="2305"/>
      <c r="R11" s="2305"/>
      <c r="S11" s="2305"/>
      <c r="T11" s="2305"/>
      <c r="U11" s="813"/>
      <c r="V11" s="953"/>
      <c r="W11" s="960"/>
      <c r="X11" s="960"/>
      <c r="Y11" s="960"/>
      <c r="Z11" s="960"/>
      <c r="AA11" s="960"/>
      <c r="AB11" s="960"/>
      <c r="AC11" s="100"/>
      <c r="AD11" s="130"/>
      <c r="AE11" s="130"/>
      <c r="AF11" s="130"/>
      <c r="AG11" s="130"/>
      <c r="AH11" s="130"/>
      <c r="AI11" s="130"/>
      <c r="AJ11" s="130"/>
      <c r="AK11" s="100"/>
      <c r="AL11" s="130"/>
      <c r="AM11" s="131"/>
      <c r="AN11" s="130"/>
      <c r="AO11" s="130"/>
      <c r="AP11" s="130"/>
      <c r="AQ11" s="130"/>
      <c r="AR11" s="499"/>
      <c r="AS11" s="499"/>
      <c r="AT11" s="499"/>
      <c r="AU11" s="499"/>
      <c r="AV11" s="499"/>
      <c r="AW11" s="499"/>
    </row>
    <row r="12" spans="1:49">
      <c r="C12" s="299"/>
      <c r="D12" s="132"/>
      <c r="E12" s="299"/>
      <c r="F12" s="132"/>
      <c r="G12" s="133"/>
      <c r="H12" s="132"/>
      <c r="I12" s="132" t="s">
        <v>82</v>
      </c>
      <c r="J12" s="132"/>
      <c r="K12" s="132" t="s">
        <v>82</v>
      </c>
      <c r="L12" s="132"/>
      <c r="M12" s="819"/>
      <c r="N12" s="299"/>
      <c r="O12" s="132"/>
      <c r="P12" s="299"/>
      <c r="Q12" s="132"/>
      <c r="R12" s="133"/>
      <c r="S12" s="132"/>
      <c r="T12" s="132" t="s">
        <v>82</v>
      </c>
      <c r="U12" s="130"/>
      <c r="V12" s="132" t="s">
        <v>82</v>
      </c>
      <c r="W12" s="132"/>
      <c r="Y12" s="132"/>
      <c r="Z12" s="133"/>
      <c r="AA12" s="132"/>
      <c r="AB12" s="132"/>
      <c r="AC12" s="100"/>
      <c r="AD12" s="130"/>
      <c r="AE12" s="130"/>
      <c r="AF12" s="130"/>
      <c r="AG12" s="130"/>
      <c r="AH12" s="130"/>
      <c r="AI12" s="130"/>
      <c r="AJ12" s="130"/>
      <c r="AK12" s="100"/>
      <c r="AL12" s="130"/>
      <c r="AM12" s="131"/>
      <c r="AN12" s="130"/>
      <c r="AO12" s="130"/>
      <c r="AP12" s="130"/>
      <c r="AQ12" s="130"/>
      <c r="AR12" s="499"/>
      <c r="AS12" s="499"/>
      <c r="AT12" s="499"/>
      <c r="AU12" s="499"/>
      <c r="AV12" s="499"/>
      <c r="AW12" s="499"/>
    </row>
    <row r="13" spans="1:49">
      <c r="B13" s="100"/>
      <c r="C13" s="300"/>
      <c r="D13" s="100"/>
      <c r="E13" s="300"/>
      <c r="F13" s="100"/>
      <c r="G13" s="100"/>
      <c r="H13" s="100"/>
      <c r="I13" s="101" t="s">
        <v>783</v>
      </c>
      <c r="J13" s="101"/>
      <c r="K13" s="101" t="s">
        <v>783</v>
      </c>
      <c r="L13" s="101"/>
      <c r="M13" s="820"/>
      <c r="N13" s="300"/>
      <c r="O13" s="100"/>
      <c r="P13" s="300"/>
      <c r="Q13" s="100"/>
      <c r="R13" s="100"/>
      <c r="S13" s="100"/>
      <c r="T13" s="101" t="s">
        <v>783</v>
      </c>
      <c r="U13" s="101"/>
      <c r="V13" s="101" t="s">
        <v>783</v>
      </c>
      <c r="W13" s="100"/>
      <c r="X13" s="300"/>
      <c r="Y13" s="100"/>
      <c r="Z13" s="100"/>
      <c r="AA13" s="100"/>
      <c r="AB13" s="101"/>
      <c r="AC13" s="100"/>
      <c r="AD13" s="100"/>
      <c r="AE13" s="100"/>
      <c r="AF13" s="100"/>
      <c r="AG13" s="100"/>
      <c r="AH13" s="100"/>
      <c r="AI13" s="102"/>
      <c r="AJ13" s="101"/>
      <c r="AK13" s="100"/>
      <c r="AL13" s="100"/>
      <c r="AM13" s="100"/>
      <c r="AN13" s="100"/>
      <c r="AO13" s="100"/>
      <c r="AP13" s="100"/>
      <c r="AQ13" s="102"/>
      <c r="AR13" s="499"/>
      <c r="AS13" s="499"/>
      <c r="AT13" s="499"/>
      <c r="AU13" s="499"/>
      <c r="AV13" s="499"/>
      <c r="AW13" s="499"/>
    </row>
    <row r="14" spans="1:49">
      <c r="B14" s="134"/>
      <c r="C14" s="102" t="s">
        <v>975</v>
      </c>
      <c r="D14" s="499"/>
      <c r="E14" s="101" t="s">
        <v>976</v>
      </c>
      <c r="F14" s="100"/>
      <c r="G14" s="100"/>
      <c r="H14" s="100"/>
      <c r="I14" s="101" t="s">
        <v>83</v>
      </c>
      <c r="J14" s="101"/>
      <c r="K14" s="101" t="s">
        <v>83</v>
      </c>
      <c r="L14" s="101"/>
      <c r="M14" s="820"/>
      <c r="N14" s="102" t="s">
        <v>975</v>
      </c>
      <c r="O14" s="499"/>
      <c r="P14" s="101" t="s">
        <v>976</v>
      </c>
      <c r="Q14" s="100"/>
      <c r="R14" s="100"/>
      <c r="S14" s="100"/>
      <c r="T14" s="101" t="s">
        <v>83</v>
      </c>
      <c r="U14" s="101"/>
      <c r="V14" s="101" t="s">
        <v>83</v>
      </c>
      <c r="W14" s="499"/>
      <c r="X14" s="101"/>
      <c r="Y14" s="100"/>
      <c r="Z14" s="100"/>
      <c r="AA14" s="100"/>
      <c r="AB14" s="101"/>
      <c r="AC14" s="100"/>
      <c r="AD14" s="102"/>
      <c r="AE14" s="101"/>
      <c r="AF14" s="100"/>
      <c r="AG14" s="100"/>
      <c r="AH14" s="100"/>
      <c r="AI14" s="102"/>
      <c r="AJ14" s="101"/>
      <c r="AK14" s="100"/>
      <c r="AL14" s="102"/>
      <c r="AM14" s="101"/>
      <c r="AN14" s="100"/>
      <c r="AO14" s="100"/>
      <c r="AP14" s="100"/>
      <c r="AQ14" s="102"/>
      <c r="AR14" s="499"/>
      <c r="AS14" s="499"/>
      <c r="AT14" s="499"/>
      <c r="AU14" s="499"/>
      <c r="AV14" s="499"/>
      <c r="AW14" s="499"/>
    </row>
    <row r="15" spans="1:49">
      <c r="B15" s="134"/>
      <c r="C15" s="101" t="s">
        <v>1011</v>
      </c>
      <c r="D15" s="100"/>
      <c r="E15" s="101" t="s">
        <v>1011</v>
      </c>
      <c r="F15" s="100"/>
      <c r="G15" s="100"/>
      <c r="H15" s="100"/>
      <c r="I15" s="101" t="s">
        <v>975</v>
      </c>
      <c r="J15" s="101"/>
      <c r="K15" s="101" t="s">
        <v>976</v>
      </c>
      <c r="L15" s="101"/>
      <c r="M15" s="820"/>
      <c r="N15" s="101" t="s">
        <v>1011</v>
      </c>
      <c r="O15" s="100"/>
      <c r="P15" s="101" t="s">
        <v>1011</v>
      </c>
      <c r="Q15" s="100"/>
      <c r="R15" s="100"/>
      <c r="S15" s="100"/>
      <c r="T15" s="101" t="s">
        <v>975</v>
      </c>
      <c r="U15" s="101"/>
      <c r="V15" s="101" t="s">
        <v>976</v>
      </c>
      <c r="W15" s="100"/>
      <c r="X15" s="101"/>
      <c r="Y15" s="100"/>
      <c r="Z15" s="100"/>
      <c r="AA15" s="100"/>
      <c r="AB15" s="101"/>
      <c r="AC15" s="100"/>
      <c r="AD15" s="102"/>
      <c r="AE15" s="101"/>
      <c r="AF15" s="100"/>
      <c r="AG15" s="100"/>
      <c r="AH15" s="100"/>
      <c r="AI15" s="102"/>
      <c r="AJ15" s="101"/>
      <c r="AK15" s="100"/>
      <c r="AL15" s="102"/>
      <c r="AM15" s="101"/>
      <c r="AN15" s="100"/>
      <c r="AO15" s="100"/>
      <c r="AP15" s="100"/>
      <c r="AQ15" s="102"/>
      <c r="AR15" s="499"/>
      <c r="AS15" s="499"/>
      <c r="AT15" s="499"/>
      <c r="AU15" s="499"/>
      <c r="AV15" s="499"/>
      <c r="AW15" s="499"/>
    </row>
    <row r="16" spans="1:49">
      <c r="B16" s="101"/>
      <c r="C16" s="101" t="s">
        <v>1012</v>
      </c>
      <c r="D16" s="100"/>
      <c r="E16" s="101" t="s">
        <v>1508</v>
      </c>
      <c r="F16" s="100"/>
      <c r="G16" s="102" t="s">
        <v>82</v>
      </c>
      <c r="H16" s="100"/>
      <c r="I16" s="101" t="s">
        <v>84</v>
      </c>
      <c r="J16" s="101"/>
      <c r="K16" s="101" t="s">
        <v>84</v>
      </c>
      <c r="L16" s="101"/>
      <c r="M16" s="827"/>
      <c r="N16" s="828" t="s">
        <v>1012</v>
      </c>
      <c r="O16" s="100"/>
      <c r="P16" s="101" t="s">
        <v>1508</v>
      </c>
      <c r="Q16" s="100"/>
      <c r="R16" s="102" t="s">
        <v>82</v>
      </c>
      <c r="S16" s="100"/>
      <c r="T16" s="101" t="s">
        <v>84</v>
      </c>
      <c r="U16" s="101"/>
      <c r="V16" s="101" t="s">
        <v>84</v>
      </c>
      <c r="W16" s="100"/>
      <c r="X16" s="101"/>
      <c r="Y16" s="100"/>
      <c r="Z16" s="102"/>
      <c r="AA16" s="100"/>
      <c r="AB16" s="101"/>
      <c r="AC16" s="100"/>
      <c r="AD16" s="101"/>
      <c r="AE16" s="101"/>
      <c r="AF16" s="100"/>
      <c r="AG16" s="102"/>
      <c r="AH16" s="100"/>
      <c r="AI16" s="102"/>
      <c r="AJ16" s="101"/>
      <c r="AK16" s="100"/>
      <c r="AL16" s="101"/>
      <c r="AM16" s="101"/>
      <c r="AN16" s="100"/>
      <c r="AO16" s="102"/>
      <c r="AP16" s="100"/>
      <c r="AQ16" s="102"/>
      <c r="AR16" s="499"/>
      <c r="AS16" s="499"/>
      <c r="AT16" s="499"/>
      <c r="AU16" s="499"/>
      <c r="AV16" s="499"/>
      <c r="AW16" s="499"/>
    </row>
    <row r="17" spans="1:49">
      <c r="A17" s="103"/>
      <c r="B17" s="94"/>
      <c r="C17" s="104"/>
      <c r="D17" s="94"/>
      <c r="E17" s="104"/>
      <c r="F17" s="94"/>
      <c r="G17" s="104"/>
      <c r="H17" s="94"/>
      <c r="I17" s="104"/>
      <c r="J17" s="94"/>
      <c r="K17" s="104"/>
      <c r="L17" s="94"/>
      <c r="M17" s="821"/>
      <c r="N17" s="94"/>
      <c r="O17" s="94"/>
      <c r="P17" s="104"/>
      <c r="Q17" s="94"/>
      <c r="R17" s="104"/>
      <c r="S17" s="94"/>
      <c r="T17" s="104"/>
      <c r="U17" s="94"/>
      <c r="V17" s="104"/>
      <c r="W17" s="94"/>
      <c r="X17" s="94"/>
      <c r="Y17" s="94"/>
      <c r="Z17" s="94"/>
      <c r="AA17" s="94"/>
      <c r="AB17" s="94"/>
      <c r="AC17" s="94"/>
      <c r="AD17" s="94"/>
      <c r="AE17" s="94"/>
      <c r="AF17" s="94"/>
      <c r="AG17" s="94"/>
      <c r="AH17" s="94"/>
      <c r="AI17" s="94"/>
      <c r="AJ17" s="94"/>
      <c r="AK17" s="94"/>
      <c r="AL17" s="94"/>
      <c r="AM17" s="94"/>
      <c r="AN17" s="94"/>
      <c r="AO17" s="94"/>
      <c r="AP17" s="94"/>
      <c r="AQ17" s="94"/>
      <c r="AR17" s="499"/>
      <c r="AS17" s="499"/>
      <c r="AT17" s="499"/>
      <c r="AU17" s="499"/>
      <c r="AV17" s="499"/>
      <c r="AW17" s="499"/>
    </row>
    <row r="18" spans="1:49">
      <c r="A18" s="19" t="s">
        <v>13</v>
      </c>
      <c r="C18" s="454"/>
      <c r="E18" s="454"/>
      <c r="M18" s="822"/>
      <c r="V18" s="454"/>
      <c r="X18" s="454"/>
      <c r="AR18" s="499"/>
      <c r="AS18" s="499"/>
      <c r="AT18" s="499"/>
      <c r="AU18" s="499"/>
      <c r="AV18" s="499"/>
      <c r="AW18" s="499"/>
    </row>
    <row r="19" spans="1:49">
      <c r="A19" s="597" t="s">
        <v>85</v>
      </c>
      <c r="B19" s="669"/>
      <c r="C19" s="454"/>
      <c r="D19" s="669"/>
      <c r="E19" s="454"/>
      <c r="F19" s="669"/>
      <c r="H19" s="669"/>
      <c r="M19" s="822"/>
      <c r="O19" s="669"/>
      <c r="Q19" s="669"/>
      <c r="S19" s="669"/>
      <c r="V19" s="454"/>
      <c r="X19" s="454"/>
      <c r="AA19" s="669"/>
      <c r="AR19" s="499"/>
      <c r="AS19" s="499"/>
      <c r="AT19" s="499"/>
      <c r="AU19" s="499"/>
      <c r="AV19" s="499"/>
      <c r="AW19" s="499"/>
    </row>
    <row r="20" spans="1:49">
      <c r="A20" s="597" t="s">
        <v>86</v>
      </c>
      <c r="B20" s="669" t="s">
        <v>14</v>
      </c>
      <c r="C20" s="482">
        <v>1831</v>
      </c>
      <c r="D20" s="481"/>
      <c r="E20" s="482">
        <v>1781</v>
      </c>
      <c r="F20" s="481"/>
      <c r="G20" s="479">
        <f>'Exhibit G State'!AD17</f>
        <v>1781.2</v>
      </c>
      <c r="H20" s="481"/>
      <c r="I20" s="479">
        <f>G20-C20</f>
        <v>-49.799999999999955</v>
      </c>
      <c r="J20" s="479"/>
      <c r="K20" s="479">
        <f>G20-E20</f>
        <v>0.20000000000004547</v>
      </c>
      <c r="L20" s="479"/>
      <c r="M20" s="822"/>
      <c r="N20" s="482">
        <v>0</v>
      </c>
      <c r="O20" s="481"/>
      <c r="P20" s="482">
        <v>0</v>
      </c>
      <c r="Q20" s="481"/>
      <c r="R20" s="479">
        <v>0</v>
      </c>
      <c r="S20" s="481"/>
      <c r="T20" s="479">
        <f>R20-N20</f>
        <v>0</v>
      </c>
      <c r="V20" s="479">
        <f>R20-P20</f>
        <v>0</v>
      </c>
      <c r="W20" s="481"/>
      <c r="X20" s="689"/>
      <c r="Y20" s="481"/>
      <c r="Z20" s="681"/>
      <c r="AA20" s="481"/>
      <c r="AB20" s="479"/>
      <c r="AR20" s="499"/>
      <c r="AS20" s="499"/>
      <c r="AT20" s="499"/>
      <c r="AU20" s="499"/>
      <c r="AV20" s="499"/>
      <c r="AW20" s="499"/>
    </row>
    <row r="21" spans="1:49">
      <c r="A21" s="597" t="s">
        <v>87</v>
      </c>
      <c r="B21" s="454" t="s">
        <v>14</v>
      </c>
      <c r="C21" s="480">
        <v>1930</v>
      </c>
      <c r="D21" s="467"/>
      <c r="E21" s="480">
        <v>1931</v>
      </c>
      <c r="F21" s="467"/>
      <c r="G21" s="467">
        <f>'Exhibit G State'!AD29</f>
        <v>1915.5</v>
      </c>
      <c r="H21" s="467"/>
      <c r="I21" s="467">
        <f>G21-C21</f>
        <v>-14.5</v>
      </c>
      <c r="J21" s="467"/>
      <c r="K21" s="467">
        <f t="shared" ref="K21:K25" si="0">G21-E21</f>
        <v>-15.5</v>
      </c>
      <c r="L21" s="467"/>
      <c r="M21" s="822"/>
      <c r="N21" s="480">
        <v>0</v>
      </c>
      <c r="O21" s="467"/>
      <c r="P21" s="480">
        <v>0</v>
      </c>
      <c r="Q21" s="467"/>
      <c r="R21" s="467">
        <v>0</v>
      </c>
      <c r="S21" s="467"/>
      <c r="T21" s="467">
        <f t="shared" ref="T21:T25" si="1">ROUND(SUM(R21)-SUM(N21),1)</f>
        <v>0</v>
      </c>
      <c r="V21" s="467">
        <f t="shared" ref="V21:V25" si="2">R21-P21</f>
        <v>0</v>
      </c>
      <c r="W21" s="467"/>
      <c r="X21" s="689"/>
      <c r="Y21" s="467"/>
      <c r="Z21" s="467"/>
      <c r="AA21" s="467"/>
      <c r="AB21" s="467"/>
      <c r="AC21" s="467"/>
      <c r="AD21" s="467"/>
      <c r="AR21" s="499"/>
      <c r="AS21" s="499"/>
      <c r="AT21" s="499"/>
      <c r="AU21" s="499"/>
      <c r="AV21" s="499"/>
      <c r="AW21" s="499"/>
    </row>
    <row r="22" spans="1:49">
      <c r="A22" s="597" t="s">
        <v>88</v>
      </c>
      <c r="B22" s="669" t="s">
        <v>14</v>
      </c>
      <c r="C22" s="480">
        <v>2602</v>
      </c>
      <c r="D22" s="493"/>
      <c r="E22" s="480">
        <v>2589</v>
      </c>
      <c r="F22" s="493"/>
      <c r="G22" s="467">
        <f>'Exhibit G State'!AD36</f>
        <v>2663.8</v>
      </c>
      <c r="H22" s="493"/>
      <c r="I22" s="467">
        <f t="shared" ref="I22:I25" si="3">G22-C22</f>
        <v>61.800000000000182</v>
      </c>
      <c r="J22" s="467"/>
      <c r="K22" s="467">
        <f t="shared" si="0"/>
        <v>74.800000000000182</v>
      </c>
      <c r="L22" s="467"/>
      <c r="M22" s="822"/>
      <c r="N22" s="480">
        <v>0</v>
      </c>
      <c r="O22" s="493"/>
      <c r="P22" s="480">
        <v>0</v>
      </c>
      <c r="Q22" s="493"/>
      <c r="R22" s="467">
        <v>0</v>
      </c>
      <c r="S22" s="493"/>
      <c r="T22" s="467">
        <f t="shared" si="1"/>
        <v>0</v>
      </c>
      <c r="V22" s="467">
        <f t="shared" si="2"/>
        <v>0</v>
      </c>
      <c r="W22" s="493"/>
      <c r="X22" s="689"/>
      <c r="Y22" s="493"/>
      <c r="Z22" s="467"/>
      <c r="AA22" s="493"/>
      <c r="AB22" s="467"/>
      <c r="AC22" s="493"/>
      <c r="AD22" s="467"/>
      <c r="AF22" s="669"/>
      <c r="AH22" s="669"/>
      <c r="AK22" s="669"/>
      <c r="AN22" s="669"/>
      <c r="AO22" s="135"/>
      <c r="AP22" s="669"/>
      <c r="AR22" s="499"/>
      <c r="AS22" s="499"/>
      <c r="AT22" s="499"/>
      <c r="AU22" s="499"/>
      <c r="AV22" s="499"/>
      <c r="AW22" s="499"/>
    </row>
    <row r="23" spans="1:49" ht="15" customHeight="1">
      <c r="A23" s="597" t="s">
        <v>19</v>
      </c>
      <c r="B23" s="454" t="s">
        <v>14</v>
      </c>
      <c r="C23" s="480">
        <v>15391</v>
      </c>
      <c r="D23" s="682"/>
      <c r="E23" s="480">
        <v>17010</v>
      </c>
      <c r="F23" s="682"/>
      <c r="G23" s="467">
        <f>'Exhibit G State'!AD82</f>
        <v>20836.7</v>
      </c>
      <c r="H23" s="467"/>
      <c r="I23" s="467">
        <f t="shared" si="3"/>
        <v>5445.7000000000007</v>
      </c>
      <c r="J23" s="467"/>
      <c r="K23" s="467">
        <f>G23-E23</f>
        <v>3826.7000000000007</v>
      </c>
      <c r="L23" s="467"/>
      <c r="M23" s="822"/>
      <c r="N23" s="480">
        <v>165</v>
      </c>
      <c r="O23" s="1236"/>
      <c r="P23" s="480">
        <v>202</v>
      </c>
      <c r="Q23" s="682"/>
      <c r="R23" s="495">
        <f>'Exhibit G Federal'!AD52</f>
        <v>576.9</v>
      </c>
      <c r="S23" s="467"/>
      <c r="T23" s="467">
        <f t="shared" si="1"/>
        <v>411.9</v>
      </c>
      <c r="V23" s="467">
        <f t="shared" si="2"/>
        <v>374.9</v>
      </c>
      <c r="W23" s="467"/>
      <c r="X23" s="689"/>
      <c r="Y23" s="467"/>
      <c r="Z23" s="467"/>
      <c r="AA23" s="467"/>
      <c r="AB23" s="467"/>
      <c r="AC23" s="467"/>
      <c r="AD23" s="467"/>
      <c r="AR23" s="499"/>
      <c r="AS23" s="499"/>
      <c r="AT23" s="499"/>
      <c r="AU23" s="499"/>
      <c r="AV23" s="499"/>
      <c r="AW23" s="499"/>
    </row>
    <row r="24" spans="1:49" ht="15" customHeight="1">
      <c r="A24" s="597" t="s">
        <v>20</v>
      </c>
      <c r="B24" s="454" t="s">
        <v>14</v>
      </c>
      <c r="C24" s="480">
        <v>-18</v>
      </c>
      <c r="D24" s="467"/>
      <c r="E24" s="480">
        <v>-18</v>
      </c>
      <c r="F24" s="467"/>
      <c r="G24" s="495">
        <f>'Exhibit G State'!AD84</f>
        <v>-1.7</v>
      </c>
      <c r="H24" s="467"/>
      <c r="I24" s="467">
        <f t="shared" si="3"/>
        <v>16.3</v>
      </c>
      <c r="J24" s="467"/>
      <c r="K24" s="467">
        <f t="shared" si="0"/>
        <v>16.3</v>
      </c>
      <c r="L24" s="467"/>
      <c r="M24" s="822"/>
      <c r="N24" s="480">
        <v>82392</v>
      </c>
      <c r="O24" s="467"/>
      <c r="P24" s="480">
        <v>83898</v>
      </c>
      <c r="Q24" s="467"/>
      <c r="R24" s="495">
        <f>'Exhibit G Federal'!AD54</f>
        <v>84620.5</v>
      </c>
      <c r="S24" s="467"/>
      <c r="T24" s="467">
        <f t="shared" si="1"/>
        <v>2228.5</v>
      </c>
      <c r="V24" s="467">
        <f t="shared" si="2"/>
        <v>722.5</v>
      </c>
      <c r="W24" s="467"/>
      <c r="X24" s="689"/>
      <c r="Y24" s="467"/>
      <c r="Z24" s="467"/>
      <c r="AA24" s="467"/>
      <c r="AB24" s="467"/>
      <c r="AC24" s="467"/>
      <c r="AD24" s="480"/>
      <c r="AE24" s="671"/>
      <c r="AG24" s="671"/>
      <c r="AI24" s="671"/>
      <c r="AJ24" s="683"/>
      <c r="AR24" s="499"/>
      <c r="AS24" s="499"/>
      <c r="AT24" s="499"/>
      <c r="AU24" s="499"/>
      <c r="AV24" s="499"/>
      <c r="AW24" s="499"/>
    </row>
    <row r="25" spans="1:49">
      <c r="A25" s="597" t="s">
        <v>46</v>
      </c>
      <c r="B25" s="683" t="s">
        <v>14</v>
      </c>
      <c r="C25" s="480">
        <v>3447</v>
      </c>
      <c r="D25" s="467"/>
      <c r="E25" s="480">
        <v>3392</v>
      </c>
      <c r="F25" s="467"/>
      <c r="G25" s="495">
        <f>'Exhibit G State'!AD113</f>
        <v>3781.4</v>
      </c>
      <c r="H25" s="467"/>
      <c r="I25" s="467">
        <f t="shared" si="3"/>
        <v>334.40000000000009</v>
      </c>
      <c r="J25" s="467"/>
      <c r="K25" s="467">
        <f t="shared" si="0"/>
        <v>389.40000000000009</v>
      </c>
      <c r="L25" s="467"/>
      <c r="M25" s="823"/>
      <c r="N25" s="480">
        <v>0</v>
      </c>
      <c r="O25" s="467"/>
      <c r="P25" s="480">
        <v>0</v>
      </c>
      <c r="Q25" s="467"/>
      <c r="R25" s="495">
        <f>+'Exhibit G Federal'!AD85</f>
        <v>0</v>
      </c>
      <c r="S25" s="467"/>
      <c r="T25" s="467">
        <f t="shared" si="1"/>
        <v>0</v>
      </c>
      <c r="U25" s="683"/>
      <c r="V25" s="467">
        <f t="shared" si="2"/>
        <v>0</v>
      </c>
      <c r="W25" s="467"/>
      <c r="X25" s="689"/>
      <c r="Y25" s="467"/>
      <c r="Z25" s="493"/>
      <c r="AA25" s="467"/>
      <c r="AB25" s="467"/>
      <c r="AC25" s="467"/>
      <c r="AD25" s="480"/>
      <c r="AE25" s="671"/>
      <c r="AG25" s="671"/>
      <c r="AI25" s="671"/>
      <c r="AJ25" s="683"/>
      <c r="AR25" s="499"/>
      <c r="AS25" s="499"/>
      <c r="AT25" s="499"/>
      <c r="AU25" s="499"/>
      <c r="AV25" s="499"/>
      <c r="AW25" s="499"/>
    </row>
    <row r="26" spans="1:49" ht="18" customHeight="1">
      <c r="A26" s="117" t="s">
        <v>106</v>
      </c>
      <c r="B26" s="100" t="s">
        <v>14</v>
      </c>
      <c r="C26" s="142">
        <f>ROUND(SUM(C20:C25),1)</f>
        <v>25183</v>
      </c>
      <c r="D26" s="42"/>
      <c r="E26" s="142">
        <f>ROUND(SUM(E20:E25),1)</f>
        <v>26685</v>
      </c>
      <c r="F26" s="42"/>
      <c r="G26" s="142">
        <f>ROUND(SUM(G20:G25),1)</f>
        <v>30976.9</v>
      </c>
      <c r="H26" s="42"/>
      <c r="I26" s="1013">
        <f>ROUND(SUM(I20:I25),1)</f>
        <v>5793.9</v>
      </c>
      <c r="J26" s="42"/>
      <c r="K26" s="1013">
        <f>ROUND(SUM(K20:K25),1)</f>
        <v>4291.8999999999996</v>
      </c>
      <c r="L26" s="42"/>
      <c r="M26" s="822"/>
      <c r="N26" s="142">
        <f>ROUND(SUM(N20:N25),1)</f>
        <v>82557</v>
      </c>
      <c r="O26" s="42"/>
      <c r="P26" s="142">
        <f>ROUND(SUM(P20:P25),1)</f>
        <v>84100</v>
      </c>
      <c r="Q26" s="42"/>
      <c r="R26" s="206">
        <f>ROUND(SUM(R20:R25),1)</f>
        <v>85197.4</v>
      </c>
      <c r="S26" s="42"/>
      <c r="T26" s="206">
        <f>ROUND(SUM(T20:T25),1)</f>
        <v>2640.4</v>
      </c>
      <c r="U26" s="100"/>
      <c r="V26" s="1013">
        <f>ROUND(SUM(V20:V25),1)</f>
        <v>1097.4000000000001</v>
      </c>
      <c r="W26" s="42"/>
      <c r="X26" s="42"/>
      <c r="Y26" s="42"/>
      <c r="Z26" s="42"/>
      <c r="AA26" s="42"/>
      <c r="AB26" s="42"/>
      <c r="AC26" s="42"/>
      <c r="AD26" s="42"/>
      <c r="AE26" s="100"/>
      <c r="AF26" s="100"/>
      <c r="AG26" s="100"/>
      <c r="AH26" s="100"/>
      <c r="AI26" s="100"/>
      <c r="AJ26" s="100"/>
      <c r="AK26" s="100"/>
      <c r="AL26" s="100"/>
      <c r="AM26" s="100"/>
      <c r="AN26" s="100"/>
      <c r="AO26" s="100"/>
      <c r="AP26" s="100"/>
      <c r="AQ26" s="100"/>
      <c r="AR26" s="499"/>
      <c r="AS26" s="499"/>
      <c r="AT26" s="499"/>
      <c r="AU26" s="499"/>
      <c r="AV26" s="499"/>
      <c r="AW26" s="499"/>
    </row>
    <row r="27" spans="1:49">
      <c r="C27" s="497"/>
      <c r="D27" s="467"/>
      <c r="E27" s="497"/>
      <c r="F27" s="467"/>
      <c r="G27" s="497"/>
      <c r="H27" s="467"/>
      <c r="I27" s="467"/>
      <c r="J27" s="467"/>
      <c r="K27" s="467"/>
      <c r="L27" s="467"/>
      <c r="M27" s="822"/>
      <c r="N27" s="497"/>
      <c r="O27" s="467"/>
      <c r="P27" s="497"/>
      <c r="Q27" s="467"/>
      <c r="R27" s="497"/>
      <c r="S27" s="467"/>
      <c r="T27" s="467"/>
      <c r="V27" s="467"/>
      <c r="W27" s="467"/>
      <c r="X27" s="467"/>
      <c r="Y27" s="467"/>
      <c r="Z27" s="467"/>
      <c r="AA27" s="467"/>
      <c r="AB27" s="467"/>
      <c r="AC27" s="467"/>
      <c r="AD27" s="467"/>
      <c r="AR27" s="499"/>
      <c r="AS27" s="499"/>
      <c r="AT27" s="499"/>
      <c r="AU27" s="499"/>
      <c r="AV27" s="499"/>
      <c r="AW27" s="499"/>
    </row>
    <row r="28" spans="1:49">
      <c r="A28" s="19" t="s">
        <v>22</v>
      </c>
      <c r="C28" s="467"/>
      <c r="D28" s="467"/>
      <c r="E28" s="467"/>
      <c r="F28" s="467"/>
      <c r="G28" s="467"/>
      <c r="H28" s="467"/>
      <c r="I28" s="467"/>
      <c r="J28" s="467"/>
      <c r="K28" s="467"/>
      <c r="L28" s="467"/>
      <c r="M28" s="822"/>
      <c r="N28" s="467"/>
      <c r="O28" s="467"/>
      <c r="P28" s="467"/>
      <c r="Q28" s="467"/>
      <c r="R28" s="467"/>
      <c r="S28" s="467"/>
      <c r="T28" s="467"/>
      <c r="V28" s="467"/>
      <c r="W28" s="467"/>
      <c r="X28" s="467"/>
      <c r="Y28" s="467"/>
      <c r="Z28" s="467"/>
      <c r="AA28" s="467"/>
      <c r="AB28" s="467"/>
      <c r="AC28" s="467"/>
      <c r="AD28" s="467"/>
      <c r="AR28" s="499"/>
      <c r="AS28" s="499"/>
      <c r="AT28" s="499"/>
      <c r="AU28" s="499"/>
      <c r="AV28" s="499"/>
      <c r="AW28" s="499"/>
    </row>
    <row r="29" spans="1:49">
      <c r="A29" s="597" t="s">
        <v>91</v>
      </c>
      <c r="B29" s="669" t="s">
        <v>14</v>
      </c>
      <c r="C29" s="480">
        <v>18349</v>
      </c>
      <c r="D29" s="467"/>
      <c r="E29" s="480">
        <v>18799</v>
      </c>
      <c r="F29" s="467"/>
      <c r="G29" s="493">
        <f>'Exhibit G State'!AD100</f>
        <v>19024.8</v>
      </c>
      <c r="H29" s="467"/>
      <c r="I29" s="467">
        <f t="shared" ref="I29:I31" si="4">ROUND(SUM(G29)-SUM(C29),1)</f>
        <v>675.8</v>
      </c>
      <c r="J29" s="467"/>
      <c r="K29" s="467">
        <f t="shared" ref="K29:K34" si="5">G29-E29</f>
        <v>225.79999999999927</v>
      </c>
      <c r="L29" s="467"/>
      <c r="M29" s="822"/>
      <c r="N29" s="480">
        <v>78281</v>
      </c>
      <c r="O29" s="467"/>
      <c r="P29" s="480">
        <v>79082</v>
      </c>
      <c r="Q29" s="467"/>
      <c r="R29" s="493">
        <f>'Exhibit G Federal'!AD70</f>
        <v>79966.7</v>
      </c>
      <c r="S29" s="467"/>
      <c r="T29" s="467">
        <f t="shared" ref="T29:T31" si="6">ROUND(SUM(R29)-SUM(N29),1)</f>
        <v>1685.7</v>
      </c>
      <c r="V29" s="467">
        <f t="shared" ref="V29:V34" si="7">R29-P29</f>
        <v>884.69999999999709</v>
      </c>
      <c r="W29" s="467"/>
      <c r="X29" s="689"/>
      <c r="Y29" s="467"/>
      <c r="Z29" s="467"/>
      <c r="AA29" s="467"/>
      <c r="AB29" s="467"/>
      <c r="AC29" s="467"/>
      <c r="AD29" s="480"/>
      <c r="AE29" s="671"/>
      <c r="AG29" s="671"/>
      <c r="AI29" s="671"/>
      <c r="AJ29" s="683"/>
      <c r="AR29" s="499"/>
      <c r="AS29" s="499"/>
      <c r="AT29" s="499"/>
      <c r="AU29" s="499"/>
      <c r="AV29" s="499"/>
      <c r="AW29" s="499"/>
    </row>
    <row r="30" spans="1:49">
      <c r="A30" s="597" t="s">
        <v>92</v>
      </c>
      <c r="B30" s="669" t="s">
        <v>14</v>
      </c>
      <c r="C30" s="480">
        <v>7609</v>
      </c>
      <c r="D30" s="467"/>
      <c r="E30" s="480">
        <v>7854</v>
      </c>
      <c r="F30" s="467"/>
      <c r="G30" s="493">
        <f>'Exhibit G State'!AD102+'Exhibit G State'!AD103</f>
        <v>8634.9</v>
      </c>
      <c r="H30" s="467"/>
      <c r="I30" s="467">
        <f t="shared" si="4"/>
        <v>1025.9000000000001</v>
      </c>
      <c r="J30" s="467"/>
      <c r="K30" s="467">
        <f t="shared" si="5"/>
        <v>780.89999999999964</v>
      </c>
      <c r="L30" s="467"/>
      <c r="M30" s="822"/>
      <c r="N30" s="480">
        <v>3421</v>
      </c>
      <c r="O30" s="467"/>
      <c r="P30" s="480">
        <v>3456</v>
      </c>
      <c r="Q30" s="467"/>
      <c r="R30" s="493">
        <f>'Exhibit G Federal'!AD72+'Exhibit G Federal'!AD73</f>
        <v>2335.3000000000002</v>
      </c>
      <c r="S30" s="467"/>
      <c r="T30" s="467">
        <f t="shared" si="6"/>
        <v>-1085.7</v>
      </c>
      <c r="V30" s="467">
        <f t="shared" si="7"/>
        <v>-1120.6999999999998</v>
      </c>
      <c r="W30" s="467"/>
      <c r="X30" s="689"/>
      <c r="Y30" s="467"/>
      <c r="Z30" s="467"/>
      <c r="AA30" s="467"/>
      <c r="AB30" s="467"/>
      <c r="AC30" s="467"/>
      <c r="AD30" s="493"/>
      <c r="AE30" s="669"/>
      <c r="AG30" s="669"/>
      <c r="AI30" s="671"/>
      <c r="AL30" s="671"/>
      <c r="AM30" s="671"/>
      <c r="AO30" s="671"/>
      <c r="AQ30" s="671"/>
      <c r="AR30" s="499"/>
      <c r="AS30" s="499"/>
      <c r="AT30" s="499"/>
      <c r="AU30" s="499"/>
      <c r="AV30" s="499"/>
      <c r="AW30" s="499"/>
    </row>
    <row r="31" spans="1:49">
      <c r="A31" s="597" t="s">
        <v>68</v>
      </c>
      <c r="B31" s="669" t="s">
        <v>14</v>
      </c>
      <c r="C31" s="480">
        <v>1163</v>
      </c>
      <c r="D31" s="467"/>
      <c r="E31" s="480">
        <v>1189</v>
      </c>
      <c r="F31" s="467"/>
      <c r="G31" s="493">
        <f>'Exhibit G State'!AD104</f>
        <v>1087.5999999999999</v>
      </c>
      <c r="H31" s="467"/>
      <c r="I31" s="467">
        <f t="shared" si="4"/>
        <v>-75.400000000000006</v>
      </c>
      <c r="J31" s="467"/>
      <c r="K31" s="467">
        <f t="shared" si="5"/>
        <v>-101.40000000000009</v>
      </c>
      <c r="L31" s="467"/>
      <c r="M31" s="822"/>
      <c r="N31" s="480">
        <v>386</v>
      </c>
      <c r="O31" s="467"/>
      <c r="P31" s="480">
        <v>386</v>
      </c>
      <c r="Q31" s="467"/>
      <c r="R31" s="493">
        <f>'Exhibit G Federal'!AD74</f>
        <v>385.1</v>
      </c>
      <c r="S31" s="467"/>
      <c r="T31" s="467">
        <f t="shared" si="6"/>
        <v>-0.9</v>
      </c>
      <c r="V31" s="467">
        <f t="shared" si="7"/>
        <v>-0.89999999999997726</v>
      </c>
      <c r="W31" s="467"/>
      <c r="X31" s="689"/>
      <c r="Y31" s="467"/>
      <c r="Z31" s="467"/>
      <c r="AA31" s="467"/>
      <c r="AB31" s="467"/>
      <c r="AC31" s="467"/>
      <c r="AD31" s="480"/>
      <c r="AE31" s="671"/>
      <c r="AG31" s="671"/>
      <c r="AI31" s="671"/>
      <c r="AJ31" s="683"/>
      <c r="AL31" s="671"/>
      <c r="AM31" s="671"/>
      <c r="AO31" s="671"/>
      <c r="AQ31" s="671"/>
      <c r="AR31" s="499"/>
      <c r="AS31" s="499"/>
      <c r="AT31" s="499"/>
      <c r="AU31" s="499"/>
      <c r="AV31" s="499"/>
      <c r="AW31" s="499"/>
    </row>
    <row r="32" spans="1:49">
      <c r="A32" s="597" t="s">
        <v>93</v>
      </c>
      <c r="B32" s="669"/>
      <c r="C32" s="480">
        <v>0</v>
      </c>
      <c r="D32" s="467"/>
      <c r="E32" s="480">
        <v>0</v>
      </c>
      <c r="F32" s="467"/>
      <c r="G32" s="493">
        <v>0</v>
      </c>
      <c r="H32" s="467"/>
      <c r="I32" s="467">
        <f t="shared" ref="I32:I34" si="8">ROUND(SUM(G32)-SUM(C32),1)</f>
        <v>0</v>
      </c>
      <c r="J32" s="467"/>
      <c r="K32" s="467">
        <f t="shared" si="5"/>
        <v>0</v>
      </c>
      <c r="L32" s="467"/>
      <c r="M32" s="822"/>
      <c r="N32" s="480">
        <v>0</v>
      </c>
      <c r="O32" s="467"/>
      <c r="P32" s="480">
        <v>0</v>
      </c>
      <c r="Q32" s="467"/>
      <c r="R32" s="493">
        <f>'Exhibit G Federal'!AD76</f>
        <v>0</v>
      </c>
      <c r="S32" s="467"/>
      <c r="T32" s="467">
        <f t="shared" ref="T32:T34" si="9">ROUND(SUM(R32)-SUM(N32),1)</f>
        <v>0</v>
      </c>
      <c r="V32" s="467">
        <f t="shared" si="7"/>
        <v>0</v>
      </c>
      <c r="W32" s="467"/>
      <c r="X32" s="689"/>
      <c r="Y32" s="467"/>
      <c r="Z32" s="467"/>
      <c r="AA32" s="467"/>
      <c r="AB32" s="467"/>
      <c r="AC32" s="467"/>
      <c r="AD32" s="480"/>
      <c r="AE32" s="671"/>
      <c r="AG32" s="671"/>
      <c r="AI32" s="671"/>
      <c r="AJ32" s="683"/>
      <c r="AL32" s="671"/>
      <c r="AM32" s="671"/>
      <c r="AO32" s="671"/>
      <c r="AQ32" s="671"/>
      <c r="AR32" s="499"/>
      <c r="AS32" s="499"/>
      <c r="AT32" s="499"/>
      <c r="AU32" s="499"/>
      <c r="AV32" s="499"/>
      <c r="AW32" s="499"/>
    </row>
    <row r="33" spans="1:49">
      <c r="A33" s="597" t="s">
        <v>41</v>
      </c>
      <c r="B33" s="683" t="s">
        <v>14</v>
      </c>
      <c r="C33" s="480">
        <v>0</v>
      </c>
      <c r="D33" s="467"/>
      <c r="E33" s="480">
        <v>0</v>
      </c>
      <c r="F33" s="467"/>
      <c r="G33" s="480">
        <f>'Exhibit G State'!AD105</f>
        <v>0</v>
      </c>
      <c r="H33" s="467"/>
      <c r="I33" s="467">
        <f t="shared" si="8"/>
        <v>0</v>
      </c>
      <c r="J33" s="467"/>
      <c r="K33" s="467">
        <f t="shared" si="5"/>
        <v>0</v>
      </c>
      <c r="L33" s="467"/>
      <c r="M33" s="823"/>
      <c r="N33" s="480">
        <v>0</v>
      </c>
      <c r="O33" s="467"/>
      <c r="P33" s="480">
        <v>0</v>
      </c>
      <c r="Q33" s="467"/>
      <c r="R33" s="493">
        <f>'Exhibit G Federal'!AD77</f>
        <v>0</v>
      </c>
      <c r="S33" s="467"/>
      <c r="T33" s="467">
        <f t="shared" si="9"/>
        <v>0</v>
      </c>
      <c r="U33" s="683"/>
      <c r="V33" s="467">
        <f t="shared" si="7"/>
        <v>0</v>
      </c>
      <c r="W33" s="467"/>
      <c r="X33" s="689"/>
      <c r="Y33" s="467"/>
      <c r="Z33" s="467"/>
      <c r="AA33" s="467"/>
      <c r="AB33" s="467"/>
      <c r="AC33" s="467"/>
      <c r="AD33" s="480"/>
      <c r="AE33" s="671"/>
      <c r="AG33" s="671"/>
      <c r="AI33" s="671"/>
      <c r="AJ33" s="683"/>
      <c r="AR33" s="499"/>
      <c r="AS33" s="499"/>
      <c r="AT33" s="499"/>
      <c r="AU33" s="499"/>
      <c r="AV33" s="499"/>
      <c r="AW33" s="499"/>
    </row>
    <row r="34" spans="1:49">
      <c r="A34" s="597" t="s">
        <v>96</v>
      </c>
      <c r="B34" s="683" t="s">
        <v>14</v>
      </c>
      <c r="C34" s="480">
        <v>-1361</v>
      </c>
      <c r="D34" s="467"/>
      <c r="E34" s="480">
        <v>-1156</v>
      </c>
      <c r="F34" s="467"/>
      <c r="G34" s="495">
        <f>-'Exhibit G State'!AD114</f>
        <v>728.3</v>
      </c>
      <c r="H34" s="467"/>
      <c r="I34" s="467">
        <f t="shared" si="8"/>
        <v>2089.3000000000002</v>
      </c>
      <c r="J34" s="467"/>
      <c r="K34" s="467">
        <f t="shared" si="5"/>
        <v>1884.3</v>
      </c>
      <c r="L34" s="467"/>
      <c r="M34" s="823"/>
      <c r="N34" s="480">
        <v>2027</v>
      </c>
      <c r="O34" s="467"/>
      <c r="P34" s="480">
        <v>1999</v>
      </c>
      <c r="Q34" s="467"/>
      <c r="R34" s="495">
        <f>-'Exhibit G Federal'!AD86</f>
        <v>2009.6</v>
      </c>
      <c r="S34" s="467"/>
      <c r="T34" s="467">
        <f t="shared" si="9"/>
        <v>-17.399999999999999</v>
      </c>
      <c r="U34" s="683"/>
      <c r="V34" s="467">
        <f t="shared" si="7"/>
        <v>10.599999999999909</v>
      </c>
      <c r="W34" s="467"/>
      <c r="X34" s="689"/>
      <c r="Y34" s="467"/>
      <c r="Z34" s="493"/>
      <c r="AA34" s="467"/>
      <c r="AB34" s="467"/>
      <c r="AC34" s="467"/>
      <c r="AD34" s="480"/>
      <c r="AE34" s="671"/>
      <c r="AG34" s="671"/>
      <c r="AI34" s="671"/>
      <c r="AJ34" s="683"/>
      <c r="AR34" s="499"/>
      <c r="AS34" s="499"/>
      <c r="AT34" s="499"/>
      <c r="AU34" s="499"/>
      <c r="AV34" s="499"/>
      <c r="AW34" s="499"/>
    </row>
    <row r="35" spans="1:49" ht="18" customHeight="1">
      <c r="A35" s="117" t="s">
        <v>115</v>
      </c>
      <c r="B35" s="100" t="s">
        <v>14</v>
      </c>
      <c r="C35" s="206">
        <f>ROUND(SUM(C29:C34),1)</f>
        <v>25760</v>
      </c>
      <c r="D35" s="42"/>
      <c r="E35" s="206">
        <f>ROUND(SUM(E29:E34),1)</f>
        <v>26686</v>
      </c>
      <c r="F35" s="42"/>
      <c r="G35" s="206">
        <f>ROUND(SUM(G29:G34),1)</f>
        <v>29475.599999999999</v>
      </c>
      <c r="H35" s="42"/>
      <c r="I35" s="206">
        <f>ROUND(SUM(I29:I34),1)</f>
        <v>3715.6</v>
      </c>
      <c r="J35" s="42"/>
      <c r="K35" s="206">
        <f>ROUND(SUM(K29:K34),1)</f>
        <v>2789.6</v>
      </c>
      <c r="L35" s="42"/>
      <c r="M35" s="826"/>
      <c r="N35" s="206">
        <f>ROUND(SUM(N29:N34),1)</f>
        <v>84115</v>
      </c>
      <c r="O35" s="42"/>
      <c r="P35" s="206">
        <f>ROUND(SUM(P29:P34),1)</f>
        <v>84923</v>
      </c>
      <c r="Q35" s="42"/>
      <c r="R35" s="206">
        <f>ROUND(SUM(R29:R34),1)</f>
        <v>84696.7</v>
      </c>
      <c r="S35" s="42"/>
      <c r="T35" s="206">
        <f>ROUND(SUM(T29:T34),1)</f>
        <v>581.70000000000005</v>
      </c>
      <c r="U35" s="100"/>
      <c r="V35" s="206">
        <f>ROUND(SUM(V29:V34),1)</f>
        <v>-226.3</v>
      </c>
      <c r="W35" s="42"/>
      <c r="X35" s="42"/>
      <c r="Y35" s="42"/>
      <c r="Z35" s="42"/>
      <c r="AA35" s="42"/>
      <c r="AB35" s="42"/>
      <c r="AC35" s="42"/>
      <c r="AD35" s="42"/>
      <c r="AE35" s="100"/>
      <c r="AF35" s="100"/>
      <c r="AG35" s="100"/>
      <c r="AH35" s="100"/>
      <c r="AI35" s="100"/>
      <c r="AJ35" s="100"/>
      <c r="AK35" s="100"/>
      <c r="AL35" s="100"/>
      <c r="AM35" s="100"/>
      <c r="AN35" s="100"/>
      <c r="AO35" s="100"/>
      <c r="AP35" s="100"/>
      <c r="AQ35" s="100"/>
      <c r="AR35" s="499"/>
      <c r="AS35" s="499"/>
      <c r="AT35" s="499"/>
      <c r="AU35" s="499"/>
      <c r="AV35" s="499"/>
      <c r="AW35" s="499"/>
    </row>
    <row r="36" spans="1:49">
      <c r="C36" s="497"/>
      <c r="D36" s="467"/>
      <c r="E36" s="497"/>
      <c r="F36" s="467"/>
      <c r="G36" s="497"/>
      <c r="H36" s="467"/>
      <c r="I36" s="467"/>
      <c r="J36" s="467"/>
      <c r="K36" s="467"/>
      <c r="L36" s="467"/>
      <c r="M36" s="822"/>
      <c r="N36" s="497"/>
      <c r="O36" s="467"/>
      <c r="P36" s="497"/>
      <c r="Q36" s="467"/>
      <c r="R36" s="497"/>
      <c r="S36" s="467"/>
      <c r="T36" s="467"/>
      <c r="V36" s="467"/>
      <c r="W36" s="467"/>
      <c r="X36" s="467"/>
      <c r="Y36" s="467"/>
      <c r="Z36" s="467"/>
      <c r="AA36" s="467"/>
      <c r="AB36" s="467"/>
      <c r="AC36" s="467"/>
      <c r="AD36" s="467"/>
      <c r="AR36" s="499"/>
      <c r="AS36" s="499"/>
      <c r="AT36" s="499"/>
      <c r="AU36" s="499"/>
      <c r="AV36" s="499"/>
      <c r="AW36" s="499"/>
    </row>
    <row r="37" spans="1:49">
      <c r="A37" s="19" t="s">
        <v>116</v>
      </c>
      <c r="C37" s="467"/>
      <c r="D37" s="467"/>
      <c r="E37" s="467"/>
      <c r="F37" s="467"/>
      <c r="G37" s="467"/>
      <c r="H37" s="467"/>
      <c r="I37" s="467"/>
      <c r="J37" s="467"/>
      <c r="K37" s="467"/>
      <c r="L37" s="467"/>
      <c r="M37" s="822"/>
      <c r="N37" s="467"/>
      <c r="O37" s="467"/>
      <c r="P37" s="467"/>
      <c r="Q37" s="467"/>
      <c r="R37" s="467"/>
      <c r="S37" s="467"/>
      <c r="T37" s="467"/>
      <c r="V37" s="467"/>
      <c r="W37" s="467"/>
      <c r="X37" s="467"/>
      <c r="Y37" s="467"/>
      <c r="Z37" s="467"/>
      <c r="AA37" s="467"/>
      <c r="AB37" s="467"/>
      <c r="AC37" s="467"/>
      <c r="AD37" s="467"/>
      <c r="AR37" s="499"/>
      <c r="AS37" s="499"/>
      <c r="AT37" s="499"/>
      <c r="AU37" s="499"/>
      <c r="AV37" s="499"/>
      <c r="AW37" s="499"/>
    </row>
    <row r="38" spans="1:49">
      <c r="A38" s="19" t="s">
        <v>117</v>
      </c>
      <c r="C38" s="467"/>
      <c r="D38" s="467"/>
      <c r="E38" s="467"/>
      <c r="F38" s="467"/>
      <c r="G38" s="467"/>
      <c r="H38" s="467"/>
      <c r="I38" s="467"/>
      <c r="J38" s="467"/>
      <c r="K38" s="467"/>
      <c r="L38" s="467"/>
      <c r="M38" s="822"/>
      <c r="N38" s="467"/>
      <c r="O38" s="467"/>
      <c r="P38" s="467"/>
      <c r="Q38" s="467"/>
      <c r="R38" s="467"/>
      <c r="S38" s="467"/>
      <c r="T38" s="467"/>
      <c r="V38" s="467"/>
      <c r="W38" s="467"/>
      <c r="X38" s="467"/>
      <c r="Y38" s="467"/>
      <c r="Z38" s="467"/>
      <c r="AA38" s="467"/>
      <c r="AB38" s="467"/>
      <c r="AC38" s="467"/>
      <c r="AD38" s="467"/>
      <c r="AR38" s="499"/>
      <c r="AS38" s="499"/>
      <c r="AT38" s="499"/>
      <c r="AU38" s="499"/>
      <c r="AV38" s="499"/>
      <c r="AW38" s="499"/>
    </row>
    <row r="39" spans="1:49">
      <c r="A39" s="117" t="s">
        <v>100</v>
      </c>
      <c r="B39" s="667" t="s">
        <v>14</v>
      </c>
      <c r="C39" s="42">
        <f>ROUND(SUM(C26)-SUM(C35),1)</f>
        <v>-577</v>
      </c>
      <c r="D39" s="57"/>
      <c r="E39" s="42">
        <f>ROUND(SUM(E26)-SUM(E35),1)</f>
        <v>-1</v>
      </c>
      <c r="F39" s="57"/>
      <c r="G39" s="42">
        <f>ROUND(SUM(G26)-SUM(G35),1)</f>
        <v>1501.3</v>
      </c>
      <c r="H39" s="57"/>
      <c r="I39" s="42">
        <f>ROUND(SUM(I26)-SUM(I35),1)</f>
        <v>2078.3000000000002</v>
      </c>
      <c r="J39" s="42"/>
      <c r="K39" s="42">
        <f>ROUND(SUM(K26)-SUM(K35),1)</f>
        <v>1502.3</v>
      </c>
      <c r="L39" s="42"/>
      <c r="M39" s="824"/>
      <c r="N39" s="42">
        <f>ROUND(SUM(N26)-SUM(N35),1)</f>
        <v>-1558</v>
      </c>
      <c r="O39" s="57"/>
      <c r="P39" s="42">
        <f>ROUND(SUM(P26)-SUM(P35),1)</f>
        <v>-823</v>
      </c>
      <c r="Q39" s="57"/>
      <c r="R39" s="42">
        <f>ROUND(SUM(R26)-SUM(R35),1)</f>
        <v>500.7</v>
      </c>
      <c r="S39" s="57"/>
      <c r="T39" s="42">
        <f>ROUND(SUM(T26)-SUM(T35),1)</f>
        <v>2058.6999999999998</v>
      </c>
      <c r="U39" s="100"/>
      <c r="V39" s="42">
        <f>ROUND(SUM(V26)-SUM(V35),1)</f>
        <v>1323.7</v>
      </c>
      <c r="W39" s="57"/>
      <c r="X39" s="42"/>
      <c r="Y39" s="57"/>
      <c r="Z39" s="42"/>
      <c r="AA39" s="57"/>
      <c r="AB39" s="42"/>
      <c r="AC39" s="57"/>
      <c r="AD39" s="42"/>
      <c r="AE39" s="100"/>
      <c r="AF39" s="118"/>
      <c r="AG39" s="100"/>
      <c r="AH39" s="118"/>
      <c r="AI39" s="100"/>
      <c r="AJ39" s="100"/>
      <c r="AK39" s="118"/>
      <c r="AL39" s="100"/>
      <c r="AM39" s="100"/>
      <c r="AN39" s="118"/>
      <c r="AO39" s="100"/>
      <c r="AP39" s="118"/>
      <c r="AQ39" s="100"/>
      <c r="AR39" s="499"/>
      <c r="AS39" s="499"/>
      <c r="AT39" s="499"/>
      <c r="AU39" s="499"/>
      <c r="AV39" s="499"/>
      <c r="AW39" s="499"/>
    </row>
    <row r="40" spans="1:49" ht="15" customHeight="1">
      <c r="C40" s="467"/>
      <c r="D40" s="467"/>
      <c r="E40" s="467"/>
      <c r="F40" s="467"/>
      <c r="G40" s="467"/>
      <c r="H40" s="467"/>
      <c r="I40" s="42"/>
      <c r="J40" s="42"/>
      <c r="K40" s="467"/>
      <c r="L40" s="42"/>
      <c r="M40" s="824"/>
      <c r="N40" s="467"/>
      <c r="O40" s="467"/>
      <c r="P40" s="467"/>
      <c r="Q40" s="467"/>
      <c r="R40" s="467"/>
      <c r="S40" s="467"/>
      <c r="T40" s="42"/>
      <c r="U40" s="100"/>
      <c r="V40" s="467"/>
      <c r="W40" s="467"/>
      <c r="X40" s="467"/>
      <c r="Y40" s="467"/>
      <c r="Z40" s="467"/>
      <c r="AA40" s="467"/>
      <c r="AB40" s="467"/>
      <c r="AC40" s="467"/>
      <c r="AD40" s="467"/>
      <c r="AR40" s="499"/>
      <c r="AS40" s="499"/>
      <c r="AT40" s="499"/>
      <c r="AU40" s="499"/>
      <c r="AV40" s="499"/>
      <c r="AW40" s="499"/>
    </row>
    <row r="41" spans="1:49">
      <c r="A41" s="117" t="str">
        <f>+'Exh D-Governmental  '!A49</f>
        <v>Fund Balances (Deficits) at April 1</v>
      </c>
      <c r="B41" s="454" t="s">
        <v>14</v>
      </c>
      <c r="C41" s="42">
        <v>7612</v>
      </c>
      <c r="D41" s="467"/>
      <c r="E41" s="42">
        <v>7612</v>
      </c>
      <c r="F41" s="467"/>
      <c r="G41" s="42">
        <f>'Exhibit G State'!D13</f>
        <v>7612.5</v>
      </c>
      <c r="H41" s="467"/>
      <c r="I41" s="42">
        <f>ROUND(SUM(G41)-SUM(C41),1)</f>
        <v>0.5</v>
      </c>
      <c r="J41" s="54"/>
      <c r="K41" s="42">
        <f>G41-E41</f>
        <v>0.5</v>
      </c>
      <c r="L41" s="54"/>
      <c r="M41" s="824"/>
      <c r="N41" s="42">
        <v>14326</v>
      </c>
      <c r="O41" s="467"/>
      <c r="P41" s="42">
        <v>14326</v>
      </c>
      <c r="Q41" s="467"/>
      <c r="R41" s="42">
        <f>'Exhibit G Federal'!D13</f>
        <v>14325.7</v>
      </c>
      <c r="S41" s="467"/>
      <c r="T41" s="42">
        <f>ROUND(SUM(R41)-SUM(N41),1)</f>
        <v>-0.3</v>
      </c>
      <c r="U41" s="100"/>
      <c r="V41" s="42">
        <f>R41-P41</f>
        <v>-0.2999999999992724</v>
      </c>
      <c r="W41" s="467"/>
      <c r="X41" s="42"/>
      <c r="Y41" s="467"/>
      <c r="Z41" s="42"/>
      <c r="AA41" s="467"/>
      <c r="AB41" s="54"/>
      <c r="AC41" s="467"/>
      <c r="AD41" s="467"/>
      <c r="AR41" s="499"/>
      <c r="AS41" s="499"/>
      <c r="AT41" s="499"/>
      <c r="AU41" s="499"/>
      <c r="AV41" s="499"/>
      <c r="AW41" s="499"/>
    </row>
    <row r="42" spans="1:49" ht="18" customHeight="1" thickBot="1">
      <c r="A42" s="117" t="str">
        <f>+'Exh D-Governmental  '!A50</f>
        <v xml:space="preserve">Fund Balances (Deficits) at March 31, 2023 </v>
      </c>
      <c r="B42" s="120" t="s">
        <v>14</v>
      </c>
      <c r="C42" s="69">
        <f>ROUND(SUM(C39:C41),1)</f>
        <v>7035</v>
      </c>
      <c r="D42" s="121"/>
      <c r="E42" s="69">
        <f>ROUND(SUM(E39:E41),1)</f>
        <v>7611</v>
      </c>
      <c r="F42" s="121"/>
      <c r="G42" s="69">
        <f>ROUND(SUM(G39:G41),1)</f>
        <v>9113.7999999999993</v>
      </c>
      <c r="H42" s="121"/>
      <c r="I42" s="69">
        <f>ROUND(SUM(I39:I41),1)</f>
        <v>2078.8000000000002</v>
      </c>
      <c r="J42" s="65"/>
      <c r="K42" s="69">
        <f>ROUND(SUM(K39:K41),1)</f>
        <v>1502.8</v>
      </c>
      <c r="L42" s="65"/>
      <c r="M42" s="825"/>
      <c r="N42" s="69">
        <f>ROUND(SUM(N39:N41),1)</f>
        <v>12768</v>
      </c>
      <c r="O42" s="121"/>
      <c r="P42" s="69">
        <f>ROUND(SUM(P39:P41),1)</f>
        <v>13503</v>
      </c>
      <c r="Q42" s="121"/>
      <c r="R42" s="69">
        <f>ROUND(SUM(R39:R41),1)</f>
        <v>14826.4</v>
      </c>
      <c r="S42" s="121"/>
      <c r="T42" s="69">
        <f>ROUND(SUM(T39:T41),1)</f>
        <v>2058.4</v>
      </c>
      <c r="U42" s="100"/>
      <c r="V42" s="69">
        <f>ROUND(SUM(V39:V41),1)</f>
        <v>1323.4</v>
      </c>
      <c r="W42" s="121"/>
      <c r="X42" s="65"/>
      <c r="Y42" s="121"/>
      <c r="Z42" s="65"/>
      <c r="AA42" s="121"/>
      <c r="AB42" s="65"/>
      <c r="AR42" s="499"/>
      <c r="AS42" s="499"/>
      <c r="AT42" s="499"/>
      <c r="AU42" s="499"/>
      <c r="AV42" s="499"/>
      <c r="AW42" s="499"/>
    </row>
    <row r="43" spans="1:49" ht="15" customHeight="1" thickTop="1">
      <c r="A43" s="103"/>
      <c r="V43" s="454"/>
      <c r="W43" s="479"/>
      <c r="X43" s="498"/>
      <c r="Y43" s="479"/>
      <c r="Z43" s="479"/>
      <c r="AA43" s="479"/>
      <c r="AB43" s="479"/>
      <c r="AR43" s="499"/>
      <c r="AS43" s="499"/>
      <c r="AT43" s="499"/>
      <c r="AU43" s="499"/>
      <c r="AV43" s="499"/>
      <c r="AW43" s="499"/>
    </row>
    <row r="44" spans="1:49">
      <c r="A44" s="676" t="str">
        <f>'Exh D-Governmental  '!A52</f>
        <v>(*)    Source: 2022-23 Enacted Financial Plan dated May 20, 2022.</v>
      </c>
      <c r="AR44" s="499"/>
      <c r="AS44" s="499"/>
      <c r="AT44" s="499"/>
      <c r="AU44" s="499"/>
      <c r="AV44" s="499"/>
      <c r="AW44" s="499"/>
    </row>
    <row r="45" spans="1:49">
      <c r="A45" s="676" t="str">
        <f>'Exh D-Governmental  '!A53</f>
        <v>(**)   Source: 2023-24 Executive Budget with 30-day amendments dated March 3, 2023.</v>
      </c>
      <c r="B45" s="499"/>
      <c r="C45" s="479"/>
      <c r="D45" s="499"/>
      <c r="E45" s="499"/>
      <c r="F45" s="499"/>
      <c r="G45" s="499"/>
      <c r="H45" s="499"/>
      <c r="I45" s="499"/>
      <c r="J45" s="499"/>
      <c r="K45" s="499"/>
      <c r="L45" s="499"/>
      <c r="M45" s="499"/>
      <c r="N45" s="499"/>
      <c r="O45" s="499"/>
      <c r="P45" s="499"/>
      <c r="Q45" s="499"/>
      <c r="R45" s="479"/>
      <c r="S45" s="499"/>
      <c r="T45" s="499"/>
      <c r="U45" s="499"/>
      <c r="V45" s="499"/>
      <c r="W45" s="499"/>
      <c r="X45" s="499"/>
      <c r="Y45" s="499"/>
      <c r="Z45" s="499"/>
      <c r="AA45" s="499"/>
      <c r="AB45" s="499"/>
      <c r="AC45" s="499"/>
      <c r="AD45" s="499"/>
      <c r="AE45" s="499"/>
      <c r="AF45" s="499"/>
      <c r="AG45" s="499"/>
      <c r="AH45" s="499"/>
      <c r="AI45" s="499"/>
      <c r="AJ45" s="499"/>
      <c r="AK45" s="499"/>
      <c r="AL45" s="499"/>
      <c r="AM45" s="499"/>
      <c r="AN45" s="499"/>
      <c r="AO45" s="499"/>
      <c r="AP45" s="499"/>
      <c r="AQ45" s="499"/>
      <c r="AR45" s="499"/>
      <c r="AS45" s="499"/>
      <c r="AT45" s="499"/>
      <c r="AU45" s="499"/>
      <c r="AV45" s="499"/>
      <c r="AW45" s="499"/>
    </row>
    <row r="46" spans="1:49">
      <c r="A46" s="660"/>
    </row>
    <row r="47" spans="1:49">
      <c r="A47" s="136"/>
      <c r="B47" s="499"/>
      <c r="C47" s="499"/>
      <c r="D47" s="499"/>
      <c r="E47" s="499"/>
      <c r="F47" s="499"/>
      <c r="G47" s="499"/>
      <c r="H47" s="499"/>
      <c r="I47" s="499"/>
      <c r="J47" s="499"/>
      <c r="K47" s="499"/>
      <c r="L47" s="499"/>
      <c r="M47" s="499"/>
      <c r="N47" s="499"/>
      <c r="O47" s="499"/>
      <c r="P47" s="499"/>
      <c r="Q47" s="499"/>
      <c r="R47" s="499"/>
      <c r="S47" s="499"/>
      <c r="T47" s="499"/>
      <c r="U47" s="499"/>
      <c r="V47" s="499"/>
      <c r="W47" s="499"/>
      <c r="X47" s="499"/>
      <c r="Y47" s="499"/>
      <c r="Z47" s="499"/>
      <c r="AA47" s="499"/>
      <c r="AB47" s="499"/>
      <c r="AC47" s="499"/>
      <c r="AD47" s="499"/>
      <c r="AE47" s="499"/>
      <c r="AF47" s="499"/>
      <c r="AG47" s="499"/>
      <c r="AH47" s="499"/>
      <c r="AI47" s="499"/>
      <c r="AJ47" s="499"/>
      <c r="AK47" s="499"/>
      <c r="AL47" s="499"/>
      <c r="AM47" s="499"/>
      <c r="AN47" s="499"/>
      <c r="AO47" s="499"/>
      <c r="AP47" s="499"/>
      <c r="AQ47" s="499"/>
      <c r="AR47" s="499"/>
      <c r="AS47" s="499"/>
      <c r="AT47" s="499"/>
      <c r="AU47" s="499"/>
      <c r="AV47" s="499"/>
      <c r="AW47" s="499"/>
    </row>
    <row r="48" spans="1:49">
      <c r="A48" s="136"/>
      <c r="B48" s="499"/>
      <c r="C48" s="479"/>
      <c r="D48" s="499"/>
      <c r="E48" s="479"/>
      <c r="F48" s="499"/>
      <c r="G48" s="499"/>
      <c r="H48" s="499"/>
      <c r="I48" s="499"/>
      <c r="J48" s="499"/>
      <c r="K48" s="499"/>
      <c r="L48" s="499"/>
      <c r="M48" s="499"/>
      <c r="N48" s="499"/>
      <c r="O48" s="499"/>
      <c r="P48" s="499"/>
      <c r="Q48" s="499"/>
      <c r="R48" s="499"/>
      <c r="S48" s="499"/>
      <c r="T48" s="499"/>
      <c r="U48" s="499"/>
      <c r="V48" s="499"/>
      <c r="W48" s="499"/>
      <c r="X48" s="499"/>
      <c r="Y48" s="499"/>
      <c r="Z48" s="499"/>
      <c r="AA48" s="499"/>
      <c r="AB48" s="499"/>
      <c r="AC48" s="499"/>
      <c r="AD48" s="499"/>
      <c r="AE48" s="499"/>
      <c r="AF48" s="499"/>
      <c r="AG48" s="499"/>
      <c r="AH48" s="499"/>
      <c r="AI48" s="499"/>
      <c r="AJ48" s="499"/>
      <c r="AK48" s="499"/>
      <c r="AL48" s="499"/>
      <c r="AM48" s="499"/>
      <c r="AN48" s="499"/>
      <c r="AO48" s="499"/>
      <c r="AP48" s="499"/>
      <c r="AQ48" s="499"/>
      <c r="AR48" s="499"/>
      <c r="AS48" s="499"/>
      <c r="AT48" s="499"/>
      <c r="AU48" s="499"/>
      <c r="AV48" s="499"/>
      <c r="AW48" s="499"/>
    </row>
    <row r="49" spans="3:5">
      <c r="C49" s="479"/>
      <c r="E49" s="479"/>
    </row>
    <row r="50" spans="3:5">
      <c r="C50" s="479"/>
      <c r="E50" s="479"/>
    </row>
    <row r="51" spans="3:5">
      <c r="C51" s="479"/>
      <c r="E51" s="479"/>
    </row>
    <row r="52" spans="3:5">
      <c r="C52" s="479"/>
      <c r="E52" s="479"/>
    </row>
    <row r="53" spans="3:5">
      <c r="C53" s="479"/>
      <c r="E53" s="479"/>
    </row>
    <row r="54" spans="3:5">
      <c r="C54" s="479"/>
      <c r="E54" s="479"/>
    </row>
    <row r="55" spans="3:5">
      <c r="C55" s="479"/>
      <c r="E55" s="479"/>
    </row>
    <row r="56" spans="3:5">
      <c r="C56" s="479"/>
      <c r="E56" s="479"/>
    </row>
    <row r="57" spans="3:5">
      <c r="C57" s="479"/>
      <c r="E57" s="479"/>
    </row>
    <row r="58" spans="3:5">
      <c r="C58" s="479"/>
      <c r="E58" s="479"/>
    </row>
    <row r="59" spans="3:5">
      <c r="C59" s="479"/>
      <c r="E59" s="479"/>
    </row>
    <row r="60" spans="3:5">
      <c r="C60" s="479"/>
      <c r="E60" s="479"/>
    </row>
    <row r="61" spans="3:5">
      <c r="C61" s="479"/>
      <c r="E61" s="479"/>
    </row>
    <row r="62" spans="3:5">
      <c r="C62" s="479"/>
      <c r="E62" s="479"/>
    </row>
    <row r="63" spans="3:5">
      <c r="C63" s="479"/>
      <c r="E63" s="479"/>
    </row>
    <row r="64" spans="3:5">
      <c r="C64" s="479"/>
      <c r="E64" s="479"/>
    </row>
    <row r="65" spans="3:5">
      <c r="C65" s="479"/>
      <c r="E65" s="479"/>
    </row>
    <row r="66" spans="3:5">
      <c r="C66" s="479"/>
      <c r="E66" s="479"/>
    </row>
    <row r="67" spans="3:5">
      <c r="C67" s="479"/>
      <c r="E67" s="479"/>
    </row>
    <row r="68" spans="3:5">
      <c r="C68" s="479"/>
      <c r="E68" s="479"/>
    </row>
    <row r="69" spans="3:5">
      <c r="C69" s="479"/>
      <c r="E69" s="479"/>
    </row>
  </sheetData>
  <mergeCells count="3">
    <mergeCell ref="A5:E5"/>
    <mergeCell ref="C11:I11"/>
    <mergeCell ref="N11:T11"/>
  </mergeCells>
  <printOptions horizontalCentered="1"/>
  <pageMargins left="0.2" right="0.2" top="0.75" bottom="0.25" header="0.3" footer="0.3"/>
  <pageSetup scale="50" firstPageNumber="12"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90" workbookViewId="0"/>
  </sheetViews>
  <sheetFormatPr defaultColWidth="8.84375" defaultRowHeight="15.5"/>
  <cols>
    <col min="1" max="1" width="47.07421875" style="499" customWidth="1"/>
    <col min="2" max="2" width="2" style="454" customWidth="1"/>
    <col min="3" max="3" width="15.07421875" style="301" customWidth="1"/>
    <col min="4" max="4" width="1.84375" style="454" customWidth="1"/>
    <col min="5" max="5" width="15.07421875" style="301" customWidth="1"/>
    <col min="6" max="6" width="2.84375" style="454" customWidth="1"/>
    <col min="7" max="7" width="15.07421875" style="454" customWidth="1"/>
    <col min="8" max="8" width="2" style="454" customWidth="1"/>
    <col min="9" max="9" width="15.07421875" style="454" customWidth="1"/>
    <col min="10" max="10" width="2.07421875" style="454" customWidth="1"/>
    <col min="11" max="11" width="15.07421875" style="454" customWidth="1"/>
    <col min="12" max="12" width="11.4609375" style="454" customWidth="1"/>
    <col min="13" max="13" width="1.84375" style="454" customWidth="1"/>
    <col min="14" max="14" width="11.84375" style="454" customWidth="1"/>
    <col min="15" max="15" width="2.07421875" style="454" customWidth="1"/>
    <col min="16" max="16" width="11.4609375" style="454" customWidth="1"/>
    <col min="17" max="17" width="0.53515625" style="454" customWidth="1"/>
    <col min="18" max="18" width="2.07421875" style="454" customWidth="1"/>
    <col min="19" max="19" width="10.53515625" style="454" customWidth="1"/>
    <col min="20" max="20" width="11.07421875" style="454" customWidth="1"/>
    <col min="21" max="21" width="2.07421875" style="454" customWidth="1"/>
    <col min="22" max="22" width="11.07421875" style="454" customWidth="1"/>
    <col min="23" max="23" width="2.07421875" style="454" customWidth="1"/>
    <col min="24" max="24" width="12.4609375" style="454" customWidth="1"/>
    <col min="25" max="30" width="8.84375" style="454"/>
    <col min="31" max="16384" width="8.84375" style="499"/>
  </cols>
  <sheetData>
    <row r="1" spans="1:24">
      <c r="A1" s="677" t="s">
        <v>868</v>
      </c>
      <c r="B1" s="126"/>
      <c r="C1" s="297"/>
      <c r="D1" s="126"/>
      <c r="E1" s="297"/>
      <c r="F1" s="126"/>
      <c r="G1" s="126"/>
      <c r="H1" s="126"/>
      <c r="I1" s="126"/>
      <c r="J1" s="126"/>
      <c r="K1" s="126"/>
      <c r="L1" s="126"/>
      <c r="M1" s="126"/>
      <c r="N1" s="126"/>
      <c r="O1" s="126"/>
      <c r="P1" s="126"/>
      <c r="Q1" s="126"/>
      <c r="R1" s="126"/>
      <c r="S1" s="126"/>
      <c r="T1" s="126"/>
      <c r="U1" s="126"/>
      <c r="V1" s="126"/>
      <c r="W1" s="126"/>
      <c r="X1" s="126"/>
    </row>
    <row r="2" spans="1:24" ht="17.149999999999999" customHeight="1">
      <c r="A2" s="127"/>
      <c r="B2" s="126"/>
      <c r="C2" s="297"/>
      <c r="D2" s="126"/>
      <c r="E2" s="297"/>
      <c r="F2" s="126"/>
      <c r="G2" s="126"/>
      <c r="H2" s="126"/>
      <c r="I2" s="126"/>
      <c r="J2" s="126"/>
      <c r="K2" s="126"/>
      <c r="L2" s="126"/>
      <c r="M2" s="126"/>
      <c r="N2" s="126"/>
      <c r="O2" s="126"/>
      <c r="P2" s="126"/>
      <c r="Q2" s="126"/>
      <c r="R2" s="126"/>
      <c r="S2" s="126"/>
      <c r="T2" s="126"/>
      <c r="U2" s="126"/>
      <c r="V2" s="126"/>
      <c r="W2" s="126"/>
      <c r="X2" s="126"/>
    </row>
    <row r="3" spans="1:24" ht="18.75" customHeight="1">
      <c r="A3" s="128" t="s">
        <v>0</v>
      </c>
      <c r="B3" s="94"/>
      <c r="C3" s="298"/>
      <c r="D3" s="94"/>
      <c r="E3" s="298"/>
      <c r="F3" s="94"/>
      <c r="G3" s="94"/>
      <c r="H3" s="94"/>
      <c r="I3" s="598"/>
      <c r="J3" s="94"/>
      <c r="K3" s="598" t="s">
        <v>81</v>
      </c>
      <c r="L3" s="94"/>
      <c r="M3" s="94"/>
      <c r="N3" s="94"/>
      <c r="O3" s="94"/>
      <c r="P3" s="94"/>
      <c r="Q3" s="94"/>
      <c r="R3" s="94"/>
      <c r="S3" s="94"/>
      <c r="T3" s="94"/>
      <c r="U3" s="94"/>
      <c r="V3" s="94"/>
      <c r="W3" s="94"/>
      <c r="X3" s="129"/>
    </row>
    <row r="4" spans="1:24" ht="18.75" customHeight="1">
      <c r="A4" s="128" t="s">
        <v>80</v>
      </c>
      <c r="B4" s="94"/>
      <c r="C4" s="298"/>
      <c r="D4" s="94"/>
      <c r="E4" s="298"/>
      <c r="F4" s="94"/>
      <c r="G4" s="94"/>
      <c r="H4" s="94"/>
      <c r="I4" s="599"/>
      <c r="J4" s="94"/>
      <c r="K4" s="599"/>
      <c r="L4" s="94"/>
      <c r="M4" s="94"/>
      <c r="N4" s="94"/>
      <c r="O4" s="94"/>
      <c r="P4" s="94"/>
      <c r="Q4" s="94"/>
      <c r="R4" s="94"/>
      <c r="S4" s="94"/>
      <c r="T4" s="94"/>
      <c r="U4" s="94"/>
      <c r="V4" s="94"/>
      <c r="W4" s="94"/>
      <c r="X4" s="94"/>
    </row>
    <row r="5" spans="1:24" ht="18.75" customHeight="1">
      <c r="A5" s="2309" t="str">
        <f>'Exh D-Governmental  '!A5:E5</f>
        <v>FISCAL YEAR 2022-2023</v>
      </c>
      <c r="B5" s="2310"/>
      <c r="C5" s="2310"/>
      <c r="D5" s="2310"/>
      <c r="E5" s="2310"/>
      <c r="F5" s="94"/>
      <c r="G5" s="94"/>
      <c r="H5" s="94"/>
      <c r="I5" s="94"/>
      <c r="J5" s="94"/>
      <c r="K5" s="94"/>
      <c r="L5" s="94"/>
      <c r="M5" s="94"/>
      <c r="N5" s="94"/>
      <c r="O5" s="94"/>
      <c r="P5" s="94"/>
      <c r="Q5" s="94"/>
      <c r="R5" s="94"/>
      <c r="S5" s="94"/>
      <c r="T5" s="94"/>
      <c r="U5" s="94"/>
      <c r="V5" s="94"/>
      <c r="W5" s="94"/>
      <c r="X5" s="94"/>
    </row>
    <row r="6" spans="1:24" ht="18.75" customHeight="1">
      <c r="A6" s="128" t="str">
        <f>'Exh D-Governmental  '!A6</f>
        <v xml:space="preserve">FOR TWELVE MONTHS ENDED MARCH 31, 2023    </v>
      </c>
      <c r="B6" s="94"/>
      <c r="C6" s="298"/>
      <c r="D6" s="94"/>
      <c r="E6" s="298"/>
      <c r="F6" s="94"/>
      <c r="G6" s="94"/>
      <c r="H6" s="94"/>
      <c r="I6" s="94"/>
      <c r="J6" s="94"/>
      <c r="K6" s="94"/>
      <c r="L6" s="94"/>
      <c r="M6" s="94"/>
      <c r="N6" s="94"/>
      <c r="O6" s="94"/>
      <c r="P6" s="94"/>
      <c r="Q6" s="94"/>
      <c r="R6" s="94"/>
      <c r="S6" s="94"/>
      <c r="T6" s="94"/>
      <c r="U6" s="94"/>
      <c r="V6" s="94"/>
      <c r="W6" s="94"/>
      <c r="X6" s="94"/>
    </row>
    <row r="7" spans="1:24" ht="18.75" customHeight="1">
      <c r="A7" s="128" t="s">
        <v>1248</v>
      </c>
      <c r="B7" s="94"/>
      <c r="C7" s="298"/>
      <c r="D7" s="94"/>
      <c r="E7" s="298"/>
      <c r="F7" s="94"/>
      <c r="G7" s="94"/>
      <c r="H7" s="94"/>
      <c r="I7" s="94"/>
      <c r="J7" s="94"/>
      <c r="K7" s="94"/>
      <c r="L7" s="94"/>
      <c r="M7" s="94"/>
      <c r="N7" s="94"/>
      <c r="O7" s="94"/>
      <c r="P7" s="94"/>
      <c r="Q7" s="94"/>
      <c r="R7" s="94"/>
      <c r="S7" s="94"/>
      <c r="T7" s="94"/>
      <c r="U7" s="94"/>
      <c r="V7" s="94"/>
      <c r="W7" s="94"/>
      <c r="X7" s="94"/>
    </row>
    <row r="8" spans="1:24" ht="15" customHeight="1">
      <c r="A8" s="98"/>
      <c r="B8" s="94"/>
      <c r="C8" s="298"/>
      <c r="D8" s="94"/>
      <c r="E8" s="298"/>
      <c r="F8" s="94"/>
      <c r="G8" s="94"/>
      <c r="H8" s="94"/>
      <c r="I8" s="94"/>
      <c r="J8" s="94"/>
      <c r="K8" s="94"/>
      <c r="L8" s="94"/>
      <c r="M8" s="94"/>
      <c r="N8" s="94"/>
      <c r="O8" s="94"/>
      <c r="P8" s="94"/>
      <c r="Q8" s="94"/>
      <c r="R8" s="94"/>
      <c r="S8" s="94"/>
      <c r="T8" s="94"/>
      <c r="U8" s="94"/>
      <c r="V8" s="94"/>
      <c r="W8" s="94"/>
      <c r="X8" s="94"/>
    </row>
    <row r="9" spans="1:24">
      <c r="A9" s="99"/>
      <c r="B9" s="94"/>
      <c r="C9" s="298"/>
      <c r="D9" s="94"/>
      <c r="E9" s="298"/>
      <c r="F9" s="94"/>
      <c r="G9" s="94"/>
      <c r="H9" s="94"/>
      <c r="I9" s="94"/>
      <c r="J9" s="94"/>
      <c r="K9" s="94"/>
      <c r="L9" s="94"/>
      <c r="M9" s="94"/>
      <c r="N9" s="94"/>
      <c r="O9" s="94"/>
      <c r="P9" s="94"/>
      <c r="Q9" s="94"/>
      <c r="R9" s="94"/>
      <c r="S9" s="94"/>
      <c r="T9" s="94"/>
      <c r="U9" s="94"/>
      <c r="V9" s="94"/>
      <c r="W9" s="94"/>
      <c r="X9" s="94"/>
    </row>
    <row r="10" spans="1:24">
      <c r="A10" s="99"/>
      <c r="B10" s="94"/>
      <c r="C10" s="298"/>
      <c r="D10" s="94"/>
      <c r="E10" s="298"/>
      <c r="F10" s="94"/>
      <c r="G10" s="94"/>
      <c r="H10" s="94"/>
      <c r="I10" s="94"/>
      <c r="J10" s="94"/>
      <c r="K10" s="94"/>
      <c r="L10" s="94"/>
      <c r="M10" s="94"/>
      <c r="N10" s="94"/>
      <c r="O10" s="94"/>
      <c r="P10" s="94"/>
      <c r="Q10" s="94"/>
      <c r="R10" s="94"/>
      <c r="S10" s="94"/>
      <c r="T10" s="94"/>
      <c r="U10" s="94"/>
      <c r="V10" s="94"/>
      <c r="W10" s="94"/>
      <c r="X10" s="94"/>
    </row>
    <row r="11" spans="1:24">
      <c r="C11" s="2305" t="s">
        <v>1027</v>
      </c>
      <c r="D11" s="2305"/>
      <c r="E11" s="2305"/>
      <c r="F11" s="2305"/>
      <c r="G11" s="2305"/>
      <c r="H11" s="2305"/>
      <c r="I11" s="2305"/>
      <c r="J11" s="815"/>
      <c r="K11" s="816"/>
      <c r="L11" s="130"/>
      <c r="M11" s="130"/>
      <c r="N11" s="130"/>
      <c r="O11" s="130"/>
      <c r="P11" s="130"/>
      <c r="Q11" s="130"/>
      <c r="R11" s="100"/>
      <c r="S11" s="130"/>
      <c r="T11" s="131"/>
      <c r="U11" s="130"/>
      <c r="V11" s="130"/>
      <c r="W11" s="130"/>
      <c r="X11" s="130"/>
    </row>
    <row r="12" spans="1:24">
      <c r="D12" s="132"/>
      <c r="F12" s="132"/>
      <c r="G12" s="133"/>
      <c r="H12" s="132"/>
      <c r="I12" s="132" t="s">
        <v>82</v>
      </c>
      <c r="J12" s="100"/>
      <c r="K12" s="132" t="s">
        <v>82</v>
      </c>
      <c r="L12" s="130"/>
      <c r="M12" s="130"/>
      <c r="N12" s="130"/>
      <c r="O12" s="130"/>
      <c r="P12" s="130"/>
      <c r="Q12" s="130"/>
      <c r="R12" s="100"/>
      <c r="S12" s="130"/>
      <c r="T12" s="131"/>
      <c r="U12" s="130"/>
      <c r="V12" s="130"/>
      <c r="W12" s="130"/>
      <c r="X12" s="130"/>
    </row>
    <row r="13" spans="1:24">
      <c r="B13" s="100"/>
      <c r="C13" s="300"/>
      <c r="D13" s="100"/>
      <c r="E13" s="300"/>
      <c r="F13" s="100"/>
      <c r="G13" s="100"/>
      <c r="H13" s="100"/>
      <c r="I13" s="101" t="s">
        <v>783</v>
      </c>
      <c r="J13" s="100"/>
      <c r="K13" s="101" t="s">
        <v>783</v>
      </c>
      <c r="L13" s="100"/>
      <c r="M13" s="100"/>
      <c r="N13" s="100"/>
      <c r="O13" s="100"/>
      <c r="P13" s="102"/>
      <c r="Q13" s="101"/>
      <c r="R13" s="100"/>
      <c r="S13" s="100"/>
      <c r="T13" s="100"/>
      <c r="U13" s="100"/>
      <c r="V13" s="100"/>
      <c r="W13" s="100"/>
      <c r="X13" s="102"/>
    </row>
    <row r="14" spans="1:24">
      <c r="B14" s="134"/>
      <c r="C14" s="102" t="s">
        <v>975</v>
      </c>
      <c r="D14" s="100"/>
      <c r="E14" s="101" t="s">
        <v>976</v>
      </c>
      <c r="F14" s="100"/>
      <c r="G14" s="100"/>
      <c r="H14" s="100"/>
      <c r="I14" s="101" t="s">
        <v>83</v>
      </c>
      <c r="J14" s="100"/>
      <c r="K14" s="101" t="s">
        <v>83</v>
      </c>
      <c r="L14" s="101"/>
      <c r="M14" s="100"/>
      <c r="N14" s="100"/>
      <c r="O14" s="100"/>
      <c r="P14" s="102"/>
      <c r="Q14" s="101"/>
      <c r="R14" s="100"/>
      <c r="S14" s="102"/>
      <c r="T14" s="101"/>
      <c r="U14" s="100"/>
      <c r="V14" s="100"/>
      <c r="W14" s="100"/>
      <c r="X14" s="102"/>
    </row>
    <row r="15" spans="1:24">
      <c r="B15" s="134"/>
      <c r="C15" s="101" t="s">
        <v>1011</v>
      </c>
      <c r="D15" s="100"/>
      <c r="E15" s="101" t="s">
        <v>1011</v>
      </c>
      <c r="F15" s="100"/>
      <c r="G15" s="100"/>
      <c r="H15" s="100"/>
      <c r="I15" s="101" t="s">
        <v>975</v>
      </c>
      <c r="J15" s="100"/>
      <c r="K15" s="101" t="s">
        <v>976</v>
      </c>
      <c r="L15" s="101"/>
      <c r="M15" s="100"/>
      <c r="N15" s="100"/>
      <c r="O15" s="100"/>
      <c r="P15" s="102"/>
      <c r="Q15" s="101"/>
      <c r="R15" s="100"/>
      <c r="S15" s="102"/>
      <c r="T15" s="101"/>
      <c r="U15" s="100"/>
      <c r="V15" s="100"/>
      <c r="W15" s="100"/>
      <c r="X15" s="102"/>
    </row>
    <row r="16" spans="1:24">
      <c r="B16" s="101"/>
      <c r="C16" s="101" t="s">
        <v>1012</v>
      </c>
      <c r="D16" s="100"/>
      <c r="E16" s="101" t="s">
        <v>1508</v>
      </c>
      <c r="F16" s="100"/>
      <c r="G16" s="102" t="s">
        <v>82</v>
      </c>
      <c r="H16" s="100"/>
      <c r="I16" s="101" t="s">
        <v>84</v>
      </c>
      <c r="J16" s="100"/>
      <c r="K16" s="101" t="s">
        <v>84</v>
      </c>
      <c r="L16" s="101"/>
      <c r="M16" s="100"/>
      <c r="N16" s="102"/>
      <c r="O16" s="100"/>
      <c r="P16" s="102"/>
      <c r="Q16" s="101"/>
      <c r="R16" s="100"/>
      <c r="S16" s="101"/>
      <c r="T16" s="101"/>
      <c r="U16" s="100"/>
      <c r="V16" s="102"/>
      <c r="W16" s="100"/>
      <c r="X16" s="102"/>
    </row>
    <row r="17" spans="1:24">
      <c r="A17" s="103"/>
      <c r="B17" s="94"/>
      <c r="C17" s="104"/>
      <c r="D17" s="94"/>
      <c r="E17" s="104"/>
      <c r="F17" s="94"/>
      <c r="G17" s="104"/>
      <c r="H17" s="94"/>
      <c r="I17" s="104"/>
      <c r="J17" s="94"/>
      <c r="K17" s="104"/>
      <c r="L17" s="94"/>
      <c r="M17" s="94"/>
      <c r="N17" s="94"/>
      <c r="O17" s="94"/>
      <c r="P17" s="94"/>
      <c r="Q17" s="94"/>
      <c r="R17" s="94"/>
      <c r="S17" s="94"/>
      <c r="T17" s="94"/>
      <c r="U17" s="94"/>
      <c r="V17" s="94"/>
      <c r="W17" s="94"/>
      <c r="X17" s="94"/>
    </row>
    <row r="18" spans="1:24">
      <c r="A18" s="19" t="s">
        <v>13</v>
      </c>
      <c r="C18" s="454"/>
      <c r="E18" s="454"/>
    </row>
    <row r="19" spans="1:24">
      <c r="A19" s="597" t="s">
        <v>85</v>
      </c>
      <c r="B19" s="669"/>
      <c r="C19" s="454"/>
      <c r="E19" s="454"/>
      <c r="H19" s="669"/>
    </row>
    <row r="20" spans="1:24">
      <c r="A20" s="597" t="s">
        <v>86</v>
      </c>
      <c r="B20" s="669" t="s">
        <v>14</v>
      </c>
      <c r="C20" s="482">
        <v>23486</v>
      </c>
      <c r="D20" s="481"/>
      <c r="E20" s="482">
        <v>29159</v>
      </c>
      <c r="F20" s="481"/>
      <c r="G20" s="681">
        <f>+'Exhibit H'!AA16</f>
        <v>29387.8</v>
      </c>
      <c r="H20" s="481"/>
      <c r="I20" s="479">
        <f t="shared" ref="I20:I26" si="0">ROUND(SUM(G20)-SUM(C20),1)</f>
        <v>5901.8</v>
      </c>
      <c r="K20" s="479">
        <f>G20-E20</f>
        <v>228.79999999999927</v>
      </c>
      <c r="L20" s="479"/>
    </row>
    <row r="21" spans="1:24">
      <c r="A21" s="597" t="s">
        <v>87</v>
      </c>
      <c r="B21" s="454" t="s">
        <v>14</v>
      </c>
      <c r="C21" s="480">
        <v>10453</v>
      </c>
      <c r="D21" s="467"/>
      <c r="E21" s="480">
        <v>11013</v>
      </c>
      <c r="F21" s="467"/>
      <c r="G21" s="467">
        <f>+'Exhibit H'!AA20</f>
        <v>11053.4</v>
      </c>
      <c r="H21" s="467"/>
      <c r="I21" s="467">
        <f t="shared" si="0"/>
        <v>600.4</v>
      </c>
      <c r="J21" s="467"/>
      <c r="K21" s="467">
        <f t="shared" ref="K21:K26" si="1">G21-E21</f>
        <v>40.399999999999636</v>
      </c>
      <c r="L21" s="479"/>
    </row>
    <row r="22" spans="1:24">
      <c r="A22" s="597" t="s">
        <v>88</v>
      </c>
      <c r="C22" s="480">
        <v>7499</v>
      </c>
      <c r="D22" s="467"/>
      <c r="E22" s="480">
        <v>6474</v>
      </c>
      <c r="F22" s="467"/>
      <c r="G22" s="467">
        <f>'Exhibit H'!AA23</f>
        <v>7472.2</v>
      </c>
      <c r="H22" s="467"/>
      <c r="I22" s="467">
        <f t="shared" si="0"/>
        <v>-26.8</v>
      </c>
      <c r="J22" s="467"/>
      <c r="K22" s="467">
        <f t="shared" si="1"/>
        <v>998.19999999999982</v>
      </c>
      <c r="L22" s="479"/>
    </row>
    <row r="23" spans="1:24">
      <c r="A23" s="597" t="s">
        <v>89</v>
      </c>
      <c r="B23" s="454" t="s">
        <v>14</v>
      </c>
      <c r="C23" s="480">
        <v>1199</v>
      </c>
      <c r="D23" s="467"/>
      <c r="E23" s="480">
        <v>1237</v>
      </c>
      <c r="F23" s="467"/>
      <c r="G23" s="467">
        <f>+'Exhibit H'!AA27</f>
        <v>1217.9999999999998</v>
      </c>
      <c r="H23" s="467"/>
      <c r="I23" s="467">
        <f t="shared" si="0"/>
        <v>19</v>
      </c>
      <c r="J23" s="467"/>
      <c r="K23" s="467">
        <f t="shared" si="1"/>
        <v>-19.000000000000227</v>
      </c>
      <c r="L23" s="479"/>
    </row>
    <row r="24" spans="1:24" ht="15" customHeight="1">
      <c r="A24" s="597" t="s">
        <v>19</v>
      </c>
      <c r="B24" s="454" t="s">
        <v>14</v>
      </c>
      <c r="C24" s="480">
        <v>382</v>
      </c>
      <c r="D24" s="467"/>
      <c r="E24" s="480">
        <v>376</v>
      </c>
      <c r="F24" s="467"/>
      <c r="G24" s="467">
        <f>+'Exhibit H'!AA50</f>
        <v>455.6</v>
      </c>
      <c r="H24" s="467"/>
      <c r="I24" s="467">
        <f t="shared" si="0"/>
        <v>73.599999999999994</v>
      </c>
      <c r="J24" s="467"/>
      <c r="K24" s="467">
        <f t="shared" si="1"/>
        <v>79.600000000000023</v>
      </c>
      <c r="L24" s="479"/>
    </row>
    <row r="25" spans="1:24" ht="15" customHeight="1">
      <c r="A25" s="597" t="s">
        <v>20</v>
      </c>
      <c r="B25" s="454" t="s">
        <v>14</v>
      </c>
      <c r="C25" s="480">
        <v>70</v>
      </c>
      <c r="D25" s="467"/>
      <c r="E25" s="480">
        <v>70</v>
      </c>
      <c r="F25" s="467"/>
      <c r="G25" s="467">
        <f>+'Exhibit H'!AA52</f>
        <v>71</v>
      </c>
      <c r="H25" s="467"/>
      <c r="I25" s="467">
        <f t="shared" si="0"/>
        <v>1</v>
      </c>
      <c r="J25" s="467"/>
      <c r="K25" s="467">
        <f t="shared" si="1"/>
        <v>1</v>
      </c>
      <c r="L25" s="479"/>
      <c r="N25" s="671"/>
      <c r="P25" s="671"/>
      <c r="Q25" s="683"/>
    </row>
    <row r="26" spans="1:24">
      <c r="A26" s="597" t="s">
        <v>46</v>
      </c>
      <c r="B26" s="683" t="s">
        <v>14</v>
      </c>
      <c r="C26" s="480">
        <v>1688</v>
      </c>
      <c r="D26" s="467"/>
      <c r="E26" s="480">
        <v>1611</v>
      </c>
      <c r="F26" s="467"/>
      <c r="G26" s="672">
        <f>+'Exhibit H'!AA68</f>
        <v>1641.6</v>
      </c>
      <c r="H26" s="467"/>
      <c r="I26" s="467">
        <f t="shared" si="0"/>
        <v>-46.4</v>
      </c>
      <c r="J26" s="467"/>
      <c r="K26" s="467">
        <f t="shared" si="1"/>
        <v>30.599999999999909</v>
      </c>
      <c r="L26" s="479"/>
      <c r="N26" s="671"/>
      <c r="P26" s="671"/>
      <c r="Q26" s="683"/>
    </row>
    <row r="27" spans="1:24" ht="18" customHeight="1">
      <c r="A27" s="117" t="s">
        <v>106</v>
      </c>
      <c r="B27" s="100" t="s">
        <v>14</v>
      </c>
      <c r="C27" s="142">
        <f>ROUND(SUM(C20:C26),1)</f>
        <v>44777</v>
      </c>
      <c r="D27" s="42"/>
      <c r="E27" s="142">
        <f>ROUND(SUM(E20:E26),1)</f>
        <v>49940</v>
      </c>
      <c r="F27" s="42"/>
      <c r="G27" s="142">
        <f>ROUND(SUM(G20:G26),1)</f>
        <v>51299.6</v>
      </c>
      <c r="H27" s="42"/>
      <c r="I27" s="142">
        <f>ROUND(SUM(I20:I26),1)</f>
        <v>6522.6</v>
      </c>
      <c r="J27" s="42"/>
      <c r="K27" s="142">
        <f>ROUND(SUM(K20:K26),1)</f>
        <v>1359.6</v>
      </c>
      <c r="L27" s="479"/>
      <c r="M27" s="100"/>
      <c r="N27" s="100"/>
      <c r="O27" s="100"/>
      <c r="P27" s="100"/>
      <c r="Q27" s="100"/>
      <c r="R27" s="100"/>
      <c r="S27" s="100"/>
      <c r="T27" s="100"/>
      <c r="U27" s="100"/>
      <c r="V27" s="100"/>
      <c r="W27" s="100"/>
      <c r="X27" s="100"/>
    </row>
    <row r="28" spans="1:24">
      <c r="C28" s="497"/>
      <c r="D28" s="467"/>
      <c r="E28" s="497"/>
      <c r="F28" s="467"/>
      <c r="G28" s="497"/>
      <c r="H28" s="467"/>
      <c r="I28" s="497"/>
      <c r="J28" s="467"/>
      <c r="K28" s="497"/>
      <c r="L28" s="479"/>
    </row>
    <row r="29" spans="1:24">
      <c r="A29" s="19" t="s">
        <v>22</v>
      </c>
      <c r="C29" s="467"/>
      <c r="D29" s="467"/>
      <c r="E29" s="467"/>
      <c r="F29" s="467"/>
      <c r="G29" s="467"/>
      <c r="H29" s="467"/>
      <c r="I29" s="467"/>
      <c r="J29" s="467"/>
      <c r="K29" s="467"/>
      <c r="L29" s="479"/>
    </row>
    <row r="30" spans="1:24">
      <c r="A30" s="597" t="s">
        <v>92</v>
      </c>
      <c r="B30" s="669" t="s">
        <v>14</v>
      </c>
      <c r="C30" s="480">
        <v>45</v>
      </c>
      <c r="D30" s="467"/>
      <c r="E30" s="480">
        <v>45</v>
      </c>
      <c r="F30" s="467"/>
      <c r="G30" s="493">
        <f>+'Exhibit H'!AA58</f>
        <v>47.6</v>
      </c>
      <c r="H30" s="467"/>
      <c r="I30" s="467">
        <f>ROUND(SUM(G30)-SUM(C30),1)</f>
        <v>2.6</v>
      </c>
      <c r="J30" s="467"/>
      <c r="K30" s="467">
        <f t="shared" ref="K30:K32" si="2">G30-E30</f>
        <v>2.6000000000000014</v>
      </c>
      <c r="L30" s="479"/>
      <c r="N30" s="669"/>
      <c r="P30" s="671"/>
      <c r="S30" s="671"/>
      <c r="T30" s="671"/>
      <c r="V30" s="671"/>
      <c r="X30" s="671"/>
    </row>
    <row r="31" spans="1:24" ht="14.25" customHeight="1">
      <c r="A31" s="597" t="s">
        <v>93</v>
      </c>
      <c r="B31" s="683" t="s">
        <v>14</v>
      </c>
      <c r="C31" s="480">
        <v>7612</v>
      </c>
      <c r="D31" s="467"/>
      <c r="E31" s="480">
        <v>8491</v>
      </c>
      <c r="F31" s="467"/>
      <c r="G31" s="480">
        <f>+'Exhibit H'!AA60</f>
        <v>10480.9</v>
      </c>
      <c r="H31" s="467"/>
      <c r="I31" s="467">
        <f t="shared" ref="I31:I32" si="3">ROUND(SUM(G31)-SUM(C31),1)</f>
        <v>2868.9</v>
      </c>
      <c r="J31" s="467"/>
      <c r="K31" s="467">
        <f t="shared" si="2"/>
        <v>1989.8999999999996</v>
      </c>
      <c r="L31" s="479"/>
      <c r="N31" s="669"/>
      <c r="S31" s="671"/>
      <c r="T31" s="671"/>
      <c r="V31" s="671"/>
      <c r="X31" s="671"/>
    </row>
    <row r="32" spans="1:24">
      <c r="A32" s="597" t="s">
        <v>96</v>
      </c>
      <c r="B32" s="683" t="s">
        <v>14</v>
      </c>
      <c r="C32" s="480">
        <v>37121</v>
      </c>
      <c r="D32" s="467"/>
      <c r="E32" s="480">
        <v>41405</v>
      </c>
      <c r="F32" s="467"/>
      <c r="G32" s="493">
        <f>-'Exhibit H'!AA69</f>
        <v>40713.699999999997</v>
      </c>
      <c r="H32" s="467"/>
      <c r="I32" s="467">
        <f t="shared" si="3"/>
        <v>3592.7</v>
      </c>
      <c r="J32" s="467"/>
      <c r="K32" s="467">
        <f t="shared" si="2"/>
        <v>-691.30000000000291</v>
      </c>
      <c r="L32" s="479"/>
      <c r="N32" s="671"/>
      <c r="P32" s="671"/>
      <c r="Q32" s="683"/>
    </row>
    <row r="33" spans="1:24" ht="18" customHeight="1">
      <c r="A33" s="117" t="s">
        <v>115</v>
      </c>
      <c r="B33" s="100" t="s">
        <v>14</v>
      </c>
      <c r="C33" s="142">
        <f>ROUND(SUM(C30:C32),1)</f>
        <v>44778</v>
      </c>
      <c r="D33" s="42"/>
      <c r="E33" s="142">
        <f>ROUND(SUM(E30:E32),1)</f>
        <v>49941</v>
      </c>
      <c r="F33" s="42"/>
      <c r="G33" s="142">
        <f>ROUND(SUM(G30:G32),1)</f>
        <v>51242.2</v>
      </c>
      <c r="H33" s="42"/>
      <c r="I33" s="142">
        <f>ROUND(SUM(I30:I32),1)</f>
        <v>6464.2</v>
      </c>
      <c r="J33" s="42"/>
      <c r="K33" s="142">
        <f>ROUND(SUM(K30:K32),1)</f>
        <v>1301.2</v>
      </c>
      <c r="L33" s="479"/>
      <c r="M33" s="100"/>
      <c r="N33" s="100"/>
      <c r="O33" s="100"/>
      <c r="P33" s="100"/>
      <c r="Q33" s="100"/>
      <c r="R33" s="100"/>
      <c r="S33" s="100"/>
      <c r="T33" s="100"/>
      <c r="U33" s="100"/>
      <c r="V33" s="100"/>
      <c r="W33" s="100"/>
      <c r="X33" s="100"/>
    </row>
    <row r="34" spans="1:24">
      <c r="C34" s="497"/>
      <c r="D34" s="467"/>
      <c r="E34" s="497"/>
      <c r="F34" s="467"/>
      <c r="G34" s="497"/>
      <c r="H34" s="467"/>
      <c r="I34" s="497"/>
      <c r="J34" s="467"/>
      <c r="K34" s="497"/>
      <c r="L34" s="479"/>
    </row>
    <row r="35" spans="1:24">
      <c r="A35" s="19" t="s">
        <v>116</v>
      </c>
      <c r="C35" s="467"/>
      <c r="D35" s="467"/>
      <c r="E35" s="467"/>
      <c r="F35" s="467"/>
      <c r="G35" s="467"/>
      <c r="H35" s="467"/>
      <c r="I35" s="467"/>
      <c r="J35" s="467"/>
      <c r="K35" s="467"/>
      <c r="L35" s="479"/>
    </row>
    <row r="36" spans="1:24">
      <c r="A36" s="19" t="s">
        <v>117</v>
      </c>
      <c r="C36" s="467"/>
      <c r="D36" s="467"/>
      <c r="E36" s="467"/>
      <c r="F36" s="467"/>
      <c r="G36" s="467"/>
      <c r="H36" s="467"/>
      <c r="I36" s="467"/>
      <c r="J36" s="467"/>
      <c r="K36" s="467"/>
      <c r="L36" s="479"/>
    </row>
    <row r="37" spans="1:24">
      <c r="A37" s="117" t="s">
        <v>100</v>
      </c>
      <c r="B37" s="667" t="s">
        <v>14</v>
      </c>
      <c r="C37" s="42">
        <f>C27-C33</f>
        <v>-1</v>
      </c>
      <c r="D37" s="57"/>
      <c r="E37" s="42">
        <f>E27-E33</f>
        <v>-1</v>
      </c>
      <c r="F37" s="57"/>
      <c r="G37" s="42">
        <f>ROUND(SUM(G27)-SUM(G33),1)</f>
        <v>57.4</v>
      </c>
      <c r="H37" s="57"/>
      <c r="I37" s="42">
        <f>ROUND(SUM(I27)-SUM(I33),1)</f>
        <v>58.4</v>
      </c>
      <c r="J37" s="57"/>
      <c r="K37" s="42">
        <f>ROUND(SUM(K27)-SUM(K33),1)</f>
        <v>58.4</v>
      </c>
      <c r="L37" s="479"/>
      <c r="M37" s="118"/>
      <c r="N37" s="100"/>
      <c r="O37" s="118"/>
      <c r="P37" s="100"/>
      <c r="Q37" s="100"/>
      <c r="R37" s="118"/>
      <c r="S37" s="100"/>
      <c r="T37" s="100"/>
      <c r="U37" s="118"/>
      <c r="V37" s="100"/>
      <c r="W37" s="118"/>
      <c r="X37" s="100"/>
    </row>
    <row r="38" spans="1:24" ht="15" customHeight="1">
      <c r="C38" s="467"/>
      <c r="D38" s="467"/>
      <c r="E38" s="467"/>
      <c r="F38" s="467"/>
      <c r="G38" s="467"/>
      <c r="H38" s="467"/>
      <c r="I38" s="467"/>
      <c r="J38" s="467"/>
      <c r="K38" s="467"/>
      <c r="L38" s="479"/>
    </row>
    <row r="39" spans="1:24">
      <c r="A39" s="117" t="str">
        <f>'Exh D-Governmental  '!A49</f>
        <v>Fund Balances (Deficits) at April 1</v>
      </c>
      <c r="B39" s="454" t="s">
        <v>14</v>
      </c>
      <c r="C39" s="42">
        <v>102</v>
      </c>
      <c r="D39" s="467"/>
      <c r="E39" s="42">
        <v>102</v>
      </c>
      <c r="F39" s="467"/>
      <c r="G39" s="42">
        <f>'Exhibit H'!AA12</f>
        <v>102</v>
      </c>
      <c r="H39" s="467"/>
      <c r="I39" s="42">
        <f t="shared" ref="I39" si="4">ROUND(SUM(G39)-SUM(C39),1)</f>
        <v>0</v>
      </c>
      <c r="J39" s="467"/>
      <c r="K39" s="42">
        <f>G39-E39</f>
        <v>0</v>
      </c>
      <c r="L39" s="479"/>
    </row>
    <row r="40" spans="1:24" ht="18" customHeight="1" thickBot="1">
      <c r="A40" s="117" t="str">
        <f>+'Exh D-Governmental  '!A50</f>
        <v xml:space="preserve">Fund Balances (Deficits) at March 31, 2023 </v>
      </c>
      <c r="B40" s="120" t="s">
        <v>14</v>
      </c>
      <c r="C40" s="69">
        <f>ROUND(SUM(C37:C39),1)</f>
        <v>101</v>
      </c>
      <c r="D40" s="121"/>
      <c r="E40" s="69">
        <f>ROUND(SUM(E37:E39),1)</f>
        <v>101</v>
      </c>
      <c r="F40" s="121"/>
      <c r="G40" s="69">
        <f>ROUND(SUM(G37:G39),1)</f>
        <v>159.4</v>
      </c>
      <c r="H40" s="121"/>
      <c r="I40" s="69">
        <f>ROUND(SUM(I37:I39),1)</f>
        <v>58.4</v>
      </c>
      <c r="K40" s="69">
        <f>ROUND(SUM(K37:K39),1)</f>
        <v>58.4</v>
      </c>
      <c r="L40" s="479"/>
    </row>
    <row r="41" spans="1:24" ht="15" customHeight="1" thickTop="1">
      <c r="A41" s="103"/>
      <c r="C41" s="498"/>
      <c r="D41" s="479"/>
      <c r="E41" s="498"/>
      <c r="F41" s="479"/>
      <c r="G41" s="479"/>
      <c r="H41" s="479"/>
      <c r="I41" s="479"/>
      <c r="K41" s="479"/>
    </row>
    <row r="42" spans="1:24">
      <c r="A42" s="676" t="str">
        <f>'Exh D-Governmental  '!A52</f>
        <v>(*)    Source: 2022-23 Enacted Financial Plan dated May 20, 2022.</v>
      </c>
    </row>
    <row r="43" spans="1:24">
      <c r="A43" s="2126" t="str">
        <f>'Exh D-Governmental  '!A53</f>
        <v>(**)   Source: 2023-24 Executive Budget with 30-day amendments dated March 3, 2023.</v>
      </c>
    </row>
    <row r="44" spans="1:24">
      <c r="A44" s="597"/>
    </row>
    <row r="45" spans="1:24">
      <c r="A45" s="597"/>
    </row>
    <row r="47" spans="1:24">
      <c r="A47" s="136"/>
    </row>
    <row r="48" spans="1:24">
      <c r="A48" s="136"/>
    </row>
  </sheetData>
  <mergeCells count="2">
    <mergeCell ref="C11:I11"/>
    <mergeCell ref="A5:E5"/>
  </mergeCells>
  <printOptions horizontalCentered="1"/>
  <pageMargins left="0.75" right="0.75" top="0.75" bottom="0.75" header="0.5" footer="0.25"/>
  <pageSetup scale="76" firstPageNumber="13"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7"/>
  <sheetViews>
    <sheetView showGridLines="0" zoomScale="90" workbookViewId="0"/>
  </sheetViews>
  <sheetFormatPr defaultColWidth="8.84375" defaultRowHeight="15.5"/>
  <cols>
    <col min="1" max="1" width="54" style="499" customWidth="1"/>
    <col min="2" max="2" width="2.07421875" style="454" customWidth="1"/>
    <col min="3" max="3" width="18.07421875" style="301" bestFit="1" customWidth="1"/>
    <col min="4" max="4" width="0.84375" style="454" customWidth="1"/>
    <col min="5" max="5" width="15.4609375" style="301" customWidth="1"/>
    <col min="6" max="6" width="0.84375" style="454" customWidth="1"/>
    <col min="7" max="7" width="14" style="454" customWidth="1"/>
    <col min="8" max="8" width="1.4609375" style="454" customWidth="1"/>
    <col min="9" max="9" width="15" style="454" customWidth="1"/>
    <col min="10" max="10" width="1.53515625" style="454" customWidth="1"/>
    <col min="11" max="11" width="15" style="454" customWidth="1"/>
    <col min="12" max="12" width="1" style="454" customWidth="1"/>
    <col min="13" max="13" width="15.07421875" style="454" customWidth="1"/>
    <col min="14" max="14" width="1" style="454" customWidth="1"/>
    <col min="15" max="15" width="14" style="454" customWidth="1"/>
    <col min="16" max="19" width="8.84375" style="454"/>
    <col min="20" max="16384" width="8.84375" style="499"/>
  </cols>
  <sheetData>
    <row r="1" spans="1:34">
      <c r="A1" s="468" t="s">
        <v>868</v>
      </c>
    </row>
    <row r="2" spans="1:34" ht="16.5">
      <c r="A2" s="125"/>
      <c r="B2" s="126"/>
      <c r="C2" s="297"/>
      <c r="D2" s="126"/>
      <c r="E2" s="297"/>
      <c r="F2" s="126"/>
      <c r="G2" s="126"/>
      <c r="H2" s="126"/>
      <c r="I2" s="126"/>
      <c r="J2" s="126"/>
      <c r="K2" s="126"/>
      <c r="L2" s="126"/>
      <c r="M2" s="126"/>
    </row>
    <row r="3" spans="1:34" ht="19.5" customHeight="1">
      <c r="A3" s="128" t="s">
        <v>0</v>
      </c>
      <c r="B3" s="94"/>
      <c r="C3" s="298"/>
      <c r="D3" s="94"/>
      <c r="E3" s="298"/>
      <c r="F3" s="94"/>
      <c r="G3" s="94"/>
      <c r="H3" s="94"/>
      <c r="I3" s="94"/>
      <c r="J3" s="94"/>
      <c r="K3" s="94"/>
      <c r="L3" s="94"/>
      <c r="M3" s="598"/>
      <c r="O3" s="598" t="s">
        <v>81</v>
      </c>
    </row>
    <row r="4" spans="1:34" ht="19.5" customHeight="1">
      <c r="A4" s="128" t="s">
        <v>80</v>
      </c>
      <c r="B4" s="94"/>
      <c r="C4" s="298"/>
      <c r="D4" s="94"/>
      <c r="E4" s="298"/>
      <c r="F4" s="94"/>
      <c r="G4" s="94"/>
      <c r="H4" s="94"/>
      <c r="I4" s="94"/>
      <c r="J4" s="94"/>
      <c r="K4" s="94"/>
      <c r="L4" s="94"/>
      <c r="M4" s="599"/>
      <c r="O4" s="599"/>
    </row>
    <row r="5" spans="1:34" ht="19.5" customHeight="1">
      <c r="A5" s="2309" t="str">
        <f>'Exh D-Governmental  '!A5:E5</f>
        <v>FISCAL YEAR 2022-2023</v>
      </c>
      <c r="B5" s="2310"/>
      <c r="C5" s="2310"/>
      <c r="D5" s="2310"/>
      <c r="E5" s="2310"/>
      <c r="F5" s="94"/>
      <c r="G5" s="94"/>
      <c r="H5" s="94"/>
      <c r="I5" s="94"/>
      <c r="J5" s="94"/>
      <c r="K5" s="94"/>
      <c r="L5" s="94"/>
      <c r="M5" s="94"/>
    </row>
    <row r="6" spans="1:34" ht="19.5" customHeight="1">
      <c r="A6" s="974" t="str">
        <f>+'Exh D-Governmental  '!A6</f>
        <v xml:space="preserve">FOR TWELVE MONTHS ENDED MARCH 31, 2023    </v>
      </c>
      <c r="B6" s="94"/>
      <c r="C6" s="298"/>
      <c r="D6" s="94"/>
      <c r="E6" s="298"/>
      <c r="F6" s="94"/>
      <c r="G6" s="94"/>
      <c r="H6" s="94"/>
      <c r="I6" s="94"/>
      <c r="J6" s="94"/>
      <c r="K6" s="94"/>
      <c r="L6" s="94"/>
      <c r="M6" s="94"/>
      <c r="N6" s="94"/>
      <c r="O6" s="94"/>
      <c r="P6" s="94"/>
      <c r="Q6" s="94"/>
      <c r="R6" s="94"/>
      <c r="S6" s="94"/>
      <c r="T6" s="94"/>
      <c r="U6" s="94"/>
      <c r="V6" s="94"/>
      <c r="W6" s="94"/>
      <c r="X6" s="94"/>
      <c r="Y6" s="94"/>
      <c r="Z6" s="94"/>
      <c r="AA6" s="94"/>
      <c r="AB6" s="94"/>
      <c r="AC6" s="454"/>
      <c r="AD6" s="454"/>
      <c r="AE6" s="454"/>
      <c r="AF6" s="454"/>
      <c r="AG6" s="454"/>
      <c r="AH6" s="454"/>
    </row>
    <row r="7" spans="1:34" ht="19.5" customHeight="1">
      <c r="A7" s="128" t="s">
        <v>1248</v>
      </c>
      <c r="B7" s="94"/>
      <c r="C7" s="298"/>
      <c r="D7" s="94"/>
      <c r="E7" s="298"/>
      <c r="F7" s="94"/>
      <c r="G7" s="94"/>
      <c r="H7" s="94"/>
      <c r="I7" s="94"/>
      <c r="J7" s="94"/>
      <c r="K7" s="94"/>
      <c r="L7" s="94"/>
      <c r="M7" s="94"/>
    </row>
    <row r="8" spans="1:34" ht="17.5">
      <c r="A8" s="98"/>
      <c r="B8" s="94"/>
      <c r="C8" s="298"/>
      <c r="D8" s="94"/>
      <c r="E8" s="298"/>
      <c r="F8" s="94"/>
      <c r="G8" s="94"/>
      <c r="H8" s="94"/>
      <c r="I8" s="94"/>
      <c r="J8" s="94"/>
      <c r="K8" s="94"/>
      <c r="L8" s="94"/>
      <c r="M8" s="94"/>
    </row>
    <row r="9" spans="1:34">
      <c r="A9" s="99"/>
      <c r="B9" s="94"/>
      <c r="C9" s="298"/>
      <c r="D9" s="94"/>
      <c r="E9" s="298"/>
      <c r="F9" s="94"/>
      <c r="G9" s="94"/>
      <c r="H9" s="94"/>
      <c r="I9" s="94"/>
      <c r="J9" s="94"/>
      <c r="K9" s="94"/>
      <c r="L9" s="94"/>
      <c r="M9" s="94"/>
    </row>
    <row r="10" spans="1:34">
      <c r="A10" s="99"/>
      <c r="B10" s="94"/>
      <c r="C10" s="298"/>
      <c r="D10" s="94"/>
      <c r="E10" s="298"/>
      <c r="F10" s="94"/>
      <c r="G10" s="94"/>
      <c r="H10" s="94"/>
      <c r="I10" s="94"/>
      <c r="J10" s="94"/>
      <c r="K10" s="94"/>
      <c r="L10" s="94"/>
      <c r="M10" s="94"/>
    </row>
    <row r="11" spans="1:34">
      <c r="B11" s="100"/>
      <c r="C11" s="810"/>
      <c r="D11" s="807"/>
      <c r="E11" s="810"/>
      <c r="F11" s="814"/>
      <c r="G11" s="554"/>
      <c r="H11" s="814"/>
      <c r="I11" s="554" t="s">
        <v>1028</v>
      </c>
      <c r="J11" s="1071"/>
      <c r="K11" s="1071"/>
      <c r="L11" s="1071"/>
      <c r="M11" s="814"/>
      <c r="N11" s="808"/>
      <c r="O11" s="808"/>
    </row>
    <row r="12" spans="1:34">
      <c r="B12" s="100"/>
      <c r="C12" s="100"/>
      <c r="D12" s="100"/>
      <c r="E12" s="100"/>
      <c r="F12" s="100"/>
      <c r="G12" s="100"/>
      <c r="H12" s="100"/>
      <c r="I12" s="100"/>
      <c r="J12" s="100"/>
      <c r="K12" s="100"/>
      <c r="L12" s="100"/>
      <c r="M12" s="101" t="s">
        <v>82</v>
      </c>
      <c r="N12" s="101"/>
      <c r="O12" s="101" t="s">
        <v>82</v>
      </c>
    </row>
    <row r="13" spans="1:34">
      <c r="B13" s="100"/>
      <c r="C13" s="100"/>
      <c r="D13" s="100"/>
      <c r="E13" s="100"/>
      <c r="F13" s="100"/>
      <c r="G13" s="100"/>
      <c r="H13" s="100"/>
      <c r="I13" s="100"/>
      <c r="J13" s="100"/>
      <c r="K13" s="100"/>
      <c r="L13" s="100"/>
      <c r="M13" s="101" t="s">
        <v>783</v>
      </c>
      <c r="N13" s="101"/>
      <c r="O13" s="101" t="s">
        <v>783</v>
      </c>
    </row>
    <row r="14" spans="1:34">
      <c r="B14" s="100"/>
      <c r="C14" s="102" t="s">
        <v>975</v>
      </c>
      <c r="D14" s="100"/>
      <c r="E14" s="101" t="s">
        <v>976</v>
      </c>
      <c r="F14" s="100"/>
      <c r="G14" s="100"/>
      <c r="H14" s="100"/>
      <c r="I14" s="100"/>
      <c r="J14" s="100"/>
      <c r="K14" s="100"/>
      <c r="L14" s="100"/>
      <c r="M14" s="101" t="s">
        <v>83</v>
      </c>
      <c r="N14" s="101"/>
      <c r="O14" s="101" t="s">
        <v>83</v>
      </c>
    </row>
    <row r="15" spans="1:34" ht="15.75" customHeight="1">
      <c r="B15" s="100"/>
      <c r="C15" s="101" t="s">
        <v>1011</v>
      </c>
      <c r="D15" s="100"/>
      <c r="E15" s="101" t="s">
        <v>1011</v>
      </c>
      <c r="F15" s="100"/>
      <c r="G15" s="100"/>
      <c r="H15" s="100"/>
      <c r="I15" s="100"/>
      <c r="J15" s="100"/>
      <c r="K15" s="100"/>
      <c r="L15" s="100"/>
      <c r="M15" s="101" t="s">
        <v>975</v>
      </c>
      <c r="N15" s="101"/>
      <c r="O15" s="101" t="s">
        <v>976</v>
      </c>
    </row>
    <row r="16" spans="1:34">
      <c r="B16" s="100"/>
      <c r="C16" s="101" t="s">
        <v>1012</v>
      </c>
      <c r="D16" s="100"/>
      <c r="E16" s="101" t="s">
        <v>1508</v>
      </c>
      <c r="F16" s="100"/>
      <c r="G16" s="102" t="s">
        <v>82</v>
      </c>
      <c r="H16" s="100"/>
      <c r="I16" s="828" t="s">
        <v>1143</v>
      </c>
      <c r="J16" s="100"/>
      <c r="K16" s="828" t="s">
        <v>711</v>
      </c>
      <c r="L16" s="100"/>
      <c r="M16" s="101" t="s">
        <v>84</v>
      </c>
      <c r="N16" s="101"/>
      <c r="O16" s="101" t="s">
        <v>84</v>
      </c>
    </row>
    <row r="17" spans="1:34">
      <c r="A17" s="103"/>
      <c r="B17" s="94"/>
      <c r="C17" s="104"/>
      <c r="D17" s="94"/>
      <c r="E17" s="104"/>
      <c r="F17" s="94"/>
      <c r="G17" s="104"/>
      <c r="H17" s="94"/>
      <c r="I17" s="94"/>
      <c r="J17" s="94"/>
      <c r="K17" s="94"/>
      <c r="L17" s="94"/>
      <c r="M17" s="104"/>
      <c r="O17" s="104"/>
    </row>
    <row r="18" spans="1:34">
      <c r="A18" s="19" t="s">
        <v>13</v>
      </c>
      <c r="C18" s="454"/>
      <c r="E18" s="454"/>
      <c r="G18" s="454" t="s">
        <v>14</v>
      </c>
    </row>
    <row r="19" spans="1:34">
      <c r="A19" s="597" t="s">
        <v>85</v>
      </c>
      <c r="B19" s="669" t="s">
        <v>14</v>
      </c>
      <c r="C19" s="479"/>
      <c r="D19" s="479"/>
      <c r="E19" s="479"/>
      <c r="F19" s="479"/>
      <c r="G19" s="685"/>
      <c r="H19" s="481"/>
      <c r="I19" s="481"/>
      <c r="J19" s="481"/>
      <c r="K19" s="481"/>
      <c r="L19" s="481"/>
      <c r="M19" s="479"/>
      <c r="O19" s="479"/>
      <c r="T19" s="454"/>
      <c r="U19" s="454"/>
      <c r="V19" s="454"/>
      <c r="W19" s="454"/>
      <c r="X19" s="454"/>
      <c r="Y19" s="454"/>
      <c r="Z19" s="454"/>
      <c r="AA19" s="454"/>
      <c r="AB19" s="454"/>
      <c r="AC19" s="454"/>
      <c r="AD19" s="454"/>
      <c r="AE19" s="454"/>
      <c r="AF19" s="454"/>
      <c r="AG19" s="454"/>
      <c r="AH19" s="454"/>
    </row>
    <row r="20" spans="1:34">
      <c r="A20" s="597" t="s">
        <v>87</v>
      </c>
      <c r="B20" s="454" t="s">
        <v>14</v>
      </c>
      <c r="C20" s="681">
        <f>'Exh D Captl Projects State Fed'!C20+'Exh D Captl Projects State Fed'!M20</f>
        <v>387</v>
      </c>
      <c r="D20" s="467"/>
      <c r="E20" s="681">
        <f>'Exh D Captl Projects State Fed'!E20+'Exh D Captl Projects State Fed'!O20</f>
        <v>377</v>
      </c>
      <c r="F20" s="480"/>
      <c r="G20" s="681">
        <f>+'Exh D Captl Projects State Fed'!G20</f>
        <v>376.8</v>
      </c>
      <c r="H20" s="480"/>
      <c r="I20" s="681">
        <v>0</v>
      </c>
      <c r="J20" s="480"/>
      <c r="K20" s="1074">
        <f>+G20+I20</f>
        <v>376.8</v>
      </c>
      <c r="L20" s="480"/>
      <c r="M20" s="479">
        <f t="shared" ref="M20:M26" si="0">ROUND(SUM(K20)-SUM(C20),1)</f>
        <v>-10.199999999999999</v>
      </c>
      <c r="O20" s="479">
        <f t="shared" ref="O20:O26" si="1">ROUND(SUM(K20)-SUM(E20),1)</f>
        <v>-0.2</v>
      </c>
      <c r="T20" s="454"/>
      <c r="U20" s="454"/>
      <c r="V20" s="454"/>
      <c r="W20" s="454"/>
      <c r="X20" s="454"/>
      <c r="Y20" s="454"/>
      <c r="Z20" s="454"/>
      <c r="AA20" s="454"/>
      <c r="AB20" s="454"/>
      <c r="AC20" s="454"/>
      <c r="AD20" s="454"/>
      <c r="AE20" s="454"/>
      <c r="AF20" s="454"/>
      <c r="AG20" s="454"/>
      <c r="AH20" s="454"/>
    </row>
    <row r="21" spans="1:34">
      <c r="A21" s="597" t="s">
        <v>88</v>
      </c>
      <c r="B21" s="669" t="s">
        <v>14</v>
      </c>
      <c r="C21" s="495">
        <f>'Exh D Captl Projects State Fed'!C21+'Exh D Captl Projects State Fed'!M21</f>
        <v>630</v>
      </c>
      <c r="D21" s="467"/>
      <c r="E21" s="495">
        <f>'Exh D Captl Projects State Fed'!E21+'Exh D Captl Projects State Fed'!O21</f>
        <v>612</v>
      </c>
      <c r="F21" s="480"/>
      <c r="G21" s="495">
        <f>+'Exh D Captl Projects State Fed'!G21</f>
        <v>624.6</v>
      </c>
      <c r="H21" s="480"/>
      <c r="I21" s="480">
        <v>0</v>
      </c>
      <c r="J21" s="480"/>
      <c r="K21" s="1075">
        <f t="shared" ref="K21:K26" si="2">+G21+I21</f>
        <v>624.6</v>
      </c>
      <c r="L21" s="480"/>
      <c r="M21" s="467">
        <f t="shared" si="0"/>
        <v>-5.4</v>
      </c>
      <c r="N21" s="669"/>
      <c r="O21" s="467">
        <f t="shared" si="1"/>
        <v>12.6</v>
      </c>
      <c r="Q21" s="669"/>
      <c r="S21" s="669"/>
      <c r="T21" s="454"/>
      <c r="U21" s="454"/>
      <c r="V21" s="669"/>
      <c r="W21" s="454"/>
      <c r="X21" s="454"/>
      <c r="Y21" s="669"/>
      <c r="Z21" s="135"/>
      <c r="AA21" s="669"/>
      <c r="AB21" s="454"/>
      <c r="AC21" s="454"/>
      <c r="AD21" s="454"/>
      <c r="AE21" s="454"/>
      <c r="AF21" s="454"/>
      <c r="AG21" s="454"/>
      <c r="AH21" s="454"/>
    </row>
    <row r="22" spans="1:34">
      <c r="A22" s="597" t="s">
        <v>89</v>
      </c>
      <c r="B22" s="454" t="s">
        <v>14</v>
      </c>
      <c r="C22" s="495">
        <f>'Exh D Captl Projects State Fed'!C22+'Exh D Captl Projects State Fed'!M22</f>
        <v>257</v>
      </c>
      <c r="D22" s="467"/>
      <c r="E22" s="495">
        <f>'Exh D Captl Projects State Fed'!E22+'Exh D Captl Projects State Fed'!O22</f>
        <v>257</v>
      </c>
      <c r="F22" s="480"/>
      <c r="G22" s="495">
        <f>+'Exh D Captl Projects State Fed'!G22</f>
        <v>257.3</v>
      </c>
      <c r="H22" s="480"/>
      <c r="I22" s="480">
        <v>0</v>
      </c>
      <c r="J22" s="480"/>
      <c r="K22" s="1075">
        <f>+G22+I22</f>
        <v>257.3</v>
      </c>
      <c r="L22" s="480"/>
      <c r="M22" s="467">
        <f t="shared" si="0"/>
        <v>0.3</v>
      </c>
      <c r="O22" s="467">
        <f t="shared" si="1"/>
        <v>0.3</v>
      </c>
      <c r="T22" s="454"/>
      <c r="U22" s="454"/>
      <c r="V22" s="454"/>
      <c r="W22" s="454"/>
      <c r="X22" s="454"/>
      <c r="Y22" s="454"/>
      <c r="Z22" s="454"/>
      <c r="AA22" s="454"/>
      <c r="AB22" s="454"/>
      <c r="AC22" s="454"/>
      <c r="AD22" s="454"/>
      <c r="AE22" s="454"/>
      <c r="AF22" s="454"/>
      <c r="AG22" s="454"/>
      <c r="AH22" s="454"/>
    </row>
    <row r="23" spans="1:34">
      <c r="A23" s="597" t="s">
        <v>19</v>
      </c>
      <c r="B23" s="454" t="s">
        <v>14</v>
      </c>
      <c r="C23" s="495">
        <f>'Exh D Captl Projects State Fed'!C23+'Exh D Captl Projects State Fed'!M23</f>
        <v>9401</v>
      </c>
      <c r="D23" s="467"/>
      <c r="E23" s="495">
        <f>'Exh D Captl Projects State Fed'!E23+'Exh D Captl Projects State Fed'!O23</f>
        <v>8084</v>
      </c>
      <c r="F23" s="467"/>
      <c r="G23" s="467">
        <f>+'Exh D Captl Projects State Fed'!G23+'Exh D Captl Projects State Fed'!Q23</f>
        <v>6362.6</v>
      </c>
      <c r="H23" s="467"/>
      <c r="I23" s="467">
        <v>0</v>
      </c>
      <c r="J23" s="467"/>
      <c r="K23" s="1075">
        <f t="shared" si="2"/>
        <v>6362.6</v>
      </c>
      <c r="L23" s="467"/>
      <c r="M23" s="467">
        <f t="shared" si="0"/>
        <v>-3038.4</v>
      </c>
      <c r="O23" s="467">
        <f t="shared" si="1"/>
        <v>-1721.4</v>
      </c>
    </row>
    <row r="24" spans="1:34">
      <c r="A24" s="597" t="s">
        <v>20</v>
      </c>
      <c r="B24" s="454" t="s">
        <v>14</v>
      </c>
      <c r="C24" s="495">
        <f>'Exh D Captl Projects State Fed'!C24+'Exh D Captl Projects State Fed'!M24</f>
        <v>2992</v>
      </c>
      <c r="D24" s="467"/>
      <c r="E24" s="495">
        <f>'Exh D Captl Projects State Fed'!E24+'Exh D Captl Projects State Fed'!O24</f>
        <v>3242</v>
      </c>
      <c r="F24" s="467"/>
      <c r="G24" s="467">
        <f>+'Exh D Captl Projects State Fed'!G24+'Exh D Captl Projects State Fed'!Q24</f>
        <v>2522.6999999999998</v>
      </c>
      <c r="H24" s="467"/>
      <c r="I24" s="467">
        <v>0</v>
      </c>
      <c r="J24" s="467"/>
      <c r="K24" s="1075">
        <f t="shared" si="2"/>
        <v>2522.6999999999998</v>
      </c>
      <c r="L24" s="467"/>
      <c r="M24" s="467">
        <f t="shared" si="0"/>
        <v>-469.3</v>
      </c>
      <c r="O24" s="467">
        <f t="shared" si="1"/>
        <v>-719.3</v>
      </c>
    </row>
    <row r="25" spans="1:34">
      <c r="A25" s="597" t="s">
        <v>95</v>
      </c>
      <c r="B25" s="454" t="s">
        <v>14</v>
      </c>
      <c r="C25" s="495">
        <f>'Exh D Captl Projects State Fed'!C25+'Exh D Captl Projects State Fed'!M25</f>
        <v>433</v>
      </c>
      <c r="D25" s="649"/>
      <c r="E25" s="495">
        <f>'Exh D Captl Projects State Fed'!E25+'Exh D Captl Projects State Fed'!O25</f>
        <v>218</v>
      </c>
      <c r="F25" s="467"/>
      <c r="G25" s="480">
        <f>+'Exh D Captl Projects State Fed'!G25+'Exh D Captl Projects State Fed'!Q25</f>
        <v>0</v>
      </c>
      <c r="H25" s="467"/>
      <c r="I25" s="467">
        <v>0</v>
      </c>
      <c r="J25" s="467"/>
      <c r="K25" s="480">
        <f t="shared" si="2"/>
        <v>0</v>
      </c>
      <c r="L25" s="467"/>
      <c r="M25" s="467">
        <f t="shared" si="0"/>
        <v>-433</v>
      </c>
      <c r="O25" s="467">
        <f t="shared" si="1"/>
        <v>-218</v>
      </c>
    </row>
    <row r="26" spans="1:34">
      <c r="A26" s="597" t="s">
        <v>46</v>
      </c>
      <c r="B26" s="454" t="s">
        <v>14</v>
      </c>
      <c r="C26" s="495">
        <f>'Exh D Captl Projects State Fed'!C26+'Exh D Captl Projects State Fed'!M26</f>
        <v>4740</v>
      </c>
      <c r="D26" s="467"/>
      <c r="E26" s="495">
        <f>'Exh D Captl Projects State Fed'!E26+'Exh D Captl Projects State Fed'!O26</f>
        <v>4845</v>
      </c>
      <c r="F26" s="467"/>
      <c r="G26" s="493">
        <f>+'Exh D Captl Projects State Fed'!G26+'Exh D Captl Projects State Fed'!Q26</f>
        <v>5062.1000000000004</v>
      </c>
      <c r="H26" s="467"/>
      <c r="I26" s="467">
        <f>'Exhibit I'!AC93</f>
        <v>0</v>
      </c>
      <c r="J26" s="467"/>
      <c r="K26" s="1075">
        <f t="shared" si="2"/>
        <v>5062.1000000000004</v>
      </c>
      <c r="L26" s="467"/>
      <c r="M26" s="467">
        <f t="shared" si="0"/>
        <v>322.10000000000002</v>
      </c>
      <c r="O26" s="467">
        <f t="shared" si="1"/>
        <v>217.1</v>
      </c>
    </row>
    <row r="27" spans="1:34" ht="18" customHeight="1">
      <c r="A27" s="117" t="s">
        <v>106</v>
      </c>
      <c r="B27" s="100" t="s">
        <v>14</v>
      </c>
      <c r="C27" s="1172">
        <f>ROUND(SUM(C20:C26),1)</f>
        <v>18840</v>
      </c>
      <c r="D27" s="42"/>
      <c r="E27" s="1172">
        <f>ROUND(SUM(E20:E26),1)</f>
        <v>17635</v>
      </c>
      <c r="F27" s="42"/>
      <c r="G27" s="142">
        <f>ROUND(SUM(G20:G26),1)</f>
        <v>15206.1</v>
      </c>
      <c r="H27" s="42"/>
      <c r="I27" s="1013">
        <f>ROUND(SUM(I20:I26),1)</f>
        <v>0</v>
      </c>
      <c r="J27" s="42"/>
      <c r="K27" s="1013">
        <f>ROUND(SUM(K20:K26),1)</f>
        <v>15206.1</v>
      </c>
      <c r="L27" s="42"/>
      <c r="M27" s="142">
        <f>ROUND(SUM(M20:M26),1)</f>
        <v>-3633.9</v>
      </c>
      <c r="O27" s="142">
        <f>ROUND(SUM(O20:O26),1)</f>
        <v>-2428.9</v>
      </c>
    </row>
    <row r="28" spans="1:34">
      <c r="B28" s="454" t="s">
        <v>14</v>
      </c>
      <c r="C28" s="1170"/>
      <c r="D28" s="467"/>
      <c r="E28" s="1170"/>
      <c r="F28" s="467"/>
      <c r="G28" s="497"/>
      <c r="H28" s="467"/>
      <c r="I28" s="467"/>
      <c r="J28" s="467"/>
      <c r="K28" s="467"/>
      <c r="L28" s="467"/>
      <c r="M28" s="497" t="s">
        <v>14</v>
      </c>
      <c r="O28" s="497" t="s">
        <v>14</v>
      </c>
    </row>
    <row r="29" spans="1:34">
      <c r="A29" s="19" t="s">
        <v>22</v>
      </c>
      <c r="B29" s="454" t="s">
        <v>14</v>
      </c>
      <c r="C29" s="467"/>
      <c r="D29" s="467"/>
      <c r="E29" s="467"/>
      <c r="F29" s="467"/>
      <c r="G29" s="467"/>
      <c r="H29" s="467"/>
      <c r="I29" s="467"/>
      <c r="J29" s="467"/>
      <c r="K29" s="467"/>
      <c r="L29" s="467"/>
      <c r="M29" s="467"/>
      <c r="O29" s="467"/>
    </row>
    <row r="30" spans="1:34">
      <c r="A30" s="597" t="s">
        <v>91</v>
      </c>
      <c r="B30" s="454" t="s">
        <v>14</v>
      </c>
      <c r="C30" s="495">
        <f>'Exh D Captl Projects State Fed'!C30+'Exh D Captl Projects State Fed'!M30</f>
        <v>5528</v>
      </c>
      <c r="D30" s="467"/>
      <c r="E30" s="495">
        <f>'Exh D Captl Projects State Fed'!E30+'Exh D Captl Projects State Fed'!O30</f>
        <v>4780</v>
      </c>
      <c r="F30" s="467"/>
      <c r="G30" s="467">
        <f>+'Exh D Captl Projects State Fed'!G30+'Exh D Captl Projects State Fed'!Q30</f>
        <v>5811.8</v>
      </c>
      <c r="H30" s="467"/>
      <c r="I30" s="467">
        <v>0</v>
      </c>
      <c r="J30" s="467"/>
      <c r="K30" s="1075">
        <f>+G30+I30</f>
        <v>5811.8</v>
      </c>
      <c r="L30" s="467"/>
      <c r="M30" s="467">
        <f t="shared" ref="M30:M32" si="3">ROUND(SUM(K30)-SUM(C30),1)</f>
        <v>283.8</v>
      </c>
      <c r="O30" s="467">
        <f>ROUND(SUM(K30)-SUM(E30),1)</f>
        <v>1031.8</v>
      </c>
    </row>
    <row r="31" spans="1:34">
      <c r="A31" s="597" t="s">
        <v>41</v>
      </c>
      <c r="B31" s="454" t="s">
        <v>14</v>
      </c>
      <c r="C31" s="495">
        <f>'Exh D Captl Projects State Fed'!C31+'Exh D Captl Projects State Fed'!M31</f>
        <v>11832</v>
      </c>
      <c r="D31" s="649"/>
      <c r="E31" s="495">
        <f>'Exh D Captl Projects State Fed'!E31+'Exh D Captl Projects State Fed'!O31</f>
        <v>11157</v>
      </c>
      <c r="F31" s="467"/>
      <c r="G31" s="467">
        <f>+'Exh D Captl Projects State Fed'!G31+'Exh D Captl Projects State Fed'!Q31</f>
        <v>8212.2000000000007</v>
      </c>
      <c r="H31" s="467"/>
      <c r="I31" s="467">
        <v>0</v>
      </c>
      <c r="J31" s="467"/>
      <c r="K31" s="1075">
        <f>+G31+I31</f>
        <v>8212.2000000000007</v>
      </c>
      <c r="L31" s="467"/>
      <c r="M31" s="467">
        <f t="shared" si="3"/>
        <v>-3619.8</v>
      </c>
      <c r="O31" s="467">
        <f>ROUND(SUM(K31)-SUM(E31),1)</f>
        <v>-2944.8</v>
      </c>
    </row>
    <row r="32" spans="1:34">
      <c r="A32" s="597" t="s">
        <v>96</v>
      </c>
      <c r="B32" s="454" t="s">
        <v>14</v>
      </c>
      <c r="C32" s="495">
        <f>'Exh D Captl Projects State Fed'!C32+'Exh D Captl Projects State Fed'!M32</f>
        <v>1291</v>
      </c>
      <c r="D32" s="467"/>
      <c r="E32" s="495">
        <f>'Exh D Captl Projects State Fed'!E32+'Exh D Captl Projects State Fed'!O32</f>
        <v>1251</v>
      </c>
      <c r="F32" s="467"/>
      <c r="G32" s="467">
        <f>+'Exh D Captl Projects State Fed'!G32+'Exh D Captl Projects State Fed'!Q32</f>
        <v>1232.7</v>
      </c>
      <c r="H32" s="467"/>
      <c r="I32" s="467">
        <f>-'Exhibit I'!AC94</f>
        <v>0</v>
      </c>
      <c r="J32" s="467"/>
      <c r="K32" s="1075">
        <f>+G32+I32</f>
        <v>1232.7</v>
      </c>
      <c r="L32" s="467"/>
      <c r="M32" s="467">
        <f t="shared" si="3"/>
        <v>-58.3</v>
      </c>
      <c r="O32" s="467">
        <f>ROUND(SUM(K32)-SUM(E32),1)</f>
        <v>-18.3</v>
      </c>
    </row>
    <row r="33" spans="1:34" ht="18" customHeight="1">
      <c r="A33" s="117" t="s">
        <v>115</v>
      </c>
      <c r="B33" s="100" t="s">
        <v>14</v>
      </c>
      <c r="C33" s="1172">
        <f>ROUND(SUM(C30:C32),1)</f>
        <v>18651</v>
      </c>
      <c r="D33" s="42"/>
      <c r="E33" s="1172">
        <f>ROUND(SUM(E30:E32),1)</f>
        <v>17188</v>
      </c>
      <c r="F33" s="42"/>
      <c r="G33" s="142">
        <f>ROUND(SUM(G30:G32),1)</f>
        <v>15256.7</v>
      </c>
      <c r="H33" s="42"/>
      <c r="I33" s="1013">
        <f>ROUND(SUM(I30:I32),1)</f>
        <v>0</v>
      </c>
      <c r="J33" s="42"/>
      <c r="K33" s="1013">
        <f>ROUND(SUM(K30:K32),1)</f>
        <v>15256.7</v>
      </c>
      <c r="L33" s="42"/>
      <c r="M33" s="142">
        <f>ROUND(SUM(M30:M32),1)</f>
        <v>-3394.3</v>
      </c>
      <c r="O33" s="142">
        <f>ROUND(SUM(O30:O32),1)</f>
        <v>-1931.3</v>
      </c>
    </row>
    <row r="34" spans="1:34">
      <c r="B34" s="454" t="s">
        <v>14</v>
      </c>
      <c r="C34" s="1170"/>
      <c r="D34" s="467"/>
      <c r="E34" s="1170"/>
      <c r="F34" s="467"/>
      <c r="G34" s="497"/>
      <c r="H34" s="467"/>
      <c r="I34" s="467"/>
      <c r="J34" s="467"/>
      <c r="K34" s="467"/>
      <c r="L34" s="467"/>
      <c r="M34" s="497"/>
      <c r="O34" s="497"/>
    </row>
    <row r="35" spans="1:34">
      <c r="A35" s="19" t="s">
        <v>98</v>
      </c>
      <c r="C35" s="467"/>
      <c r="D35" s="467"/>
      <c r="E35" s="467"/>
      <c r="F35" s="467"/>
      <c r="G35" s="467"/>
      <c r="H35" s="467"/>
      <c r="I35" s="467"/>
      <c r="J35" s="467"/>
      <c r="K35" s="467"/>
      <c r="L35" s="467"/>
      <c r="M35" s="467"/>
      <c r="O35" s="467"/>
    </row>
    <row r="36" spans="1:34">
      <c r="A36" s="19" t="s">
        <v>99</v>
      </c>
      <c r="C36" s="467"/>
      <c r="D36" s="467"/>
      <c r="E36" s="467"/>
      <c r="F36" s="467"/>
      <c r="G36" s="467"/>
      <c r="H36" s="467"/>
      <c r="I36" s="467"/>
      <c r="J36" s="467"/>
      <c r="K36" s="467"/>
      <c r="L36" s="467"/>
      <c r="M36" s="467"/>
      <c r="O36" s="467"/>
    </row>
    <row r="37" spans="1:34">
      <c r="A37" s="117" t="s">
        <v>100</v>
      </c>
      <c r="B37" s="118"/>
      <c r="C37" s="42">
        <f>ROUND(SUM(C27)-SUM(C33),1)</f>
        <v>189</v>
      </c>
      <c r="D37" s="42"/>
      <c r="E37" s="42">
        <f>ROUND(SUM(E27)-SUM(E33),1)</f>
        <v>447</v>
      </c>
      <c r="F37" s="57"/>
      <c r="G37" s="42">
        <f>ROUND(SUM(G27)-SUM(G33),1)</f>
        <v>-50.6</v>
      </c>
      <c r="H37" s="57"/>
      <c r="I37" s="57">
        <v>0</v>
      </c>
      <c r="J37" s="57"/>
      <c r="K37" s="42">
        <f>ROUND(SUM(K27)-SUM(K33),1)</f>
        <v>-50.6</v>
      </c>
      <c r="L37" s="57"/>
      <c r="M37" s="42">
        <f>ROUND(SUM(M27)-SUM(M33),1)</f>
        <v>-239.6</v>
      </c>
      <c r="O37" s="42">
        <f>ROUND(SUM(O27)-SUM(O33),1)</f>
        <v>-497.6</v>
      </c>
    </row>
    <row r="38" spans="1:34">
      <c r="C38" s="467"/>
      <c r="D38" s="42"/>
      <c r="E38" s="467"/>
      <c r="F38" s="467"/>
      <c r="G38" s="467"/>
      <c r="H38" s="467"/>
      <c r="I38" s="467"/>
      <c r="J38" s="467"/>
      <c r="K38" s="467"/>
      <c r="L38" s="467"/>
      <c r="M38" s="467"/>
      <c r="O38" s="467"/>
    </row>
    <row r="39" spans="1:34">
      <c r="A39" s="117" t="str">
        <f>+'Exh D-Governmental  '!A49</f>
        <v>Fund Balances (Deficits) at April 1</v>
      </c>
      <c r="B39" s="675" t="s">
        <v>14</v>
      </c>
      <c r="C39" s="83">
        <v>-1544</v>
      </c>
      <c r="D39" s="42"/>
      <c r="E39" s="83">
        <v>-1544</v>
      </c>
      <c r="F39" s="467"/>
      <c r="G39" s="42">
        <f>'Exhibit I'!E15</f>
        <v>-1543.9</v>
      </c>
      <c r="H39" s="467"/>
      <c r="I39" s="42">
        <v>0</v>
      </c>
      <c r="J39" s="467"/>
      <c r="K39" s="1174">
        <f>+G39+I39</f>
        <v>-1543.9</v>
      </c>
      <c r="L39" s="467"/>
      <c r="M39" s="42">
        <f t="shared" ref="M39" si="4">ROUND(SUM(K39)-SUM(C39),1)</f>
        <v>0.1</v>
      </c>
      <c r="O39" s="693">
        <f>ROUND(SUM(K39)-SUM(E39),1)</f>
        <v>0.1</v>
      </c>
      <c r="T39" s="454"/>
      <c r="U39" s="454"/>
      <c r="V39" s="454"/>
      <c r="W39" s="454"/>
      <c r="X39" s="454"/>
      <c r="Y39" s="454"/>
      <c r="Z39" s="454"/>
      <c r="AA39" s="454"/>
      <c r="AB39" s="454"/>
      <c r="AC39" s="454"/>
      <c r="AD39" s="454"/>
      <c r="AE39" s="454"/>
      <c r="AF39" s="454"/>
      <c r="AG39" s="454"/>
      <c r="AH39" s="454"/>
    </row>
    <row r="40" spans="1:34" ht="16" thickBot="1">
      <c r="A40" s="117" t="str">
        <f>+'Exh D-Governmental  '!A50</f>
        <v xml:space="preserve">Fund Balances (Deficits) at March 31, 2023 </v>
      </c>
      <c r="B40" s="120" t="s">
        <v>14</v>
      </c>
      <c r="C40" s="69">
        <f>ROUND(SUM(C37:C39),1)</f>
        <v>-1355</v>
      </c>
      <c r="D40" s="65"/>
      <c r="E40" s="69">
        <f>ROUND(SUM(E37:E39),1)</f>
        <v>-1097</v>
      </c>
      <c r="F40" s="121"/>
      <c r="G40" s="69">
        <f>ROUND(SUM(G37:G39),1)</f>
        <v>-1594.5</v>
      </c>
      <c r="H40" s="121"/>
      <c r="I40" s="69">
        <f>ROUND(SUM(I37:I39),1)</f>
        <v>0</v>
      </c>
      <c r="J40" s="121"/>
      <c r="K40" s="69">
        <f>ROUND(SUM(K37:K39),1)</f>
        <v>-1594.5</v>
      </c>
      <c r="L40" s="121"/>
      <c r="M40" s="69">
        <f>ROUND(SUM(M37:M39),1)</f>
        <v>-239.5</v>
      </c>
      <c r="O40" s="69">
        <f>ROUND(SUM(O37:O39),1)</f>
        <v>-497.5</v>
      </c>
      <c r="T40" s="454"/>
      <c r="U40" s="454"/>
      <c r="V40" s="454"/>
      <c r="W40" s="454"/>
      <c r="X40" s="454"/>
      <c r="Y40" s="454"/>
      <c r="Z40" s="454"/>
      <c r="AA40" s="454"/>
      <c r="AB40" s="454"/>
      <c r="AC40" s="454"/>
      <c r="AD40" s="454"/>
      <c r="AE40" s="454"/>
      <c r="AF40" s="454"/>
      <c r="AG40" s="454"/>
      <c r="AH40" s="454"/>
    </row>
    <row r="41" spans="1:34" ht="16" thickTop="1">
      <c r="C41" s="454"/>
      <c r="E41" s="454"/>
      <c r="G41" s="472"/>
    </row>
    <row r="42" spans="1:34">
      <c r="A42" s="1315" t="str">
        <f>'Exh D-Governmental  '!A52</f>
        <v>(*)    Source: 2022-23 Enacted Financial Plan dated May 20, 2022.</v>
      </c>
    </row>
    <row r="43" spans="1:34">
      <c r="A43" s="1315" t="str">
        <f>'Exh D-Governmental  '!A53</f>
        <v>(**)   Source: 2023-24 Executive Budget with 30-day amendments dated March 3, 2023.</v>
      </c>
      <c r="G43" s="671"/>
      <c r="M43" s="671"/>
      <c r="O43" s="683"/>
    </row>
    <row r="44" spans="1:34">
      <c r="A44" s="597"/>
    </row>
    <row r="45" spans="1:34">
      <c r="A45" s="597"/>
    </row>
    <row r="46" spans="1:34">
      <c r="A46" s="739"/>
    </row>
    <row r="47" spans="1:34">
      <c r="A47" s="123"/>
    </row>
  </sheetData>
  <mergeCells count="1">
    <mergeCell ref="A5:E5"/>
  </mergeCells>
  <printOptions horizontalCentered="1"/>
  <pageMargins left="0.7" right="0.7" top="0.75" bottom="0.75" header="0.3" footer="0.3"/>
  <pageSetup scale="60" firstPageNumber="14"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workbookViewId="0"/>
  </sheetViews>
  <sheetFormatPr defaultColWidth="8.84375" defaultRowHeight="15.5"/>
  <cols>
    <col min="1" max="1" width="51.84375" style="499" customWidth="1"/>
    <col min="2" max="2" width="2.07421875" style="454" customWidth="1"/>
    <col min="3" max="3" width="15.84375" style="301" customWidth="1"/>
    <col min="4" max="4" width="1.07421875" style="454" customWidth="1"/>
    <col min="5" max="5" width="15.84375" style="301" customWidth="1"/>
    <col min="6" max="6" width="1.07421875" style="454" customWidth="1"/>
    <col min="7" max="7" width="15.84375" style="454" customWidth="1"/>
    <col min="8" max="8" width="0.84375" style="454" customWidth="1"/>
    <col min="9" max="9" width="19.4609375" style="454" customWidth="1"/>
    <col min="10" max="10" width="1.07421875" style="454" customWidth="1"/>
    <col min="11" max="11" width="19.4609375" style="454" customWidth="1"/>
    <col min="12" max="12" width="1.07421875" style="454" customWidth="1"/>
    <col min="13" max="13" width="15.84375" style="454" customWidth="1"/>
    <col min="14" max="14" width="1.07421875" style="454" customWidth="1"/>
    <col min="15" max="15" width="15.84375" style="454" customWidth="1"/>
    <col min="16" max="16" width="1.07421875" style="454" customWidth="1"/>
    <col min="17" max="17" width="15.84375" style="454" customWidth="1"/>
    <col min="18" max="18" width="1.07421875" style="454" customWidth="1"/>
    <col min="19" max="19" width="15.84375" style="454" customWidth="1"/>
    <col min="20" max="20" width="1.84375" style="454" customWidth="1"/>
    <col min="21" max="21" width="15.84375" style="301" customWidth="1"/>
    <col min="22" max="22" width="0.84375" style="454" customWidth="1"/>
    <col min="23" max="23" width="15.84375" style="301" customWidth="1"/>
    <col min="24" max="24" width="1.07421875" style="454" customWidth="1"/>
    <col min="25" max="25" width="15.84375" style="454" customWidth="1"/>
    <col min="26" max="26" width="1" style="454" customWidth="1"/>
    <col min="27" max="27" width="15.84375" style="454" customWidth="1"/>
    <col min="28" max="28" width="3.84375" style="454" bestFit="1" customWidth="1"/>
    <col min="29" max="33" width="8.84375" style="454"/>
    <col min="34" max="16384" width="8.84375" style="499"/>
  </cols>
  <sheetData>
    <row r="1" spans="1:48">
      <c r="A1" s="677" t="s">
        <v>868</v>
      </c>
    </row>
    <row r="2" spans="1:48" ht="16.5">
      <c r="A2" s="125"/>
      <c r="B2" s="126"/>
      <c r="C2" s="297"/>
      <c r="D2" s="126"/>
      <c r="E2" s="297"/>
      <c r="F2" s="126"/>
      <c r="G2" s="126"/>
      <c r="H2" s="126"/>
      <c r="I2" s="126"/>
      <c r="J2" s="126"/>
      <c r="K2" s="126"/>
      <c r="L2" s="126"/>
      <c r="M2" s="126"/>
      <c r="N2" s="126"/>
      <c r="O2" s="126"/>
      <c r="P2" s="126"/>
      <c r="Q2" s="126"/>
      <c r="R2" s="126"/>
      <c r="S2" s="126"/>
      <c r="T2" s="126"/>
      <c r="U2" s="297"/>
      <c r="V2" s="126"/>
      <c r="W2" s="297"/>
      <c r="X2" s="126"/>
      <c r="Y2" s="126"/>
      <c r="Z2" s="126"/>
      <c r="AA2" s="126"/>
    </row>
    <row r="3" spans="1:48" ht="20.25" customHeight="1">
      <c r="A3" s="128" t="s">
        <v>0</v>
      </c>
      <c r="B3" s="94"/>
      <c r="C3" s="298"/>
      <c r="D3" s="94"/>
      <c r="E3" s="298"/>
      <c r="F3" s="94"/>
      <c r="G3" s="94"/>
      <c r="H3" s="94"/>
      <c r="I3" s="94"/>
      <c r="J3" s="94"/>
      <c r="K3" s="94"/>
      <c r="L3" s="94"/>
      <c r="M3" s="94"/>
      <c r="N3" s="94"/>
      <c r="O3" s="94"/>
      <c r="P3" s="94"/>
      <c r="Q3" s="94"/>
      <c r="R3" s="94"/>
      <c r="S3" s="598"/>
      <c r="T3" s="94"/>
      <c r="U3" s="598" t="s">
        <v>81</v>
      </c>
      <c r="V3" s="94"/>
      <c r="W3" s="298"/>
      <c r="X3" s="94"/>
      <c r="Y3" s="94"/>
      <c r="Z3" s="94"/>
      <c r="AA3" s="598"/>
    </row>
    <row r="4" spans="1:48" ht="20.25" customHeight="1">
      <c r="A4" s="128" t="s">
        <v>1085</v>
      </c>
      <c r="B4" s="94"/>
      <c r="C4" s="298"/>
      <c r="D4" s="94"/>
      <c r="E4" s="298"/>
      <c r="F4" s="94"/>
      <c r="G4" s="94"/>
      <c r="H4" s="94"/>
      <c r="I4" s="94"/>
      <c r="J4" s="94"/>
      <c r="K4" s="94"/>
      <c r="L4" s="94"/>
      <c r="M4" s="94"/>
      <c r="N4" s="94"/>
      <c r="O4" s="94"/>
      <c r="P4" s="94"/>
      <c r="Q4" s="94"/>
      <c r="R4" s="94"/>
      <c r="S4" s="599"/>
      <c r="T4" s="94"/>
      <c r="U4" s="599"/>
      <c r="V4" s="94"/>
      <c r="W4" s="298"/>
      <c r="X4" s="94"/>
      <c r="Y4" s="94"/>
      <c r="Z4" s="94"/>
      <c r="AA4" s="599"/>
    </row>
    <row r="5" spans="1:48" ht="20.25" customHeight="1">
      <c r="A5" s="2309" t="str">
        <f>'Exh D-Governmental  '!A5:E5</f>
        <v>FISCAL YEAR 2022-2023</v>
      </c>
      <c r="B5" s="2310"/>
      <c r="C5" s="2310"/>
      <c r="D5" s="2310"/>
      <c r="E5" s="2310"/>
      <c r="F5" s="94"/>
      <c r="G5" s="94"/>
      <c r="H5" s="94"/>
      <c r="I5" s="94"/>
      <c r="J5" s="94"/>
      <c r="K5" s="94"/>
      <c r="L5" s="94"/>
      <c r="M5" s="94"/>
      <c r="N5" s="94"/>
      <c r="O5" s="94"/>
      <c r="P5" s="94"/>
      <c r="Q5" s="94"/>
      <c r="R5" s="94"/>
      <c r="S5" s="94"/>
      <c r="T5" s="94"/>
      <c r="U5" s="298"/>
      <c r="V5" s="94"/>
      <c r="W5" s="298"/>
      <c r="X5" s="94"/>
      <c r="Y5" s="94"/>
      <c r="Z5" s="94"/>
      <c r="AA5" s="94"/>
    </row>
    <row r="6" spans="1:48" ht="20.25" customHeight="1">
      <c r="A6" s="974" t="str">
        <f>'Exh D-Governmental  '!A6</f>
        <v xml:space="preserve">FOR TWELVE MONTHS ENDED MARCH 31, 2023    </v>
      </c>
      <c r="B6" s="94"/>
      <c r="C6" s="298"/>
      <c r="D6" s="94"/>
      <c r="E6" s="298"/>
      <c r="F6" s="94"/>
      <c r="G6" s="94"/>
      <c r="H6" s="94"/>
      <c r="I6" s="94"/>
      <c r="J6" s="94"/>
      <c r="K6" s="94"/>
      <c r="L6" s="94"/>
      <c r="M6" s="94"/>
      <c r="N6" s="94"/>
      <c r="O6" s="94"/>
      <c r="P6" s="94"/>
      <c r="Q6" s="94"/>
      <c r="R6" s="94"/>
      <c r="S6" s="94"/>
      <c r="T6" s="94"/>
      <c r="U6" s="298"/>
      <c r="V6" s="94"/>
      <c r="W6" s="298"/>
      <c r="X6" s="94"/>
      <c r="Y6" s="94"/>
      <c r="Z6" s="94"/>
      <c r="AA6" s="94"/>
      <c r="AB6" s="94"/>
      <c r="AC6" s="94"/>
      <c r="AD6" s="94"/>
      <c r="AE6" s="94"/>
      <c r="AF6" s="94"/>
      <c r="AG6" s="94"/>
      <c r="AH6" s="94"/>
      <c r="AI6" s="94"/>
      <c r="AJ6" s="94"/>
      <c r="AK6" s="94"/>
      <c r="AL6" s="94"/>
      <c r="AM6" s="94"/>
      <c r="AN6" s="94"/>
      <c r="AO6" s="94"/>
      <c r="AP6" s="94"/>
      <c r="AQ6" s="454"/>
      <c r="AR6" s="454"/>
      <c r="AS6" s="454"/>
      <c r="AT6" s="454"/>
      <c r="AU6" s="454"/>
      <c r="AV6" s="454"/>
    </row>
    <row r="7" spans="1:48" ht="20.25" customHeight="1">
      <c r="A7" s="128" t="s">
        <v>1248</v>
      </c>
      <c r="B7" s="94"/>
      <c r="C7" s="298"/>
      <c r="D7" s="94"/>
      <c r="E7" s="298"/>
      <c r="F7" s="94"/>
      <c r="G7" s="94"/>
      <c r="H7" s="94"/>
      <c r="I7" s="94"/>
      <c r="J7" s="94"/>
      <c r="K7" s="94"/>
      <c r="L7" s="94"/>
      <c r="M7" s="94"/>
      <c r="N7" s="94"/>
      <c r="O7" s="94"/>
      <c r="P7" s="94"/>
      <c r="Q7" s="94"/>
      <c r="R7" s="94"/>
      <c r="S7" s="94"/>
      <c r="T7" s="94"/>
      <c r="U7" s="298"/>
      <c r="V7" s="94"/>
      <c r="W7" s="298"/>
      <c r="X7" s="94"/>
      <c r="Y7" s="94"/>
      <c r="Z7" s="94"/>
      <c r="AA7" s="94"/>
    </row>
    <row r="8" spans="1:48" ht="17.5">
      <c r="A8" s="98"/>
      <c r="B8" s="94"/>
      <c r="C8" s="298"/>
      <c r="D8" s="94"/>
      <c r="E8" s="298"/>
      <c r="F8" s="94"/>
      <c r="G8" s="94"/>
      <c r="H8" s="94"/>
      <c r="I8" s="94"/>
      <c r="J8" s="94"/>
      <c r="K8" s="94"/>
      <c r="L8" s="94"/>
      <c r="M8" s="94"/>
      <c r="N8" s="94"/>
      <c r="O8" s="94"/>
      <c r="P8" s="94"/>
      <c r="Q8" s="94"/>
      <c r="R8" s="94"/>
      <c r="S8" s="94"/>
      <c r="T8" s="94"/>
      <c r="U8" s="298"/>
      <c r="V8" s="94"/>
      <c r="W8" s="298"/>
      <c r="X8" s="94"/>
      <c r="Y8" s="94"/>
      <c r="Z8" s="94"/>
      <c r="AA8" s="94"/>
    </row>
    <row r="9" spans="1:48">
      <c r="A9" s="99"/>
      <c r="B9" s="94"/>
      <c r="C9" s="298"/>
      <c r="D9" s="94"/>
      <c r="E9" s="298"/>
      <c r="F9" s="94"/>
      <c r="G9" s="94"/>
      <c r="H9" s="94"/>
      <c r="I9" s="94"/>
      <c r="J9" s="94"/>
      <c r="K9" s="94"/>
      <c r="L9" s="94"/>
      <c r="M9" s="94"/>
      <c r="N9" s="94"/>
      <c r="O9" s="94"/>
      <c r="P9" s="94"/>
      <c r="Q9" s="94"/>
      <c r="R9" s="94"/>
      <c r="S9" s="94"/>
      <c r="T9" s="94"/>
      <c r="U9" s="298"/>
      <c r="V9" s="94"/>
      <c r="W9" s="298"/>
      <c r="X9" s="94"/>
      <c r="Y9" s="94"/>
      <c r="Z9" s="94"/>
      <c r="AA9" s="94"/>
    </row>
    <row r="10" spans="1:48">
      <c r="A10" s="99"/>
      <c r="B10" s="94"/>
      <c r="C10" s="298"/>
      <c r="D10" s="94"/>
      <c r="E10" s="298"/>
      <c r="F10" s="94"/>
      <c r="G10" s="94"/>
      <c r="H10" s="94"/>
      <c r="I10" s="94"/>
      <c r="J10" s="94"/>
      <c r="K10" s="94"/>
      <c r="L10" s="94"/>
      <c r="M10" s="298"/>
      <c r="N10" s="94"/>
      <c r="O10" s="298"/>
      <c r="P10" s="94"/>
      <c r="Q10" s="94"/>
      <c r="R10" s="94"/>
      <c r="S10" s="94"/>
      <c r="T10" s="94"/>
      <c r="U10" s="298"/>
      <c r="V10" s="94"/>
      <c r="W10" s="298"/>
      <c r="X10" s="94"/>
      <c r="Y10" s="94"/>
      <c r="Z10" s="94"/>
      <c r="AA10" s="94"/>
    </row>
    <row r="11" spans="1:48">
      <c r="B11" s="100"/>
      <c r="C11" s="2305" t="s">
        <v>1029</v>
      </c>
      <c r="D11" s="2305"/>
      <c r="E11" s="2305"/>
      <c r="F11" s="2305"/>
      <c r="G11" s="2305"/>
      <c r="H11" s="2305"/>
      <c r="I11" s="2305"/>
      <c r="J11" s="554"/>
      <c r="K11" s="554"/>
      <c r="L11" s="130"/>
      <c r="M11" s="2305" t="s">
        <v>1030</v>
      </c>
      <c r="N11" s="2305"/>
      <c r="O11" s="2305"/>
      <c r="P11" s="2305"/>
      <c r="Q11" s="2305"/>
      <c r="R11" s="2305"/>
      <c r="S11" s="2305"/>
      <c r="T11" s="808"/>
      <c r="U11" s="554"/>
      <c r="V11" s="554"/>
      <c r="W11" s="132"/>
      <c r="X11" s="132"/>
      <c r="Y11" s="132"/>
      <c r="Z11" s="132"/>
      <c r="AA11" s="132"/>
    </row>
    <row r="12" spans="1:48">
      <c r="B12" s="100"/>
      <c r="C12" s="300"/>
      <c r="D12" s="100"/>
      <c r="E12" s="300"/>
      <c r="F12" s="100"/>
      <c r="G12" s="100"/>
      <c r="H12" s="100"/>
      <c r="I12" s="132" t="s">
        <v>82</v>
      </c>
      <c r="J12" s="132"/>
      <c r="K12" s="132" t="s">
        <v>82</v>
      </c>
      <c r="L12" s="678"/>
      <c r="M12" s="300"/>
      <c r="N12" s="100"/>
      <c r="O12" s="300"/>
      <c r="P12" s="100"/>
      <c r="Q12" s="100"/>
      <c r="R12" s="100"/>
      <c r="S12" s="132" t="s">
        <v>82</v>
      </c>
      <c r="T12" s="100"/>
      <c r="U12" s="132" t="s">
        <v>82</v>
      </c>
      <c r="V12" s="100"/>
      <c r="W12" s="300"/>
      <c r="X12" s="100"/>
      <c r="Y12" s="100"/>
      <c r="Z12" s="100"/>
      <c r="AA12" s="132"/>
    </row>
    <row r="13" spans="1:48">
      <c r="B13" s="100"/>
      <c r="C13" s="300"/>
      <c r="D13" s="100"/>
      <c r="E13" s="300"/>
      <c r="F13" s="100"/>
      <c r="G13" s="100"/>
      <c r="H13" s="100"/>
      <c r="I13" s="101" t="s">
        <v>783</v>
      </c>
      <c r="J13" s="101"/>
      <c r="K13" s="101" t="s">
        <v>783</v>
      </c>
      <c r="L13" s="678"/>
      <c r="M13" s="300"/>
      <c r="N13" s="100"/>
      <c r="O13" s="300"/>
      <c r="P13" s="100"/>
      <c r="Q13" s="100"/>
      <c r="R13" s="100"/>
      <c r="S13" s="101" t="s">
        <v>783</v>
      </c>
      <c r="T13" s="100"/>
      <c r="U13" s="101" t="s">
        <v>783</v>
      </c>
      <c r="V13" s="100"/>
      <c r="W13" s="300"/>
      <c r="X13" s="100"/>
      <c r="Y13" s="100"/>
      <c r="Z13" s="100"/>
      <c r="AA13" s="101"/>
    </row>
    <row r="14" spans="1:48" ht="15.75" customHeight="1">
      <c r="B14" s="100"/>
      <c r="C14" s="102" t="s">
        <v>975</v>
      </c>
      <c r="D14" s="499"/>
      <c r="E14" s="102" t="s">
        <v>976</v>
      </c>
      <c r="F14" s="100"/>
      <c r="G14" s="100"/>
      <c r="H14" s="100"/>
      <c r="I14" s="101" t="s">
        <v>83</v>
      </c>
      <c r="J14" s="101"/>
      <c r="K14" s="101" t="s">
        <v>83</v>
      </c>
      <c r="L14" s="678"/>
      <c r="M14" s="102" t="s">
        <v>975</v>
      </c>
      <c r="N14" s="499"/>
      <c r="O14" s="102" t="s">
        <v>976</v>
      </c>
      <c r="P14" s="100"/>
      <c r="Q14" s="100"/>
      <c r="R14" s="100"/>
      <c r="S14" s="101" t="s">
        <v>83</v>
      </c>
      <c r="T14" s="134"/>
      <c r="U14" s="101" t="s">
        <v>83</v>
      </c>
      <c r="V14" s="499"/>
      <c r="W14" s="102"/>
      <c r="X14" s="100"/>
      <c r="Y14" s="100"/>
      <c r="Z14" s="100"/>
      <c r="AA14" s="101"/>
    </row>
    <row r="15" spans="1:48" ht="15.75" customHeight="1">
      <c r="B15" s="100"/>
      <c r="C15" s="101" t="s">
        <v>1011</v>
      </c>
      <c r="D15" s="100"/>
      <c r="E15" s="101" t="s">
        <v>1011</v>
      </c>
      <c r="F15" s="100"/>
      <c r="G15" s="100"/>
      <c r="H15" s="100"/>
      <c r="I15" s="101" t="s">
        <v>975</v>
      </c>
      <c r="J15" s="102"/>
      <c r="K15" s="102" t="s">
        <v>976</v>
      </c>
      <c r="L15" s="692"/>
      <c r="M15" s="101" t="s">
        <v>1011</v>
      </c>
      <c r="N15" s="100"/>
      <c r="O15" s="101" t="s">
        <v>1011</v>
      </c>
      <c r="P15" s="100"/>
      <c r="Q15" s="100"/>
      <c r="R15" s="100"/>
      <c r="S15" s="101" t="s">
        <v>975</v>
      </c>
      <c r="T15" s="134"/>
      <c r="U15" s="102" t="s">
        <v>976</v>
      </c>
      <c r="V15" s="100"/>
      <c r="W15" s="101"/>
      <c r="X15" s="100"/>
      <c r="Y15" s="100"/>
      <c r="Z15" s="100"/>
      <c r="AA15" s="102"/>
    </row>
    <row r="16" spans="1:48">
      <c r="B16" s="100"/>
      <c r="C16" s="101" t="s">
        <v>1012</v>
      </c>
      <c r="D16" s="100"/>
      <c r="E16" s="101" t="s">
        <v>1508</v>
      </c>
      <c r="F16" s="100"/>
      <c r="G16" s="102" t="s">
        <v>82</v>
      </c>
      <c r="H16" s="100"/>
      <c r="I16" s="101" t="s">
        <v>84</v>
      </c>
      <c r="J16" s="101"/>
      <c r="K16" s="101" t="s">
        <v>84</v>
      </c>
      <c r="L16" s="678"/>
      <c r="M16" s="101" t="s">
        <v>1012</v>
      </c>
      <c r="N16" s="100"/>
      <c r="O16" s="101" t="s">
        <v>1508</v>
      </c>
      <c r="P16" s="100"/>
      <c r="Q16" s="102" t="s">
        <v>82</v>
      </c>
      <c r="R16" s="100"/>
      <c r="S16" s="101" t="s">
        <v>84</v>
      </c>
      <c r="T16" s="101"/>
      <c r="U16" s="101" t="s">
        <v>84</v>
      </c>
      <c r="V16" s="100"/>
      <c r="W16" s="101"/>
      <c r="X16" s="100"/>
      <c r="Y16" s="102"/>
      <c r="Z16" s="100"/>
      <c r="AA16" s="101"/>
    </row>
    <row r="17" spans="1:48">
      <c r="A17" s="103"/>
      <c r="B17" s="94"/>
      <c r="C17" s="104"/>
      <c r="D17" s="94"/>
      <c r="E17" s="104"/>
      <c r="F17" s="94"/>
      <c r="G17" s="104"/>
      <c r="H17" s="94"/>
      <c r="I17" s="104"/>
      <c r="J17" s="94"/>
      <c r="K17" s="104"/>
      <c r="L17" s="679"/>
      <c r="M17" s="104"/>
      <c r="N17" s="94"/>
      <c r="O17" s="104"/>
      <c r="P17" s="94"/>
      <c r="Q17" s="104"/>
      <c r="R17" s="94"/>
      <c r="S17" s="104"/>
      <c r="T17" s="94"/>
      <c r="U17" s="104"/>
      <c r="V17" s="94"/>
      <c r="W17" s="94"/>
      <c r="X17" s="94"/>
      <c r="Y17" s="94"/>
      <c r="Z17" s="94"/>
      <c r="AA17" s="94"/>
    </row>
    <row r="18" spans="1:48">
      <c r="A18" s="19" t="s">
        <v>13</v>
      </c>
      <c r="C18" s="454"/>
      <c r="E18" s="454"/>
      <c r="G18" s="472" t="s">
        <v>14</v>
      </c>
      <c r="L18" s="680"/>
      <c r="Q18" s="454" t="s">
        <v>14</v>
      </c>
      <c r="U18" s="454"/>
      <c r="W18" s="454"/>
    </row>
    <row r="19" spans="1:48">
      <c r="A19" s="597" t="s">
        <v>85</v>
      </c>
      <c r="B19" s="669" t="s">
        <v>14</v>
      </c>
      <c r="C19" s="479"/>
      <c r="D19" s="481"/>
      <c r="E19" s="479"/>
      <c r="F19" s="481"/>
      <c r="G19" s="479"/>
      <c r="H19" s="481"/>
      <c r="I19" s="479"/>
      <c r="J19" s="479"/>
      <c r="K19" s="479"/>
      <c r="L19" s="684"/>
      <c r="M19" s="479"/>
      <c r="N19" s="479"/>
      <c r="O19" s="479"/>
      <c r="P19" s="479"/>
      <c r="Q19" s="685"/>
      <c r="R19" s="481"/>
      <c r="S19" s="479"/>
      <c r="T19" s="481"/>
      <c r="U19" s="479"/>
      <c r="V19" s="479"/>
      <c r="W19" s="479"/>
      <c r="X19" s="479"/>
      <c r="Y19" s="685"/>
      <c r="Z19" s="481"/>
      <c r="AA19" s="479"/>
      <c r="AH19" s="454"/>
      <c r="AI19" s="454"/>
      <c r="AJ19" s="454"/>
      <c r="AK19" s="454"/>
      <c r="AL19" s="454"/>
      <c r="AM19" s="454"/>
      <c r="AN19" s="454"/>
      <c r="AO19" s="454"/>
      <c r="AP19" s="454"/>
      <c r="AQ19" s="454"/>
      <c r="AR19" s="454"/>
      <c r="AS19" s="454"/>
      <c r="AT19" s="454"/>
      <c r="AU19" s="454"/>
      <c r="AV19" s="454"/>
    </row>
    <row r="20" spans="1:48">
      <c r="A20" s="597" t="s">
        <v>87</v>
      </c>
      <c r="B20" s="454" t="s">
        <v>14</v>
      </c>
      <c r="C20" s="482">
        <v>387</v>
      </c>
      <c r="D20" s="479"/>
      <c r="E20" s="482">
        <v>377</v>
      </c>
      <c r="F20" s="479"/>
      <c r="G20" s="681">
        <f>+'Exhibit I State'!AD22</f>
        <v>376.8</v>
      </c>
      <c r="H20" s="479"/>
      <c r="I20" s="479">
        <f t="shared" ref="I20:I26" si="0">ROUND(SUM(G20)-SUM(C20),1)</f>
        <v>-10.199999999999999</v>
      </c>
      <c r="J20" s="479"/>
      <c r="K20" s="479">
        <f>G20-E20</f>
        <v>-0.19999999999998863</v>
      </c>
      <c r="L20" s="684"/>
      <c r="M20" s="482">
        <v>0</v>
      </c>
      <c r="N20" s="482"/>
      <c r="O20" s="482">
        <v>0</v>
      </c>
      <c r="P20" s="482"/>
      <c r="Q20" s="681">
        <v>0</v>
      </c>
      <c r="R20" s="482"/>
      <c r="S20" s="479">
        <f>Q20-M20</f>
        <v>0</v>
      </c>
      <c r="T20" s="479"/>
      <c r="U20" s="479">
        <f t="shared" ref="U20:U26" si="1">Q20-O20</f>
        <v>0</v>
      </c>
      <c r="V20" s="482"/>
      <c r="W20" s="681"/>
      <c r="X20" s="482"/>
      <c r="Y20" s="681"/>
      <c r="Z20" s="482"/>
      <c r="AA20" s="479"/>
      <c r="AH20" s="454"/>
      <c r="AI20" s="454"/>
      <c r="AJ20" s="454"/>
      <c r="AK20" s="454"/>
      <c r="AL20" s="454"/>
      <c r="AM20" s="454"/>
      <c r="AN20" s="454"/>
      <c r="AO20" s="454"/>
      <c r="AP20" s="454"/>
      <c r="AQ20" s="454"/>
      <c r="AR20" s="454"/>
      <c r="AS20" s="454"/>
      <c r="AT20" s="454"/>
      <c r="AU20" s="454"/>
      <c r="AV20" s="454"/>
    </row>
    <row r="21" spans="1:48">
      <c r="A21" s="597" t="s">
        <v>88</v>
      </c>
      <c r="B21" s="669" t="s">
        <v>14</v>
      </c>
      <c r="C21" s="480">
        <v>630</v>
      </c>
      <c r="D21" s="493"/>
      <c r="E21" s="480">
        <v>612</v>
      </c>
      <c r="F21" s="493"/>
      <c r="G21" s="495">
        <f>+'Exhibit I State'!AD27</f>
        <v>624.6</v>
      </c>
      <c r="H21" s="493"/>
      <c r="I21" s="467">
        <f t="shared" si="0"/>
        <v>-5.4</v>
      </c>
      <c r="J21" s="467"/>
      <c r="K21" s="467">
        <f t="shared" ref="K21:K26" si="2">G21-E21</f>
        <v>12.600000000000023</v>
      </c>
      <c r="L21" s="2205"/>
      <c r="M21" s="480">
        <v>0</v>
      </c>
      <c r="N21" s="480"/>
      <c r="O21" s="480">
        <v>0</v>
      </c>
      <c r="P21" s="480"/>
      <c r="Q21" s="495">
        <v>0</v>
      </c>
      <c r="R21" s="480"/>
      <c r="S21" s="467">
        <f t="shared" ref="S21:S26" si="3">ROUND(SUM(Q21)-SUM(M21),1)</f>
        <v>0</v>
      </c>
      <c r="T21" s="493"/>
      <c r="U21" s="467">
        <f t="shared" si="1"/>
        <v>0</v>
      </c>
      <c r="V21" s="480"/>
      <c r="W21" s="495"/>
      <c r="X21" s="480"/>
      <c r="Y21" s="495"/>
      <c r="Z21" s="480"/>
      <c r="AA21" s="467"/>
      <c r="AB21" s="669"/>
      <c r="AE21" s="669"/>
      <c r="AG21" s="669"/>
      <c r="AH21" s="454"/>
      <c r="AI21" s="454"/>
      <c r="AJ21" s="669"/>
      <c r="AK21" s="454"/>
      <c r="AL21" s="454"/>
      <c r="AM21" s="669"/>
      <c r="AN21" s="135"/>
      <c r="AO21" s="669"/>
      <c r="AP21" s="454"/>
      <c r="AQ21" s="454"/>
      <c r="AR21" s="454"/>
      <c r="AS21" s="454"/>
      <c r="AT21" s="454"/>
      <c r="AU21" s="454"/>
      <c r="AV21" s="454"/>
    </row>
    <row r="22" spans="1:48">
      <c r="A22" s="597" t="s">
        <v>89</v>
      </c>
      <c r="B22" s="454" t="s">
        <v>14</v>
      </c>
      <c r="C22" s="480">
        <v>257</v>
      </c>
      <c r="D22" s="467"/>
      <c r="E22" s="480">
        <v>257</v>
      </c>
      <c r="F22" s="467"/>
      <c r="G22" s="495">
        <f>+'Exhibit I State'!AD30</f>
        <v>257.3</v>
      </c>
      <c r="H22" s="467"/>
      <c r="I22" s="467">
        <f t="shared" si="0"/>
        <v>0.3</v>
      </c>
      <c r="J22" s="467"/>
      <c r="K22" s="467">
        <f t="shared" si="2"/>
        <v>0.30000000000001137</v>
      </c>
      <c r="L22" s="2205"/>
      <c r="M22" s="480">
        <v>0</v>
      </c>
      <c r="N22" s="480"/>
      <c r="O22" s="480">
        <v>0</v>
      </c>
      <c r="P22" s="480"/>
      <c r="Q22" s="495">
        <v>0</v>
      </c>
      <c r="R22" s="480"/>
      <c r="S22" s="467">
        <f t="shared" si="3"/>
        <v>0</v>
      </c>
      <c r="T22" s="467"/>
      <c r="U22" s="467">
        <f t="shared" si="1"/>
        <v>0</v>
      </c>
      <c r="V22" s="480"/>
      <c r="W22" s="495"/>
      <c r="X22" s="480"/>
      <c r="Y22" s="495"/>
      <c r="Z22" s="480"/>
      <c r="AA22" s="467"/>
      <c r="AH22" s="454"/>
      <c r="AI22" s="454"/>
      <c r="AJ22" s="454"/>
      <c r="AK22" s="454"/>
      <c r="AL22" s="454"/>
      <c r="AM22" s="454"/>
      <c r="AN22" s="454"/>
      <c r="AO22" s="454"/>
      <c r="AP22" s="454"/>
      <c r="AQ22" s="454"/>
      <c r="AR22" s="454"/>
      <c r="AS22" s="454"/>
      <c r="AT22" s="454"/>
      <c r="AU22" s="454"/>
      <c r="AV22" s="454"/>
    </row>
    <row r="23" spans="1:48">
      <c r="A23" s="597" t="s">
        <v>19</v>
      </c>
      <c r="B23" s="454" t="s">
        <v>14</v>
      </c>
      <c r="C23" s="480">
        <v>9172</v>
      </c>
      <c r="D23" s="467"/>
      <c r="E23" s="480">
        <v>7855</v>
      </c>
      <c r="F23" s="467"/>
      <c r="G23" s="495">
        <f>+'Exhibit I State'!AD60</f>
        <v>6362.6</v>
      </c>
      <c r="H23" s="467"/>
      <c r="I23" s="467">
        <f t="shared" si="0"/>
        <v>-2809.4</v>
      </c>
      <c r="J23" s="467"/>
      <c r="K23" s="467">
        <f t="shared" si="2"/>
        <v>-1492.3999999999996</v>
      </c>
      <c r="L23" s="2205"/>
      <c r="M23" s="480">
        <v>229</v>
      </c>
      <c r="N23" s="467"/>
      <c r="O23" s="480">
        <v>229</v>
      </c>
      <c r="P23" s="467"/>
      <c r="Q23" s="467">
        <f>+'Exhibit I Federal'!AD42</f>
        <v>0</v>
      </c>
      <c r="R23" s="467"/>
      <c r="S23" s="467">
        <f t="shared" si="3"/>
        <v>-229</v>
      </c>
      <c r="T23" s="467"/>
      <c r="U23" s="467">
        <f t="shared" si="1"/>
        <v>-229</v>
      </c>
      <c r="V23" s="467"/>
      <c r="W23" s="495"/>
      <c r="X23" s="467"/>
      <c r="Y23" s="495"/>
      <c r="Z23" s="467"/>
      <c r="AA23" s="467"/>
    </row>
    <row r="24" spans="1:48">
      <c r="A24" s="597" t="s">
        <v>20</v>
      </c>
      <c r="B24" s="454" t="s">
        <v>14</v>
      </c>
      <c r="C24" s="480">
        <v>5</v>
      </c>
      <c r="D24" s="467"/>
      <c r="E24" s="480">
        <v>5</v>
      </c>
      <c r="F24" s="467"/>
      <c r="G24" s="495">
        <f>+'Exhibit I State'!AD62</f>
        <v>6.6000000000000005</v>
      </c>
      <c r="H24" s="467"/>
      <c r="I24" s="467">
        <f t="shared" si="0"/>
        <v>1.6</v>
      </c>
      <c r="J24" s="467"/>
      <c r="K24" s="467">
        <f t="shared" si="2"/>
        <v>1.6000000000000005</v>
      </c>
      <c r="L24" s="2205"/>
      <c r="M24" s="480">
        <v>2987</v>
      </c>
      <c r="N24" s="467"/>
      <c r="O24" s="480">
        <v>3237</v>
      </c>
      <c r="P24" s="467"/>
      <c r="Q24" s="467">
        <f>+'Exhibit I Federal'!AD44</f>
        <v>2516.1</v>
      </c>
      <c r="R24" s="467"/>
      <c r="S24" s="467">
        <f t="shared" si="3"/>
        <v>-470.9</v>
      </c>
      <c r="T24" s="467"/>
      <c r="U24" s="467">
        <f t="shared" si="1"/>
        <v>-720.90000000000009</v>
      </c>
      <c r="V24" s="467"/>
      <c r="W24" s="495"/>
      <c r="X24" s="467"/>
      <c r="Y24" s="495"/>
      <c r="Z24" s="467"/>
      <c r="AA24" s="467"/>
    </row>
    <row r="25" spans="1:48">
      <c r="A25" s="597" t="s">
        <v>95</v>
      </c>
      <c r="B25" s="454" t="s">
        <v>14</v>
      </c>
      <c r="C25" s="480">
        <v>433</v>
      </c>
      <c r="D25" s="467"/>
      <c r="E25" s="480">
        <v>218</v>
      </c>
      <c r="F25" s="467"/>
      <c r="G25" s="495">
        <f>+'Exhibit I State'!AA91</f>
        <v>0</v>
      </c>
      <c r="H25" s="467"/>
      <c r="I25" s="467">
        <f t="shared" si="0"/>
        <v>-433</v>
      </c>
      <c r="J25" s="467"/>
      <c r="K25" s="467">
        <f t="shared" si="2"/>
        <v>-218</v>
      </c>
      <c r="L25" s="2206"/>
      <c r="M25" s="480">
        <v>0</v>
      </c>
      <c r="N25" s="467"/>
      <c r="O25" s="480">
        <v>0</v>
      </c>
      <c r="P25" s="467"/>
      <c r="Q25" s="480">
        <v>0</v>
      </c>
      <c r="R25" s="467"/>
      <c r="S25" s="467">
        <f t="shared" si="3"/>
        <v>0</v>
      </c>
      <c r="T25" s="493"/>
      <c r="U25" s="467">
        <f t="shared" si="1"/>
        <v>0</v>
      </c>
      <c r="V25" s="467"/>
      <c r="W25" s="495"/>
      <c r="X25" s="467"/>
      <c r="Y25" s="495"/>
      <c r="Z25" s="467"/>
      <c r="AA25" s="467"/>
    </row>
    <row r="26" spans="1:48">
      <c r="A26" s="597" t="s">
        <v>46</v>
      </c>
      <c r="B26" s="454" t="s">
        <v>14</v>
      </c>
      <c r="C26" s="480">
        <v>4699</v>
      </c>
      <c r="D26" s="467"/>
      <c r="E26" s="480">
        <v>4805</v>
      </c>
      <c r="F26" s="467"/>
      <c r="G26" s="493">
        <f>+'Exhibit I State'!AD92</f>
        <v>5049.3</v>
      </c>
      <c r="H26" s="467"/>
      <c r="I26" s="467">
        <f t="shared" si="0"/>
        <v>350.3</v>
      </c>
      <c r="J26" s="467"/>
      <c r="K26" s="467">
        <f t="shared" si="2"/>
        <v>244.30000000000018</v>
      </c>
      <c r="L26" s="2205"/>
      <c r="M26" s="480">
        <v>41</v>
      </c>
      <c r="N26" s="467"/>
      <c r="O26" s="480">
        <v>40</v>
      </c>
      <c r="P26" s="467"/>
      <c r="Q26" s="493">
        <f>+'Exhibit I Federal'!AD73</f>
        <v>12.8</v>
      </c>
      <c r="R26" s="467"/>
      <c r="S26" s="467">
        <f t="shared" si="3"/>
        <v>-28.2</v>
      </c>
      <c r="T26" s="493"/>
      <c r="U26" s="467">
        <f t="shared" si="1"/>
        <v>-27.2</v>
      </c>
      <c r="V26" s="467"/>
      <c r="W26" s="495"/>
      <c r="X26" s="467"/>
      <c r="Y26" s="495"/>
      <c r="Z26" s="467"/>
      <c r="AA26" s="467"/>
    </row>
    <row r="27" spans="1:48" ht="18" customHeight="1">
      <c r="A27" s="117" t="s">
        <v>106</v>
      </c>
      <c r="B27" s="100" t="s">
        <v>14</v>
      </c>
      <c r="C27" s="1172">
        <f>ROUND(SUM(C20:C26),1)</f>
        <v>15583</v>
      </c>
      <c r="D27" s="42"/>
      <c r="E27" s="1172">
        <f>ROUND(SUM(E20:E26),1)</f>
        <v>14129</v>
      </c>
      <c r="F27" s="42"/>
      <c r="G27" s="142">
        <f>ROUND(SUM(G20:G26),1)</f>
        <v>12677.2</v>
      </c>
      <c r="H27" s="42"/>
      <c r="I27" s="142">
        <f>ROUND(SUM(I20:I26),1)</f>
        <v>-2905.8</v>
      </c>
      <c r="J27" s="42"/>
      <c r="K27" s="142">
        <f>ROUND(SUM(K20:K26),1)</f>
        <v>-1451.8</v>
      </c>
      <c r="L27" s="2207"/>
      <c r="M27" s="1172">
        <f>ROUND(SUM(M20:M26),1)</f>
        <v>3257</v>
      </c>
      <c r="N27" s="42"/>
      <c r="O27" s="1172">
        <f>ROUND(SUM(O20:O26),1)</f>
        <v>3506</v>
      </c>
      <c r="P27" s="42"/>
      <c r="Q27" s="142">
        <f>ROUND(SUM(Q20:Q26),1)</f>
        <v>2528.9</v>
      </c>
      <c r="R27" s="42"/>
      <c r="S27" s="142">
        <f>ROUND(SUM(S20:S26),1)</f>
        <v>-728.1</v>
      </c>
      <c r="T27" s="42"/>
      <c r="U27" s="142">
        <f>ROUND(SUM(U20:U26),1)</f>
        <v>-977.1</v>
      </c>
      <c r="V27" s="42"/>
      <c r="W27" s="42"/>
      <c r="X27" s="42"/>
      <c r="Y27" s="42"/>
      <c r="Z27" s="42"/>
      <c r="AA27" s="42"/>
    </row>
    <row r="28" spans="1:48">
      <c r="B28" s="454" t="s">
        <v>14</v>
      </c>
      <c r="C28" s="1170"/>
      <c r="D28" s="467"/>
      <c r="E28" s="1170"/>
      <c r="F28" s="467"/>
      <c r="G28" s="497"/>
      <c r="H28" s="467"/>
      <c r="I28" s="497"/>
      <c r="J28" s="467"/>
      <c r="K28" s="497"/>
      <c r="L28" s="2205"/>
      <c r="M28" s="1170"/>
      <c r="N28" s="467"/>
      <c r="O28" s="1170"/>
      <c r="P28" s="467"/>
      <c r="Q28" s="497"/>
      <c r="R28" s="467"/>
      <c r="S28" s="497" t="s">
        <v>14</v>
      </c>
      <c r="T28" s="467"/>
      <c r="U28" s="497"/>
      <c r="V28" s="467"/>
      <c r="W28" s="467"/>
      <c r="X28" s="467"/>
      <c r="Y28" s="467"/>
      <c r="Z28" s="467"/>
      <c r="AA28" s="467"/>
    </row>
    <row r="29" spans="1:48">
      <c r="A29" s="19" t="s">
        <v>22</v>
      </c>
      <c r="B29" s="454" t="s">
        <v>14</v>
      </c>
      <c r="C29" s="467"/>
      <c r="D29" s="467"/>
      <c r="E29" s="467"/>
      <c r="F29" s="467"/>
      <c r="G29" s="467" t="s">
        <v>14</v>
      </c>
      <c r="H29" s="467"/>
      <c r="I29" s="467"/>
      <c r="J29" s="467"/>
      <c r="K29" s="467"/>
      <c r="L29" s="2205"/>
      <c r="M29" s="467"/>
      <c r="N29" s="467"/>
      <c r="O29" s="467"/>
      <c r="P29" s="467"/>
      <c r="Q29" s="467"/>
      <c r="R29" s="467"/>
      <c r="S29" s="467"/>
      <c r="T29" s="467"/>
      <c r="U29" s="467"/>
      <c r="V29" s="467"/>
      <c r="W29" s="467"/>
      <c r="X29" s="467"/>
      <c r="Y29" s="467"/>
      <c r="Z29" s="467"/>
      <c r="AA29" s="467"/>
    </row>
    <row r="30" spans="1:48">
      <c r="A30" s="597" t="s">
        <v>91</v>
      </c>
      <c r="B30" s="454" t="s">
        <v>14</v>
      </c>
      <c r="C30" s="480">
        <v>4691</v>
      </c>
      <c r="D30" s="467"/>
      <c r="E30" s="480">
        <v>3782</v>
      </c>
      <c r="F30" s="467"/>
      <c r="G30" s="480">
        <f>+'Exhibit I State'!AD78</f>
        <v>5016.6000000000004</v>
      </c>
      <c r="H30" s="467"/>
      <c r="I30" s="467">
        <f t="shared" ref="I30:I32" si="4">ROUND(SUM(G30)-SUM(C30),1)</f>
        <v>325.60000000000002</v>
      </c>
      <c r="J30" s="467"/>
      <c r="K30" s="467">
        <f t="shared" ref="K30:K32" si="5">G30-E30</f>
        <v>1234.6000000000004</v>
      </c>
      <c r="L30" s="2205"/>
      <c r="M30" s="480">
        <v>837</v>
      </c>
      <c r="N30" s="467"/>
      <c r="O30" s="480">
        <v>998</v>
      </c>
      <c r="P30" s="467"/>
      <c r="Q30" s="467">
        <f>+'Exhibit I Federal'!AD60</f>
        <v>795.2</v>
      </c>
      <c r="R30" s="467"/>
      <c r="S30" s="467">
        <f t="shared" ref="S30:S32" si="6">ROUND(SUM(Q30)-SUM(M30),1)</f>
        <v>-41.8</v>
      </c>
      <c r="T30" s="467"/>
      <c r="U30" s="467">
        <f t="shared" ref="U30:U32" si="7">Q30-O30</f>
        <v>-202.79999999999995</v>
      </c>
      <c r="V30" s="467"/>
      <c r="W30" s="495"/>
      <c r="X30" s="467"/>
      <c r="Y30" s="495"/>
      <c r="Z30" s="467"/>
      <c r="AA30" s="467"/>
    </row>
    <row r="31" spans="1:48">
      <c r="A31" s="597" t="s">
        <v>41</v>
      </c>
      <c r="B31" s="454" t="s">
        <v>14</v>
      </c>
      <c r="C31" s="480">
        <v>9741</v>
      </c>
      <c r="D31" s="467"/>
      <c r="E31" s="480">
        <v>9075</v>
      </c>
      <c r="F31" s="467"/>
      <c r="G31" s="480">
        <f>+'Exhibit I State'!AD83</f>
        <v>6786</v>
      </c>
      <c r="H31" s="467"/>
      <c r="I31" s="467">
        <f t="shared" si="4"/>
        <v>-2955</v>
      </c>
      <c r="J31" s="467"/>
      <c r="K31" s="467">
        <f t="shared" si="5"/>
        <v>-2289</v>
      </c>
      <c r="L31" s="2206"/>
      <c r="M31" s="480">
        <v>2091</v>
      </c>
      <c r="N31" s="467"/>
      <c r="O31" s="480">
        <v>2082</v>
      </c>
      <c r="P31" s="467"/>
      <c r="Q31" s="467">
        <f>+'Exhibit I Federal'!AD65</f>
        <v>1426.2</v>
      </c>
      <c r="R31" s="467"/>
      <c r="S31" s="467">
        <f t="shared" si="6"/>
        <v>-664.8</v>
      </c>
      <c r="T31" s="467"/>
      <c r="U31" s="467">
        <f t="shared" si="7"/>
        <v>-655.8</v>
      </c>
      <c r="V31" s="467"/>
      <c r="W31" s="495"/>
      <c r="X31" s="467"/>
      <c r="Y31" s="495"/>
      <c r="Z31" s="467"/>
      <c r="AA31" s="467"/>
    </row>
    <row r="32" spans="1:48">
      <c r="A32" s="597" t="s">
        <v>96</v>
      </c>
      <c r="B32" s="454" t="s">
        <v>14</v>
      </c>
      <c r="C32" s="480">
        <v>1291</v>
      </c>
      <c r="D32" s="467"/>
      <c r="E32" s="480">
        <v>1251</v>
      </c>
      <c r="F32" s="467"/>
      <c r="G32" s="493">
        <f>-'Exhibit I State'!AD93</f>
        <v>1232.5</v>
      </c>
      <c r="H32" s="467"/>
      <c r="I32" s="467">
        <f t="shared" si="4"/>
        <v>-58.5</v>
      </c>
      <c r="J32" s="467"/>
      <c r="K32" s="467">
        <f t="shared" si="5"/>
        <v>-18.5</v>
      </c>
      <c r="L32" s="2205"/>
      <c r="M32" s="480">
        <v>0</v>
      </c>
      <c r="N32" s="467"/>
      <c r="O32" s="480">
        <v>0</v>
      </c>
      <c r="P32" s="467"/>
      <c r="Q32" s="493">
        <f>-'Exhibit I Federal'!AD74</f>
        <v>0.2</v>
      </c>
      <c r="R32" s="467"/>
      <c r="S32" s="467">
        <f t="shared" si="6"/>
        <v>0.2</v>
      </c>
      <c r="T32" s="493"/>
      <c r="U32" s="467">
        <f t="shared" si="7"/>
        <v>0.2</v>
      </c>
      <c r="V32" s="467"/>
      <c r="W32" s="495"/>
      <c r="X32" s="467"/>
      <c r="Y32" s="495"/>
      <c r="Z32" s="467"/>
      <c r="AA32" s="467"/>
    </row>
    <row r="33" spans="1:48" ht="18" customHeight="1">
      <c r="A33" s="117" t="s">
        <v>115</v>
      </c>
      <c r="B33" s="100" t="s">
        <v>14</v>
      </c>
      <c r="C33" s="1172">
        <f>ROUND(SUM(C30:C32),1)</f>
        <v>15723</v>
      </c>
      <c r="D33" s="42"/>
      <c r="E33" s="1172">
        <f>ROUND(SUM(E30:E32),1)</f>
        <v>14108</v>
      </c>
      <c r="F33" s="42"/>
      <c r="G33" s="142">
        <f>ROUND(SUM(G30:G32),1)</f>
        <v>13035.1</v>
      </c>
      <c r="H33" s="42"/>
      <c r="I33" s="142">
        <f>ROUND(SUM(I30:I32),1)</f>
        <v>-2687.9</v>
      </c>
      <c r="J33" s="42"/>
      <c r="K33" s="142">
        <f>ROUND(SUM(K30:K32),1)</f>
        <v>-1072.9000000000001</v>
      </c>
      <c r="L33" s="2207"/>
      <c r="M33" s="1172">
        <f>ROUND(SUM(M30:M32),1)</f>
        <v>2928</v>
      </c>
      <c r="N33" s="42"/>
      <c r="O33" s="1172">
        <f>ROUND(SUM(O30:O32),1)</f>
        <v>3080</v>
      </c>
      <c r="P33" s="42"/>
      <c r="Q33" s="142">
        <f>ROUND(SUM(Q30:Q32),1)</f>
        <v>2221.6</v>
      </c>
      <c r="R33" s="42"/>
      <c r="S33" s="142">
        <f>ROUND(SUM(S30:S32),1)</f>
        <v>-706.4</v>
      </c>
      <c r="T33" s="42"/>
      <c r="U33" s="142">
        <f>ROUND(SUM(U30:U32),1)</f>
        <v>-858.4</v>
      </c>
      <c r="V33" s="42"/>
      <c r="W33" s="42"/>
      <c r="X33" s="42"/>
      <c r="Y33" s="42"/>
      <c r="Z33" s="42"/>
      <c r="AA33" s="42"/>
    </row>
    <row r="34" spans="1:48">
      <c r="B34" s="454" t="s">
        <v>14</v>
      </c>
      <c r="C34" s="1170"/>
      <c r="D34" s="467"/>
      <c r="E34" s="1170"/>
      <c r="F34" s="467"/>
      <c r="G34" s="497"/>
      <c r="H34" s="467"/>
      <c r="I34" s="497"/>
      <c r="J34" s="467"/>
      <c r="K34" s="497"/>
      <c r="L34" s="2205"/>
      <c r="M34" s="1170"/>
      <c r="N34" s="467"/>
      <c r="O34" s="1170"/>
      <c r="P34" s="467"/>
      <c r="Q34" s="497"/>
      <c r="R34" s="467"/>
      <c r="S34" s="497"/>
      <c r="T34" s="467"/>
      <c r="U34" s="497"/>
      <c r="V34" s="467"/>
      <c r="W34" s="467"/>
      <c r="X34" s="467"/>
      <c r="Y34" s="467"/>
      <c r="Z34" s="467"/>
      <c r="AA34" s="467"/>
    </row>
    <row r="35" spans="1:48">
      <c r="A35" s="19" t="s">
        <v>98</v>
      </c>
      <c r="C35" s="467"/>
      <c r="D35" s="467"/>
      <c r="E35" s="467"/>
      <c r="F35" s="467"/>
      <c r="G35" s="467"/>
      <c r="H35" s="467"/>
      <c r="I35" s="467"/>
      <c r="J35" s="467"/>
      <c r="K35" s="467"/>
      <c r="L35" s="2205"/>
      <c r="M35" s="467"/>
      <c r="N35" s="467"/>
      <c r="O35" s="467"/>
      <c r="P35" s="467"/>
      <c r="Q35" s="467"/>
      <c r="R35" s="467"/>
      <c r="S35" s="467"/>
      <c r="T35" s="467"/>
      <c r="U35" s="467"/>
      <c r="V35" s="467"/>
      <c r="W35" s="467"/>
      <c r="X35" s="467"/>
      <c r="Y35" s="467"/>
      <c r="Z35" s="467"/>
      <c r="AA35" s="467"/>
    </row>
    <row r="36" spans="1:48">
      <c r="A36" s="19" t="s">
        <v>99</v>
      </c>
      <c r="C36" s="467"/>
      <c r="D36" s="467"/>
      <c r="E36" s="467"/>
      <c r="F36" s="467"/>
      <c r="G36" s="467"/>
      <c r="H36" s="467"/>
      <c r="I36" s="467"/>
      <c r="J36" s="467"/>
      <c r="K36" s="467"/>
      <c r="L36" s="2205"/>
      <c r="M36" s="467"/>
      <c r="N36" s="467"/>
      <c r="O36" s="467"/>
      <c r="P36" s="467"/>
      <c r="Q36" s="467"/>
      <c r="R36" s="467"/>
      <c r="S36" s="467"/>
      <c r="T36" s="467"/>
      <c r="U36" s="467"/>
      <c r="V36" s="467"/>
      <c r="W36" s="467"/>
      <c r="X36" s="467"/>
      <c r="Y36" s="467"/>
      <c r="Z36" s="467"/>
      <c r="AA36" s="467"/>
    </row>
    <row r="37" spans="1:48">
      <c r="A37" s="117" t="s">
        <v>100</v>
      </c>
      <c r="B37" s="118" t="s">
        <v>14</v>
      </c>
      <c r="C37" s="42">
        <f>ROUND(SUM(C27)-SUM(C33),1)</f>
        <v>-140</v>
      </c>
      <c r="D37" s="57"/>
      <c r="E37" s="42">
        <f>ROUND(SUM(E27)-SUM(E33),1)</f>
        <v>21</v>
      </c>
      <c r="F37" s="57"/>
      <c r="G37" s="42">
        <f>ROUND(SUM(G27)-SUM(G33),1)</f>
        <v>-357.9</v>
      </c>
      <c r="H37" s="57"/>
      <c r="I37" s="42">
        <f>ROUND(SUM(I27)-SUM(I33),1)</f>
        <v>-217.9</v>
      </c>
      <c r="J37" s="42"/>
      <c r="K37" s="42">
        <f>ROUND(SUM(K27)-SUM(K33),1)</f>
        <v>-378.9</v>
      </c>
      <c r="L37" s="2207"/>
      <c r="M37" s="42">
        <f>ROUND(SUM(M27)-SUM(M33),1)</f>
        <v>329</v>
      </c>
      <c r="N37" s="57"/>
      <c r="O37" s="42">
        <f>ROUND(SUM(O27)-SUM(O33),1)</f>
        <v>426</v>
      </c>
      <c r="P37" s="57"/>
      <c r="Q37" s="42">
        <f>ROUND(SUM(Q27)-SUM(Q33),1)</f>
        <v>307.3</v>
      </c>
      <c r="R37" s="57"/>
      <c r="S37" s="42">
        <f>ROUND(SUM(S27)-SUM(S33),1)</f>
        <v>-21.7</v>
      </c>
      <c r="T37" s="42"/>
      <c r="U37" s="42">
        <f>ROUND(SUM(U27)-SUM(U33),1)</f>
        <v>-118.7</v>
      </c>
      <c r="V37" s="57"/>
      <c r="W37" s="42"/>
      <c r="X37" s="57"/>
      <c r="Y37" s="42"/>
      <c r="Z37" s="57"/>
      <c r="AA37" s="42"/>
    </row>
    <row r="38" spans="1:48">
      <c r="C38" s="467"/>
      <c r="D38" s="467"/>
      <c r="E38" s="467"/>
      <c r="F38" s="467"/>
      <c r="G38" s="467"/>
      <c r="H38" s="467"/>
      <c r="I38" s="467"/>
      <c r="J38" s="467"/>
      <c r="K38" s="42"/>
      <c r="L38" s="2207"/>
      <c r="M38" s="467"/>
      <c r="N38" s="467"/>
      <c r="O38" s="467"/>
      <c r="P38" s="467"/>
      <c r="Q38" s="467"/>
      <c r="R38" s="467"/>
      <c r="S38" s="467"/>
      <c r="T38" s="467"/>
      <c r="U38" s="467"/>
      <c r="V38" s="467"/>
      <c r="W38" s="467"/>
      <c r="X38" s="467"/>
      <c r="Y38" s="467"/>
      <c r="Z38" s="467"/>
      <c r="AA38" s="467"/>
    </row>
    <row r="39" spans="1:48">
      <c r="A39" s="117" t="s">
        <v>101</v>
      </c>
      <c r="B39" s="675" t="s">
        <v>14</v>
      </c>
      <c r="C39" s="42">
        <v>-757</v>
      </c>
      <c r="D39" s="467"/>
      <c r="E39" s="42">
        <v>-757</v>
      </c>
      <c r="F39" s="467"/>
      <c r="G39" s="42">
        <f>'Exhibit I State'!E14</f>
        <v>-756.8</v>
      </c>
      <c r="H39" s="467"/>
      <c r="I39" s="42">
        <f t="shared" ref="I39" si="8">ROUND(SUM(G39)-SUM(C39),1)</f>
        <v>0.2</v>
      </c>
      <c r="J39" s="54"/>
      <c r="K39" s="42">
        <f>G39-E39</f>
        <v>0.20000000000004547</v>
      </c>
      <c r="L39" s="2207"/>
      <c r="M39" s="42">
        <v>-787</v>
      </c>
      <c r="N39" s="467"/>
      <c r="O39" s="42">
        <v>-787</v>
      </c>
      <c r="P39" s="467"/>
      <c r="Q39" s="42">
        <f>'Exhibit I Federal'!E14</f>
        <v>-787.1</v>
      </c>
      <c r="R39" s="467"/>
      <c r="S39" s="42">
        <f t="shared" ref="S39" si="9">ROUND(SUM(Q39)-SUM(M39),1)</f>
        <v>-0.1</v>
      </c>
      <c r="T39" s="467"/>
      <c r="U39" s="42">
        <f>Q39-O39</f>
        <v>-0.10000000000002274</v>
      </c>
      <c r="V39" s="467"/>
      <c r="W39" s="42"/>
      <c r="X39" s="467"/>
      <c r="Y39" s="42"/>
      <c r="Z39" s="467"/>
      <c r="AA39" s="54"/>
      <c r="AH39" s="454"/>
      <c r="AI39" s="454"/>
      <c r="AJ39" s="454"/>
      <c r="AK39" s="454"/>
      <c r="AL39" s="454"/>
      <c r="AM39" s="454"/>
      <c r="AN39" s="454"/>
      <c r="AO39" s="454"/>
      <c r="AP39" s="454"/>
      <c r="AQ39" s="454"/>
      <c r="AR39" s="454"/>
      <c r="AS39" s="454"/>
      <c r="AT39" s="454"/>
      <c r="AU39" s="454"/>
      <c r="AV39" s="454"/>
    </row>
    <row r="40" spans="1:48" ht="16" thickBot="1">
      <c r="A40" s="117" t="str">
        <f>+'Exh D-Governmental  '!A50</f>
        <v xml:space="preserve">Fund Balances (Deficits) at March 31, 2023 </v>
      </c>
      <c r="B40" s="120" t="s">
        <v>14</v>
      </c>
      <c r="C40" s="69">
        <f>ROUND(SUM(C37:C39),1)</f>
        <v>-897</v>
      </c>
      <c r="D40" s="121"/>
      <c r="E40" s="69">
        <f>ROUND(SUM(E37:E39),1)</f>
        <v>-736</v>
      </c>
      <c r="F40" s="121"/>
      <c r="G40" s="69">
        <f>ROUND(SUM(G37:G39),1)</f>
        <v>-1114.7</v>
      </c>
      <c r="H40" s="121"/>
      <c r="I40" s="69">
        <f>ROUND(SUM(I37:I39),1)</f>
        <v>-217.7</v>
      </c>
      <c r="J40" s="65"/>
      <c r="K40" s="69">
        <f>ROUND(SUM(K37:K39),1)</f>
        <v>-378.7</v>
      </c>
      <c r="L40" s="2208"/>
      <c r="M40" s="69">
        <f>ROUND(SUM(M37:M39),1)</f>
        <v>-458</v>
      </c>
      <c r="N40" s="121"/>
      <c r="O40" s="69">
        <f>ROUND(SUM(O37:O39),1)</f>
        <v>-361</v>
      </c>
      <c r="P40" s="121"/>
      <c r="Q40" s="69">
        <f>ROUND(SUM(Q37:Q39),1)</f>
        <v>-479.8</v>
      </c>
      <c r="R40" s="121"/>
      <c r="S40" s="69">
        <f>ROUND(SUM(S37:S39),1)</f>
        <v>-21.8</v>
      </c>
      <c r="T40" s="121"/>
      <c r="U40" s="69">
        <f>ROUND(SUM(U37:U39),1)</f>
        <v>-118.8</v>
      </c>
      <c r="V40" s="121"/>
      <c r="W40" s="65"/>
      <c r="X40" s="121"/>
      <c r="Y40" s="65"/>
      <c r="Z40" s="121"/>
      <c r="AA40" s="65"/>
      <c r="AH40" s="454"/>
      <c r="AI40" s="454"/>
      <c r="AJ40" s="454"/>
      <c r="AK40" s="454"/>
      <c r="AL40" s="454"/>
      <c r="AM40" s="454"/>
      <c r="AN40" s="454"/>
      <c r="AO40" s="454"/>
      <c r="AP40" s="454"/>
      <c r="AQ40" s="454"/>
      <c r="AR40" s="454"/>
      <c r="AS40" s="454"/>
      <c r="AT40" s="454"/>
      <c r="AU40" s="454"/>
      <c r="AV40" s="454"/>
    </row>
    <row r="41" spans="1:48" ht="16" thickTop="1">
      <c r="Q41" s="472"/>
      <c r="U41" s="454"/>
      <c r="W41" s="454"/>
      <c r="Y41" s="472"/>
    </row>
    <row r="42" spans="1:48">
      <c r="A42" s="676" t="str">
        <f>'Exh D-Governmental  '!A52</f>
        <v>(*)    Source: 2022-23 Enacted Financial Plan dated May 20, 2022.</v>
      </c>
      <c r="S42" s="952"/>
    </row>
    <row r="43" spans="1:48">
      <c r="A43" s="676" t="str">
        <f>'Exh D-Governmental  '!A53</f>
        <v>(**)   Source: 2023-24 Executive Budget with 30-day amendments dated March 3, 2023.</v>
      </c>
      <c r="L43" s="301"/>
      <c r="U43" s="454"/>
      <c r="W43" s="454"/>
      <c r="AH43" s="454"/>
      <c r="AI43" s="454"/>
      <c r="AJ43" s="454"/>
      <c r="AK43" s="454"/>
    </row>
    <row r="44" spans="1:48">
      <c r="A44" s="597"/>
      <c r="Y44" s="671"/>
      <c r="AA44" s="671"/>
      <c r="AC44" s="683"/>
    </row>
    <row r="45" spans="1:48">
      <c r="A45" s="597"/>
    </row>
    <row r="46" spans="1:48">
      <c r="A46" s="739"/>
    </row>
    <row r="47" spans="1:48">
      <c r="A47" s="123"/>
    </row>
    <row r="52" spans="7:7">
      <c r="G52" s="472"/>
    </row>
  </sheetData>
  <mergeCells count="3">
    <mergeCell ref="A5:E5"/>
    <mergeCell ref="C11:I11"/>
    <mergeCell ref="M11:S11"/>
  </mergeCells>
  <printOptions horizontalCentered="1"/>
  <pageMargins left="0.2" right="0.2" top="0.75" bottom="0.75" header="0.3" footer="0.3"/>
  <pageSetup scale="49" firstPageNumber="15"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5"/>
  <sheetViews>
    <sheetView showGridLines="0" zoomScale="80" zoomScaleNormal="90" workbookViewId="0"/>
  </sheetViews>
  <sheetFormatPr defaultColWidth="9.84375" defaultRowHeight="12.5"/>
  <cols>
    <col min="1" max="1" width="32.07421875" style="1590" customWidth="1"/>
    <col min="2" max="2" width="10.84375" style="1590" customWidth="1"/>
    <col min="3" max="3" width="3.4609375" style="1590" customWidth="1"/>
    <col min="4" max="4" width="12.07421875" style="1590" customWidth="1"/>
    <col min="5" max="5" width="1.84375" style="1590" customWidth="1"/>
    <col min="6" max="6" width="17" style="1590" bestFit="1" customWidth="1"/>
    <col min="7" max="7" width="1.84375" style="1590" customWidth="1"/>
    <col min="8" max="8" width="12.07421875" style="1590" customWidth="1"/>
    <col min="9" max="9" width="1.84375" style="1590" customWidth="1"/>
    <col min="10" max="10" width="12.07421875" style="1590" customWidth="1"/>
    <col min="11" max="11" width="1.84375" style="1590" customWidth="1"/>
    <col min="12" max="12" width="12.07421875" style="1590" customWidth="1"/>
    <col min="13" max="13" width="1.84375" style="1590" customWidth="1"/>
    <col min="14" max="14" width="13" style="1590" customWidth="1"/>
    <col min="15" max="15" width="1.84375" style="1590" customWidth="1"/>
    <col min="16" max="16" width="12.07421875" style="1590" customWidth="1"/>
    <col min="17" max="17" width="1.84375" style="1590" customWidth="1"/>
    <col min="18" max="18" width="12.07421875" style="1590" customWidth="1"/>
    <col min="19" max="19" width="1.84375" style="1590" customWidth="1"/>
    <col min="20" max="20" width="1" style="1590" customWidth="1"/>
    <col min="21" max="21" width="1.84375" style="1590" customWidth="1"/>
    <col min="22" max="22" width="15.53515625" style="1590" customWidth="1"/>
    <col min="23" max="23" width="1.84375" style="1590" customWidth="1"/>
    <col min="24" max="24" width="17" style="1590" bestFit="1" customWidth="1"/>
    <col min="25" max="25" width="1.84375" style="1590" customWidth="1"/>
    <col min="26" max="26" width="1" style="1590" customWidth="1"/>
    <col min="27" max="27" width="1.84375" style="1590" customWidth="1"/>
    <col min="28" max="28" width="17.07421875" style="1590" customWidth="1"/>
    <col min="29" max="29" width="2" style="1590" customWidth="1"/>
    <col min="30" max="30" width="16.07421875" style="1590" customWidth="1"/>
    <col min="31" max="31" width="1.53515625" style="1590" customWidth="1"/>
    <col min="32" max="32" width="0.4609375" style="1590" customWidth="1"/>
    <col min="33" max="33" width="1.53515625" style="1590" customWidth="1"/>
    <col min="34" max="34" width="14.53515625" style="1590" bestFit="1" customWidth="1"/>
    <col min="35" max="35" width="1.84375" style="1590" customWidth="1"/>
    <col min="36" max="36" width="13.07421875" style="1590" customWidth="1"/>
    <col min="37" max="37" width="2.07421875" style="1590" customWidth="1"/>
    <col min="38" max="38" width="1.84375" style="1590" customWidth="1"/>
    <col min="39" max="16384" width="9.84375" style="1590"/>
  </cols>
  <sheetData>
    <row r="1" spans="1:38" s="1582" customFormat="1" ht="15.5">
      <c r="A1" s="489" t="s">
        <v>868</v>
      </c>
    </row>
    <row r="2" spans="1:38" s="1585" customFormat="1">
      <c r="A2" s="1583"/>
      <c r="B2" s="1584"/>
      <c r="C2" s="1584"/>
      <c r="D2" s="1582"/>
      <c r="E2" s="1584"/>
      <c r="F2" s="1584"/>
      <c r="G2" s="1584"/>
      <c r="H2" s="1584"/>
      <c r="I2" s="1584"/>
      <c r="J2" s="1584"/>
      <c r="K2" s="1584"/>
      <c r="L2" s="1584"/>
      <c r="M2" s="1584"/>
      <c r="N2" s="1584"/>
      <c r="O2" s="1584"/>
      <c r="P2" s="1584"/>
      <c r="Q2" s="1584"/>
      <c r="R2" s="1584"/>
      <c r="S2" s="1584"/>
      <c r="T2" s="1584"/>
      <c r="U2" s="1584"/>
      <c r="V2" s="1584"/>
      <c r="W2" s="1584"/>
      <c r="X2" s="1584"/>
      <c r="Y2" s="1584"/>
      <c r="Z2" s="1584"/>
      <c r="AA2" s="1584"/>
      <c r="AB2" s="1584"/>
      <c r="AC2" s="1584"/>
      <c r="AD2" s="1584"/>
      <c r="AE2" s="1584"/>
      <c r="AF2" s="1584"/>
      <c r="AG2" s="1584"/>
      <c r="AH2" s="1584"/>
    </row>
    <row r="3" spans="1:38" ht="18">
      <c r="A3" s="1586" t="s">
        <v>0</v>
      </c>
      <c r="B3" s="1587"/>
      <c r="C3" s="1587"/>
      <c r="D3" s="1582"/>
      <c r="E3" s="1587"/>
      <c r="F3" s="1587"/>
      <c r="G3" s="1587"/>
      <c r="H3" s="1587"/>
      <c r="I3" s="1587"/>
      <c r="J3" s="1587"/>
      <c r="K3" s="1587"/>
      <c r="L3" s="1588"/>
      <c r="M3" s="1588"/>
      <c r="N3" s="1588"/>
      <c r="O3" s="1588"/>
      <c r="P3" s="1587"/>
      <c r="Q3" s="1587"/>
      <c r="R3" s="1587"/>
      <c r="S3" s="1588"/>
      <c r="T3" s="1587"/>
      <c r="U3" s="1588"/>
      <c r="V3" s="1588"/>
      <c r="W3" s="1588"/>
      <c r="X3" s="1588"/>
      <c r="Y3" s="1588"/>
      <c r="Z3" s="1588"/>
      <c r="AA3" s="1588"/>
      <c r="AB3" s="1588"/>
      <c r="AC3" s="1588"/>
      <c r="AD3" s="1588"/>
      <c r="AE3" s="1588"/>
      <c r="AF3" s="1587"/>
      <c r="AG3" s="1587"/>
      <c r="AH3" s="1589"/>
      <c r="AI3" s="1589"/>
    </row>
    <row r="4" spans="1:38" ht="18">
      <c r="A4" s="1591" t="s">
        <v>1</v>
      </c>
      <c r="B4" s="1587"/>
      <c r="C4" s="1587"/>
      <c r="D4" s="1582"/>
      <c r="E4" s="1587"/>
      <c r="F4" s="1587"/>
      <c r="G4" s="1587"/>
      <c r="H4" s="1587"/>
      <c r="I4" s="1587"/>
      <c r="J4" s="1587"/>
      <c r="K4" s="1587"/>
      <c r="L4" s="1588"/>
      <c r="M4" s="1588"/>
      <c r="N4" s="1588"/>
      <c r="O4" s="1588"/>
      <c r="P4" s="1587"/>
      <c r="Q4" s="1587"/>
      <c r="R4" s="1587"/>
      <c r="S4" s="1588"/>
      <c r="T4" s="1587"/>
      <c r="U4" s="1588"/>
      <c r="V4" s="1588"/>
      <c r="W4" s="1588"/>
      <c r="X4" s="1588"/>
      <c r="Y4" s="1588"/>
      <c r="Z4" s="1588"/>
      <c r="AA4" s="1588"/>
      <c r="AB4" s="1588"/>
      <c r="AC4" s="1588"/>
      <c r="AD4" s="1588"/>
      <c r="AE4" s="1588"/>
      <c r="AF4" s="1587"/>
      <c r="AG4" s="1587"/>
      <c r="AH4" s="1589"/>
      <c r="AI4" s="1589"/>
    </row>
    <row r="5" spans="1:38" ht="18">
      <c r="A5" s="1586" t="s">
        <v>1349</v>
      </c>
      <c r="B5" s="1587"/>
      <c r="C5" s="1587"/>
      <c r="D5" s="1582"/>
      <c r="E5" s="1587"/>
      <c r="F5" s="1587"/>
      <c r="G5" s="1587"/>
      <c r="H5" s="1588"/>
      <c r="I5" s="1588"/>
      <c r="J5" s="1588"/>
      <c r="K5" s="1587"/>
      <c r="L5" s="1588"/>
      <c r="M5" s="1588"/>
      <c r="N5" s="1588" t="s">
        <v>14</v>
      </c>
      <c r="O5" s="1588"/>
      <c r="P5" s="1587"/>
      <c r="Q5" s="1587"/>
      <c r="R5" s="1587"/>
      <c r="S5" s="1588"/>
      <c r="T5" s="1587"/>
      <c r="U5" s="1588"/>
      <c r="V5" s="1588"/>
      <c r="W5" s="1588"/>
      <c r="X5" s="1588"/>
      <c r="Y5" s="1588"/>
      <c r="Z5" s="1588"/>
      <c r="AA5" s="1588"/>
      <c r="AB5" s="1588"/>
      <c r="AC5" s="1588"/>
      <c r="AD5" s="1588"/>
      <c r="AE5" s="1588"/>
      <c r="AF5" s="1587"/>
      <c r="AG5" s="1587"/>
      <c r="AH5" s="1589"/>
      <c r="AI5" s="1589"/>
    </row>
    <row r="6" spans="1:38" ht="18">
      <c r="A6" s="1586" t="s">
        <v>1247</v>
      </c>
      <c r="B6" s="1587"/>
      <c r="C6" s="1587"/>
      <c r="D6" s="1582"/>
      <c r="E6" s="1587"/>
      <c r="F6" s="1587"/>
      <c r="G6" s="1587"/>
      <c r="H6" s="1587"/>
      <c r="I6" s="1587"/>
      <c r="J6" s="1587"/>
      <c r="K6" s="1587"/>
      <c r="L6" s="1588"/>
      <c r="M6" s="1588"/>
      <c r="N6" s="1588"/>
      <c r="O6" s="1588"/>
      <c r="P6" s="1587"/>
      <c r="Q6" s="1587"/>
      <c r="R6" s="1587"/>
      <c r="S6" s="1588"/>
      <c r="T6" s="1587"/>
      <c r="U6" s="1588"/>
      <c r="V6" s="1588"/>
      <c r="W6" s="1588"/>
      <c r="X6" s="1588"/>
      <c r="Y6" s="1588"/>
      <c r="Z6" s="1588"/>
      <c r="AA6" s="1588"/>
      <c r="AB6" s="1588"/>
      <c r="AC6" s="1588"/>
      <c r="AD6" s="1588"/>
      <c r="AE6" s="1588"/>
      <c r="AF6" s="1587"/>
      <c r="AG6" s="1587"/>
      <c r="AH6" s="1589"/>
      <c r="AI6" s="1589"/>
    </row>
    <row r="7" spans="1:38" ht="18">
      <c r="A7" s="1587"/>
      <c r="B7" s="1587"/>
      <c r="C7" s="1587"/>
      <c r="D7" s="1582"/>
      <c r="E7" s="1587"/>
      <c r="F7" s="1587"/>
      <c r="G7" s="1587"/>
      <c r="H7" s="1587"/>
      <c r="I7" s="1587"/>
      <c r="J7" s="1587"/>
      <c r="K7" s="1587"/>
      <c r="L7" s="1588"/>
      <c r="M7" s="1588"/>
      <c r="N7" s="1588"/>
      <c r="O7" s="1588"/>
      <c r="P7" s="1588"/>
      <c r="Q7" s="1588"/>
      <c r="R7" s="1588"/>
      <c r="S7" s="1588"/>
      <c r="T7" s="1588"/>
      <c r="U7" s="1588"/>
      <c r="V7" s="1588"/>
      <c r="W7" s="1588"/>
      <c r="X7" s="1588"/>
      <c r="Y7" s="1588"/>
      <c r="Z7" s="1588"/>
      <c r="AA7" s="1588"/>
      <c r="AB7" s="1760"/>
      <c r="AC7" s="1760"/>
      <c r="AD7" s="1760"/>
      <c r="AE7" s="1760"/>
      <c r="AF7" s="1587"/>
      <c r="AG7" s="1587"/>
      <c r="AH7" s="1589"/>
      <c r="AI7" s="1589"/>
      <c r="AJ7" s="1592" t="s">
        <v>799</v>
      </c>
    </row>
    <row r="8" spans="1:38" ht="15.5">
      <c r="A8" s="489"/>
      <c r="B8" s="489"/>
      <c r="C8" s="489"/>
      <c r="D8" s="1582"/>
      <c r="E8" s="489"/>
      <c r="F8" s="489"/>
      <c r="G8" s="489"/>
      <c r="H8" s="489"/>
      <c r="I8" s="489"/>
      <c r="J8" s="489"/>
      <c r="K8" s="489"/>
      <c r="L8" s="490"/>
      <c r="M8" s="490"/>
      <c r="N8" s="490"/>
      <c r="O8" s="490"/>
      <c r="P8" s="490"/>
      <c r="Q8" s="490"/>
      <c r="R8" s="490"/>
      <c r="S8" s="490"/>
      <c r="T8" s="490"/>
      <c r="U8" s="490"/>
      <c r="V8" s="490"/>
      <c r="W8" s="490"/>
      <c r="X8" s="490"/>
      <c r="Y8" s="490"/>
      <c r="Z8" s="490"/>
      <c r="AA8" s="490"/>
      <c r="AB8" s="490"/>
      <c r="AC8" s="490"/>
      <c r="AD8" s="490"/>
      <c r="AE8" s="490"/>
      <c r="AF8" s="489"/>
      <c r="AG8" s="489"/>
      <c r="AH8" s="1589"/>
      <c r="AI8" s="1589"/>
    </row>
    <row r="9" spans="1:38" ht="15.5">
      <c r="A9" s="489"/>
      <c r="B9" s="489"/>
      <c r="C9" s="489"/>
      <c r="D9" s="1582"/>
      <c r="E9" s="490"/>
      <c r="F9" s="490"/>
      <c r="G9" s="490"/>
      <c r="H9" s="490"/>
      <c r="I9" s="490"/>
      <c r="J9" s="490"/>
      <c r="K9" s="490"/>
      <c r="L9" s="490"/>
      <c r="M9" s="490"/>
      <c r="N9" s="490"/>
      <c r="O9" s="490"/>
      <c r="P9" s="490"/>
      <c r="Q9" s="490"/>
      <c r="R9" s="490"/>
      <c r="S9" s="490"/>
      <c r="T9" s="490"/>
      <c r="U9" s="490"/>
      <c r="V9" s="1588"/>
      <c r="W9" s="1588"/>
      <c r="X9" s="1588"/>
      <c r="Y9" s="1588"/>
      <c r="Z9" s="1588"/>
      <c r="AA9" s="1588"/>
      <c r="AB9" s="1588"/>
      <c r="AC9" s="1588"/>
      <c r="AD9" s="1588"/>
      <c r="AE9" s="1588"/>
      <c r="AF9" s="490"/>
      <c r="AG9" s="490"/>
      <c r="AH9" s="1593"/>
      <c r="AI9" s="1593"/>
    </row>
    <row r="10" spans="1:38" ht="4.4000000000000004" customHeight="1">
      <c r="A10" s="489"/>
      <c r="B10" s="489"/>
      <c r="C10" s="48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1589"/>
      <c r="AI10" s="1589"/>
    </row>
    <row r="11" spans="1:38" ht="15" customHeight="1">
      <c r="A11" s="489"/>
      <c r="B11" s="489"/>
      <c r="C11" s="489"/>
      <c r="D11" s="1594" t="s">
        <v>2</v>
      </c>
      <c r="E11" s="1594"/>
      <c r="F11" s="1594"/>
      <c r="G11" s="489"/>
      <c r="H11" s="1594" t="s">
        <v>55</v>
      </c>
      <c r="I11" s="1594"/>
      <c r="J11" s="1594"/>
      <c r="K11" s="489"/>
      <c r="L11" s="1594" t="s">
        <v>4</v>
      </c>
      <c r="M11" s="1594"/>
      <c r="N11" s="1594"/>
      <c r="O11" s="489"/>
      <c r="P11" s="1594" t="s">
        <v>118</v>
      </c>
      <c r="Q11" s="1594"/>
      <c r="R11" s="1594"/>
      <c r="S11" s="489"/>
      <c r="T11" s="489"/>
      <c r="U11" s="489"/>
      <c r="V11" s="1840" t="s">
        <v>800</v>
      </c>
      <c r="W11" s="1594"/>
      <c r="X11" s="1594"/>
      <c r="Y11" s="1594"/>
      <c r="Z11" s="1595"/>
      <c r="AA11" s="1595"/>
      <c r="AB11" s="1594"/>
      <c r="AC11" s="1594"/>
      <c r="AD11" s="1594"/>
      <c r="AE11" s="1838"/>
      <c r="AF11" s="1839"/>
      <c r="AG11" s="490"/>
      <c r="AH11" s="1840" t="s">
        <v>801</v>
      </c>
      <c r="AI11" s="1594"/>
      <c r="AJ11" s="1594"/>
    </row>
    <row r="12" spans="1:38" ht="15.5">
      <c r="A12" s="489"/>
      <c r="B12" s="489"/>
      <c r="C12" s="489"/>
      <c r="D12" s="988" t="s">
        <v>6</v>
      </c>
      <c r="E12" s="988"/>
      <c r="F12" s="1596" t="str">
        <f>'Exhibit A'!F11</f>
        <v>12 MOS. ENDED</v>
      </c>
      <c r="G12" s="490"/>
      <c r="H12" s="988" t="s">
        <v>6</v>
      </c>
      <c r="I12" s="989"/>
      <c r="J12" s="988" t="str">
        <f>F12</f>
        <v>12 MOS. ENDED</v>
      </c>
      <c r="K12" s="490"/>
      <c r="L12" s="988" t="s">
        <v>6</v>
      </c>
      <c r="M12" s="989"/>
      <c r="N12" s="988" t="str">
        <f>F12</f>
        <v>12 MOS. ENDED</v>
      </c>
      <c r="O12" s="490"/>
      <c r="P12" s="988" t="s">
        <v>6</v>
      </c>
      <c r="Q12" s="989"/>
      <c r="R12" s="988" t="str">
        <f>F12</f>
        <v>12 MOS. ENDED</v>
      </c>
      <c r="S12" s="490"/>
      <c r="T12" s="490"/>
      <c r="U12" s="490"/>
      <c r="V12" s="988" t="s">
        <v>6</v>
      </c>
      <c r="W12" s="988"/>
      <c r="X12" s="988" t="str">
        <f>F12</f>
        <v>12 MOS. ENDED</v>
      </c>
      <c r="Y12" s="988"/>
      <c r="Z12" s="990"/>
      <c r="AA12" s="990"/>
      <c r="AB12" s="988" t="s">
        <v>6</v>
      </c>
      <c r="AC12" s="988"/>
      <c r="AD12" s="988" t="str">
        <f>F12</f>
        <v>12 MOS. ENDED</v>
      </c>
      <c r="AE12" s="990"/>
      <c r="AF12" s="990"/>
      <c r="AG12" s="1841"/>
      <c r="AH12" s="1596" t="s">
        <v>7</v>
      </c>
      <c r="AI12" s="989"/>
      <c r="AJ12" s="1596" t="s">
        <v>8</v>
      </c>
      <c r="AK12" s="1597"/>
      <c r="AL12" s="1589"/>
    </row>
    <row r="13" spans="1:38" ht="15.5">
      <c r="A13" s="489"/>
      <c r="B13" s="489"/>
      <c r="C13" s="489"/>
      <c r="D13" s="991" t="str">
        <f>'Exhibit A'!D12</f>
        <v>MAR. 2023</v>
      </c>
      <c r="E13" s="993"/>
      <c r="F13" s="991" t="str">
        <f>'Exhibit A'!F12</f>
        <v>MAR. 31, 2023</v>
      </c>
      <c r="G13" s="490"/>
      <c r="H13" s="991" t="str">
        <f>D13</f>
        <v>MAR. 2023</v>
      </c>
      <c r="I13" s="993"/>
      <c r="J13" s="991" t="str">
        <f>F13</f>
        <v>MAR. 31, 2023</v>
      </c>
      <c r="K13" s="490"/>
      <c r="L13" s="991" t="str">
        <f>D13</f>
        <v>MAR. 2023</v>
      </c>
      <c r="M13" s="993"/>
      <c r="N13" s="991" t="str">
        <f>F13</f>
        <v>MAR. 31, 2023</v>
      </c>
      <c r="O13" s="490"/>
      <c r="P13" s="991" t="str">
        <f>D13</f>
        <v>MAR. 2023</v>
      </c>
      <c r="Q13" s="993"/>
      <c r="R13" s="991" t="str">
        <f>F13</f>
        <v>MAR. 31, 2023</v>
      </c>
      <c r="S13" s="490"/>
      <c r="T13" s="490"/>
      <c r="U13" s="490"/>
      <c r="V13" s="992" t="str">
        <f>D13</f>
        <v>MAR. 2023</v>
      </c>
      <c r="W13" s="992"/>
      <c r="X13" s="992" t="str">
        <f>'Exhibit A'!V12</f>
        <v>MAR. 2023</v>
      </c>
      <c r="Y13" s="992"/>
      <c r="Z13" s="990"/>
      <c r="AA13" s="990"/>
      <c r="AB13" s="993" t="str">
        <f>'Exhibit A'!AB12</f>
        <v>MAR. 2022</v>
      </c>
      <c r="AC13" s="993"/>
      <c r="AD13" s="993" t="str">
        <f>'Exhibit A'!AD12</f>
        <v>MAR. 31, 2022</v>
      </c>
      <c r="AE13" s="993"/>
      <c r="AF13" s="990"/>
      <c r="AG13" s="992"/>
      <c r="AH13" s="991" t="s">
        <v>11</v>
      </c>
      <c r="AI13" s="993"/>
      <c r="AJ13" s="991" t="s">
        <v>12</v>
      </c>
      <c r="AK13" s="1597"/>
      <c r="AL13" s="1589"/>
    </row>
    <row r="14" spans="1:38" ht="15.5">
      <c r="A14" s="489"/>
      <c r="B14" s="489"/>
      <c r="C14" s="489"/>
      <c r="D14" s="489"/>
      <c r="E14" s="489"/>
      <c r="F14" s="489"/>
      <c r="G14" s="489"/>
      <c r="H14" s="489"/>
      <c r="I14" s="489"/>
      <c r="J14" s="489"/>
      <c r="K14" s="489"/>
      <c r="L14" s="489"/>
      <c r="M14" s="489"/>
      <c r="N14" s="489"/>
      <c r="O14" s="489"/>
      <c r="P14" s="489"/>
      <c r="Q14" s="489"/>
      <c r="R14" s="489"/>
      <c r="S14" s="489"/>
      <c r="T14" s="1598"/>
      <c r="U14" s="1598"/>
      <c r="V14" s="1887"/>
      <c r="W14" s="489"/>
      <c r="X14" s="1887"/>
      <c r="Y14" s="489"/>
      <c r="Z14" s="1599"/>
      <c r="AA14" s="489"/>
      <c r="AB14" s="1887"/>
      <c r="AC14" s="489"/>
      <c r="AD14" s="1887"/>
      <c r="AE14" s="489"/>
      <c r="AF14" s="1916"/>
      <c r="AG14" s="489"/>
      <c r="AH14" s="489"/>
      <c r="AI14" s="489"/>
      <c r="AK14" s="1589"/>
      <c r="AL14" s="1589"/>
    </row>
    <row r="15" spans="1:38" ht="18" customHeight="1">
      <c r="A15" s="1600" t="s">
        <v>1064</v>
      </c>
      <c r="B15" s="565"/>
      <c r="C15" s="565"/>
      <c r="D15" s="489"/>
      <c r="E15" s="489"/>
      <c r="F15" s="489"/>
      <c r="G15" s="489"/>
      <c r="H15" s="489"/>
      <c r="I15" s="489"/>
      <c r="J15" s="489"/>
      <c r="K15" s="489"/>
      <c r="L15" s="489"/>
      <c r="M15" s="489"/>
      <c r="N15" s="489"/>
      <c r="O15" s="489"/>
      <c r="P15" s="489"/>
      <c r="Q15" s="489"/>
      <c r="R15" s="489"/>
      <c r="S15" s="489"/>
      <c r="T15" s="1598"/>
      <c r="U15" s="1598"/>
      <c r="V15" s="489"/>
      <c r="W15" s="489"/>
      <c r="X15" s="489"/>
      <c r="Y15" s="489"/>
      <c r="Z15" s="1599"/>
      <c r="AA15" s="489"/>
      <c r="AB15" s="489"/>
      <c r="AC15" s="489"/>
      <c r="AD15" s="489"/>
      <c r="AE15" s="489"/>
      <c r="AF15" s="1916"/>
      <c r="AG15" s="489"/>
      <c r="AH15" s="489"/>
      <c r="AI15" s="489"/>
      <c r="AK15" s="1589"/>
      <c r="AL15" s="1589"/>
    </row>
    <row r="16" spans="1:38" ht="18" customHeight="1">
      <c r="A16" s="565" t="s">
        <v>1543</v>
      </c>
      <c r="B16" s="565"/>
      <c r="C16" s="1372"/>
      <c r="D16" s="918">
        <f>'Exhibit F'!Z17</f>
        <v>6398.5999999999995</v>
      </c>
      <c r="E16" s="918"/>
      <c r="F16" s="918">
        <f>'Exhibit F'!AC17</f>
        <v>52476.7</v>
      </c>
      <c r="G16" s="918"/>
      <c r="H16" s="1132">
        <v>0</v>
      </c>
      <c r="I16" s="918"/>
      <c r="J16" s="1132">
        <v>0</v>
      </c>
      <c r="K16" s="918"/>
      <c r="L16" s="1132">
        <v>0</v>
      </c>
      <c r="M16" s="918"/>
      <c r="N16" s="1132">
        <v>0</v>
      </c>
      <c r="O16" s="918"/>
      <c r="P16" s="1132">
        <v>0</v>
      </c>
      <c r="Q16" s="918"/>
      <c r="R16" s="1132">
        <v>0</v>
      </c>
      <c r="S16" s="918"/>
      <c r="T16" s="1601"/>
      <c r="U16" s="1602"/>
      <c r="V16" s="1146">
        <f>SUM(D16)+SUM(H16)+SUM(L16)+SUM(P16)</f>
        <v>6398.5999999999995</v>
      </c>
      <c r="W16" s="918"/>
      <c r="X16" s="1146">
        <f>SUM(F16)+SUM(J16)+SUM(N16)+SUM(R16)</f>
        <v>52476.7</v>
      </c>
      <c r="Y16" s="1132"/>
      <c r="Z16" s="1603"/>
      <c r="AA16" s="918"/>
      <c r="AB16" s="1888">
        <v>6406.8</v>
      </c>
      <c r="AC16" s="918"/>
      <c r="AD16" s="1146">
        <f>'Cashflow Governmental'!AE21</f>
        <v>53327.700000000004</v>
      </c>
      <c r="AE16" s="1146"/>
      <c r="AF16" s="1916"/>
      <c r="AG16" s="1132"/>
      <c r="AH16" s="1146">
        <f>ROUND(SUM(X16)-SUM(AD16),1)</f>
        <v>-851</v>
      </c>
      <c r="AI16" s="450"/>
      <c r="AJ16" s="1147">
        <f>ROUND(AH16/AD16,3)</f>
        <v>-1.6E-2</v>
      </c>
      <c r="AK16" s="994"/>
      <c r="AL16" s="1589"/>
    </row>
    <row r="17" spans="1:38" ht="18" customHeight="1">
      <c r="A17" s="1604" t="s">
        <v>865</v>
      </c>
      <c r="B17" s="565"/>
      <c r="C17" s="1605"/>
      <c r="D17" s="448">
        <f>'Exhibit F'!Z18</f>
        <v>126</v>
      </c>
      <c r="E17" s="448"/>
      <c r="F17" s="448">
        <f>'Exhibit F'!AC18</f>
        <v>18428.099999999999</v>
      </c>
      <c r="G17" s="448"/>
      <c r="H17" s="452">
        <v>0</v>
      </c>
      <c r="I17" s="1130"/>
      <c r="J17" s="452">
        <v>0</v>
      </c>
      <c r="K17" s="448"/>
      <c r="L17" s="452">
        <v>0</v>
      </c>
      <c r="M17" s="1130"/>
      <c r="N17" s="452">
        <v>0</v>
      </c>
      <c r="O17" s="448"/>
      <c r="P17" s="452">
        <v>0</v>
      </c>
      <c r="Q17" s="1130"/>
      <c r="R17" s="452">
        <v>0</v>
      </c>
      <c r="S17" s="448"/>
      <c r="T17" s="1606"/>
      <c r="U17" s="1606"/>
      <c r="V17" s="1130">
        <f t="shared" ref="V17:V20" si="0">SUM(D17)+SUM(H17)+SUM(L17)+SUM(P17)</f>
        <v>126</v>
      </c>
      <c r="W17" s="448"/>
      <c r="X17" s="1130">
        <f t="shared" ref="X17:X23" si="1">SUM(F17)+SUM(J17)+SUM(N17)+SUM(R17)</f>
        <v>18428.099999999999</v>
      </c>
      <c r="Y17" s="1607"/>
      <c r="Z17" s="1608"/>
      <c r="AA17" s="448"/>
      <c r="AB17" s="919">
        <v>189.9</v>
      </c>
      <c r="AC17" s="448"/>
      <c r="AD17" s="1130">
        <f>'Cashflow Governmental'!AE22</f>
        <v>21665.9</v>
      </c>
      <c r="AE17" s="1130"/>
      <c r="AF17" s="1916"/>
      <c r="AG17" s="1607"/>
      <c r="AH17" s="1130">
        <f>ROUND(SUM(X17)-SUM(AD17),1)</f>
        <v>-3237.8</v>
      </c>
      <c r="AI17" s="1609"/>
      <c r="AJ17" s="994">
        <f>ROUND(AH17/AD17,3)</f>
        <v>-0.14899999999999999</v>
      </c>
      <c r="AK17" s="994"/>
      <c r="AL17" s="1589"/>
    </row>
    <row r="18" spans="1:38" ht="18" customHeight="1">
      <c r="A18" s="565" t="s">
        <v>802</v>
      </c>
      <c r="B18" s="565" t="s">
        <v>14</v>
      </c>
      <c r="C18" s="565"/>
      <c r="D18" s="448">
        <f>'Exhibit F'!Z19</f>
        <v>253.00000000000091</v>
      </c>
      <c r="E18" s="448"/>
      <c r="F18" s="448">
        <f>'Exhibit F'!AC19</f>
        <v>5450.3</v>
      </c>
      <c r="G18" s="448"/>
      <c r="H18" s="452">
        <v>0</v>
      </c>
      <c r="I18" s="1130"/>
      <c r="J18" s="452">
        <v>0</v>
      </c>
      <c r="K18" s="448"/>
      <c r="L18" s="452">
        <v>0</v>
      </c>
      <c r="M18" s="1130"/>
      <c r="N18" s="452">
        <v>0</v>
      </c>
      <c r="O18" s="448"/>
      <c r="P18" s="452">
        <v>0</v>
      </c>
      <c r="Q18" s="1130"/>
      <c r="R18" s="452">
        <v>0</v>
      </c>
      <c r="S18" s="448"/>
      <c r="T18" s="1606"/>
      <c r="U18" s="1606"/>
      <c r="V18" s="1130">
        <f t="shared" si="0"/>
        <v>253.00000000000091</v>
      </c>
      <c r="W18" s="448"/>
      <c r="X18" s="1130">
        <f t="shared" si="1"/>
        <v>5450.3</v>
      </c>
      <c r="Y18" s="1607"/>
      <c r="Z18" s="1608"/>
      <c r="AA18" s="448"/>
      <c r="AB18" s="919">
        <v>327.9</v>
      </c>
      <c r="AC18" s="448"/>
      <c r="AD18" s="1130">
        <f>'Cashflow Governmental'!AE23</f>
        <v>4631.1000000000004</v>
      </c>
      <c r="AE18" s="1130"/>
      <c r="AF18" s="1916"/>
      <c r="AG18" s="1607"/>
      <c r="AH18" s="1130">
        <f>ROUND(SUM(X18)-SUM(AD18),1)</f>
        <v>819.2</v>
      </c>
      <c r="AI18" s="1609"/>
      <c r="AJ18" s="994">
        <f>ROUND(AH18/AD18,3)</f>
        <v>0.17699999999999999</v>
      </c>
      <c r="AK18" s="994"/>
      <c r="AL18" s="1589"/>
    </row>
    <row r="19" spans="1:38" ht="18" customHeight="1">
      <c r="A19" s="1604" t="s">
        <v>803</v>
      </c>
      <c r="B19" s="565"/>
      <c r="C19" s="565"/>
      <c r="D19" s="448">
        <f>'Exhibit F'!Z20</f>
        <v>-77.099999999999909</v>
      </c>
      <c r="E19" s="448"/>
      <c r="F19" s="448">
        <f>'Exhibit F'!AC20</f>
        <v>-2008.1</v>
      </c>
      <c r="G19" s="448"/>
      <c r="H19" s="452">
        <v>0</v>
      </c>
      <c r="I19" s="1130"/>
      <c r="J19" s="452">
        <v>0</v>
      </c>
      <c r="K19" s="448"/>
      <c r="L19" s="452">
        <v>0</v>
      </c>
      <c r="M19" s="1130"/>
      <c r="N19" s="452">
        <v>0</v>
      </c>
      <c r="O19" s="448"/>
      <c r="P19" s="452">
        <v>0</v>
      </c>
      <c r="Q19" s="1130"/>
      <c r="R19" s="452">
        <v>0</v>
      </c>
      <c r="S19" s="448"/>
      <c r="T19" s="1606"/>
      <c r="U19" s="1606"/>
      <c r="V19" s="1130">
        <f t="shared" si="0"/>
        <v>-77.099999999999909</v>
      </c>
      <c r="W19" s="448"/>
      <c r="X19" s="1130">
        <f t="shared" si="1"/>
        <v>-2008.1</v>
      </c>
      <c r="Y19" s="1607"/>
      <c r="Z19" s="1608"/>
      <c r="AA19" s="448"/>
      <c r="AB19" s="919">
        <v>-136.19999999999999</v>
      </c>
      <c r="AC19" s="448"/>
      <c r="AD19" s="1130">
        <f>'Cashflow Governmental'!AE24</f>
        <v>-1122.3</v>
      </c>
      <c r="AE19" s="1130"/>
      <c r="AF19" s="1916"/>
      <c r="AG19" s="1607"/>
      <c r="AH19" s="1130">
        <f>-ROUND(SUM(X19)-SUM(AD19),1)</f>
        <v>885.8</v>
      </c>
      <c r="AI19" s="1609"/>
      <c r="AJ19" s="994">
        <f>-ROUND(AH19/AD19,3)</f>
        <v>0.78900000000000003</v>
      </c>
      <c r="AK19" s="994"/>
      <c r="AL19" s="1589"/>
    </row>
    <row r="20" spans="1:38" ht="18" customHeight="1">
      <c r="A20" s="1604" t="s">
        <v>804</v>
      </c>
      <c r="B20" s="565" t="s">
        <v>14</v>
      </c>
      <c r="C20" s="565"/>
      <c r="D20" s="448">
        <f>'Exhibit F'!Z21</f>
        <v>193.39999999999989</v>
      </c>
      <c r="E20" s="448"/>
      <c r="F20" s="448">
        <f>'Exhibit F'!AC21</f>
        <v>1792.1</v>
      </c>
      <c r="G20" s="448"/>
      <c r="H20" s="452">
        <v>0</v>
      </c>
      <c r="I20" s="1130"/>
      <c r="J20" s="452">
        <v>0</v>
      </c>
      <c r="K20" s="448"/>
      <c r="L20" s="452">
        <v>0</v>
      </c>
      <c r="M20" s="1130"/>
      <c r="N20" s="452">
        <v>0</v>
      </c>
      <c r="O20" s="448"/>
      <c r="P20" s="452">
        <v>0</v>
      </c>
      <c r="Q20" s="1130"/>
      <c r="R20" s="452">
        <v>0</v>
      </c>
      <c r="S20" s="448"/>
      <c r="T20" s="1606"/>
      <c r="U20" s="1606"/>
      <c r="V20" s="1130">
        <f t="shared" si="0"/>
        <v>193.39999999999989</v>
      </c>
      <c r="W20" s="448"/>
      <c r="X20" s="1130">
        <f t="shared" si="1"/>
        <v>1792.1</v>
      </c>
      <c r="Y20" s="1607"/>
      <c r="Z20" s="1608"/>
      <c r="AA20" s="448"/>
      <c r="AB20" s="919">
        <v>170.1</v>
      </c>
      <c r="AC20" s="448"/>
      <c r="AD20" s="1130">
        <f>'Cashflow Governmental'!AE25</f>
        <v>1494.1</v>
      </c>
      <c r="AE20" s="1130"/>
      <c r="AF20" s="1916"/>
      <c r="AG20" s="1607"/>
      <c r="AH20" s="1130">
        <f>ROUND(SUM(X20)-SUM(AD20),1)</f>
        <v>298</v>
      </c>
      <c r="AI20" s="1609"/>
      <c r="AJ20" s="1900">
        <f>ROUND(AH20/AD20,3)</f>
        <v>0.19900000000000001</v>
      </c>
      <c r="AK20" s="994"/>
      <c r="AL20" s="1589"/>
    </row>
    <row r="21" spans="1:38" s="1616" customFormat="1" ht="18" customHeight="1">
      <c r="A21" s="1600" t="s">
        <v>805</v>
      </c>
      <c r="B21" s="1600"/>
      <c r="C21" s="1600"/>
      <c r="D21" s="1133">
        <f>ROUND(SUM(D16:D20),1)</f>
        <v>6893.9</v>
      </c>
      <c r="E21" s="16"/>
      <c r="F21" s="1133">
        <f>ROUND(SUM(F16:F20),1)</f>
        <v>76139.100000000006</v>
      </c>
      <c r="G21" s="16"/>
      <c r="H21" s="1133">
        <f>ROUND(SUM(H16:H20),1)</f>
        <v>0</v>
      </c>
      <c r="I21" s="1610"/>
      <c r="J21" s="1133">
        <f>ROUND(SUM(J16:J20),1)</f>
        <v>0</v>
      </c>
      <c r="K21" s="16"/>
      <c r="L21" s="1133">
        <f>ROUND(SUM(L16:L20),1)</f>
        <v>0</v>
      </c>
      <c r="M21" s="1610"/>
      <c r="N21" s="1133">
        <f>ROUND(SUM(N16:N20),1)</f>
        <v>0</v>
      </c>
      <c r="O21" s="16"/>
      <c r="P21" s="1133">
        <f>ROUND(SUM(P16:P20),1)</f>
        <v>0</v>
      </c>
      <c r="Q21" s="1610"/>
      <c r="R21" s="1133">
        <f>ROUND(SUM(R16:R20),1)</f>
        <v>0</v>
      </c>
      <c r="S21" s="16"/>
      <c r="T21" s="1611"/>
      <c r="U21" s="1611"/>
      <c r="V21" s="1612">
        <f>ROUND(SUM(V16:V20),1)</f>
        <v>6893.9</v>
      </c>
      <c r="W21" s="16"/>
      <c r="X21" s="1612">
        <f>ROUND(SUM(X16:X20),1)</f>
        <v>76139.100000000006</v>
      </c>
      <c r="Y21" s="1613"/>
      <c r="Z21" s="1389"/>
      <c r="AA21" s="16"/>
      <c r="AB21" s="178">
        <f>ROUND(SUM(AB16:AB20),1)</f>
        <v>6958.5</v>
      </c>
      <c r="AC21" s="16"/>
      <c r="AD21" s="2099">
        <f>ROUND(SUM(AD16:AD20),1)</f>
        <v>79996.5</v>
      </c>
      <c r="AE21" s="1610"/>
      <c r="AF21" s="1916"/>
      <c r="AG21" s="1613"/>
      <c r="AH21" s="1935">
        <f>ROUND(SUM(X21)-SUM(AD21),1)</f>
        <v>-3857.4</v>
      </c>
      <c r="AI21" s="4"/>
      <c r="AJ21" s="1901">
        <f>ROUND(AH21/AD21,3)</f>
        <v>-4.8000000000000001E-2</v>
      </c>
      <c r="AK21" s="1614"/>
      <c r="AL21" s="1615"/>
    </row>
    <row r="22" spans="1:38" ht="18" customHeight="1">
      <c r="A22" s="1604" t="s">
        <v>806</v>
      </c>
      <c r="B22" s="565"/>
      <c r="C22" s="565"/>
      <c r="D22" s="919">
        <f>'Exhibit F'!Z23</f>
        <v>-51.600000000000136</v>
      </c>
      <c r="E22" s="1130"/>
      <c r="F22" s="919">
        <f>'Exhibit F'!AC23</f>
        <v>-1781.2</v>
      </c>
      <c r="G22" s="448"/>
      <c r="H22" s="448">
        <f>'Exhibit G'!Z17</f>
        <v>51.600000000000136</v>
      </c>
      <c r="I22" s="1130"/>
      <c r="J22" s="919">
        <f>'Exhibit G'!AD17</f>
        <v>1781.2</v>
      </c>
      <c r="K22" s="448"/>
      <c r="L22" s="1134">
        <v>0</v>
      </c>
      <c r="M22" s="1130"/>
      <c r="N22" s="1134">
        <v>0</v>
      </c>
      <c r="O22" s="448"/>
      <c r="P22" s="1134">
        <v>0</v>
      </c>
      <c r="Q22" s="1130"/>
      <c r="R22" s="1134">
        <v>0</v>
      </c>
      <c r="S22" s="448"/>
      <c r="T22" s="1606"/>
      <c r="U22" s="1606"/>
      <c r="V22" s="1617">
        <f>SUM(D22)+SUM(H22)+SUM(L22)+SUM(P22)</f>
        <v>0</v>
      </c>
      <c r="W22" s="448"/>
      <c r="X22" s="1617">
        <f t="shared" si="1"/>
        <v>0</v>
      </c>
      <c r="Y22" s="1607"/>
      <c r="Z22" s="1608"/>
      <c r="AA22" s="448"/>
      <c r="AB22" s="919">
        <v>0</v>
      </c>
      <c r="AC22" s="448"/>
      <c r="AD22" s="1130">
        <f>'Cashflow Governmental'!AE27</f>
        <v>0</v>
      </c>
      <c r="AE22" s="452"/>
      <c r="AF22" s="1916"/>
      <c r="AG22" s="1607"/>
      <c r="AH22" s="452">
        <f>ROUND(SUM(X22)-SUM(AD22),1)</f>
        <v>0</v>
      </c>
      <c r="AI22" s="1609"/>
      <c r="AJ22" s="469">
        <f>ROUND(IF(AD22=0,0,AH22/(AD22)),3)</f>
        <v>0</v>
      </c>
      <c r="AK22" s="1618"/>
      <c r="AL22" s="1589"/>
    </row>
    <row r="23" spans="1:38" ht="18" customHeight="1">
      <c r="A23" s="1604" t="s">
        <v>807</v>
      </c>
      <c r="B23" s="565"/>
      <c r="C23" s="565"/>
      <c r="D23" s="919">
        <f>'Exhibit F'!Z24</f>
        <v>-2118.7999999999993</v>
      </c>
      <c r="E23" s="448"/>
      <c r="F23" s="919">
        <f>'Exhibit F'!AC24</f>
        <v>-29387.8</v>
      </c>
      <c r="G23" s="448"/>
      <c r="H23" s="452">
        <v>0</v>
      </c>
      <c r="I23" s="1130"/>
      <c r="J23" s="452">
        <v>0</v>
      </c>
      <c r="K23" s="448"/>
      <c r="L23" s="1130">
        <f>'Exhibit H'!X16</f>
        <v>2118.7999999999993</v>
      </c>
      <c r="M23" s="1130"/>
      <c r="N23" s="1130">
        <f>'Exhibit H'!AA16</f>
        <v>29387.8</v>
      </c>
      <c r="O23" s="448"/>
      <c r="P23" s="452">
        <v>0</v>
      </c>
      <c r="Q23" s="1130"/>
      <c r="R23" s="452">
        <v>0</v>
      </c>
      <c r="S23" s="448"/>
      <c r="T23" s="1606"/>
      <c r="U23" s="1606"/>
      <c r="V23" s="1130">
        <f>ROUND(SUM(D23)+SUM(H23)+SUM(L23)+SUM(P23),1)</f>
        <v>0</v>
      </c>
      <c r="W23" s="448"/>
      <c r="X23" s="1130">
        <f t="shared" si="1"/>
        <v>0</v>
      </c>
      <c r="Y23" s="1607"/>
      <c r="Z23" s="1608"/>
      <c r="AA23" s="448"/>
      <c r="AB23" s="919">
        <v>0</v>
      </c>
      <c r="AC23" s="448"/>
      <c r="AD23" s="1130">
        <f>'Cashflow Governmental'!AE28</f>
        <v>0</v>
      </c>
      <c r="AE23" s="452"/>
      <c r="AF23" s="1916"/>
      <c r="AG23" s="1607"/>
      <c r="AH23" s="452">
        <f>ROUND(SUM(X23)-SUM(AD23),1)</f>
        <v>0</v>
      </c>
      <c r="AI23" s="1609"/>
      <c r="AJ23" s="469">
        <f>ROUND(IF(AD23=0,0,AH23/(AD23)),3)</f>
        <v>0</v>
      </c>
      <c r="AK23" s="1618"/>
      <c r="AL23" s="1589"/>
    </row>
    <row r="24" spans="1:38" ht="18" customHeight="1">
      <c r="A24" s="565" t="s">
        <v>808</v>
      </c>
      <c r="B24" s="565"/>
      <c r="C24" s="565"/>
      <c r="D24" s="919">
        <f>'Exhibit F'!Z25</f>
        <v>-2656.2999999999993</v>
      </c>
      <c r="E24" s="448"/>
      <c r="F24" s="919">
        <f>'Exhibit F'!AC25</f>
        <v>-17363.5</v>
      </c>
      <c r="G24" s="448"/>
      <c r="H24" s="452">
        <v>0</v>
      </c>
      <c r="I24" s="1130"/>
      <c r="J24" s="452">
        <v>0</v>
      </c>
      <c r="K24" s="448"/>
      <c r="L24" s="452">
        <v>0</v>
      </c>
      <c r="M24" s="1130"/>
      <c r="N24" s="452">
        <v>0</v>
      </c>
      <c r="O24" s="448"/>
      <c r="P24" s="452">
        <v>0</v>
      </c>
      <c r="Q24" s="1130"/>
      <c r="R24" s="452">
        <v>0</v>
      </c>
      <c r="S24" s="448"/>
      <c r="T24" s="1606"/>
      <c r="U24" s="1606"/>
      <c r="V24" s="1130">
        <f>SUM(D24)+SUM(H24)+SUM(L24)+SUM(P24)</f>
        <v>-2656.2999999999993</v>
      </c>
      <c r="W24" s="448"/>
      <c r="X24" s="1130">
        <f>SUM(F24)+SUM(J24)+SUM(N24)+SUM(R24)</f>
        <v>-17363.5</v>
      </c>
      <c r="Y24" s="1607"/>
      <c r="Z24" s="1608"/>
      <c r="AA24" s="448"/>
      <c r="AB24" s="919">
        <v>-1785.8</v>
      </c>
      <c r="AC24" s="448"/>
      <c r="AD24" s="1130">
        <f>'Cashflow Governmental'!AE29</f>
        <v>-9259.2000000000007</v>
      </c>
      <c r="AE24" s="1130"/>
      <c r="AF24" s="1916"/>
      <c r="AG24" s="1607"/>
      <c r="AH24" s="1130">
        <f>-ROUND(SUM(X24)-SUM(AD24),1)</f>
        <v>8104.3</v>
      </c>
      <c r="AI24" s="1609"/>
      <c r="AJ24" s="1148">
        <f>-ROUND(AH24/AD24,3)</f>
        <v>0.875</v>
      </c>
      <c r="AK24" s="994"/>
      <c r="AL24" s="1589"/>
    </row>
    <row r="25" spans="1:38" ht="18" customHeight="1">
      <c r="A25" s="1619" t="s">
        <v>809</v>
      </c>
      <c r="B25" s="565"/>
      <c r="C25" s="565"/>
      <c r="D25" s="1135">
        <f>ROUND(SUM(D21:D24),1)</f>
        <v>2067.1999999999998</v>
      </c>
      <c r="E25" s="16"/>
      <c r="F25" s="1135">
        <f>ROUND(SUM(F21:F24),1)</f>
        <v>27606.6</v>
      </c>
      <c r="G25" s="16"/>
      <c r="H25" s="1135">
        <f>ROUND(SUM(H21:H24),1)</f>
        <v>51.6</v>
      </c>
      <c r="I25" s="1610"/>
      <c r="J25" s="1135">
        <f>ROUND(SUM(J21:J24),1)</f>
        <v>1781.2</v>
      </c>
      <c r="K25" s="16"/>
      <c r="L25" s="1135">
        <f>ROUND(SUM(L21:L24),1)</f>
        <v>2118.8000000000002</v>
      </c>
      <c r="M25" s="1610"/>
      <c r="N25" s="1135">
        <f>ROUND(SUM(N21:N24),1)</f>
        <v>29387.8</v>
      </c>
      <c r="O25" s="16"/>
      <c r="P25" s="1135">
        <f>ROUND(SUM(P21:P24),1)</f>
        <v>0</v>
      </c>
      <c r="Q25" s="1610"/>
      <c r="R25" s="1135">
        <f>ROUND(SUM(R21:R24),1)</f>
        <v>0</v>
      </c>
      <c r="S25" s="16"/>
      <c r="T25" s="1611"/>
      <c r="U25" s="1611"/>
      <c r="V25" s="1612">
        <f>ROUND(SUM(V21:V24),1)</f>
        <v>4237.6000000000004</v>
      </c>
      <c r="W25" s="16"/>
      <c r="X25" s="1612">
        <f>ROUND(SUM(X21:X24),1)</f>
        <v>58775.6</v>
      </c>
      <c r="Y25" s="1620"/>
      <c r="Z25" s="1389"/>
      <c r="AA25" s="16"/>
      <c r="AB25" s="1889">
        <f>ROUND(SUM(AB21:AB24),1)</f>
        <v>5172.7</v>
      </c>
      <c r="AC25" s="16"/>
      <c r="AD25" s="1612">
        <f>ROUND(SUM(AD21:AD24),1)</f>
        <v>70737.3</v>
      </c>
      <c r="AE25" s="16" t="s">
        <v>14</v>
      </c>
      <c r="AF25" s="1916"/>
      <c r="AG25" s="1613"/>
      <c r="AH25" s="1149">
        <f>ROUND(SUM(X25)-SUM(AD25),1)</f>
        <v>-11961.7</v>
      </c>
      <c r="AI25" s="4"/>
      <c r="AJ25" s="995">
        <f>ROUND(AH25/AD25,3)</f>
        <v>-0.16900000000000001</v>
      </c>
      <c r="AK25" s="1614"/>
      <c r="AL25" s="1615"/>
    </row>
    <row r="26" spans="1:38" ht="18" customHeight="1">
      <c r="A26" s="565"/>
      <c r="B26" s="565"/>
      <c r="C26" s="565"/>
      <c r="D26" s="1136"/>
      <c r="E26" s="448"/>
      <c r="F26" s="1136" t="s">
        <v>14</v>
      </c>
      <c r="G26" s="448"/>
      <c r="H26" s="1136"/>
      <c r="I26" s="448"/>
      <c r="J26" s="1136" t="s">
        <v>1148</v>
      </c>
      <c r="K26" s="448"/>
      <c r="L26" s="1136" t="s">
        <v>14</v>
      </c>
      <c r="M26" s="448"/>
      <c r="N26" s="1136" t="s">
        <v>14</v>
      </c>
      <c r="O26" s="448"/>
      <c r="P26" s="1136"/>
      <c r="Q26" s="448"/>
      <c r="R26" s="1136"/>
      <c r="S26" s="448"/>
      <c r="T26" s="1606"/>
      <c r="U26" s="1606"/>
      <c r="V26" s="1136"/>
      <c r="W26" s="448"/>
      <c r="X26" s="1136"/>
      <c r="Y26" s="448"/>
      <c r="Z26" s="1608"/>
      <c r="AA26" s="448"/>
      <c r="AB26" s="1136"/>
      <c r="AC26" s="448"/>
      <c r="AD26" s="1136"/>
      <c r="AE26" s="448"/>
      <c r="AF26" s="1916"/>
      <c r="AG26" s="448"/>
      <c r="AH26" s="448"/>
      <c r="AI26" s="450"/>
      <c r="AJ26" s="1621"/>
      <c r="AK26" s="1618"/>
      <c r="AL26" s="1589"/>
    </row>
    <row r="27" spans="1:38" ht="18" customHeight="1">
      <c r="A27" s="1619" t="s">
        <v>1065</v>
      </c>
      <c r="B27" s="565"/>
      <c r="C27" s="1605"/>
      <c r="D27" s="2231"/>
      <c r="E27" s="448"/>
      <c r="F27" s="448"/>
      <c r="G27" s="448"/>
      <c r="H27" s="448"/>
      <c r="I27" s="448"/>
      <c r="J27" s="448"/>
      <c r="K27" s="448"/>
      <c r="L27" s="448"/>
      <c r="M27" s="448"/>
      <c r="N27" s="448"/>
      <c r="O27" s="448"/>
      <c r="P27" s="448"/>
      <c r="Q27" s="448"/>
      <c r="R27" s="448"/>
      <c r="S27" s="448"/>
      <c r="T27" s="1606"/>
      <c r="U27" s="1606"/>
      <c r="V27" s="448"/>
      <c r="W27" s="448"/>
      <c r="X27" s="448"/>
      <c r="Y27" s="448"/>
      <c r="Z27" s="1608"/>
      <c r="AA27" s="448"/>
      <c r="AB27" s="448"/>
      <c r="AC27" s="448"/>
      <c r="AD27" s="448"/>
      <c r="AE27" s="448"/>
      <c r="AF27" s="1916"/>
      <c r="AG27" s="448"/>
      <c r="AH27" s="448"/>
      <c r="AI27" s="450"/>
      <c r="AJ27" s="1621"/>
      <c r="AK27" s="1618"/>
      <c r="AL27" s="1589"/>
    </row>
    <row r="28" spans="1:38" ht="18" customHeight="1">
      <c r="A28" s="565" t="s">
        <v>810</v>
      </c>
      <c r="B28" s="565"/>
      <c r="C28" s="565"/>
      <c r="D28" s="448">
        <f>'Exhibit F'!Z28</f>
        <v>806.19999999999891</v>
      </c>
      <c r="E28" s="448"/>
      <c r="F28" s="448">
        <f>'Exhibit F'!AC28</f>
        <v>6663</v>
      </c>
      <c r="G28" s="448"/>
      <c r="H28" s="448">
        <f>'Exhibit G'!Z20</f>
        <v>51.400000000000091</v>
      </c>
      <c r="I28" s="448"/>
      <c r="J28" s="448">
        <f>'Exhibit G'!AD20</f>
        <v>1217</v>
      </c>
      <c r="K28" s="448"/>
      <c r="L28" s="1130">
        <f>'Exhibit H'!X19</f>
        <v>806.10000000000082</v>
      </c>
      <c r="M28" s="1130"/>
      <c r="N28" s="1130">
        <f>'Exhibit H'!AA19</f>
        <v>11053.4</v>
      </c>
      <c r="O28" s="448"/>
      <c r="P28" s="452">
        <v>0</v>
      </c>
      <c r="Q28" s="1130"/>
      <c r="R28" s="452">
        <v>0</v>
      </c>
      <c r="S28" s="448"/>
      <c r="T28" s="1606"/>
      <c r="U28" s="1606"/>
      <c r="V28" s="1130">
        <f t="shared" ref="V28:V34" si="2">SUM(D28)+SUM(H28)+SUM(L28)+SUM(P28)</f>
        <v>1663.6999999999998</v>
      </c>
      <c r="W28" s="448"/>
      <c r="X28" s="1130">
        <f t="shared" ref="X28:X35" si="3">SUM(F28)+SUM(J28)+SUM(N28)+SUM(R28)</f>
        <v>18933.400000000001</v>
      </c>
      <c r="Y28" s="448"/>
      <c r="Z28" s="1608"/>
      <c r="AA28" s="448"/>
      <c r="AB28" s="919">
        <v>1655.1000000000001</v>
      </c>
      <c r="AC28" s="448"/>
      <c r="AD28" s="1130">
        <f>'Cashflow Governmental'!AE32</f>
        <v>17580.099999999999</v>
      </c>
      <c r="AE28" s="1130"/>
      <c r="AF28" s="1916"/>
      <c r="AG28" s="448"/>
      <c r="AH28" s="448">
        <f t="shared" ref="AH28:AH38" si="4">ROUND(SUM(X28)-SUM(AD28),1)</f>
        <v>1353.3</v>
      </c>
      <c r="AI28" s="1609"/>
      <c r="AJ28" s="994">
        <f t="shared" ref="AJ28:AJ38" si="5">ROUND(AH28/AD28,3)</f>
        <v>7.6999999999999999E-2</v>
      </c>
      <c r="AK28" s="994"/>
      <c r="AL28" s="1589"/>
    </row>
    <row r="29" spans="1:38" ht="18" customHeight="1">
      <c r="A29" s="1604" t="s">
        <v>811</v>
      </c>
      <c r="B29" s="565"/>
      <c r="C29" s="492"/>
      <c r="D29" s="448">
        <f>'Exhibit F'!Z29</f>
        <v>0</v>
      </c>
      <c r="E29" s="1130"/>
      <c r="F29" s="448">
        <f>'Exhibit F'!AC29</f>
        <v>0</v>
      </c>
      <c r="G29" s="448"/>
      <c r="H29" s="448">
        <f>'Exhibit G'!Z21</f>
        <v>3.8999999999999986</v>
      </c>
      <c r="I29" s="1130"/>
      <c r="J29" s="448">
        <f>'Exhibit G'!AD21</f>
        <v>28</v>
      </c>
      <c r="K29" s="448"/>
      <c r="L29" s="452">
        <v>0</v>
      </c>
      <c r="M29" s="1130"/>
      <c r="N29" s="452">
        <v>0</v>
      </c>
      <c r="O29" s="448"/>
      <c r="P29" s="919">
        <f>'Exhibit I'!AA20</f>
        <v>9.6999999999999993</v>
      </c>
      <c r="Q29" s="448"/>
      <c r="R29" s="919">
        <f>'Exhibit I'!AF20</f>
        <v>94</v>
      </c>
      <c r="S29" s="448"/>
      <c r="T29" s="1606"/>
      <c r="U29" s="1606"/>
      <c r="V29" s="1130">
        <f t="shared" si="2"/>
        <v>13.599999999999998</v>
      </c>
      <c r="W29" s="448"/>
      <c r="X29" s="1130">
        <f t="shared" si="3"/>
        <v>122</v>
      </c>
      <c r="Y29" s="1607"/>
      <c r="Z29" s="1608"/>
      <c r="AA29" s="448"/>
      <c r="AB29" s="919">
        <v>11.6</v>
      </c>
      <c r="AC29" s="448"/>
      <c r="AD29" s="1130">
        <f>'Cashflow Governmental'!AE33</f>
        <v>99</v>
      </c>
      <c r="AE29" s="1130"/>
      <c r="AF29" s="1916"/>
      <c r="AG29" s="1607"/>
      <c r="AH29" s="1130">
        <f t="shared" si="4"/>
        <v>23</v>
      </c>
      <c r="AI29" s="1622"/>
      <c r="AJ29" s="994">
        <f t="shared" si="5"/>
        <v>0.23200000000000001</v>
      </c>
      <c r="AK29" s="994"/>
      <c r="AL29" s="1589"/>
    </row>
    <row r="30" spans="1:38" ht="18" customHeight="1">
      <c r="A30" s="565" t="s">
        <v>812</v>
      </c>
      <c r="B30" s="565"/>
      <c r="C30" s="565"/>
      <c r="D30" s="448">
        <f>'Exhibit F'!Z30</f>
        <v>4.4000000000000341</v>
      </c>
      <c r="E30" s="448"/>
      <c r="F30" s="448">
        <f>'Exhibit F'!AC30</f>
        <v>265.8</v>
      </c>
      <c r="G30" s="448"/>
      <c r="H30" s="448">
        <f>'Exhibit G'!Z22</f>
        <v>27.39999999999992</v>
      </c>
      <c r="I30" s="1130"/>
      <c r="J30" s="448">
        <f>'Exhibit G'!AD22</f>
        <v>594.5</v>
      </c>
      <c r="K30" s="448"/>
      <c r="L30" s="452">
        <v>0</v>
      </c>
      <c r="M30" s="1130"/>
      <c r="N30" s="452">
        <v>0</v>
      </c>
      <c r="O30" s="448"/>
      <c r="P30" s="452">
        <v>0</v>
      </c>
      <c r="Q30" s="1130"/>
      <c r="R30" s="452">
        <v>0</v>
      </c>
      <c r="S30" s="448"/>
      <c r="T30" s="1606"/>
      <c r="U30" s="1606"/>
      <c r="V30" s="1130">
        <f t="shared" si="2"/>
        <v>31.799999999999955</v>
      </c>
      <c r="W30" s="448"/>
      <c r="X30" s="1130">
        <f t="shared" si="3"/>
        <v>860.3</v>
      </c>
      <c r="Y30" s="1607"/>
      <c r="Z30" s="1608"/>
      <c r="AA30" s="448"/>
      <c r="AB30" s="919">
        <v>55.2</v>
      </c>
      <c r="AC30" s="448"/>
      <c r="AD30" s="1130">
        <f>'Cashflow Governmental'!AE34</f>
        <v>957.3</v>
      </c>
      <c r="AE30" s="919"/>
      <c r="AF30" s="1917"/>
      <c r="AG30" s="1607"/>
      <c r="AH30" s="1130">
        <f t="shared" si="4"/>
        <v>-97</v>
      </c>
      <c r="AI30" s="1609"/>
      <c r="AJ30" s="994">
        <f t="shared" si="5"/>
        <v>-0.10100000000000001</v>
      </c>
      <c r="AK30" s="994"/>
      <c r="AL30" s="1589"/>
    </row>
    <row r="31" spans="1:38" ht="18" customHeight="1">
      <c r="A31" s="565" t="s">
        <v>1440</v>
      </c>
      <c r="B31" s="448"/>
      <c r="C31" s="565"/>
      <c r="D31" s="448">
        <v>0</v>
      </c>
      <c r="E31" s="448"/>
      <c r="F31" s="448">
        <v>0</v>
      </c>
      <c r="G31" s="448"/>
      <c r="H31" s="448">
        <f>'Exhibit G'!Z23</f>
        <v>1.7999999999999972</v>
      </c>
      <c r="I31" s="1130"/>
      <c r="J31" s="448">
        <f>'Exhibit G'!AD23</f>
        <v>12.6</v>
      </c>
      <c r="K31" s="448"/>
      <c r="L31" s="452">
        <v>0</v>
      </c>
      <c r="M31" s="1130"/>
      <c r="N31" s="452">
        <v>0</v>
      </c>
      <c r="O31" s="448"/>
      <c r="P31" s="452">
        <v>0</v>
      </c>
      <c r="Q31" s="1130"/>
      <c r="R31" s="452">
        <v>0</v>
      </c>
      <c r="S31" s="448"/>
      <c r="T31" s="1606"/>
      <c r="U31" s="1606"/>
      <c r="V31" s="1130">
        <f>SUM(D31)+SUM(H31)+SUM(L31)+SUM(P31)</f>
        <v>1.7999999999999972</v>
      </c>
      <c r="W31" s="448"/>
      <c r="X31" s="1130">
        <f>SUM(F31)+SUM(J31)+SUM(N31)+SUM(R31)</f>
        <v>12.6</v>
      </c>
      <c r="Y31" s="1607"/>
      <c r="Z31" s="1608"/>
      <c r="AA31" s="448"/>
      <c r="AB31" s="919">
        <v>0.9</v>
      </c>
      <c r="AC31" s="448"/>
      <c r="AD31" s="1130">
        <f>'Cashflow Governmental'!AE35</f>
        <v>12.9</v>
      </c>
      <c r="AE31" s="919"/>
      <c r="AF31" s="1917"/>
      <c r="AG31" s="1607"/>
      <c r="AH31" s="1130">
        <f>ROUND(SUM(X31)-SUM(AD31),1)</f>
        <v>-0.3</v>
      </c>
      <c r="AI31" s="1609"/>
      <c r="AJ31" s="469">
        <f>ROUND(IF(AD31=0,0,AH31/(AD31)),3)</f>
        <v>-2.3E-2</v>
      </c>
      <c r="AK31" s="994"/>
      <c r="AL31" s="1589"/>
    </row>
    <row r="32" spans="1:38" ht="18" customHeight="1">
      <c r="A32" s="565" t="s">
        <v>813</v>
      </c>
      <c r="B32" s="565"/>
      <c r="C32" s="565"/>
      <c r="D32" s="448">
        <f>'Exhibit F'!Z31</f>
        <v>0</v>
      </c>
      <c r="E32" s="1130"/>
      <c r="F32" s="448">
        <f>'Exhibit F'!AC31</f>
        <v>0</v>
      </c>
      <c r="G32" s="448"/>
      <c r="H32" s="448">
        <f>'Exhibit G'!Z24</f>
        <v>8</v>
      </c>
      <c r="I32" s="1130"/>
      <c r="J32" s="448">
        <f>'Exhibit G'!AD24</f>
        <v>38</v>
      </c>
      <c r="K32" s="448"/>
      <c r="L32" s="452">
        <v>0</v>
      </c>
      <c r="M32" s="1130"/>
      <c r="N32" s="452">
        <v>0</v>
      </c>
      <c r="O32" s="448"/>
      <c r="P32" s="448">
        <f>'Exhibit I'!AA21</f>
        <v>29.900000000000006</v>
      </c>
      <c r="Q32" s="1130"/>
      <c r="R32" s="448">
        <f>'Exhibit I'!AF21</f>
        <v>140.9</v>
      </c>
      <c r="S32" s="448"/>
      <c r="T32" s="1606"/>
      <c r="U32" s="1606"/>
      <c r="V32" s="1130">
        <f t="shared" si="2"/>
        <v>37.900000000000006</v>
      </c>
      <c r="W32" s="448"/>
      <c r="X32" s="1130">
        <f t="shared" si="3"/>
        <v>178.9</v>
      </c>
      <c r="Y32" s="448"/>
      <c r="Z32" s="1608"/>
      <c r="AA32" s="448"/>
      <c r="AB32" s="919">
        <v>35.4</v>
      </c>
      <c r="AC32" s="448"/>
      <c r="AD32" s="1130">
        <f>'Cashflow Governmental'!AE36</f>
        <v>495</v>
      </c>
      <c r="AE32" s="1130"/>
      <c r="AF32" s="1917"/>
      <c r="AG32" s="448"/>
      <c r="AH32" s="1130">
        <f t="shared" si="4"/>
        <v>-316.10000000000002</v>
      </c>
      <c r="AI32" s="450"/>
      <c r="AJ32" s="994">
        <f t="shared" si="5"/>
        <v>-0.63900000000000001</v>
      </c>
      <c r="AK32" s="994"/>
      <c r="AL32" s="1589"/>
    </row>
    <row r="33" spans="1:38" ht="18" customHeight="1">
      <c r="A33" s="755" t="s">
        <v>1536</v>
      </c>
      <c r="B33" s="565"/>
      <c r="C33" s="565"/>
      <c r="D33" s="448">
        <f>'Exhibit F'!Z32</f>
        <v>1.7</v>
      </c>
      <c r="E33" s="1130"/>
      <c r="F33" s="448">
        <f>'Exhibit F'!AC32</f>
        <v>2</v>
      </c>
      <c r="G33" s="448"/>
      <c r="H33" s="448">
        <f>'Exhibit G'!Z25</f>
        <v>-0.1</v>
      </c>
      <c r="I33" s="1130"/>
      <c r="J33" s="448">
        <f>'Exhibit G'!AD25</f>
        <v>0</v>
      </c>
      <c r="K33" s="448"/>
      <c r="L33" s="452">
        <v>0</v>
      </c>
      <c r="M33" s="1130"/>
      <c r="N33" s="452">
        <v>0</v>
      </c>
      <c r="O33" s="448"/>
      <c r="P33" s="448">
        <v>0</v>
      </c>
      <c r="Q33" s="1130"/>
      <c r="R33" s="448">
        <v>0</v>
      </c>
      <c r="S33" s="448"/>
      <c r="T33" s="1606"/>
      <c r="U33" s="1606"/>
      <c r="V33" s="1130">
        <f t="shared" si="2"/>
        <v>1.5999999999999999</v>
      </c>
      <c r="W33" s="448"/>
      <c r="X33" s="1130">
        <f t="shared" si="3"/>
        <v>2</v>
      </c>
      <c r="Y33" s="448"/>
      <c r="Z33" s="1608"/>
      <c r="AA33" s="448"/>
      <c r="AB33" s="919">
        <v>0</v>
      </c>
      <c r="AC33" s="448"/>
      <c r="AD33" s="1130">
        <f>'Cashflow Governmental'!AE37</f>
        <v>0</v>
      </c>
      <c r="AE33" s="1130"/>
      <c r="AF33" s="1917"/>
      <c r="AG33" s="448"/>
      <c r="AH33" s="1130">
        <f t="shared" ref="AH33" si="6">ROUND(SUM(X33)-SUM(AD33),1)</f>
        <v>2</v>
      </c>
      <c r="AI33" s="450"/>
      <c r="AJ33" s="469">
        <f>ROUND(IF(AD33=0,1,AH33/(AD33)),3)</f>
        <v>1</v>
      </c>
      <c r="AK33" s="994"/>
      <c r="AL33" s="1589"/>
    </row>
    <row r="34" spans="1:38" ht="18" customHeight="1">
      <c r="A34" s="565" t="s">
        <v>814</v>
      </c>
      <c r="B34" s="565"/>
      <c r="C34" s="565"/>
      <c r="D34" s="448">
        <f>'Exhibit F'!Z33</f>
        <v>20.500000000000004</v>
      </c>
      <c r="E34" s="448"/>
      <c r="F34" s="448">
        <f>'Exhibit F'!AC33</f>
        <v>282</v>
      </c>
      <c r="G34" s="448"/>
      <c r="H34" s="448">
        <f>'Exhibit G'!Z26</f>
        <v>0</v>
      </c>
      <c r="I34" s="1130"/>
      <c r="J34" s="448">
        <f>'Exhibit G'!AD26</f>
        <v>0</v>
      </c>
      <c r="K34" s="448"/>
      <c r="L34" s="452">
        <v>0</v>
      </c>
      <c r="M34" s="1130"/>
      <c r="N34" s="452">
        <v>0</v>
      </c>
      <c r="O34" s="448"/>
      <c r="P34" s="452">
        <v>0</v>
      </c>
      <c r="Q34" s="1130"/>
      <c r="R34" s="452">
        <v>0</v>
      </c>
      <c r="S34" s="448"/>
      <c r="T34" s="1606"/>
      <c r="U34" s="1606"/>
      <c r="V34" s="1130">
        <f t="shared" si="2"/>
        <v>20.500000000000004</v>
      </c>
      <c r="W34" s="448"/>
      <c r="X34" s="1130">
        <f t="shared" si="3"/>
        <v>282</v>
      </c>
      <c r="Y34" s="1607"/>
      <c r="Z34" s="1608"/>
      <c r="AA34" s="448"/>
      <c r="AB34" s="919">
        <v>20.399999999999999</v>
      </c>
      <c r="AC34" s="448"/>
      <c r="AD34" s="1130">
        <f>'Cashflow Governmental'!AE38</f>
        <v>277.3</v>
      </c>
      <c r="AE34" s="1130"/>
      <c r="AF34" s="1917"/>
      <c r="AG34" s="1607"/>
      <c r="AH34" s="1130">
        <f t="shared" si="4"/>
        <v>4.7</v>
      </c>
      <c r="AI34" s="1609"/>
      <c r="AJ34" s="994">
        <f t="shared" si="5"/>
        <v>1.7000000000000001E-2</v>
      </c>
      <c r="AK34" s="994"/>
      <c r="AL34" s="1589"/>
    </row>
    <row r="35" spans="1:38" ht="18" customHeight="1">
      <c r="A35" s="565" t="s">
        <v>815</v>
      </c>
      <c r="B35" s="565"/>
      <c r="C35" s="565"/>
      <c r="D35" s="448">
        <f>'Exhibit F'!Z34</f>
        <v>0</v>
      </c>
      <c r="E35" s="1130"/>
      <c r="F35" s="448">
        <f>'Exhibit F'!AC34</f>
        <v>0</v>
      </c>
      <c r="G35" s="448"/>
      <c r="H35" s="448">
        <f>'Exhibit G'!Z27</f>
        <v>0</v>
      </c>
      <c r="I35" s="1130"/>
      <c r="J35" s="448">
        <f>'Exhibit G'!AD27</f>
        <v>0.6</v>
      </c>
      <c r="K35" s="448"/>
      <c r="L35" s="452">
        <v>0</v>
      </c>
      <c r="M35" s="1130"/>
      <c r="N35" s="452">
        <v>0</v>
      </c>
      <c r="O35" s="448"/>
      <c r="P35" s="448">
        <f>'Exhibit I'!AA22</f>
        <v>9.2000000000000171</v>
      </c>
      <c r="Q35" s="1130"/>
      <c r="R35" s="448">
        <f>'Exhibit I'!AF22</f>
        <v>141.9</v>
      </c>
      <c r="S35" s="448"/>
      <c r="T35" s="1606"/>
      <c r="U35" s="1606"/>
      <c r="V35" s="1130">
        <f>SUM(D35)+SUM(H35)+SUM(L35)+SUM(P35)</f>
        <v>9.2000000000000171</v>
      </c>
      <c r="W35" s="448"/>
      <c r="X35" s="1130">
        <f t="shared" si="3"/>
        <v>142.5</v>
      </c>
      <c r="Y35" s="1607"/>
      <c r="Z35" s="1608"/>
      <c r="AA35" s="448"/>
      <c r="AB35" s="919">
        <v>8.4</v>
      </c>
      <c r="AC35" s="448"/>
      <c r="AD35" s="1130">
        <f>'Cashflow Governmental'!AE39</f>
        <v>142.10000000000002</v>
      </c>
      <c r="AE35" s="919"/>
      <c r="AF35" s="1917"/>
      <c r="AG35" s="1607"/>
      <c r="AH35" s="452">
        <f t="shared" si="4"/>
        <v>0.4</v>
      </c>
      <c r="AI35" s="1622"/>
      <c r="AJ35" s="994">
        <f>ROUND(AH35/AD35,3)</f>
        <v>3.0000000000000001E-3</v>
      </c>
      <c r="AK35" s="994"/>
      <c r="AL35" s="1589"/>
    </row>
    <row r="36" spans="1:38" ht="18" customHeight="1">
      <c r="A36" s="565" t="s">
        <v>1310</v>
      </c>
      <c r="B36" s="565"/>
      <c r="C36" s="565"/>
      <c r="D36" s="448">
        <f>'Exhibit F'!Z35</f>
        <v>0</v>
      </c>
      <c r="E36" s="1130"/>
      <c r="F36" s="448">
        <f>'Exhibit F'!AC35</f>
        <v>0</v>
      </c>
      <c r="G36" s="448"/>
      <c r="H36" s="448">
        <f>'Exhibit G'!Z28</f>
        <v>5.8999999999999995</v>
      </c>
      <c r="I36" s="1130"/>
      <c r="J36" s="448">
        <f>'Exhibit G'!AD28</f>
        <v>24.8</v>
      </c>
      <c r="K36" s="448"/>
      <c r="L36" s="452">
        <v>0</v>
      </c>
      <c r="M36" s="1130"/>
      <c r="N36" s="452">
        <v>0</v>
      </c>
      <c r="O36" s="448"/>
      <c r="P36" s="448">
        <v>0</v>
      </c>
      <c r="Q36" s="1130"/>
      <c r="R36" s="448">
        <v>0</v>
      </c>
      <c r="S36" s="448"/>
      <c r="T36" s="1606"/>
      <c r="U36" s="1606"/>
      <c r="V36" s="1130">
        <f>SUM(D36)+SUM(H36)+SUM(L36)+SUM(P36)</f>
        <v>5.8999999999999995</v>
      </c>
      <c r="W36" s="448"/>
      <c r="X36" s="1130">
        <f>SUM(F36)+SUM(J36)+SUM(N36)+SUM(R36)</f>
        <v>24.8</v>
      </c>
      <c r="Y36" s="1607"/>
      <c r="Z36" s="1608"/>
      <c r="AA36" s="448"/>
      <c r="AB36" s="919">
        <v>6.5</v>
      </c>
      <c r="AC36" s="448"/>
      <c r="AD36" s="1130">
        <f>'Cashflow Governmental'!AE40</f>
        <v>29.1</v>
      </c>
      <c r="AE36" s="919"/>
      <c r="AF36" s="1917"/>
      <c r="AG36" s="1607"/>
      <c r="AH36" s="452">
        <f>ROUND(SUM(X36)-SUM(AD36),1)</f>
        <v>-4.3</v>
      </c>
      <c r="AI36" s="1622"/>
      <c r="AJ36" s="469">
        <f>ROUND(IF(AD36=0,1,AH36/(AD36)),3)</f>
        <v>-0.14799999999999999</v>
      </c>
      <c r="AK36" s="994"/>
      <c r="AL36" s="1589"/>
    </row>
    <row r="37" spans="1:38" ht="18" customHeight="1">
      <c r="A37" s="565" t="s">
        <v>1311</v>
      </c>
      <c r="B37" s="565"/>
      <c r="C37" s="565"/>
      <c r="D37" s="448">
        <f>'Exhibit F'!Z36</f>
        <v>9.9999999999994316E-2</v>
      </c>
      <c r="E37" s="1130"/>
      <c r="F37" s="448">
        <f>'Exhibit F'!AC36</f>
        <v>26.7</v>
      </c>
      <c r="G37" s="448"/>
      <c r="H37" s="448">
        <v>0</v>
      </c>
      <c r="I37" s="1130"/>
      <c r="J37" s="448">
        <v>0</v>
      </c>
      <c r="K37" s="448"/>
      <c r="L37" s="452">
        <v>0</v>
      </c>
      <c r="M37" s="1130"/>
      <c r="N37" s="452">
        <v>0</v>
      </c>
      <c r="O37" s="448"/>
      <c r="P37" s="448">
        <v>0</v>
      </c>
      <c r="Q37" s="1130"/>
      <c r="R37" s="448">
        <v>0</v>
      </c>
      <c r="S37" s="448"/>
      <c r="T37" s="1606"/>
      <c r="U37" s="1606"/>
      <c r="V37" s="1130">
        <f>SUM(D37)+SUM(H37)+SUM(L37)+SUM(P37)</f>
        <v>9.9999999999994316E-2</v>
      </c>
      <c r="W37" s="448"/>
      <c r="X37" s="1130">
        <f t="shared" ref="X37" si="7">SUM(F37)+SUM(J37)+SUM(N37)+SUM(R37)</f>
        <v>26.7</v>
      </c>
      <c r="Y37" s="1607"/>
      <c r="Z37" s="1608"/>
      <c r="AA37" s="448"/>
      <c r="AB37" s="919">
        <v>0</v>
      </c>
      <c r="AC37" s="448"/>
      <c r="AD37" s="1130">
        <f>'Cashflow Governmental'!AE41</f>
        <v>28.5</v>
      </c>
      <c r="AE37" s="919"/>
      <c r="AF37" s="1917"/>
      <c r="AG37" s="1607"/>
      <c r="AH37" s="452">
        <f t="shared" ref="AH37" si="8">ROUND(SUM(X37)-SUM(AD37),1)</f>
        <v>-1.8</v>
      </c>
      <c r="AI37" s="1622"/>
      <c r="AJ37" s="469">
        <f>ROUND(IF(AD37=0,1,AH37/(AD37)),3)</f>
        <v>-6.3E-2</v>
      </c>
      <c r="AK37" s="994"/>
      <c r="AL37" s="1589"/>
    </row>
    <row r="38" spans="1:38" ht="18" customHeight="1">
      <c r="A38" s="1600" t="s">
        <v>816</v>
      </c>
      <c r="B38" s="565"/>
      <c r="C38" s="565"/>
      <c r="D38" s="1135">
        <f>ROUND(SUM(D28:D37),1)</f>
        <v>832.9</v>
      </c>
      <c r="E38" s="16"/>
      <c r="F38" s="1135">
        <f>ROUND(SUM(F28:F37),1)</f>
        <v>7239.5</v>
      </c>
      <c r="G38" s="16"/>
      <c r="H38" s="1135">
        <f>ROUND(SUM(H28:H37),1)</f>
        <v>98.3</v>
      </c>
      <c r="I38" s="16"/>
      <c r="J38" s="1135">
        <f>ROUND(SUM(J28:J37),1)</f>
        <v>1915.5</v>
      </c>
      <c r="K38" s="16"/>
      <c r="L38" s="1135">
        <f>ROUND(SUM(L28:L37),1)</f>
        <v>806.1</v>
      </c>
      <c r="M38" s="16"/>
      <c r="N38" s="1135">
        <f>ROUND(SUM(N28:N37),1)</f>
        <v>11053.4</v>
      </c>
      <c r="O38" s="16"/>
      <c r="P38" s="1135">
        <f>ROUND(SUM(P28:P37),1)</f>
        <v>48.8</v>
      </c>
      <c r="Q38" s="16"/>
      <c r="R38" s="1135">
        <f>ROUND(SUM(R28:R37),1)</f>
        <v>376.8</v>
      </c>
      <c r="S38" s="16"/>
      <c r="T38" s="1611"/>
      <c r="U38" s="1611"/>
      <c r="V38" s="1135">
        <f>ROUND(SUM(V28:V37),1)</f>
        <v>1786.1</v>
      </c>
      <c r="W38" s="16"/>
      <c r="X38" s="1135">
        <f>ROUND(SUM(X28:X37),1)</f>
        <v>20585.2</v>
      </c>
      <c r="Y38" s="2055"/>
      <c r="Z38" s="1389"/>
      <c r="AA38" s="16"/>
      <c r="AB38" s="1135">
        <f>ROUND(SUM(AB28:AB37),1)</f>
        <v>1793.5</v>
      </c>
      <c r="AC38" s="16"/>
      <c r="AD38" s="1135">
        <f>ROUND(SUM(AD28:AD37),1)</f>
        <v>19621.3</v>
      </c>
      <c r="AE38" s="16"/>
      <c r="AF38" s="1918"/>
      <c r="AG38" s="16"/>
      <c r="AH38" s="1149">
        <f t="shared" si="4"/>
        <v>963.9</v>
      </c>
      <c r="AI38" s="1371"/>
      <c r="AJ38" s="995">
        <f t="shared" si="5"/>
        <v>4.9000000000000002E-2</v>
      </c>
      <c r="AK38" s="1614"/>
      <c r="AL38" s="1615"/>
    </row>
    <row r="39" spans="1:38" ht="18" customHeight="1">
      <c r="A39" s="565"/>
      <c r="B39" s="565"/>
      <c r="C39" s="565"/>
      <c r="D39" s="1136"/>
      <c r="E39" s="448"/>
      <c r="F39" s="1136"/>
      <c r="G39" s="448"/>
      <c r="H39" s="1136"/>
      <c r="I39" s="448"/>
      <c r="J39" s="1136"/>
      <c r="K39" s="448"/>
      <c r="L39" s="1136"/>
      <c r="M39" s="448"/>
      <c r="N39" s="1136"/>
      <c r="O39" s="448"/>
      <c r="P39" s="1136"/>
      <c r="Q39" s="448"/>
      <c r="R39" s="1136"/>
      <c r="S39" s="448"/>
      <c r="T39" s="1606"/>
      <c r="U39" s="1606"/>
      <c r="V39" s="1136"/>
      <c r="W39" s="448"/>
      <c r="X39" s="1136"/>
      <c r="Y39" s="448"/>
      <c r="Z39" s="1608"/>
      <c r="AA39" s="448"/>
      <c r="AB39" s="1136"/>
      <c r="AC39" s="448"/>
      <c r="AD39" s="1136"/>
      <c r="AE39" s="448"/>
      <c r="AF39" s="1917"/>
      <c r="AG39" s="448"/>
      <c r="AH39" s="448"/>
      <c r="AI39" s="450"/>
      <c r="AJ39" s="1621"/>
      <c r="AK39" s="1618"/>
      <c r="AL39" s="1589"/>
    </row>
    <row r="40" spans="1:38" ht="18" customHeight="1">
      <c r="A40" s="1600" t="s">
        <v>1066</v>
      </c>
      <c r="B40" s="565"/>
      <c r="C40" s="565"/>
      <c r="D40" s="448"/>
      <c r="E40" s="448"/>
      <c r="F40" s="448"/>
      <c r="G40" s="448"/>
      <c r="H40" s="448"/>
      <c r="I40" s="448"/>
      <c r="J40" s="448"/>
      <c r="K40" s="448"/>
      <c r="L40" s="448"/>
      <c r="M40" s="448"/>
      <c r="N40" s="448"/>
      <c r="O40" s="448"/>
      <c r="P40" s="448"/>
      <c r="Q40" s="448"/>
      <c r="R40" s="448"/>
      <c r="S40" s="448"/>
      <c r="T40" s="1606"/>
      <c r="U40" s="1606"/>
      <c r="V40" s="448"/>
      <c r="W40" s="448"/>
      <c r="X40" s="448"/>
      <c r="Y40" s="448"/>
      <c r="Z40" s="1608"/>
      <c r="AA40" s="448"/>
      <c r="AB40" s="954"/>
      <c r="AC40" s="448"/>
      <c r="AD40" s="954"/>
      <c r="AE40" s="448"/>
      <c r="AF40" s="1917"/>
      <c r="AG40" s="448"/>
      <c r="AH40" s="448"/>
      <c r="AI40" s="450"/>
      <c r="AJ40" s="994"/>
      <c r="AK40" s="1618"/>
      <c r="AL40" s="1589"/>
    </row>
    <row r="41" spans="1:38" ht="18" customHeight="1">
      <c r="A41" s="565" t="s">
        <v>817</v>
      </c>
      <c r="B41" s="565"/>
      <c r="C41" s="565"/>
      <c r="D41" s="448">
        <f>'Exhibit F'!Z39</f>
        <v>1772.6000000000008</v>
      </c>
      <c r="E41" s="448"/>
      <c r="F41" s="448">
        <f>'Exhibit F'!AC39</f>
        <v>7291.3</v>
      </c>
      <c r="G41" s="448"/>
      <c r="H41" s="448">
        <f>'Exhibit G'!Z31</f>
        <v>354.00000000000023</v>
      </c>
      <c r="I41" s="448"/>
      <c r="J41" s="448">
        <f>'Exhibit G'!AD31</f>
        <v>1726.2</v>
      </c>
      <c r="K41" s="448"/>
      <c r="L41" s="452">
        <v>0</v>
      </c>
      <c r="M41" s="1130"/>
      <c r="N41" s="452">
        <v>0</v>
      </c>
      <c r="O41" s="448"/>
      <c r="P41" s="452">
        <f>'Exhibit I'!AA25</f>
        <v>0</v>
      </c>
      <c r="Q41" s="1130"/>
      <c r="R41" s="452">
        <f>'Exhibit I'!AF25</f>
        <v>0</v>
      </c>
      <c r="S41" s="448"/>
      <c r="T41" s="1606"/>
      <c r="U41" s="1606"/>
      <c r="V41" s="1130">
        <f t="shared" ref="V41:V46" si="9">SUM(D41)+SUM(H41)+SUM(L41)+SUM(P41)</f>
        <v>2126.6000000000013</v>
      </c>
      <c r="W41" s="448"/>
      <c r="X41" s="1130">
        <f t="shared" ref="X41:X46" si="10">SUM(F41)+SUM(J41)+SUM(N41)+SUM(R41)</f>
        <v>9017.5</v>
      </c>
      <c r="Y41" s="448"/>
      <c r="Z41" s="1608"/>
      <c r="AA41" s="448"/>
      <c r="AB41" s="919">
        <v>1464.7</v>
      </c>
      <c r="AC41" s="448"/>
      <c r="AD41" s="919">
        <f>'Cashflow Governmental'!AE44</f>
        <v>7235</v>
      </c>
      <c r="AE41" s="1130"/>
      <c r="AF41" s="1917"/>
      <c r="AG41" s="448"/>
      <c r="AH41" s="1130">
        <f t="shared" ref="AH41:AH47" si="11">ROUND(SUM(X41)-SUM(AD41),1)</f>
        <v>1782.5</v>
      </c>
      <c r="AI41" s="1609"/>
      <c r="AJ41" s="994">
        <f t="shared" ref="AJ41:AJ47" si="12">ROUND(AH41/AD41,3)</f>
        <v>0.246</v>
      </c>
      <c r="AK41" s="994"/>
      <c r="AL41" s="1589"/>
    </row>
    <row r="42" spans="1:38" ht="18" customHeight="1">
      <c r="A42" s="565" t="s">
        <v>818</v>
      </c>
      <c r="B42" s="565"/>
      <c r="C42" s="565"/>
      <c r="D42" s="448">
        <f>'Exhibit F'!Z40</f>
        <v>147.30000000000001</v>
      </c>
      <c r="E42" s="448"/>
      <c r="F42" s="448">
        <f>'Exhibit F'!AC40</f>
        <v>407.7</v>
      </c>
      <c r="G42" s="448"/>
      <c r="H42" s="448">
        <f>'Exhibit G'!Z32</f>
        <v>33.29999999999999</v>
      </c>
      <c r="I42" s="448"/>
      <c r="J42" s="1130">
        <f>'Exhibit G'!AD32</f>
        <v>106.8</v>
      </c>
      <c r="K42" s="448"/>
      <c r="L42" s="452">
        <v>0</v>
      </c>
      <c r="M42" s="1130"/>
      <c r="N42" s="452">
        <v>0</v>
      </c>
      <c r="O42" s="448"/>
      <c r="P42" s="448">
        <f>'Exhibit I'!AA26</f>
        <v>3.0000000000000004</v>
      </c>
      <c r="Q42" s="1130"/>
      <c r="R42" s="448">
        <f>'Exhibit I'!AF26</f>
        <v>10.1</v>
      </c>
      <c r="S42" s="448"/>
      <c r="T42" s="1606"/>
      <c r="U42" s="1606"/>
      <c r="V42" s="1130">
        <f t="shared" si="9"/>
        <v>183.6</v>
      </c>
      <c r="W42" s="448"/>
      <c r="X42" s="1130">
        <f t="shared" si="10"/>
        <v>524.6</v>
      </c>
      <c r="Y42" s="448"/>
      <c r="Z42" s="1608"/>
      <c r="AA42" s="448"/>
      <c r="AB42" s="919">
        <v>221</v>
      </c>
      <c r="AC42" s="448"/>
      <c r="AD42" s="919">
        <f>'Cashflow Governmental'!AE45</f>
        <v>555.19999999999993</v>
      </c>
      <c r="AE42" s="1130"/>
      <c r="AF42" s="1917"/>
      <c r="AG42" s="448"/>
      <c r="AH42" s="1130">
        <f t="shared" si="11"/>
        <v>-30.6</v>
      </c>
      <c r="AI42" s="1609"/>
      <c r="AJ42" s="2116">
        <f t="shared" si="12"/>
        <v>-5.5E-2</v>
      </c>
      <c r="AK42" s="994"/>
      <c r="AL42" s="1589"/>
    </row>
    <row r="43" spans="1:38" ht="18" customHeight="1">
      <c r="A43" s="565" t="s">
        <v>819</v>
      </c>
      <c r="B43" s="565"/>
      <c r="C43" s="565"/>
      <c r="D43" s="448">
        <f>'Exhibit F'!Z41</f>
        <v>872.1999999999997</v>
      </c>
      <c r="E43" s="448"/>
      <c r="F43" s="448">
        <f>'Exhibit F'!AC41</f>
        <v>2380.6</v>
      </c>
      <c r="G43" s="448"/>
      <c r="H43" s="448">
        <f>'Exhibit G'!Z33</f>
        <v>100.90000000000002</v>
      </c>
      <c r="I43" s="448"/>
      <c r="J43" s="448">
        <f>'Exhibit G'!AD33</f>
        <v>299.8</v>
      </c>
      <c r="K43" s="448"/>
      <c r="L43" s="452">
        <v>0</v>
      </c>
      <c r="M43" s="1130"/>
      <c r="N43" s="452">
        <v>0</v>
      </c>
      <c r="O43" s="448"/>
      <c r="P43" s="452">
        <v>0</v>
      </c>
      <c r="Q43" s="1130"/>
      <c r="R43" s="452">
        <v>0</v>
      </c>
      <c r="S43" s="448"/>
      <c r="T43" s="1606"/>
      <c r="U43" s="1606"/>
      <c r="V43" s="1130">
        <f t="shared" si="9"/>
        <v>973.09999999999968</v>
      </c>
      <c r="W43" s="448"/>
      <c r="X43" s="1130">
        <f t="shared" si="10"/>
        <v>2680.4</v>
      </c>
      <c r="Y43" s="448"/>
      <c r="Z43" s="1608"/>
      <c r="AA43" s="448"/>
      <c r="AB43" s="919">
        <v>916.19999999999993</v>
      </c>
      <c r="AC43" s="448"/>
      <c r="AD43" s="919">
        <f>'Cashflow Governmental'!AE46</f>
        <v>2452.4</v>
      </c>
      <c r="AE43" s="1130"/>
      <c r="AF43" s="1917"/>
      <c r="AG43" s="448"/>
      <c r="AH43" s="1130">
        <f t="shared" si="11"/>
        <v>228</v>
      </c>
      <c r="AI43" s="1609"/>
      <c r="AJ43" s="994">
        <f>ROUND(AH43/AD43,3)</f>
        <v>9.2999999999999999E-2</v>
      </c>
      <c r="AK43" s="994"/>
      <c r="AL43" s="1589"/>
    </row>
    <row r="44" spans="1:38" ht="18" customHeight="1">
      <c r="A44" s="565" t="s">
        <v>820</v>
      </c>
      <c r="B44" s="565"/>
      <c r="C44" s="565"/>
      <c r="D44" s="448">
        <f>'Exhibit F'!Z42</f>
        <v>0</v>
      </c>
      <c r="E44" s="448"/>
      <c r="F44" s="448">
        <f>'Exhibit F'!AC42</f>
        <v>304</v>
      </c>
      <c r="G44" s="448"/>
      <c r="H44" s="448">
        <f>'Exhibit G'!Z34</f>
        <v>0</v>
      </c>
      <c r="I44" s="448"/>
      <c r="J44" s="448">
        <f>'Exhibit G'!AD34</f>
        <v>50.7</v>
      </c>
      <c r="K44" s="448"/>
      <c r="L44" s="452">
        <v>0</v>
      </c>
      <c r="M44" s="1130"/>
      <c r="N44" s="452">
        <v>0</v>
      </c>
      <c r="O44" s="448"/>
      <c r="P44" s="452">
        <v>0</v>
      </c>
      <c r="Q44" s="1130"/>
      <c r="R44" s="452">
        <v>0</v>
      </c>
      <c r="S44" s="448"/>
      <c r="T44" s="1606"/>
      <c r="U44" s="1606"/>
      <c r="V44" s="1130">
        <f>ROUND(SUM(D44)+SUM(H44)+SUM(L44)+SUM(P44),1)</f>
        <v>0</v>
      </c>
      <c r="W44" s="448"/>
      <c r="X44" s="1130">
        <f t="shared" si="10"/>
        <v>354.7</v>
      </c>
      <c r="Y44" s="448"/>
      <c r="Z44" s="1608"/>
      <c r="AA44" s="448"/>
      <c r="AB44" s="919">
        <v>-2.2000000000000002</v>
      </c>
      <c r="AC44" s="448"/>
      <c r="AD44" s="919">
        <f>'Cashflow Governmental'!AE47</f>
        <v>19.899999999999999</v>
      </c>
      <c r="AE44" s="1130"/>
      <c r="AF44" s="1917"/>
      <c r="AG44" s="448"/>
      <c r="AH44" s="1130">
        <f>ROUND(SUM(X44)-SUM(AD44),1)</f>
        <v>334.8</v>
      </c>
      <c r="AI44" s="1609"/>
      <c r="AJ44" s="978">
        <f>ROUND(IF(AD44=0,1,AH44/(AD44)),3)</f>
        <v>16.824000000000002</v>
      </c>
      <c r="AK44" s="994"/>
      <c r="AL44" s="1589"/>
    </row>
    <row r="45" spans="1:38" ht="18" customHeight="1">
      <c r="A45" s="565" t="s">
        <v>1447</v>
      </c>
      <c r="B45" s="565"/>
      <c r="C45" s="565"/>
      <c r="D45" s="448">
        <f>'Exhibit F'!Z43</f>
        <v>2272.9</v>
      </c>
      <c r="E45" s="448"/>
      <c r="F45" s="448">
        <f>'Exhibit F'!AC43</f>
        <v>7472.2000000000007</v>
      </c>
      <c r="G45" s="448"/>
      <c r="H45" s="448">
        <v>0</v>
      </c>
      <c r="I45" s="448"/>
      <c r="J45" s="448">
        <v>0</v>
      </c>
      <c r="K45" s="448"/>
      <c r="L45" s="452">
        <f>'Exhibit H'!X22</f>
        <v>2272.9</v>
      </c>
      <c r="M45" s="1130"/>
      <c r="N45" s="452">
        <f>'Exhibit H'!AA22</f>
        <v>7472.2000000000007</v>
      </c>
      <c r="O45" s="448"/>
      <c r="P45" s="452">
        <v>0</v>
      </c>
      <c r="Q45" s="1130"/>
      <c r="R45" s="452">
        <v>0</v>
      </c>
      <c r="S45" s="448"/>
      <c r="T45" s="1606"/>
      <c r="U45" s="1606"/>
      <c r="V45" s="1130">
        <f t="shared" si="9"/>
        <v>4545.8</v>
      </c>
      <c r="W45" s="448"/>
      <c r="X45" s="1130">
        <f t="shared" si="10"/>
        <v>14944.400000000001</v>
      </c>
      <c r="Y45" s="448"/>
      <c r="Z45" s="1608"/>
      <c r="AA45" s="448"/>
      <c r="AB45" s="919">
        <v>5204.4000000000005</v>
      </c>
      <c r="AC45" s="448"/>
      <c r="AD45" s="919">
        <f>'Cashflow Governmental'!AE48</f>
        <v>16430.400000000001</v>
      </c>
      <c r="AE45" s="1130"/>
      <c r="AF45" s="1917"/>
      <c r="AG45" s="448"/>
      <c r="AH45" s="1130">
        <f>ROUND(SUM(X45)-SUM(AD45),1)</f>
        <v>-1486</v>
      </c>
      <c r="AI45" s="1609"/>
      <c r="AJ45" s="469">
        <f>ROUND(IF(AD45=0,1,AH45/(AD45)),3)</f>
        <v>-0.09</v>
      </c>
      <c r="AK45" s="994"/>
      <c r="AL45" s="1589"/>
    </row>
    <row r="46" spans="1:38" ht="18" customHeight="1">
      <c r="A46" s="565" t="s">
        <v>821</v>
      </c>
      <c r="B46" s="565"/>
      <c r="C46" s="565"/>
      <c r="D46" s="448">
        <f>'Exhibit F'!Z44</f>
        <v>0</v>
      </c>
      <c r="E46" s="1130"/>
      <c r="F46" s="448">
        <f>'Exhibit F'!AC44</f>
        <v>0</v>
      </c>
      <c r="G46" s="448"/>
      <c r="H46" s="448">
        <f>'Exhibit G'!Z35</f>
        <v>38</v>
      </c>
      <c r="I46" s="1130"/>
      <c r="J46" s="448">
        <f>'Exhibit G'!AD35</f>
        <v>480.3</v>
      </c>
      <c r="K46" s="448"/>
      <c r="L46" s="452">
        <v>0</v>
      </c>
      <c r="M46" s="1130"/>
      <c r="N46" s="452">
        <v>0</v>
      </c>
      <c r="O46" s="448"/>
      <c r="P46" s="448">
        <f>'Exhibit I'!AA27</f>
        <v>49.200000000000017</v>
      </c>
      <c r="Q46" s="1130"/>
      <c r="R46" s="448">
        <f>'Exhibit I'!AF27</f>
        <v>614.5</v>
      </c>
      <c r="S46" s="448"/>
      <c r="T46" s="1606"/>
      <c r="U46" s="1606"/>
      <c r="V46" s="1130">
        <f t="shared" si="9"/>
        <v>87.200000000000017</v>
      </c>
      <c r="W46" s="448"/>
      <c r="X46" s="1130">
        <f t="shared" si="10"/>
        <v>1094.8</v>
      </c>
      <c r="Y46" s="448"/>
      <c r="Z46" s="1608"/>
      <c r="AA46" s="448"/>
      <c r="AB46" s="919">
        <v>78.8</v>
      </c>
      <c r="AC46" s="448"/>
      <c r="AD46" s="919">
        <f>'Cashflow Governmental'!AE49</f>
        <v>1031.7</v>
      </c>
      <c r="AE46" s="1130"/>
      <c r="AF46" s="1917"/>
      <c r="AG46" s="448"/>
      <c r="AH46" s="1130">
        <f t="shared" si="11"/>
        <v>63.1</v>
      </c>
      <c r="AI46" s="1622"/>
      <c r="AJ46" s="994">
        <f t="shared" si="12"/>
        <v>6.0999999999999999E-2</v>
      </c>
      <c r="AK46" s="994"/>
      <c r="AL46" s="1589"/>
    </row>
    <row r="47" spans="1:38" ht="18" customHeight="1">
      <c r="A47" s="1600" t="s">
        <v>816</v>
      </c>
      <c r="B47" s="565"/>
      <c r="C47" s="565"/>
      <c r="D47" s="1135">
        <f>ROUND(SUM(D41:D46),1)</f>
        <v>5065</v>
      </c>
      <c r="E47" s="16"/>
      <c r="F47" s="1135">
        <f>ROUND(SUM(F41:F46),1)</f>
        <v>17855.8</v>
      </c>
      <c r="G47" s="16"/>
      <c r="H47" s="1135">
        <f>ROUND(SUM(H41:H46),1)</f>
        <v>526.20000000000005</v>
      </c>
      <c r="I47" s="16"/>
      <c r="J47" s="1135">
        <f>ROUND(SUM(J41:J46),1)</f>
        <v>2663.8</v>
      </c>
      <c r="K47" s="16"/>
      <c r="L47" s="1137">
        <f>ROUND(SUM(L41:L46),1)</f>
        <v>2272.9</v>
      </c>
      <c r="M47" s="1610"/>
      <c r="N47" s="1137">
        <f>ROUND(SUM(N41:N46),1)</f>
        <v>7472.2</v>
      </c>
      <c r="O47" s="16"/>
      <c r="P47" s="1135">
        <f>ROUND(SUM(P41:P46),1)</f>
        <v>52.2</v>
      </c>
      <c r="Q47" s="16"/>
      <c r="R47" s="1135">
        <f>ROUND(SUM(R41:R46),1)</f>
        <v>624.6</v>
      </c>
      <c r="S47" s="16"/>
      <c r="T47" s="1611"/>
      <c r="U47" s="1611"/>
      <c r="V47" s="1135">
        <f>ROUND(SUM(V41:V46),1)</f>
        <v>7916.3</v>
      </c>
      <c r="W47" s="16"/>
      <c r="X47" s="1135">
        <f>ROUND(SUM(X41:X46),1)</f>
        <v>28616.400000000001</v>
      </c>
      <c r="Y47" s="2055"/>
      <c r="Z47" s="1389"/>
      <c r="AA47" s="16"/>
      <c r="AB47" s="1135">
        <f>ROUND(SUM(AB41:AB46),1)</f>
        <v>7882.9</v>
      </c>
      <c r="AC47" s="16"/>
      <c r="AD47" s="1135">
        <f>ROUND(SUM(AD41:AD46),1)</f>
        <v>27724.6</v>
      </c>
      <c r="AE47" s="16"/>
      <c r="AF47" s="1918"/>
      <c r="AG47" s="16"/>
      <c r="AH47" s="1842">
        <f t="shared" si="11"/>
        <v>891.8</v>
      </c>
      <c r="AI47" s="1371"/>
      <c r="AJ47" s="995">
        <f t="shared" si="12"/>
        <v>3.2000000000000001E-2</v>
      </c>
      <c r="AK47" s="1614"/>
      <c r="AL47" s="1615"/>
    </row>
    <row r="48" spans="1:38" ht="18" customHeight="1">
      <c r="A48" s="565"/>
      <c r="B48" s="565"/>
      <c r="C48" s="565"/>
      <c r="D48" s="1136"/>
      <c r="E48" s="448"/>
      <c r="F48" s="1136"/>
      <c r="G48" s="448"/>
      <c r="H48" s="1136"/>
      <c r="I48" s="448"/>
      <c r="J48" s="1136" t="s">
        <v>14</v>
      </c>
      <c r="K48" s="448"/>
      <c r="L48" s="1136"/>
      <c r="M48" s="448"/>
      <c r="N48" s="1136"/>
      <c r="O48" s="448"/>
      <c r="P48" s="1136"/>
      <c r="Q48" s="448"/>
      <c r="R48" s="1136"/>
      <c r="S48" s="448"/>
      <c r="T48" s="1606"/>
      <c r="U48" s="1606"/>
      <c r="V48" s="1136"/>
      <c r="W48" s="448"/>
      <c r="X48" s="1136" t="s">
        <v>14</v>
      </c>
      <c r="Y48" s="448"/>
      <c r="Z48" s="1608"/>
      <c r="AA48" s="448"/>
      <c r="AB48" s="1136"/>
      <c r="AC48" s="448"/>
      <c r="AD48" s="1136"/>
      <c r="AE48" s="448"/>
      <c r="AF48" s="1917"/>
      <c r="AG48" s="448"/>
      <c r="AH48" s="448"/>
      <c r="AI48" s="450"/>
      <c r="AJ48" s="1621"/>
      <c r="AK48" s="1618"/>
      <c r="AL48" s="1589"/>
    </row>
    <row r="49" spans="1:38" ht="18" customHeight="1">
      <c r="A49" s="1619" t="s">
        <v>1067</v>
      </c>
      <c r="B49" s="565"/>
      <c r="C49" s="565"/>
      <c r="D49" s="448"/>
      <c r="E49" s="448"/>
      <c r="F49" s="448"/>
      <c r="G49" s="448"/>
      <c r="H49" s="448" t="s">
        <v>14</v>
      </c>
      <c r="I49" s="448"/>
      <c r="J49" s="448"/>
      <c r="K49" s="448"/>
      <c r="L49" s="448"/>
      <c r="M49" s="448"/>
      <c r="N49" s="448"/>
      <c r="O49" s="448"/>
      <c r="P49" s="448"/>
      <c r="Q49" s="448"/>
      <c r="R49" s="448"/>
      <c r="S49" s="448"/>
      <c r="T49" s="1606"/>
      <c r="U49" s="1606"/>
      <c r="V49" s="448"/>
      <c r="W49" s="448"/>
      <c r="X49" s="448"/>
      <c r="Y49" s="448"/>
      <c r="Z49" s="1608"/>
      <c r="AA49" s="448"/>
      <c r="AB49" s="448"/>
      <c r="AC49" s="448"/>
      <c r="AD49" s="448"/>
      <c r="AE49" s="448"/>
      <c r="AF49" s="1917"/>
      <c r="AG49" s="448"/>
      <c r="AH49" s="448"/>
      <c r="AI49" s="450"/>
      <c r="AJ49" s="994"/>
      <c r="AK49" s="1618"/>
      <c r="AL49" s="1589"/>
    </row>
    <row r="50" spans="1:38" ht="18" customHeight="1">
      <c r="A50" s="565" t="s">
        <v>822</v>
      </c>
      <c r="B50" s="565"/>
      <c r="C50" s="565"/>
      <c r="D50" s="452">
        <f>'Exhibit F'!Z47</f>
        <v>0</v>
      </c>
      <c r="E50" s="448"/>
      <c r="F50" s="448">
        <f>'Exhibit F'!AC47</f>
        <v>0</v>
      </c>
      <c r="G50" s="448"/>
      <c r="H50" s="452">
        <v>0</v>
      </c>
      <c r="I50" s="1130"/>
      <c r="J50" s="452">
        <v>0</v>
      </c>
      <c r="K50" s="448"/>
      <c r="L50" s="452">
        <v>0</v>
      </c>
      <c r="M50" s="452"/>
      <c r="N50" s="452">
        <v>0</v>
      </c>
      <c r="O50" s="448"/>
      <c r="P50" s="452">
        <v>0</v>
      </c>
      <c r="Q50" s="1130"/>
      <c r="R50" s="452">
        <v>0</v>
      </c>
      <c r="S50" s="448"/>
      <c r="T50" s="1606"/>
      <c r="U50" s="1606"/>
      <c r="V50" s="452">
        <f t="shared" ref="V50:V54" si="13">SUM(D50)+SUM(H50)+SUM(L50)+SUM(P50)</f>
        <v>0</v>
      </c>
      <c r="W50" s="448"/>
      <c r="X50" s="1130">
        <f t="shared" ref="X50:X54" si="14">SUM(F50)+SUM(J50)+SUM(N50)+SUM(R50)</f>
        <v>0</v>
      </c>
      <c r="Y50" s="1607"/>
      <c r="Z50" s="1608"/>
      <c r="AA50" s="448"/>
      <c r="AB50" s="919">
        <v>0</v>
      </c>
      <c r="AC50" s="448"/>
      <c r="AD50" s="919">
        <f>'Cashflow Governmental'!AE52</f>
        <v>0</v>
      </c>
      <c r="AE50" s="1130"/>
      <c r="AF50" s="1917"/>
      <c r="AG50" s="1607"/>
      <c r="AH50" s="1130">
        <f t="shared" ref="AH50:AH56" si="15">ROUND(SUM(X50)-SUM(AD50),1)</f>
        <v>0</v>
      </c>
      <c r="AI50" s="1609"/>
      <c r="AJ50" s="469">
        <f>ROUND(IF(AD50=0,0,-AH50/(AD50)),3)</f>
        <v>0</v>
      </c>
      <c r="AK50" s="994"/>
      <c r="AL50" s="1589"/>
    </row>
    <row r="51" spans="1:38" ht="18" customHeight="1">
      <c r="A51" s="565" t="s">
        <v>823</v>
      </c>
      <c r="B51" s="565"/>
      <c r="C51" s="565"/>
      <c r="D51" s="452">
        <f>'Exhibit F'!Z48</f>
        <v>161.89999999999964</v>
      </c>
      <c r="E51" s="448"/>
      <c r="F51" s="448">
        <f>'Exhibit F'!AC48</f>
        <v>2185.1999999999998</v>
      </c>
      <c r="G51" s="448"/>
      <c r="H51" s="452">
        <v>0</v>
      </c>
      <c r="I51" s="1130"/>
      <c r="J51" s="452">
        <v>0</v>
      </c>
      <c r="K51" s="448"/>
      <c r="L51" s="452">
        <v>0</v>
      </c>
      <c r="M51" s="452"/>
      <c r="N51" s="452">
        <v>0</v>
      </c>
      <c r="O51" s="448"/>
      <c r="P51" s="452">
        <v>0</v>
      </c>
      <c r="Q51" s="1130"/>
      <c r="R51" s="452">
        <v>0</v>
      </c>
      <c r="S51" s="448"/>
      <c r="T51" s="1606"/>
      <c r="U51" s="1606"/>
      <c r="V51" s="1130">
        <f t="shared" si="13"/>
        <v>161.89999999999964</v>
      </c>
      <c r="W51" s="448"/>
      <c r="X51" s="1130">
        <f t="shared" si="14"/>
        <v>2185.1999999999998</v>
      </c>
      <c r="Y51" s="1607"/>
      <c r="Z51" s="1608"/>
      <c r="AA51" s="448"/>
      <c r="AB51" s="919">
        <v>91.300000000000011</v>
      </c>
      <c r="AC51" s="448"/>
      <c r="AD51" s="919">
        <f>'Cashflow Governmental'!AE53</f>
        <v>1386.1000000000001</v>
      </c>
      <c r="AE51" s="919"/>
      <c r="AF51" s="1917"/>
      <c r="AG51" s="1607"/>
      <c r="AH51" s="1130">
        <f t="shared" si="15"/>
        <v>799.1</v>
      </c>
      <c r="AI51" s="1609"/>
      <c r="AJ51" s="994">
        <f>ROUND(AH51/AD51,3)</f>
        <v>0.57699999999999996</v>
      </c>
      <c r="AK51" s="994"/>
      <c r="AL51" s="1589"/>
    </row>
    <row r="52" spans="1:38" ht="18" customHeight="1">
      <c r="A52" s="565" t="s">
        <v>824</v>
      </c>
      <c r="B52" s="565"/>
      <c r="C52" s="565"/>
      <c r="D52" s="452">
        <f>'Exhibit F'!Z49</f>
        <v>9.9999999999999645E-2</v>
      </c>
      <c r="E52" s="448"/>
      <c r="F52" s="448">
        <f>'Exhibit F'!AC49</f>
        <v>13</v>
      </c>
      <c r="G52" s="448"/>
      <c r="H52" s="452">
        <v>0</v>
      </c>
      <c r="I52" s="1130"/>
      <c r="J52" s="452">
        <v>0</v>
      </c>
      <c r="K52" s="448"/>
      <c r="L52" s="452">
        <v>0</v>
      </c>
      <c r="M52" s="452"/>
      <c r="N52" s="452">
        <v>0</v>
      </c>
      <c r="O52" s="448"/>
      <c r="P52" s="452">
        <v>0</v>
      </c>
      <c r="Q52" s="1130"/>
      <c r="R52" s="452">
        <v>0</v>
      </c>
      <c r="S52" s="448"/>
      <c r="T52" s="1606"/>
      <c r="U52" s="1606"/>
      <c r="V52" s="1130">
        <f t="shared" si="13"/>
        <v>9.9999999999999645E-2</v>
      </c>
      <c r="W52" s="448"/>
      <c r="X52" s="1130">
        <f t="shared" si="14"/>
        <v>13</v>
      </c>
      <c r="Y52" s="1607"/>
      <c r="Z52" s="1608"/>
      <c r="AA52" s="448"/>
      <c r="AB52" s="919">
        <v>0.5</v>
      </c>
      <c r="AC52" s="448"/>
      <c r="AD52" s="919">
        <f>'Cashflow Governmental'!AE54</f>
        <v>12.9</v>
      </c>
      <c r="AE52" s="919"/>
      <c r="AF52" s="1917"/>
      <c r="AG52" s="1607"/>
      <c r="AH52" s="1130">
        <f t="shared" si="15"/>
        <v>0.1</v>
      </c>
      <c r="AI52" s="1609"/>
      <c r="AJ52" s="994">
        <f>ROUND(AH52/AD52,3)</f>
        <v>8.0000000000000002E-3</v>
      </c>
      <c r="AK52" s="994"/>
      <c r="AL52" s="1589"/>
    </row>
    <row r="53" spans="1:38" ht="18" customHeight="1">
      <c r="A53" s="565" t="s">
        <v>825</v>
      </c>
      <c r="B53" s="565"/>
      <c r="C53" s="565"/>
      <c r="D53" s="452">
        <f>'Exhibit F'!Z50</f>
        <v>0</v>
      </c>
      <c r="E53" s="1130"/>
      <c r="F53" s="448">
        <f>'Exhibit F'!AC50</f>
        <v>0</v>
      </c>
      <c r="G53" s="448"/>
      <c r="H53" s="452">
        <v>0</v>
      </c>
      <c r="I53" s="1130"/>
      <c r="J53" s="452">
        <v>0</v>
      </c>
      <c r="K53" s="448"/>
      <c r="L53" s="1130">
        <f>'Exhibit H'!X25</f>
        <v>41.799999999999812</v>
      </c>
      <c r="M53" s="1130"/>
      <c r="N53" s="1130">
        <f>'Exhibit H'!AA25</f>
        <v>1214.6999999999998</v>
      </c>
      <c r="O53" s="448"/>
      <c r="P53" s="919">
        <f>'Exhibit I'!AA30</f>
        <v>25.699999999999957</v>
      </c>
      <c r="Q53" s="1130"/>
      <c r="R53" s="919">
        <f>'Exhibit I'!AF30</f>
        <v>257.3</v>
      </c>
      <c r="S53" s="448"/>
      <c r="T53" s="1606"/>
      <c r="U53" s="1606"/>
      <c r="V53" s="1130">
        <f t="shared" si="13"/>
        <v>67.499999999999773</v>
      </c>
      <c r="W53" s="448"/>
      <c r="X53" s="1130">
        <f t="shared" si="14"/>
        <v>1471.9999999999998</v>
      </c>
      <c r="Y53" s="1607"/>
      <c r="Z53" s="1608"/>
      <c r="AA53" s="448"/>
      <c r="AB53" s="919">
        <v>111.3</v>
      </c>
      <c r="AC53" s="448"/>
      <c r="AD53" s="919">
        <f>'Cashflow Governmental'!AE55</f>
        <v>1639.5</v>
      </c>
      <c r="AE53" s="1130"/>
      <c r="AF53" s="1917"/>
      <c r="AG53" s="1607"/>
      <c r="AH53" s="1130">
        <f t="shared" si="15"/>
        <v>-167.5</v>
      </c>
      <c r="AI53" s="1623"/>
      <c r="AJ53" s="994">
        <f>ROUND(AH53/AD53,3)</f>
        <v>-0.10199999999999999</v>
      </c>
      <c r="AK53" s="994"/>
      <c r="AL53" s="1589"/>
    </row>
    <row r="54" spans="1:38" ht="18" customHeight="1">
      <c r="A54" s="565" t="s">
        <v>1448</v>
      </c>
      <c r="B54" s="565"/>
      <c r="C54" s="565"/>
      <c r="D54" s="452">
        <f>'Exhibit F'!Z51</f>
        <v>0</v>
      </c>
      <c r="E54" s="448"/>
      <c r="F54" s="448">
        <f>'Exhibit F'!AC51</f>
        <v>2</v>
      </c>
      <c r="G54" s="448"/>
      <c r="H54" s="452">
        <v>0</v>
      </c>
      <c r="I54" s="1130"/>
      <c r="J54" s="452">
        <v>0</v>
      </c>
      <c r="K54" s="448"/>
      <c r="L54" s="452">
        <v>0</v>
      </c>
      <c r="M54" s="452"/>
      <c r="N54" s="452">
        <v>0</v>
      </c>
      <c r="O54" s="448"/>
      <c r="P54" s="452">
        <v>0</v>
      </c>
      <c r="Q54" s="1130"/>
      <c r="R54" s="452">
        <v>0</v>
      </c>
      <c r="S54" s="448"/>
      <c r="T54" s="1606"/>
      <c r="U54" s="1606"/>
      <c r="V54" s="1130">
        <f t="shared" si="13"/>
        <v>0</v>
      </c>
      <c r="W54" s="448"/>
      <c r="X54" s="1130">
        <f t="shared" si="14"/>
        <v>2</v>
      </c>
      <c r="Y54" s="1607"/>
      <c r="Z54" s="1608"/>
      <c r="AA54" s="448"/>
      <c r="AB54" s="919">
        <v>0.1</v>
      </c>
      <c r="AC54" s="448"/>
      <c r="AD54" s="919">
        <f>'Cashflow Governmental'!AE56</f>
        <v>1.5</v>
      </c>
      <c r="AE54" s="1130"/>
      <c r="AF54" s="1917"/>
      <c r="AG54" s="1607"/>
      <c r="AH54" s="1130">
        <f t="shared" si="15"/>
        <v>0.5</v>
      </c>
      <c r="AI54" s="1623"/>
      <c r="AJ54" s="978">
        <f>ROUND(IF(AD54=0,1,AH54/(AD54)),3)</f>
        <v>0.33300000000000002</v>
      </c>
      <c r="AK54" s="994"/>
      <c r="AL54" s="1589"/>
    </row>
    <row r="55" spans="1:38" ht="18" customHeight="1">
      <c r="A55" s="754" t="s">
        <v>1255</v>
      </c>
      <c r="B55" s="565"/>
      <c r="C55" s="565"/>
      <c r="D55" s="452">
        <f>'Exhibit F'!Z52</f>
        <v>0.10000000000000053</v>
      </c>
      <c r="E55" s="448"/>
      <c r="F55" s="448">
        <f>'Exhibit F'!AC52</f>
        <v>3.4</v>
      </c>
      <c r="G55" s="448"/>
      <c r="H55" s="448">
        <v>0</v>
      </c>
      <c r="I55" s="1130"/>
      <c r="J55" s="1130">
        <v>0</v>
      </c>
      <c r="K55" s="448"/>
      <c r="L55" s="452">
        <f>'Exhibit H'!X26</f>
        <v>0</v>
      </c>
      <c r="M55" s="1130"/>
      <c r="N55" s="452">
        <f>'Exhibit H'!AA26</f>
        <v>3.3</v>
      </c>
      <c r="O55" s="448"/>
      <c r="P55" s="452">
        <v>0</v>
      </c>
      <c r="Q55" s="1130"/>
      <c r="R55" s="452">
        <v>0</v>
      </c>
      <c r="S55" s="448"/>
      <c r="T55" s="1606"/>
      <c r="U55" s="1606"/>
      <c r="V55" s="1130">
        <f t="shared" ref="V55" si="16">SUM(D55)+SUM(H55)+SUM(L55)+SUM(P55)</f>
        <v>0.10000000000000053</v>
      </c>
      <c r="W55" s="448"/>
      <c r="X55" s="1130">
        <f t="shared" ref="X55" si="17">SUM(F55)+SUM(J55)+SUM(N55)+SUM(R55)</f>
        <v>6.6999999999999993</v>
      </c>
      <c r="Y55" s="1607"/>
      <c r="Z55" s="1608"/>
      <c r="AA55" s="448"/>
      <c r="AB55" s="919">
        <v>0.2</v>
      </c>
      <c r="AC55" s="448"/>
      <c r="AD55" s="919">
        <f>'Cashflow Governmental'!AE57</f>
        <v>12.8</v>
      </c>
      <c r="AE55" s="1130"/>
      <c r="AF55" s="1917"/>
      <c r="AG55" s="1607"/>
      <c r="AH55" s="452">
        <f t="shared" ref="AH55" si="18">ROUND(SUM(X55)-SUM(AD55),1)</f>
        <v>-6.1</v>
      </c>
      <c r="AI55" s="1623"/>
      <c r="AJ55" s="469">
        <f>ROUND(IF(AD55=0,1,AH55/(AD55)),3)</f>
        <v>-0.47699999999999998</v>
      </c>
      <c r="AK55" s="994"/>
      <c r="AL55" s="1589"/>
    </row>
    <row r="56" spans="1:38" ht="18" customHeight="1">
      <c r="A56" s="1600" t="s">
        <v>816</v>
      </c>
      <c r="B56" s="565"/>
      <c r="C56" s="565"/>
      <c r="D56" s="1135">
        <f>ROUND(SUM(D50:D55),1)</f>
        <v>162.1</v>
      </c>
      <c r="E56" s="16"/>
      <c r="F56" s="1135">
        <f>ROUND(SUM(F50:F55),1)</f>
        <v>2203.6</v>
      </c>
      <c r="G56" s="16"/>
      <c r="H56" s="1612">
        <f>ROUND(SUM(H50:H55),1)</f>
        <v>0</v>
      </c>
      <c r="I56" s="1610"/>
      <c r="J56" s="1612">
        <f>ROUND(SUM(J50:J55),1)</f>
        <v>0</v>
      </c>
      <c r="K56" s="16"/>
      <c r="L56" s="1135">
        <f>ROUND(SUM(L50:L55),1)</f>
        <v>41.8</v>
      </c>
      <c r="M56" s="16"/>
      <c r="N56" s="1135">
        <f>ROUND(SUM(N50:N55),1)</f>
        <v>1218</v>
      </c>
      <c r="O56" s="16" t="s">
        <v>14</v>
      </c>
      <c r="P56" s="1135">
        <f>ROUND(SUM(P50:P55),1)</f>
        <v>25.7</v>
      </c>
      <c r="Q56" s="16"/>
      <c r="R56" s="1135">
        <f>ROUND(SUM(R50:R55),1)</f>
        <v>257.3</v>
      </c>
      <c r="S56" s="16"/>
      <c r="T56" s="1611"/>
      <c r="U56" s="1611"/>
      <c r="V56" s="1612">
        <f>ROUND(SUM(V50:V55),1)</f>
        <v>229.6</v>
      </c>
      <c r="W56" s="16"/>
      <c r="X56" s="1612">
        <f>ROUND(SUM(X50:X55),1)</f>
        <v>3678.9</v>
      </c>
      <c r="Y56" s="1620"/>
      <c r="Z56" s="1389"/>
      <c r="AA56" s="16"/>
      <c r="AB56" s="1612">
        <f>ROUND(SUM(AB50:AB55),1)</f>
        <v>203.4</v>
      </c>
      <c r="AC56" s="16"/>
      <c r="AD56" s="1612">
        <f>ROUND(SUM(AD50:AD55),1)</f>
        <v>3052.8</v>
      </c>
      <c r="AE56" s="1610"/>
      <c r="AF56" s="1918"/>
      <c r="AG56" s="1613"/>
      <c r="AH56" s="1149">
        <f t="shared" si="15"/>
        <v>626.1</v>
      </c>
      <c r="AI56" s="1371"/>
      <c r="AJ56" s="995">
        <f>ROUND(AH56/AD56,3)</f>
        <v>0.20499999999999999</v>
      </c>
      <c r="AK56" s="1614"/>
      <c r="AL56" s="1615"/>
    </row>
    <row r="57" spans="1:38" ht="18" customHeight="1">
      <c r="A57" s="565"/>
      <c r="B57" s="565"/>
      <c r="C57" s="565"/>
      <c r="D57" s="1890"/>
      <c r="E57" s="1371"/>
      <c r="F57" s="1890"/>
      <c r="G57" s="490"/>
      <c r="H57" s="1890"/>
      <c r="I57" s="1371"/>
      <c r="J57" s="1890"/>
      <c r="K57" s="490"/>
      <c r="L57" s="1890"/>
      <c r="M57" s="1371"/>
      <c r="N57" s="1890"/>
      <c r="O57" s="490"/>
      <c r="P57" s="1890"/>
      <c r="Q57" s="1371"/>
      <c r="R57" s="1890"/>
      <c r="S57" s="490"/>
      <c r="T57" s="2056"/>
      <c r="U57" s="2056"/>
      <c r="V57" s="1890"/>
      <c r="W57" s="490"/>
      <c r="X57" s="1890"/>
      <c r="Y57" s="1371"/>
      <c r="Z57" s="2057"/>
      <c r="AA57" s="490"/>
      <c r="AB57" s="1890"/>
      <c r="AC57" s="490"/>
      <c r="AD57" s="1890"/>
      <c r="AE57" s="1371"/>
      <c r="AF57" s="1919"/>
      <c r="AG57" s="1371"/>
      <c r="AH57" s="1843"/>
      <c r="AI57" s="1371"/>
      <c r="AJ57" s="996"/>
      <c r="AK57" s="1615"/>
      <c r="AL57" s="1615"/>
    </row>
    <row r="58" spans="1:38" ht="18" customHeight="1" thickBot="1">
      <c r="A58" s="1600" t="s">
        <v>826</v>
      </c>
      <c r="B58" s="565"/>
      <c r="C58" s="565"/>
      <c r="D58" s="2058">
        <f>ROUND(SUM(D25)+SUM(D38)+SUM(D47)+SUM(D56),1)</f>
        <v>8127.2</v>
      </c>
      <c r="E58" s="1392"/>
      <c r="F58" s="2058">
        <f>ROUND(SUM(F25)+SUM(F38)+SUM(F47)+SUM(F56),1)</f>
        <v>54905.5</v>
      </c>
      <c r="G58" s="2059"/>
      <c r="H58" s="2058">
        <f>ROUND(SUM(H25)+SUM(H38)+SUM(H47)+SUM(H56),1)</f>
        <v>676.1</v>
      </c>
      <c r="I58" s="1392"/>
      <c r="J58" s="2058">
        <f>ROUND(SUM(J25)+SUM(J38)+SUM(J47)+SUM(J56),1)</f>
        <v>6360.5</v>
      </c>
      <c r="K58" s="1392"/>
      <c r="L58" s="2058">
        <f>ROUND(SUM(L25)+SUM(L38)+SUM(L47)+SUM(L56),1)</f>
        <v>5239.6000000000004</v>
      </c>
      <c r="M58" s="1392"/>
      <c r="N58" s="2058">
        <f>ROUND(SUM(N25)+SUM(N38)+SUM(N47)+SUM(N56),1)</f>
        <v>49131.4</v>
      </c>
      <c r="O58" s="1392"/>
      <c r="P58" s="2058">
        <f>ROUND(SUM(P25)+SUM(P38)+SUM(P47)+SUM(P56),1)</f>
        <v>126.7</v>
      </c>
      <c r="Q58" s="1392"/>
      <c r="R58" s="2058">
        <f>ROUND(SUM(R25)+SUM(R38)+SUM(R47)+SUM(R56),1)</f>
        <v>1258.7</v>
      </c>
      <c r="S58" s="1392"/>
      <c r="T58" s="2060"/>
      <c r="U58" s="1392"/>
      <c r="V58" s="1891">
        <f>ROUND(SUM(V25)+SUM(V38)+SUM(V47)+SUM(V56),1)</f>
        <v>14169.6</v>
      </c>
      <c r="W58" s="1392"/>
      <c r="X58" s="1891">
        <f>ROUND(SUM(X25)+SUM(X38)+SUM(X47)+SUM(X56),1)</f>
        <v>111656.1</v>
      </c>
      <c r="Y58" s="2061"/>
      <c r="Z58" s="1394"/>
      <c r="AA58" s="1392"/>
      <c r="AB58" s="1891">
        <f>ROUND(SUM(AB25)+SUM(AB38)+SUM(AB47)+SUM(AB56),1)</f>
        <v>15052.5</v>
      </c>
      <c r="AC58" s="1392"/>
      <c r="AD58" s="1891">
        <f>ROUND(SUM(AD25)+SUM(AD38)+SUM(AD47)+SUM(AD56),1)</f>
        <v>121136</v>
      </c>
      <c r="AE58" s="1392"/>
      <c r="AF58" s="1920"/>
      <c r="AG58" s="1392"/>
      <c r="AH58" s="18">
        <f>ROUND(SUM(X58)-SUM(AD58),1)</f>
        <v>-9479.9</v>
      </c>
      <c r="AI58" s="1371"/>
      <c r="AJ58" s="997">
        <f>ROUND(AH58/AD58,3)</f>
        <v>-7.8E-2</v>
      </c>
      <c r="AK58" s="1614"/>
      <c r="AL58" s="1615"/>
    </row>
    <row r="59" spans="1:38" ht="15" customHeight="1" thickTop="1">
      <c r="F59" s="1590" t="s">
        <v>14</v>
      </c>
      <c r="N59" s="1590" t="s">
        <v>14</v>
      </c>
      <c r="R59" s="1590" t="s">
        <v>14</v>
      </c>
    </row>
    <row r="60" spans="1:38" ht="15" customHeight="1"/>
    <row r="61" spans="1:38">
      <c r="H61" s="1590" t="s">
        <v>14</v>
      </c>
      <c r="V61" s="1590" t="s">
        <v>14</v>
      </c>
    </row>
    <row r="62" spans="1:38">
      <c r="H62" s="1590" t="s">
        <v>14</v>
      </c>
    </row>
    <row r="63" spans="1:38">
      <c r="H63" s="1590" t="s">
        <v>14</v>
      </c>
    </row>
    <row r="65" ht="15" customHeight="1"/>
  </sheetData>
  <printOptions horizontalCentered="1"/>
  <pageMargins left="0.4" right="0.25" top="0.5" bottom="0.40277777777777801" header="0" footer="0.25"/>
  <pageSetup scale="40" firstPageNumber="16" orientation="landscape" useFirstPageNumber="1" r:id="rId1"/>
  <headerFooter scaleWithDoc="0" alignWithMargins="0">
    <oddFooter>&amp;C&amp;8&amp;P</oddFooter>
  </headerFooter>
  <ignoredErrors>
    <ignoredError sqref="F38 R38 F47 AJ50 AJ22:AJ23" unlockedFormula="1"/>
    <ignoredError sqref="AH24 AJ19 AH19 V31 V21:X22 AJ21 V44 AJ33 V23 AH33" formula="1"/>
    <ignoredError sqref="AJ31" formula="1" unlockedFormula="1"/>
    <ignoredError sqref="AC21 AB23:AD23 AC22:AD22 AB26:AD27 AB39:AD40 AB47:AD49 AC46:AD46 AB57:AD57 AC17:AD17 J44 H47:I47 K47 O47:Q47 X44 V47:X47 V57:X58 E54:R54 D58:E58 G58:Q58 D57:R57 E50:R52 E53:K53 M53:O53 Q53:R53 V50:X54 E56 G56 I56 K56 M56 O56 Q56 W56 AC56 AC34:AD35 AC50:AD54 AC24:AD25 AC58:AD58 AC16 AC42:AD42 M47 AC19:AD20 AC18 AC29:AD31 AC38:AD38 AC28 AC32 AC41 AC44:AD44 AC43"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80" workbookViewId="0"/>
  </sheetViews>
  <sheetFormatPr defaultColWidth="8.84375" defaultRowHeight="16.5" customHeight="1"/>
  <cols>
    <col min="1" max="1" width="43.84375" style="141" customWidth="1"/>
    <col min="2" max="2" width="1.84375" style="141" customWidth="1"/>
    <col min="3" max="3" width="13.4609375" style="141" customWidth="1"/>
    <col min="4" max="4" width="1.84375" style="141" customWidth="1"/>
    <col min="5" max="5" width="13.07421875" style="141" customWidth="1"/>
    <col min="6" max="6" width="1.84375" style="141" customWidth="1"/>
    <col min="7" max="7" width="15.07421875" style="141" customWidth="1"/>
    <col min="8" max="8" width="1.84375" style="141" customWidth="1"/>
    <col min="9" max="9" width="14.84375" style="141" customWidth="1"/>
    <col min="10" max="10" width="1.84375" style="141" customWidth="1"/>
    <col min="11" max="11" width="13.07421875" style="141" customWidth="1"/>
    <col min="12" max="12" width="1.84375" style="141" customWidth="1"/>
    <col min="13" max="13" width="13.07421875" style="141" customWidth="1"/>
    <col min="14" max="14" width="1.84375" style="141" customWidth="1"/>
    <col min="15" max="15" width="13.07421875" style="141" customWidth="1"/>
    <col min="16" max="16" width="1.84375" style="141" customWidth="1"/>
    <col min="17" max="17" width="13.4609375" style="141" customWidth="1"/>
    <col min="18" max="18" width="1.84375" style="141" customWidth="1"/>
    <col min="19" max="19" width="13.07421875" style="141" customWidth="1"/>
    <col min="20" max="20" width="1.84375" style="141" customWidth="1"/>
    <col min="21" max="21" width="13" style="141" customWidth="1"/>
    <col min="22" max="22" width="1.84375" style="141" customWidth="1"/>
    <col min="23" max="23" width="13.84375" style="141" customWidth="1"/>
    <col min="24" max="24" width="1.84375" style="141" customWidth="1"/>
    <col min="25" max="25" width="12.84375" style="141" customWidth="1"/>
    <col min="26" max="27" width="1.84375" style="141" customWidth="1"/>
    <col min="28" max="28" width="15.07421875" style="141" customWidth="1"/>
    <col min="29" max="30" width="1.84375" style="141" customWidth="1"/>
    <col min="31" max="31" width="17.4609375" style="141" customWidth="1"/>
    <col min="32" max="32" width="0.84375" style="141" customWidth="1"/>
    <col min="33" max="33" width="1.84375" style="141" customWidth="1"/>
    <col min="34" max="34" width="12.84375" style="141" bestFit="1" customWidth="1"/>
    <col min="35" max="35" width="1.07421875" style="141" customWidth="1"/>
    <col min="36" max="36" width="11.07421875" style="141" customWidth="1"/>
    <col min="37" max="16384" width="8.84375" style="141"/>
  </cols>
  <sheetData>
    <row r="1" spans="1:37" ht="16.5" customHeight="1">
      <c r="A1" s="468" t="s">
        <v>868</v>
      </c>
    </row>
    <row r="2" spans="1:37" ht="16.5" customHeight="1">
      <c r="A2" s="600"/>
    </row>
    <row r="3" spans="1:37" ht="23.15" customHeight="1">
      <c r="A3" s="148" t="s">
        <v>0</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I3" s="151"/>
    </row>
    <row r="4" spans="1:37" ht="23.25" customHeight="1">
      <c r="A4" s="148" t="s">
        <v>120</v>
      </c>
      <c r="B4" s="151"/>
      <c r="C4" s="151"/>
      <c r="D4" s="151"/>
      <c r="E4" s="151"/>
      <c r="F4" s="151"/>
      <c r="G4" s="151"/>
      <c r="H4" s="151"/>
      <c r="I4" s="151" t="s">
        <v>14</v>
      </c>
      <c r="J4" s="151"/>
      <c r="K4" s="151"/>
      <c r="L4" s="151"/>
      <c r="M4" s="151"/>
      <c r="N4" s="151"/>
      <c r="O4" s="151"/>
      <c r="P4" s="151"/>
      <c r="Q4" s="151"/>
      <c r="R4" s="151"/>
      <c r="S4" s="151"/>
      <c r="T4" s="151"/>
      <c r="U4" s="151"/>
      <c r="V4" s="151"/>
      <c r="W4" s="151"/>
      <c r="X4" s="151"/>
      <c r="Y4" s="151" t="s">
        <v>14</v>
      </c>
      <c r="Z4" s="151"/>
      <c r="AA4" s="151"/>
      <c r="AB4" s="151"/>
      <c r="AC4" s="151"/>
      <c r="AD4" s="151"/>
      <c r="AE4" s="151"/>
      <c r="AF4" s="151"/>
      <c r="AG4" s="151"/>
      <c r="AI4" s="151"/>
    </row>
    <row r="5" spans="1:37" ht="23.25" customHeight="1">
      <c r="A5" s="150" t="s">
        <v>121</v>
      </c>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C5" s="2311"/>
      <c r="AD5" s="2312"/>
      <c r="AE5" s="2312"/>
      <c r="AF5" s="2312"/>
      <c r="AG5" s="2312"/>
      <c r="AH5" s="2312"/>
      <c r="AI5" s="2312"/>
      <c r="AJ5" s="2312"/>
    </row>
    <row r="6" spans="1:37" ht="23.25" customHeight="1">
      <c r="A6" s="150" t="s">
        <v>1462</v>
      </c>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I6" s="151"/>
    </row>
    <row r="7" spans="1:37" ht="23.25" customHeight="1">
      <c r="A7" s="148" t="s">
        <v>1247</v>
      </c>
      <c r="B7" s="151"/>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I7" s="151"/>
    </row>
    <row r="8" spans="1:37" ht="16.5" customHeight="1">
      <c r="A8" s="151"/>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I8" s="151"/>
    </row>
    <row r="9" spans="1:37" ht="16.5" customHeight="1">
      <c r="A9" s="151"/>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I9" s="151"/>
    </row>
    <row r="10" spans="1:37" ht="16.5" customHeight="1">
      <c r="A10" s="151"/>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I10" s="151"/>
    </row>
    <row r="11" spans="1:37" ht="16.5" customHeight="1">
      <c r="A11" s="151"/>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C11" s="151"/>
      <c r="AD11" s="151"/>
      <c r="AE11" s="151"/>
      <c r="AF11" s="151"/>
      <c r="AG11" s="151"/>
      <c r="AI11" s="151"/>
    </row>
    <row r="12" spans="1:37" ht="16.5" customHeight="1">
      <c r="A12" s="151"/>
      <c r="B12" s="151"/>
      <c r="C12" s="151" t="s">
        <v>14</v>
      </c>
      <c r="D12" s="151" t="s">
        <v>14</v>
      </c>
      <c r="E12" s="151"/>
      <c r="F12" s="151"/>
      <c r="G12" s="151"/>
      <c r="H12" s="151"/>
      <c r="I12" s="151"/>
      <c r="J12" s="151"/>
      <c r="K12" s="151"/>
      <c r="L12" s="151"/>
      <c r="M12" s="151"/>
      <c r="N12" s="151"/>
      <c r="O12" s="151"/>
      <c r="P12" s="151"/>
      <c r="Q12" s="151"/>
      <c r="R12" s="151"/>
      <c r="S12" s="151"/>
      <c r="T12" s="151"/>
      <c r="U12" s="151"/>
      <c r="V12" s="151"/>
      <c r="W12" s="151"/>
      <c r="X12" s="151"/>
      <c r="Z12" s="151"/>
      <c r="AA12" s="371"/>
      <c r="AB12" s="2313" t="s">
        <v>1559</v>
      </c>
      <c r="AC12" s="2314"/>
      <c r="AD12" s="2314"/>
      <c r="AE12" s="2314"/>
      <c r="AF12" s="2314"/>
      <c r="AG12" s="2314"/>
      <c r="AH12" s="2314"/>
      <c r="AI12" s="2314"/>
      <c r="AJ12" s="2314"/>
    </row>
    <row r="13" spans="1:37" ht="16.5" customHeight="1">
      <c r="A13" s="151"/>
      <c r="B13" s="151"/>
      <c r="C13" s="1017" t="s">
        <v>1461</v>
      </c>
      <c r="D13" s="369"/>
      <c r="E13" s="369"/>
      <c r="F13" s="369"/>
      <c r="G13" s="369"/>
      <c r="H13" s="369"/>
      <c r="I13" s="369"/>
      <c r="J13" s="369"/>
      <c r="K13" s="369"/>
      <c r="L13" s="369"/>
      <c r="M13" s="369"/>
      <c r="N13" s="369"/>
      <c r="O13" s="369"/>
      <c r="P13" s="369"/>
      <c r="Q13" s="369"/>
      <c r="R13" s="369"/>
      <c r="S13" s="369"/>
      <c r="T13" s="369"/>
      <c r="U13" s="1017">
        <v>2023</v>
      </c>
      <c r="V13" s="369"/>
      <c r="W13" s="369"/>
      <c r="X13" s="369"/>
      <c r="Y13" s="369"/>
      <c r="Z13" s="369"/>
      <c r="AA13" s="369"/>
      <c r="AB13" s="369"/>
      <c r="AC13" s="369"/>
      <c r="AD13" s="369"/>
      <c r="AE13" s="369"/>
      <c r="AF13" s="369"/>
      <c r="AG13" s="369"/>
      <c r="AH13" s="542" t="s">
        <v>7</v>
      </c>
      <c r="AI13" s="1821"/>
      <c r="AJ13" s="542" t="s">
        <v>8</v>
      </c>
    </row>
    <row r="14" spans="1:37" ht="16.5" customHeight="1">
      <c r="A14" s="151"/>
      <c r="B14" s="151"/>
      <c r="C14" s="542" t="s">
        <v>122</v>
      </c>
      <c r="D14" s="369"/>
      <c r="E14" s="542" t="s">
        <v>123</v>
      </c>
      <c r="F14" s="369"/>
      <c r="G14" s="542" t="s">
        <v>124</v>
      </c>
      <c r="H14" s="369"/>
      <c r="I14" s="542" t="s">
        <v>125</v>
      </c>
      <c r="J14" s="369"/>
      <c r="K14" s="542" t="s">
        <v>126</v>
      </c>
      <c r="L14" s="369"/>
      <c r="M14" s="542" t="s">
        <v>127</v>
      </c>
      <c r="N14" s="369"/>
      <c r="O14" s="542" t="s">
        <v>128</v>
      </c>
      <c r="P14" s="369"/>
      <c r="Q14" s="542" t="s">
        <v>129</v>
      </c>
      <c r="R14" s="369"/>
      <c r="S14" s="542" t="s">
        <v>130</v>
      </c>
      <c r="T14" s="369"/>
      <c r="U14" s="542" t="s">
        <v>131</v>
      </c>
      <c r="V14" s="369"/>
      <c r="W14" s="542" t="s">
        <v>132</v>
      </c>
      <c r="X14" s="369"/>
      <c r="Y14" s="542" t="s">
        <v>133</v>
      </c>
      <c r="Z14" s="369"/>
      <c r="AA14" s="369"/>
      <c r="AB14" s="1761">
        <v>2023</v>
      </c>
      <c r="AC14" s="369"/>
      <c r="AD14" s="369"/>
      <c r="AE14" s="1761">
        <v>2022</v>
      </c>
      <c r="AF14" s="369"/>
      <c r="AG14" s="369"/>
      <c r="AH14" s="1575" t="s">
        <v>11</v>
      </c>
      <c r="AI14" s="1821"/>
      <c r="AJ14" s="1575" t="s">
        <v>12</v>
      </c>
    </row>
    <row r="15" spans="1:37" ht="6" customHeight="1">
      <c r="A15" s="151"/>
      <c r="B15" s="151"/>
      <c r="C15" s="372"/>
      <c r="D15" s="151"/>
      <c r="E15" s="372"/>
      <c r="F15" s="151"/>
      <c r="G15" s="372"/>
      <c r="H15" s="151"/>
      <c r="I15" s="372"/>
      <c r="J15" s="151"/>
      <c r="K15" s="372"/>
      <c r="L15" s="151"/>
      <c r="M15" s="372"/>
      <c r="N15" s="151"/>
      <c r="O15" s="372" t="s">
        <v>14</v>
      </c>
      <c r="P15" s="151"/>
      <c r="Q15" s="372"/>
      <c r="R15" s="151"/>
      <c r="S15" s="372"/>
      <c r="T15" s="151"/>
      <c r="U15" s="372" t="s">
        <v>14</v>
      </c>
      <c r="V15" s="151"/>
      <c r="W15" s="372"/>
      <c r="X15" s="151"/>
      <c r="Y15" s="372"/>
      <c r="Z15" s="151"/>
      <c r="AA15" s="151"/>
      <c r="AB15" s="372"/>
      <c r="AC15" s="151"/>
      <c r="AD15" s="151"/>
      <c r="AE15" s="372"/>
      <c r="AF15" s="151"/>
      <c r="AG15" s="151"/>
      <c r="AI15" s="151"/>
    </row>
    <row r="16" spans="1:37" ht="16.5" customHeight="1">
      <c r="A16" s="370" t="s">
        <v>134</v>
      </c>
      <c r="B16" s="151"/>
      <c r="C16" s="373">
        <f>'Exhibit F'!D12+'Exhibit G'!D13+'Exhibit H'!B12+'Exhibit I'!E15</f>
        <v>53548.999999999993</v>
      </c>
      <c r="D16" s="373"/>
      <c r="E16" s="373">
        <f>C149</f>
        <v>67121.3</v>
      </c>
      <c r="F16" s="373"/>
      <c r="G16" s="373">
        <f>E149</f>
        <v>63343.7</v>
      </c>
      <c r="H16" s="373"/>
      <c r="I16" s="373">
        <f>G149</f>
        <v>68649.2</v>
      </c>
      <c r="J16" s="373"/>
      <c r="K16" s="373">
        <f>I149</f>
        <v>68003.5</v>
      </c>
      <c r="L16" s="373"/>
      <c r="M16" s="373">
        <f>K149</f>
        <v>67068.600000000006</v>
      </c>
      <c r="N16" s="373"/>
      <c r="O16" s="373">
        <f>M149</f>
        <v>74088.7</v>
      </c>
      <c r="P16" s="373"/>
      <c r="Q16" s="373">
        <f>O149</f>
        <v>70893.2</v>
      </c>
      <c r="R16" s="373"/>
      <c r="S16" s="373">
        <f t="shared" ref="S16" si="0">Q149</f>
        <v>67547.899999999994</v>
      </c>
      <c r="T16" s="373"/>
      <c r="U16" s="373">
        <f>S149</f>
        <v>72629.7</v>
      </c>
      <c r="V16" s="373"/>
      <c r="W16" s="373">
        <f t="shared" ref="W16" si="1">U149</f>
        <v>78255.5</v>
      </c>
      <c r="X16" s="373"/>
      <c r="Y16" s="373">
        <f t="shared" ref="Y16" si="2">W149</f>
        <v>79816.2</v>
      </c>
      <c r="Z16" s="373"/>
      <c r="AA16" s="374"/>
      <c r="AB16" s="373">
        <f>C16</f>
        <v>53548.999999999993</v>
      </c>
      <c r="AC16" s="373"/>
      <c r="AD16" s="1822"/>
      <c r="AE16" s="373">
        <f>'Exhibit F'!AF12+'Exhibit G'!AG13+'Exhibit H'!AD12+'Exhibit I'!AI15</f>
        <v>18751.099999999999</v>
      </c>
      <c r="AF16" s="373"/>
      <c r="AG16" s="373"/>
      <c r="AH16" s="373">
        <f>ROUND(SUM(AB16-AE16),1)</f>
        <v>34797.9</v>
      </c>
      <c r="AI16" s="369"/>
      <c r="AJ16" s="189">
        <f>ROUND(SUM(AH16/AE16),3)</f>
        <v>1.8560000000000001</v>
      </c>
      <c r="AK16" s="302"/>
    </row>
    <row r="17" spans="1:37" ht="16.5" customHeight="1">
      <c r="A17" s="151"/>
      <c r="B17" s="151"/>
      <c r="C17" s="151" t="s">
        <v>14</v>
      </c>
      <c r="D17" s="151"/>
      <c r="E17" s="375"/>
      <c r="F17" s="151"/>
      <c r="G17" s="375"/>
      <c r="H17" s="151"/>
      <c r="I17" s="375"/>
      <c r="J17" s="151"/>
      <c r="K17" s="375"/>
      <c r="L17" s="151"/>
      <c r="M17" s="375"/>
      <c r="N17" s="151"/>
      <c r="O17" s="375"/>
      <c r="P17" s="151"/>
      <c r="Q17" s="375"/>
      <c r="R17" s="151"/>
      <c r="S17" s="375"/>
      <c r="T17" s="151"/>
      <c r="U17" s="375"/>
      <c r="V17" s="151"/>
      <c r="W17" s="375"/>
      <c r="X17" s="151"/>
      <c r="Y17" s="375"/>
      <c r="Z17" s="151"/>
      <c r="AA17" s="376"/>
      <c r="AB17" s="151" t="s">
        <v>14</v>
      </c>
      <c r="AC17" s="151"/>
      <c r="AD17" s="1823"/>
      <c r="AE17" s="151" t="s">
        <v>14</v>
      </c>
      <c r="AF17" s="151"/>
      <c r="AG17" s="151"/>
      <c r="AH17" s="472"/>
      <c r="AI17" s="151"/>
      <c r="AJ17" s="472"/>
    </row>
    <row r="18" spans="1:37" ht="16.5" customHeight="1">
      <c r="A18" s="111" t="s">
        <v>13</v>
      </c>
      <c r="B18" s="151"/>
      <c r="C18" s="151"/>
      <c r="D18" s="151"/>
      <c r="E18" s="375"/>
      <c r="F18" s="151"/>
      <c r="G18" s="375"/>
      <c r="H18" s="151"/>
      <c r="I18" s="375"/>
      <c r="J18" s="151"/>
      <c r="K18" s="375"/>
      <c r="L18" s="151"/>
      <c r="M18" s="375"/>
      <c r="N18" s="151"/>
      <c r="O18" s="375"/>
      <c r="P18" s="151"/>
      <c r="Q18" s="375"/>
      <c r="R18" s="151"/>
      <c r="S18" s="375"/>
      <c r="T18" s="151"/>
      <c r="U18" s="375"/>
      <c r="V18" s="151"/>
      <c r="W18" s="375"/>
      <c r="X18" s="151"/>
      <c r="Y18" s="375"/>
      <c r="Z18" s="151"/>
      <c r="AA18" s="376"/>
      <c r="AB18" s="151"/>
      <c r="AC18" s="151"/>
      <c r="AD18" s="1823"/>
      <c r="AE18" s="151"/>
      <c r="AF18" s="151"/>
      <c r="AG18" s="151"/>
      <c r="AH18" s="472"/>
      <c r="AI18" s="151"/>
      <c r="AJ18" s="472"/>
    </row>
    <row r="19" spans="1:37" ht="16.5" customHeight="1">
      <c r="A19" s="117" t="s">
        <v>978</v>
      </c>
      <c r="B19" s="151"/>
      <c r="C19" s="151"/>
      <c r="D19" s="151"/>
      <c r="E19" s="375"/>
      <c r="F19" s="151"/>
      <c r="G19" s="375"/>
      <c r="H19" s="151"/>
      <c r="I19" s="375"/>
      <c r="J19" s="151"/>
      <c r="K19" s="375"/>
      <c r="L19" s="151"/>
      <c r="M19" s="375"/>
      <c r="N19" s="151"/>
      <c r="O19" s="375"/>
      <c r="P19" s="151"/>
      <c r="Q19" s="375"/>
      <c r="R19" s="151"/>
      <c r="S19" s="375"/>
      <c r="T19" s="151"/>
      <c r="U19" s="375"/>
      <c r="V19" s="151"/>
      <c r="W19" s="375"/>
      <c r="X19" s="151"/>
      <c r="Y19" s="375"/>
      <c r="Z19" s="151"/>
      <c r="AA19" s="376"/>
      <c r="AB19" s="151"/>
      <c r="AC19" s="151"/>
      <c r="AD19" s="1823"/>
      <c r="AE19" s="151"/>
      <c r="AF19" s="151"/>
      <c r="AG19" s="151"/>
      <c r="AH19" s="472"/>
      <c r="AI19" s="151"/>
      <c r="AJ19" s="472"/>
    </row>
    <row r="20" spans="1:37" ht="16.5" customHeight="1">
      <c r="A20" s="739" t="s">
        <v>1239</v>
      </c>
      <c r="B20" s="489"/>
      <c r="C20" s="449"/>
      <c r="D20" s="449"/>
      <c r="E20" s="449"/>
      <c r="F20" s="449"/>
      <c r="G20" s="449"/>
      <c r="H20" s="151"/>
      <c r="I20" s="375"/>
      <c r="J20" s="151"/>
      <c r="K20" s="375"/>
      <c r="L20" s="151"/>
      <c r="M20" s="375"/>
      <c r="N20" s="151"/>
      <c r="O20" s="375"/>
      <c r="P20" s="151"/>
      <c r="Q20" s="375"/>
      <c r="R20" s="151"/>
      <c r="S20" s="375"/>
      <c r="T20" s="151"/>
      <c r="U20" s="375"/>
      <c r="V20" s="151"/>
      <c r="W20" s="375"/>
      <c r="X20" s="151"/>
      <c r="Y20" s="375"/>
      <c r="Z20" s="151"/>
      <c r="AA20" s="686"/>
      <c r="AB20" s="151"/>
      <c r="AC20" s="151"/>
      <c r="AD20" s="1823"/>
      <c r="AE20" s="151"/>
      <c r="AF20" s="151"/>
      <c r="AG20" s="151"/>
      <c r="AH20" s="472"/>
      <c r="AI20" s="151"/>
      <c r="AJ20" s="472"/>
    </row>
    <row r="21" spans="1:37" ht="16.5" customHeight="1">
      <c r="A21" s="489" t="s">
        <v>984</v>
      </c>
      <c r="B21" s="489"/>
      <c r="C21" s="253">
        <f>+'Exhibit F'!D17</f>
        <v>3733.2</v>
      </c>
      <c r="D21" s="451"/>
      <c r="E21" s="253">
        <f>+'Exhibit F'!F17</f>
        <v>3632</v>
      </c>
      <c r="F21" s="451"/>
      <c r="G21" s="253">
        <f>+'Exhibit F'!H17</f>
        <v>4010.5999999999995</v>
      </c>
      <c r="H21" s="377"/>
      <c r="I21" s="253">
        <f>+'Exhibit F'!J17</f>
        <v>3513.9000000000024</v>
      </c>
      <c r="J21" s="377"/>
      <c r="K21" s="253">
        <f>+'Exhibit F'!L17</f>
        <v>3959.7000000000016</v>
      </c>
      <c r="L21" s="151"/>
      <c r="M21" s="253">
        <f>+'Exhibit F'!N17</f>
        <v>3486.399999999996</v>
      </c>
      <c r="N21" s="151"/>
      <c r="O21" s="253">
        <f>+'Exhibit F'!P17</f>
        <v>3447.2000000000016</v>
      </c>
      <c r="P21" s="151"/>
      <c r="Q21" s="253">
        <f>+'Exhibit F'!R17</f>
        <v>4016.3</v>
      </c>
      <c r="R21" s="253"/>
      <c r="S21" s="253">
        <f>+'Exhibit F'!T17</f>
        <v>4986.3999999999969</v>
      </c>
      <c r="T21" s="253"/>
      <c r="U21" s="253">
        <f>+'Exhibit F'!V17</f>
        <v>5601.0000000000045</v>
      </c>
      <c r="V21" s="253"/>
      <c r="W21" s="253">
        <f>+'Exhibit F'!X17</f>
        <v>5691.4000000000005</v>
      </c>
      <c r="X21" s="253"/>
      <c r="Y21" s="253">
        <f>+'Exhibit F'!Z17</f>
        <v>6398.5999999999995</v>
      </c>
      <c r="Z21" s="151"/>
      <c r="AA21" s="686"/>
      <c r="AB21" s="377">
        <f>ROUND(SUM(C21:Y21),1)</f>
        <v>52476.7</v>
      </c>
      <c r="AC21" s="151"/>
      <c r="AD21" s="1823"/>
      <c r="AE21" s="253">
        <f>+'Exhibit F'!AF17</f>
        <v>53327.700000000004</v>
      </c>
      <c r="AF21" s="151"/>
      <c r="AG21" s="151"/>
      <c r="AH21" s="467">
        <f>ROUND(SUM(+AB21-AE21),1)</f>
        <v>-851</v>
      </c>
      <c r="AI21" s="169"/>
      <c r="AJ21" s="663">
        <f>ROUND(IF(AE21=0,0,AH21/ABS(AE21)),3)</f>
        <v>-1.6E-2</v>
      </c>
    </row>
    <row r="22" spans="1:37" ht="16.5" customHeight="1">
      <c r="A22" s="489" t="s">
        <v>1237</v>
      </c>
      <c r="B22" s="492"/>
      <c r="C22" s="253">
        <f>+'Exhibit F'!D18</f>
        <v>10927.5</v>
      </c>
      <c r="D22" s="451"/>
      <c r="E22" s="253">
        <f>+'Exhibit F'!F18</f>
        <v>152.80000000000109</v>
      </c>
      <c r="F22" s="451"/>
      <c r="G22" s="253">
        <f>+'Exhibit F'!H18</f>
        <v>1846.2999999999993</v>
      </c>
      <c r="H22" s="377"/>
      <c r="I22" s="253">
        <f>+'Exhibit F'!J18</f>
        <v>131.5</v>
      </c>
      <c r="J22" s="377"/>
      <c r="K22" s="253">
        <f>+'Exhibit F'!L18</f>
        <v>134.29999999999927</v>
      </c>
      <c r="L22" s="151"/>
      <c r="M22" s="253">
        <f>+'Exhibit F'!N18</f>
        <v>1985.3000000000011</v>
      </c>
      <c r="N22" s="151"/>
      <c r="O22" s="253">
        <f>+'Exhibit F'!P18</f>
        <v>157.09999999999854</v>
      </c>
      <c r="P22" s="151"/>
      <c r="Q22" s="253">
        <f>+'Exhibit F'!R18</f>
        <v>97.800000000001091</v>
      </c>
      <c r="R22" s="151"/>
      <c r="S22" s="253">
        <f>+'Exhibit F'!T18</f>
        <v>248.10000000000036</v>
      </c>
      <c r="T22" s="151"/>
      <c r="U22" s="253">
        <f>+'Exhibit F'!V18</f>
        <v>2520.2000000000007</v>
      </c>
      <c r="V22" s="253"/>
      <c r="W22" s="253">
        <f>+'Exhibit F'!X18</f>
        <v>101.19999999999709</v>
      </c>
      <c r="X22" s="253"/>
      <c r="Y22" s="253">
        <f>+'Exhibit F'!Z18</f>
        <v>126</v>
      </c>
      <c r="Z22" s="151"/>
      <c r="AA22" s="686"/>
      <c r="AB22" s="377">
        <f>ROUND(SUM(C22:Y22),1)</f>
        <v>18428.099999999999</v>
      </c>
      <c r="AC22" s="151"/>
      <c r="AD22" s="1823"/>
      <c r="AE22" s="253">
        <f>+'Exhibit F'!AF18</f>
        <v>21665.9</v>
      </c>
      <c r="AF22" s="151"/>
      <c r="AG22" s="151"/>
      <c r="AH22" s="467">
        <f>ROUND(SUM(+AB22-AE22),1)</f>
        <v>-3237.8</v>
      </c>
      <c r="AI22" s="169"/>
      <c r="AJ22" s="1824">
        <f>ROUND(IF(AE22=0,0,AH22/ABS(AE22)),3)</f>
        <v>-0.14899999999999999</v>
      </c>
    </row>
    <row r="23" spans="1:37" ht="16.5" customHeight="1">
      <c r="A23" s="489" t="s">
        <v>985</v>
      </c>
      <c r="B23" s="489"/>
      <c r="C23" s="253">
        <f>+'Exhibit F'!D19</f>
        <v>3269.8</v>
      </c>
      <c r="D23" s="451"/>
      <c r="E23" s="253">
        <f>+'Exhibit F'!F19</f>
        <v>174.89999999999964</v>
      </c>
      <c r="F23" s="451"/>
      <c r="G23" s="253">
        <f>+'Exhibit F'!H19</f>
        <v>103.80000000000018</v>
      </c>
      <c r="H23" s="377"/>
      <c r="I23" s="253">
        <f>+'Exhibit F'!J19</f>
        <v>67.5</v>
      </c>
      <c r="J23" s="377"/>
      <c r="K23" s="253">
        <f>+'Exhibit F'!L19</f>
        <v>85.5</v>
      </c>
      <c r="L23" s="151"/>
      <c r="M23" s="253">
        <f>+'Exhibit F'!N19</f>
        <v>114.09999999999991</v>
      </c>
      <c r="N23" s="151"/>
      <c r="O23" s="253">
        <f>+'Exhibit F'!P19</f>
        <v>1124.9999999999995</v>
      </c>
      <c r="P23" s="151"/>
      <c r="Q23" s="253">
        <f>+'Exhibit F'!R19</f>
        <v>87.500000000000909</v>
      </c>
      <c r="R23" s="151"/>
      <c r="S23" s="253">
        <f>+'Exhibit F'!T19</f>
        <v>36.399999999999636</v>
      </c>
      <c r="T23" s="151"/>
      <c r="U23" s="253">
        <f>+'Exhibit F'!V19</f>
        <v>28.300000000000182</v>
      </c>
      <c r="V23" s="253"/>
      <c r="W23" s="253">
        <f>+'Exhibit F'!X19</f>
        <v>104.49999999999909</v>
      </c>
      <c r="X23" s="253"/>
      <c r="Y23" s="253">
        <f>+'Exhibit F'!Z19</f>
        <v>253.00000000000091</v>
      </c>
      <c r="Z23" s="151"/>
      <c r="AA23" s="686"/>
      <c r="AB23" s="377">
        <f>ROUND(SUM(C23:Y23),1)</f>
        <v>5450.3</v>
      </c>
      <c r="AC23" s="151"/>
      <c r="AD23" s="1823"/>
      <c r="AE23" s="253">
        <f>+'Exhibit F'!AF19</f>
        <v>4631.1000000000004</v>
      </c>
      <c r="AF23" s="151"/>
      <c r="AG23" s="151"/>
      <c r="AH23" s="467">
        <f>ROUND(SUM(+AB23-AE23),1)</f>
        <v>819.2</v>
      </c>
      <c r="AI23" s="169"/>
      <c r="AJ23" s="663">
        <f>ROUND(IF(AE23=0,0,AH23/ABS(AE23)),3)</f>
        <v>0.17699999999999999</v>
      </c>
    </row>
    <row r="24" spans="1:37" ht="16.5" customHeight="1">
      <c r="A24" s="754" t="s">
        <v>986</v>
      </c>
      <c r="B24" s="489"/>
      <c r="C24" s="253">
        <f>+'Exhibit F'!D20</f>
        <v>-502</v>
      </c>
      <c r="D24" s="451"/>
      <c r="E24" s="253">
        <f>+'Exhibit F'!F20</f>
        <v>-39.100000000000023</v>
      </c>
      <c r="F24" s="451"/>
      <c r="G24" s="253">
        <f>+'Exhibit F'!H20</f>
        <v>-50.399999999999977</v>
      </c>
      <c r="H24" s="377"/>
      <c r="I24" s="253">
        <f>+'Exhibit F'!J20</f>
        <v>-20.799999999999955</v>
      </c>
      <c r="J24" s="377"/>
      <c r="K24" s="253">
        <f>+'Exhibit F'!L20</f>
        <v>-44</v>
      </c>
      <c r="L24" s="151"/>
      <c r="M24" s="253">
        <f>+'Exhibit F'!N20</f>
        <v>-90.200000000000045</v>
      </c>
      <c r="N24" s="151"/>
      <c r="O24" s="253">
        <f>+'Exhibit F'!P20</f>
        <v>-937.09999999999991</v>
      </c>
      <c r="P24" s="151"/>
      <c r="Q24" s="253">
        <f>+'Exhibit F'!R20</f>
        <v>-157.5</v>
      </c>
      <c r="R24" s="151"/>
      <c r="S24" s="253">
        <f>+'Exhibit F'!T20</f>
        <v>-21.300000000000182</v>
      </c>
      <c r="T24" s="151"/>
      <c r="U24" s="253">
        <f>+'Exhibit F'!V20</f>
        <v>11.300000000000182</v>
      </c>
      <c r="V24" s="253"/>
      <c r="W24" s="253">
        <f>+'Exhibit F'!X20</f>
        <v>-79.900000000000091</v>
      </c>
      <c r="X24" s="253"/>
      <c r="Y24" s="253">
        <f>+'Exhibit F'!Z20</f>
        <v>-77.099999999999909</v>
      </c>
      <c r="Z24" s="151"/>
      <c r="AA24" s="686"/>
      <c r="AB24" s="377">
        <f t="shared" ref="AB24:AB29" si="3">ROUND(SUM(C24:Y24),1)</f>
        <v>-2008.1</v>
      </c>
      <c r="AC24" s="151"/>
      <c r="AD24" s="1823"/>
      <c r="AE24" s="253">
        <f>+'Exhibit F'!AF20</f>
        <v>-1122.3</v>
      </c>
      <c r="AF24" s="151"/>
      <c r="AG24" s="151"/>
      <c r="AH24" s="467">
        <f>-ROUND(SUM(+AB24-AE24),1)</f>
        <v>885.8</v>
      </c>
      <c r="AI24" s="169"/>
      <c r="AJ24" s="469">
        <f>ROUND(IF(AE24=0,0,AH24/ABS(AE24)),3)</f>
        <v>0.78900000000000003</v>
      </c>
    </row>
    <row r="25" spans="1:37" ht="16.5" customHeight="1">
      <c r="A25" s="754" t="s">
        <v>1236</v>
      </c>
      <c r="B25" s="489"/>
      <c r="C25" s="253">
        <f>+'Exhibit F'!D21</f>
        <v>220.6</v>
      </c>
      <c r="D25" s="451"/>
      <c r="E25" s="253">
        <f>+'Exhibit F'!F21</f>
        <v>161.79999999999998</v>
      </c>
      <c r="F25" s="451"/>
      <c r="G25" s="253">
        <f>+'Exhibit F'!H21</f>
        <v>110.10000000000005</v>
      </c>
      <c r="H25" s="377"/>
      <c r="I25" s="253">
        <f>+'Exhibit F'!J21</f>
        <v>128.20000000000007</v>
      </c>
      <c r="J25" s="377"/>
      <c r="K25" s="253">
        <f>+'Exhibit F'!L21</f>
        <v>113.69999999999996</v>
      </c>
      <c r="L25" s="151"/>
      <c r="M25" s="253">
        <f>+'Exhibit F'!N21</f>
        <v>124.59999999999997</v>
      </c>
      <c r="N25" s="151"/>
      <c r="O25" s="253">
        <f>+'Exhibit F'!P21</f>
        <v>119.50000000000003</v>
      </c>
      <c r="P25" s="151"/>
      <c r="Q25" s="253">
        <f>+'Exhibit F'!R21</f>
        <v>136.50000000000003</v>
      </c>
      <c r="R25" s="151"/>
      <c r="S25" s="253">
        <f>+'Exhibit F'!T21</f>
        <v>142.6</v>
      </c>
      <c r="T25" s="151"/>
      <c r="U25" s="253">
        <f>+'Exhibit F'!V21</f>
        <v>133.60000000000028</v>
      </c>
      <c r="V25" s="253"/>
      <c r="W25" s="253">
        <f>+'Exhibit F'!X21</f>
        <v>207.49999999999974</v>
      </c>
      <c r="X25" s="253"/>
      <c r="Y25" s="253">
        <f>+'Exhibit F'!Z21</f>
        <v>193.39999999999989</v>
      </c>
      <c r="Z25" s="151"/>
      <c r="AA25" s="686"/>
      <c r="AB25" s="377">
        <f t="shared" si="3"/>
        <v>1792.1</v>
      </c>
      <c r="AC25" s="151"/>
      <c r="AD25" s="1823"/>
      <c r="AE25" s="253">
        <f>+'Exhibit F'!AF21</f>
        <v>1494.1</v>
      </c>
      <c r="AF25" s="151"/>
      <c r="AG25" s="151"/>
      <c r="AH25" s="467">
        <f>ROUND(SUM(+AB25-AE25),1)</f>
        <v>298</v>
      </c>
      <c r="AI25" s="169"/>
      <c r="AJ25" s="469">
        <f t="shared" ref="AJ25:AJ30" si="4">ROUND(IF(AE25=0,0,AH25/ABS(AE25)),3)</f>
        <v>0.19900000000000001</v>
      </c>
    </row>
    <row r="26" spans="1:37" ht="16.5" customHeight="1">
      <c r="A26" s="490" t="s">
        <v>987</v>
      </c>
      <c r="B26" s="490"/>
      <c r="C26" s="491">
        <f>ROUND(SUM(C21:C25),1)</f>
        <v>17649.099999999999</v>
      </c>
      <c r="D26" s="16"/>
      <c r="E26" s="491">
        <f>ROUND(SUM(E21:E25),1)</f>
        <v>4082.4</v>
      </c>
      <c r="F26" s="16"/>
      <c r="G26" s="491">
        <f>ROUND(SUM(G21:G25),1)</f>
        <v>6020.4</v>
      </c>
      <c r="H26" s="151"/>
      <c r="I26" s="645">
        <f>ROUND(SUM(I21:I25),1)</f>
        <v>3820.3</v>
      </c>
      <c r="J26" s="151"/>
      <c r="K26" s="645">
        <f>ROUND(SUM(K21:K25),1)</f>
        <v>4249.2</v>
      </c>
      <c r="L26" s="151"/>
      <c r="M26" s="645">
        <f>ROUND(SUM(M21:M25),1)</f>
        <v>5620.2</v>
      </c>
      <c r="N26" s="151"/>
      <c r="O26" s="645">
        <f>ROUND(SUM(O21:O25),1)</f>
        <v>3911.7</v>
      </c>
      <c r="P26" s="151"/>
      <c r="Q26" s="645">
        <f>ROUND(SUM(Q21:Q25),1)</f>
        <v>4180.6000000000004</v>
      </c>
      <c r="R26" s="151"/>
      <c r="S26" s="645">
        <f>ROUND(SUM(S21:S25),1)</f>
        <v>5392.2</v>
      </c>
      <c r="T26" s="151"/>
      <c r="U26" s="645">
        <f>ROUND(SUM(U21:U25),1)</f>
        <v>8294.4</v>
      </c>
      <c r="V26" s="151"/>
      <c r="W26" s="645">
        <f>ROUND(SUM(W21:W25),1)</f>
        <v>6024.7</v>
      </c>
      <c r="X26" s="151"/>
      <c r="Y26" s="645">
        <f>ROUND(SUM(Y21:Y25),1)</f>
        <v>6893.9</v>
      </c>
      <c r="Z26" s="151"/>
      <c r="AA26" s="686"/>
      <c r="AB26" s="384">
        <f>ROUND(SUM(C26:Y26),1)</f>
        <v>76139.100000000006</v>
      </c>
      <c r="AC26" s="151"/>
      <c r="AD26" s="1823"/>
      <c r="AE26" s="645">
        <f>ROUND(SUM(AE21:AE25),1)</f>
        <v>79996.5</v>
      </c>
      <c r="AF26" s="151"/>
      <c r="AG26" s="151"/>
      <c r="AH26" s="178">
        <f>ROUND(SUM(AB26-AE26),1)</f>
        <v>-3857.4</v>
      </c>
      <c r="AI26" s="169"/>
      <c r="AJ26" s="962">
        <f t="shared" si="4"/>
        <v>-4.8000000000000001E-2</v>
      </c>
      <c r="AK26" s="141" t="s">
        <v>14</v>
      </c>
    </row>
    <row r="27" spans="1:37" ht="16.5" customHeight="1">
      <c r="A27" s="754" t="s">
        <v>989</v>
      </c>
      <c r="B27" s="489"/>
      <c r="C27" s="920">
        <v>0</v>
      </c>
      <c r="D27" s="448"/>
      <c r="E27" s="920">
        <v>0</v>
      </c>
      <c r="F27" s="448"/>
      <c r="G27" s="920">
        <v>0</v>
      </c>
      <c r="H27" s="377"/>
      <c r="I27" s="920">
        <v>0</v>
      </c>
      <c r="J27" s="377"/>
      <c r="K27" s="920">
        <v>0</v>
      </c>
      <c r="L27" s="151"/>
      <c r="M27" s="920">
        <v>0</v>
      </c>
      <c r="N27" s="151"/>
      <c r="O27" s="920">
        <v>0</v>
      </c>
      <c r="P27" s="151"/>
      <c r="Q27" s="920">
        <v>0</v>
      </c>
      <c r="R27" s="452"/>
      <c r="S27" s="920">
        <v>0</v>
      </c>
      <c r="T27" s="452"/>
      <c r="U27" s="452">
        <f>'Exhibit F'!V23+'Exhibit G State'!V17</f>
        <v>0</v>
      </c>
      <c r="V27" s="452"/>
      <c r="W27" s="452">
        <f>'Exhibit F'!X23+'Exhibit G State'!X17</f>
        <v>0</v>
      </c>
      <c r="X27" s="452"/>
      <c r="Y27" s="452">
        <f>'Exhibit F'!Z23+'Exhibit G State'!Z17</f>
        <v>0</v>
      </c>
      <c r="Z27" s="151"/>
      <c r="AA27" s="686"/>
      <c r="AB27" s="377">
        <f t="shared" si="3"/>
        <v>0</v>
      </c>
      <c r="AC27" s="151"/>
      <c r="AD27" s="1823"/>
      <c r="AE27" s="920">
        <f>+'Exhibit F'!AF23+'Exhibit G'!AG17</f>
        <v>0</v>
      </c>
      <c r="AF27" s="151"/>
      <c r="AG27" s="151"/>
      <c r="AH27" s="467">
        <f>ROUND(SUM(+AB27-AE27),1)</f>
        <v>0</v>
      </c>
      <c r="AI27" s="169"/>
      <c r="AJ27" s="469">
        <f t="shared" si="4"/>
        <v>0</v>
      </c>
    </row>
    <row r="28" spans="1:37" ht="16.5" customHeight="1">
      <c r="A28" s="754" t="s">
        <v>990</v>
      </c>
      <c r="B28" s="489"/>
      <c r="C28" s="452">
        <f>'Exhibit F'!D24+'Exhibit H'!B16</f>
        <v>0</v>
      </c>
      <c r="D28" s="448"/>
      <c r="E28" s="452">
        <f>'Exhibit F'!F24+'Exhibit H'!D16</f>
        <v>0</v>
      </c>
      <c r="F28" s="448"/>
      <c r="G28" s="452">
        <f>'Exhibit F'!H24+'Exhibit H'!F16</f>
        <v>0</v>
      </c>
      <c r="H28" s="377"/>
      <c r="I28" s="452">
        <f>'Exhibit F'!J24+'Exhibit H'!H16</f>
        <v>0</v>
      </c>
      <c r="J28" s="377"/>
      <c r="K28" s="452">
        <f>'Exhibit F'!L24+'Exhibit H'!J16</f>
        <v>0</v>
      </c>
      <c r="L28" s="151"/>
      <c r="M28" s="452">
        <f>'Exhibit F'!N24+'Exhibit H'!L16</f>
        <v>0</v>
      </c>
      <c r="N28" s="151"/>
      <c r="O28" s="452">
        <f>'Exhibit F'!P24+'Exhibit H'!N16</f>
        <v>0</v>
      </c>
      <c r="P28" s="151"/>
      <c r="Q28" s="452">
        <f>'Exhibit F'!R24+'Exhibit H'!P16</f>
        <v>0</v>
      </c>
      <c r="R28" s="452"/>
      <c r="S28" s="452">
        <f>'Exhibit F'!T24+'Exhibit H'!R16</f>
        <v>0</v>
      </c>
      <c r="T28" s="452"/>
      <c r="U28" s="452">
        <f>'Exhibit F'!V24+'Exhibit H'!T16</f>
        <v>0</v>
      </c>
      <c r="V28" s="452"/>
      <c r="W28" s="452">
        <f>'Exhibit F'!X24+'Exhibit H'!V16</f>
        <v>0</v>
      </c>
      <c r="X28" s="452"/>
      <c r="Y28" s="452">
        <f>'Exhibit F'!Z24+'Exhibit H'!X16</f>
        <v>0</v>
      </c>
      <c r="Z28" s="151"/>
      <c r="AA28" s="686"/>
      <c r="AB28" s="377">
        <f>ROUND(SUM(C28:Y28),1)</f>
        <v>0</v>
      </c>
      <c r="AC28" s="151"/>
      <c r="AD28" s="1823"/>
      <c r="AE28" s="452">
        <f>+'Exhibit F'!AF24+'Exhibit H'!AD16</f>
        <v>0</v>
      </c>
      <c r="AF28" s="151"/>
      <c r="AG28" s="151"/>
      <c r="AH28" s="467">
        <f>ROUND(SUM(+AB28-AE28),1)</f>
        <v>0</v>
      </c>
      <c r="AI28" s="169"/>
      <c r="AJ28" s="469">
        <f>ROUND(IF(AE28=0,0,AH28/ABS(AE28)),3)</f>
        <v>0</v>
      </c>
    </row>
    <row r="29" spans="1:37" ht="16.5" customHeight="1">
      <c r="A29" s="489" t="s">
        <v>1238</v>
      </c>
      <c r="B29" s="489"/>
      <c r="C29" s="253">
        <f>+'Exhibit F'!D25</f>
        <v>-2927.5</v>
      </c>
      <c r="D29" s="451"/>
      <c r="E29" s="253">
        <f>+'Exhibit F'!F25</f>
        <v>-1358.1999999999998</v>
      </c>
      <c r="F29" s="451"/>
      <c r="G29" s="253">
        <f>+'Exhibit F'!H25</f>
        <v>-1827.3000000000002</v>
      </c>
      <c r="H29" s="377"/>
      <c r="I29" s="253">
        <f>+'Exhibit F'!J25</f>
        <v>-728.60000000000036</v>
      </c>
      <c r="J29" s="377"/>
      <c r="K29" s="253">
        <f>+'Exhibit F'!L25</f>
        <v>-660.39999999999964</v>
      </c>
      <c r="L29" s="151"/>
      <c r="M29" s="253">
        <f>+'Exhibit F'!N25</f>
        <v>-761</v>
      </c>
      <c r="N29" s="151"/>
      <c r="O29" s="253">
        <f>+'Exhibit F'!P25</f>
        <v>-1968.5</v>
      </c>
      <c r="P29" s="151"/>
      <c r="Q29" s="253">
        <f>+'Exhibit F'!R25</f>
        <v>-1465.2999999999993</v>
      </c>
      <c r="R29" s="253"/>
      <c r="S29" s="253">
        <f>+'Exhibit F'!T25</f>
        <v>-1111.1000000000013</v>
      </c>
      <c r="T29" s="253"/>
      <c r="U29" s="253">
        <f>+'Exhibit F'!V25</f>
        <v>-22</v>
      </c>
      <c r="V29" s="151"/>
      <c r="W29" s="253">
        <f>+'Exhibit F'!X25</f>
        <v>-1877.3000000000002</v>
      </c>
      <c r="X29" s="253"/>
      <c r="Y29" s="253">
        <f>+'Exhibit F'!Z25</f>
        <v>-2656.2999999999993</v>
      </c>
      <c r="Z29" s="151"/>
      <c r="AA29" s="686"/>
      <c r="AB29" s="377">
        <f t="shared" si="3"/>
        <v>-17363.5</v>
      </c>
      <c r="AC29" s="151"/>
      <c r="AD29" s="1823"/>
      <c r="AE29" s="253">
        <f>+'Exhibit F'!AF25</f>
        <v>-9259.2000000000007</v>
      </c>
      <c r="AF29" s="151"/>
      <c r="AG29" s="151"/>
      <c r="AH29" s="467">
        <f>-ROUND(SUM(+AB29-AE29),1)</f>
        <v>8104.3</v>
      </c>
      <c r="AI29" s="169"/>
      <c r="AJ29" s="469">
        <f t="shared" si="4"/>
        <v>0.875</v>
      </c>
    </row>
    <row r="30" spans="1:37" ht="16.5" customHeight="1">
      <c r="A30" s="217" t="s">
        <v>988</v>
      </c>
      <c r="B30" s="489"/>
      <c r="C30" s="645">
        <f>ROUND(SUM(C26)+SUM(C27)+SUM(C28)+SUM(C29),1)</f>
        <v>14721.6</v>
      </c>
      <c r="D30" s="16"/>
      <c r="E30" s="645">
        <f>ROUND(SUM(E26)+SUM(E27)+SUM(E28)+SUM(E29),1)</f>
        <v>2724.2</v>
      </c>
      <c r="F30" s="16"/>
      <c r="G30" s="645">
        <f>ROUND(SUM(G26)+SUM(G27)+SUM(G28)+SUM(G29),1)</f>
        <v>4193.1000000000004</v>
      </c>
      <c r="H30" s="151"/>
      <c r="I30" s="645">
        <f>ROUND(SUM(I26)+SUM(I27)+SUM(I28)+SUM(I29),1)</f>
        <v>3091.7</v>
      </c>
      <c r="J30" s="151"/>
      <c r="K30" s="645">
        <f>ROUND(SUM(K26)+SUM(K27)+SUM(K28)+SUM(K29),1)</f>
        <v>3588.8</v>
      </c>
      <c r="L30" s="151"/>
      <c r="M30" s="645">
        <f>ROUND(SUM(M26)+SUM(M27)+SUM(M28)+SUM(M29),1)</f>
        <v>4859.2</v>
      </c>
      <c r="N30" s="151"/>
      <c r="O30" s="645">
        <f>ROUND(SUM(O26)+SUM(O27)+SUM(O28)+SUM(O29),1)</f>
        <v>1943.2</v>
      </c>
      <c r="P30" s="151"/>
      <c r="Q30" s="645">
        <f>ROUND(SUM(Q26)+SUM(Q27)+SUM(Q28)+SUM(Q29),1)</f>
        <v>2715.3</v>
      </c>
      <c r="R30" s="151"/>
      <c r="S30" s="645">
        <f>ROUND(SUM(S26)+SUM(S27)+SUM(S28)+SUM(S29),1)</f>
        <v>4281.1000000000004</v>
      </c>
      <c r="T30" s="151"/>
      <c r="U30" s="645">
        <f>ROUND(SUM(U26)+SUM(U27)+SUM(U28)+SUM(U29),1)</f>
        <v>8272.4</v>
      </c>
      <c r="V30" s="151"/>
      <c r="W30" s="645">
        <f>ROUND(SUM(W26)+SUM(W27)+SUM(W28)+SUM(W29),1)</f>
        <v>4147.3999999999996</v>
      </c>
      <c r="X30" s="151"/>
      <c r="Y30" s="645">
        <f>ROUND(SUM(Y26)+SUM(Y27)+SUM(Y28)+SUM(Y29),1)</f>
        <v>4237.6000000000004</v>
      </c>
      <c r="Z30" s="151"/>
      <c r="AA30" s="686"/>
      <c r="AB30" s="384">
        <f>ROUND(SUM(C30:Y30),1)</f>
        <v>58775.6</v>
      </c>
      <c r="AC30" s="151"/>
      <c r="AD30" s="1823"/>
      <c r="AE30" s="645">
        <f>ROUND(SUM(AE26)+SUM(AE27)+SUM(AE28)+SUM(AE29),1)</f>
        <v>70737.3</v>
      </c>
      <c r="AF30" s="151"/>
      <c r="AG30" s="151"/>
      <c r="AH30" s="178">
        <f>ROUND(SUM(AH26+AH27+AH28-AH29),1)</f>
        <v>-11961.7</v>
      </c>
      <c r="AI30" s="467"/>
      <c r="AJ30" s="962">
        <f t="shared" si="4"/>
        <v>-0.16900000000000001</v>
      </c>
      <c r="AK30" s="141" t="s">
        <v>14</v>
      </c>
    </row>
    <row r="31" spans="1:37" ht="16.5" customHeight="1">
      <c r="A31" s="739" t="s">
        <v>1037</v>
      </c>
      <c r="B31" s="492"/>
      <c r="C31" s="448"/>
      <c r="D31" s="448"/>
      <c r="E31" s="448"/>
      <c r="F31" s="448"/>
      <c r="G31" s="448"/>
      <c r="H31" s="151"/>
      <c r="I31" s="448"/>
      <c r="J31" s="151"/>
      <c r="K31" s="448"/>
      <c r="L31" s="151"/>
      <c r="M31" s="448"/>
      <c r="N31" s="151"/>
      <c r="O31" s="448"/>
      <c r="P31" s="151"/>
      <c r="Q31" s="448"/>
      <c r="R31" s="151"/>
      <c r="S31" s="448"/>
      <c r="T31" s="151"/>
      <c r="U31" s="448"/>
      <c r="V31" s="151"/>
      <c r="W31" s="448"/>
      <c r="X31" s="151"/>
      <c r="Y31" s="448"/>
      <c r="Z31" s="151"/>
      <c r="AA31" s="686"/>
      <c r="AB31" s="151"/>
      <c r="AC31" s="151"/>
      <c r="AD31" s="1823"/>
      <c r="AE31" s="375"/>
      <c r="AF31" s="151"/>
      <c r="AG31" s="151"/>
      <c r="AH31" s="42"/>
      <c r="AI31" s="467"/>
      <c r="AJ31" s="189"/>
    </row>
    <row r="32" spans="1:37" ht="16.5" customHeight="1">
      <c r="A32" s="489" t="s">
        <v>993</v>
      </c>
      <c r="B32" s="492"/>
      <c r="C32" s="253">
        <f>+'Exhibit F'!D28+'Exhibit G'!D20+'Exhibit H'!B19</f>
        <v>1378.7</v>
      </c>
      <c r="D32" s="451"/>
      <c r="E32" s="253">
        <f>+'Exhibit F'!F28+'Exhibit G'!F20+'Exhibit H'!D19</f>
        <v>1397.1999999999998</v>
      </c>
      <c r="F32" s="451"/>
      <c r="G32" s="253">
        <f>+'Exhibit F'!H28+'Exhibit G'!H20+'Exhibit H'!F19</f>
        <v>1881.7000000000003</v>
      </c>
      <c r="H32" s="377"/>
      <c r="I32" s="253">
        <f>+'Exhibit F'!J28+'Exhibit G'!J20+'Exhibit H'!H19</f>
        <v>1474.8000000000002</v>
      </c>
      <c r="J32" s="377"/>
      <c r="K32" s="253">
        <f>+'Exhibit F'!L28+'Exhibit G'!L20+'Exhibit H'!J19</f>
        <v>1429.6</v>
      </c>
      <c r="L32" s="151"/>
      <c r="M32" s="253">
        <f>+'Exhibit F'!N28+'Exhibit G'!N20+'Exhibit H'!L19</f>
        <v>1892.8999999999992</v>
      </c>
      <c r="N32" s="151"/>
      <c r="O32" s="253">
        <f>+'Exhibit F'!P28+'Exhibit G'!P20+'Exhibit H'!N19</f>
        <v>1496.2000000000003</v>
      </c>
      <c r="P32" s="151"/>
      <c r="Q32" s="253">
        <f>+'Exhibit F'!R28+'Exhibit G'!R20+'Exhibit H'!P19</f>
        <v>1465.6999999999998</v>
      </c>
      <c r="R32" s="253"/>
      <c r="S32" s="253">
        <f>+'Exhibit F'!T28+'Exhibit G'!T20+'Exhibit H'!R19</f>
        <v>1839.4000000000003</v>
      </c>
      <c r="T32" s="253"/>
      <c r="U32" s="253">
        <f>+'Exhibit F'!V28+'Exhibit G'!V20+'Exhibit H'!T19</f>
        <v>1617.8000000000006</v>
      </c>
      <c r="V32" s="253"/>
      <c r="W32" s="253">
        <f>+'Exhibit F'!X28+'Exhibit G'!X20+'Exhibit H'!V19</f>
        <v>1395.6999999999971</v>
      </c>
      <c r="X32" s="253"/>
      <c r="Y32" s="253">
        <f>+'Exhibit F'!Z28+'Exhibit G'!Z20+'Exhibit H'!X19</f>
        <v>1663.6999999999998</v>
      </c>
      <c r="Z32" s="151"/>
      <c r="AA32" s="686"/>
      <c r="AB32" s="377">
        <f t="shared" ref="AB32:AB41" si="5">ROUND(SUM(C32:Y32),1)</f>
        <v>18933.400000000001</v>
      </c>
      <c r="AC32" s="151"/>
      <c r="AD32" s="1823"/>
      <c r="AE32" s="253">
        <f>+'Exhibit F'!AF28+'Exhibit G'!AG20+'Exhibit H'!AD19</f>
        <v>17580.099999999999</v>
      </c>
      <c r="AF32" s="151"/>
      <c r="AG32" s="151"/>
      <c r="AH32" s="467">
        <f t="shared" ref="AH32:AH39" si="6">ROUND(SUM(+AB32-AE32),1)</f>
        <v>1353.3</v>
      </c>
      <c r="AI32" s="467"/>
      <c r="AJ32" s="663">
        <f t="shared" ref="AJ32:AJ42" si="7">ROUND(IF(AE32=0,0,AH32/ABS(AE32)),3)</f>
        <v>7.6999999999999999E-2</v>
      </c>
    </row>
    <row r="33" spans="1:38" ht="16.5" customHeight="1">
      <c r="A33" s="489" t="s">
        <v>994</v>
      </c>
      <c r="B33" s="492"/>
      <c r="C33" s="253">
        <f>+'Exhibit F'!D29+'Exhibit G'!D21+'Exhibit I'!E20</f>
        <v>11.200000000000001</v>
      </c>
      <c r="D33" s="451"/>
      <c r="E33" s="253">
        <f>+'Exhibit F'!F29+'Exhibit G'!F21+'Exhibit I'!G20</f>
        <v>9.9999999999999645E-2</v>
      </c>
      <c r="F33" s="451"/>
      <c r="G33" s="253">
        <f>+'Exhibit F'!H29+'Exhibit G'!H21+'Exhibit I'!I20</f>
        <v>27.500000000000004</v>
      </c>
      <c r="H33" s="377"/>
      <c r="I33" s="253">
        <f>+'Exhibit F'!J29+'Exhibit G'!J21+'Exhibit I'!K20</f>
        <v>0</v>
      </c>
      <c r="J33" s="377"/>
      <c r="K33" s="253">
        <f>+'Exhibit F'!L29+'Exhibit G'!L21+'Exhibit I'!M20</f>
        <v>9.9999999999997868E-2</v>
      </c>
      <c r="L33" s="151"/>
      <c r="M33" s="253">
        <f>+'Exhibit F'!N29+'Exhibit G'!N21+'Exhibit I'!O20</f>
        <v>38.799999999999997</v>
      </c>
      <c r="N33" s="151"/>
      <c r="O33" s="253">
        <f>+'Exhibit F'!P29+'Exhibit G'!P21+'Exhibit I'!Q20</f>
        <v>0</v>
      </c>
      <c r="P33" s="151"/>
      <c r="Q33" s="253">
        <f>+'Exhibit F'!R29+'Exhibit G'!R21+'Exhibit I'!S20</f>
        <v>0</v>
      </c>
      <c r="R33" s="253"/>
      <c r="S33" s="253">
        <f>+'Exhibit F'!T29+'Exhibit G'!T21+'Exhibit I'!U20</f>
        <v>30.4</v>
      </c>
      <c r="T33" s="253"/>
      <c r="U33" s="253">
        <f>+'Exhibit F'!V29+'Exhibit G'!V21+'Exhibit I'!W20</f>
        <v>0.2</v>
      </c>
      <c r="V33" s="253"/>
      <c r="W33" s="253">
        <f>+'Exhibit F'!X29+'Exhibit G'!X21+'Exhibit I'!Y20</f>
        <v>0.10000000000000142</v>
      </c>
      <c r="X33" s="253"/>
      <c r="Y33" s="253">
        <f>+'Exhibit F'!Z29+'Exhibit G'!Z21+'Exhibit I'!AA20</f>
        <v>13.599999999999998</v>
      </c>
      <c r="Z33" s="151"/>
      <c r="AA33" s="686"/>
      <c r="AB33" s="377">
        <f>ROUND(SUM(C33:Y33),1)</f>
        <v>122</v>
      </c>
      <c r="AC33" s="151"/>
      <c r="AD33" s="1823"/>
      <c r="AE33" s="253">
        <f>+'Exhibit F'!AF29+'Exhibit G'!AG21+'Exhibit I'!AI20</f>
        <v>99</v>
      </c>
      <c r="AF33" s="151"/>
      <c r="AG33" s="151"/>
      <c r="AH33" s="467">
        <f t="shared" si="6"/>
        <v>23</v>
      </c>
      <c r="AI33" s="467"/>
      <c r="AJ33" s="663">
        <f t="shared" si="7"/>
        <v>0.23200000000000001</v>
      </c>
    </row>
    <row r="34" spans="1:38" ht="16.5" customHeight="1">
      <c r="A34" s="489" t="s">
        <v>995</v>
      </c>
      <c r="B34" s="489"/>
      <c r="C34" s="253">
        <f>+'Exhibit F'!D30+'Exhibit G'!D22</f>
        <v>84.699999999999989</v>
      </c>
      <c r="D34" s="451"/>
      <c r="E34" s="253">
        <f>+'Exhibit F'!F30+'Exhibit G'!F22</f>
        <v>75.200000000000017</v>
      </c>
      <c r="F34" s="451"/>
      <c r="G34" s="253">
        <f>+'Exhibit F'!H30+'Exhibit G'!H22</f>
        <v>82.699999999999989</v>
      </c>
      <c r="H34" s="377"/>
      <c r="I34" s="253">
        <f>+'Exhibit F'!J30+'Exhibit G'!J22</f>
        <v>77.300000000000011</v>
      </c>
      <c r="J34" s="377"/>
      <c r="K34" s="253">
        <f>+'Exhibit F'!L30+'Exhibit G'!L22</f>
        <v>83.599999999999966</v>
      </c>
      <c r="L34" s="151"/>
      <c r="M34" s="253">
        <f>+'Exhibit F'!N30+'Exhibit G'!N22</f>
        <v>77.700000000000017</v>
      </c>
      <c r="N34" s="151"/>
      <c r="O34" s="253">
        <f>+'Exhibit F'!P30+'Exhibit G'!P22</f>
        <v>78.500000000000057</v>
      </c>
      <c r="P34" s="151"/>
      <c r="Q34" s="253">
        <f>+'Exhibit F'!R30+'Exhibit G'!R22</f>
        <v>73.099999999999994</v>
      </c>
      <c r="R34" s="253"/>
      <c r="S34" s="253">
        <f>+'Exhibit F'!T30+'Exhibit G'!T22</f>
        <v>67.60000000000008</v>
      </c>
      <c r="T34" s="253"/>
      <c r="U34" s="253">
        <f>+'Exhibit F'!V30+'Exhibit G'!V22</f>
        <v>76.699999999999932</v>
      </c>
      <c r="V34" s="253"/>
      <c r="W34" s="253">
        <f>+'Exhibit F'!X30+'Exhibit G'!X22</f>
        <v>51.400000000000055</v>
      </c>
      <c r="X34" s="253"/>
      <c r="Y34" s="253">
        <f>+'Exhibit F'!Z30+'Exhibit G'!Z22</f>
        <v>31.799999999999955</v>
      </c>
      <c r="Z34" s="151"/>
      <c r="AA34" s="686"/>
      <c r="AB34" s="377">
        <f t="shared" si="5"/>
        <v>860.3</v>
      </c>
      <c r="AC34" s="151"/>
      <c r="AD34" s="1823"/>
      <c r="AE34" s="253">
        <f>+'Exhibit F'!AF30+'Exhibit G'!AG22</f>
        <v>957.3</v>
      </c>
      <c r="AF34" s="151"/>
      <c r="AG34" s="151"/>
      <c r="AH34" s="467">
        <f t="shared" si="6"/>
        <v>-97</v>
      </c>
      <c r="AI34" s="467"/>
      <c r="AJ34" s="663">
        <f t="shared" si="7"/>
        <v>-0.10100000000000001</v>
      </c>
    </row>
    <row r="35" spans="1:38" ht="16.5" customHeight="1">
      <c r="A35" s="489" t="s">
        <v>1441</v>
      </c>
      <c r="B35" s="489"/>
      <c r="C35" s="253">
        <f>+'Exhibit G'!D23</f>
        <v>1</v>
      </c>
      <c r="D35" s="451"/>
      <c r="E35" s="253">
        <f>+'Exhibit G'!F23</f>
        <v>1.2000000000000002</v>
      </c>
      <c r="F35" s="451"/>
      <c r="G35" s="253">
        <f>+'Exhibit G'!H23</f>
        <v>1</v>
      </c>
      <c r="H35" s="377"/>
      <c r="I35" s="253">
        <f>+'Exhibit G'!J23</f>
        <v>1</v>
      </c>
      <c r="J35" s="377"/>
      <c r="K35" s="253">
        <f>+'Exhibit G'!L23</f>
        <v>0.89999999999999947</v>
      </c>
      <c r="L35" s="151"/>
      <c r="M35" s="253">
        <f>+'Exhibit G'!N23</f>
        <v>1</v>
      </c>
      <c r="N35" s="151"/>
      <c r="O35" s="253">
        <f>+'Exhibit G'!P23</f>
        <v>0.90000000000000036</v>
      </c>
      <c r="P35" s="151"/>
      <c r="Q35" s="253">
        <f>+'Exhibit G'!R23</f>
        <v>0.90000000000000036</v>
      </c>
      <c r="R35" s="253"/>
      <c r="S35" s="253">
        <f>+'Exhibit G'!T23</f>
        <v>1</v>
      </c>
      <c r="T35" s="253"/>
      <c r="U35" s="253">
        <f>+'Exhibit G'!V23</f>
        <v>1.0999999999999996</v>
      </c>
      <c r="V35" s="253"/>
      <c r="W35" s="253">
        <f>+'Exhibit G'!X23</f>
        <v>0.8000000000000016</v>
      </c>
      <c r="X35" s="253"/>
      <c r="Y35" s="253">
        <f>+'Exhibit G'!Z23</f>
        <v>1.7999999999999972</v>
      </c>
      <c r="Z35" s="151"/>
      <c r="AA35" s="686"/>
      <c r="AB35" s="377">
        <f>ROUND(SUM(C35:Y35),1)</f>
        <v>12.6</v>
      </c>
      <c r="AC35" s="151"/>
      <c r="AD35" s="1823"/>
      <c r="AE35" s="253">
        <f>'Exhibit G'!AG23</f>
        <v>12.9</v>
      </c>
      <c r="AF35" s="151"/>
      <c r="AG35" s="151"/>
      <c r="AH35" s="467">
        <f>ROUND(SUM(+AB35-AE35),1)</f>
        <v>-0.3</v>
      </c>
      <c r="AI35" s="467"/>
      <c r="AJ35" s="663">
        <f>ROUND(IF(AE35=0,0,AH35/ABS(AE35)),3)</f>
        <v>-2.3E-2</v>
      </c>
    </row>
    <row r="36" spans="1:38" ht="16.5" customHeight="1">
      <c r="A36" s="489" t="s">
        <v>996</v>
      </c>
      <c r="B36" s="489"/>
      <c r="C36" s="253">
        <f>+'Exhibit F'!D31+'Exhibit G'!D24+'Exhibit I'!E21</f>
        <v>27.5</v>
      </c>
      <c r="D36" s="451"/>
      <c r="E36" s="253">
        <f>+'Exhibit F'!F31+'Exhibit G'!F24+'Exhibit I'!G21</f>
        <v>37.5</v>
      </c>
      <c r="F36" s="451"/>
      <c r="G36" s="253">
        <f>+'Exhibit F'!H31+'Exhibit G'!H24+'Exhibit I'!I21</f>
        <v>19.500000000000004</v>
      </c>
      <c r="H36" s="377"/>
      <c r="I36" s="253">
        <f>+'Exhibit F'!J31+'Exhibit G'!J24+'Exhibit I'!K21</f>
        <v>-1.3000000000000007</v>
      </c>
      <c r="J36" s="377"/>
      <c r="K36" s="253">
        <f>+'Exhibit F'!L31+'Exhibit G'!L24+'Exhibit I'!M21</f>
        <v>-1.0000000000000036</v>
      </c>
      <c r="L36" s="151"/>
      <c r="M36" s="253">
        <f>+'Exhibit F'!N31+'Exhibit G'!N24+'Exhibit I'!O21</f>
        <v>-1.6999999999999993</v>
      </c>
      <c r="N36" s="151"/>
      <c r="O36" s="253">
        <f>+'Exhibit F'!P31+'Exhibit G'!P24+'Exhibit I'!Q21</f>
        <v>-1.2999999999999972</v>
      </c>
      <c r="P36" s="151"/>
      <c r="Q36" s="253">
        <f>+'Exhibit F'!R31+'Exhibit G'!R24+'Exhibit I'!S21</f>
        <v>-2.0000000000000022</v>
      </c>
      <c r="R36" s="253"/>
      <c r="S36" s="253">
        <f>+'Exhibit F'!T31+'Exhibit G'!T24+'Exhibit I'!U21</f>
        <v>0</v>
      </c>
      <c r="T36" s="253"/>
      <c r="U36" s="253">
        <f>+'Exhibit F'!V31+'Exhibit G'!V24+'Exhibit I'!W21</f>
        <v>25.1</v>
      </c>
      <c r="V36" s="253"/>
      <c r="W36" s="253">
        <f>+'Exhibit F'!X31+'Exhibit G'!X24+'Exhibit I'!Y21</f>
        <v>38.700000000000003</v>
      </c>
      <c r="X36" s="253"/>
      <c r="Y36" s="253">
        <f>+'Exhibit F'!Z31+'Exhibit G'!Z24+'Exhibit I'!AA21</f>
        <v>37.900000000000006</v>
      </c>
      <c r="Z36" s="151"/>
      <c r="AA36" s="686"/>
      <c r="AB36" s="377">
        <f t="shared" si="5"/>
        <v>178.9</v>
      </c>
      <c r="AC36" s="151"/>
      <c r="AD36" s="1823"/>
      <c r="AE36" s="253">
        <f>+'Exhibit F'!AF31+'Exhibit G'!AG24+'Exhibit I'!AI21</f>
        <v>495</v>
      </c>
      <c r="AF36" s="151"/>
      <c r="AG36" s="151"/>
      <c r="AH36" s="467">
        <f t="shared" si="6"/>
        <v>-316.10000000000002</v>
      </c>
      <c r="AI36" s="467"/>
      <c r="AJ36" s="663">
        <f t="shared" si="7"/>
        <v>-0.63900000000000001</v>
      </c>
    </row>
    <row r="37" spans="1:38" ht="16.5" customHeight="1">
      <c r="A37" s="755" t="s">
        <v>1537</v>
      </c>
      <c r="B37" s="489"/>
      <c r="C37" s="253">
        <f>+'Exhibit F'!D32+'Exhibit G'!D25</f>
        <v>0</v>
      </c>
      <c r="D37" s="451"/>
      <c r="E37" s="253">
        <f>+'Exhibit F'!F32+'Exhibit G'!F25</f>
        <v>0</v>
      </c>
      <c r="F37" s="451"/>
      <c r="G37" s="253">
        <f>+'Exhibit F'!H32+'Exhibit G'!H25</f>
        <v>0</v>
      </c>
      <c r="H37" s="377"/>
      <c r="I37" s="253">
        <f>+'Exhibit F'!J32+'Exhibit G'!J25</f>
        <v>0</v>
      </c>
      <c r="J37" s="377"/>
      <c r="K37" s="253">
        <f>+'Exhibit F'!L32+'Exhibit G'!L25</f>
        <v>0</v>
      </c>
      <c r="L37" s="151"/>
      <c r="M37" s="253">
        <f>+'Exhibit F'!N32+'Exhibit G'!N25</f>
        <v>0</v>
      </c>
      <c r="N37" s="151"/>
      <c r="O37" s="253">
        <f>+'Exhibit F'!P32+'Exhibit G'!P25</f>
        <v>0</v>
      </c>
      <c r="P37" s="151"/>
      <c r="Q37" s="253">
        <f>+'Exhibit F'!R32+'Exhibit G'!R25</f>
        <v>0</v>
      </c>
      <c r="R37" s="253"/>
      <c r="S37" s="253">
        <f>+'Exhibit F'!T32+'Exhibit G'!T25</f>
        <v>0.4</v>
      </c>
      <c r="T37" s="253"/>
      <c r="U37" s="253">
        <f>+'Exhibit F'!V32+'Exhibit G'!V25</f>
        <v>0</v>
      </c>
      <c r="V37" s="253"/>
      <c r="W37" s="253">
        <f>+'Exhibit F'!X32+'Exhibit G'!X25</f>
        <v>0</v>
      </c>
      <c r="X37" s="253"/>
      <c r="Y37" s="253">
        <f>+'Exhibit F'!Z32+'Exhibit G'!Z25</f>
        <v>1.5999999999999999</v>
      </c>
      <c r="Z37" s="151"/>
      <c r="AA37" s="686"/>
      <c r="AB37" s="377">
        <f t="shared" ref="AB37" si="8">ROUND(SUM(C37:Y37),1)</f>
        <v>2</v>
      </c>
      <c r="AC37" s="151"/>
      <c r="AD37" s="1823"/>
      <c r="AE37" s="253">
        <f>+'Exhibit F'!AF32+'Exhibit G'!AG25</f>
        <v>0</v>
      </c>
      <c r="AF37" s="151"/>
      <c r="AG37" s="151"/>
      <c r="AH37" s="467">
        <f t="shared" ref="AH37" si="9">ROUND(SUM(+AB37-AE37),1)</f>
        <v>2</v>
      </c>
      <c r="AI37" s="467"/>
      <c r="AJ37" s="469">
        <f>ROUND(IF(AE37=0,1,AH37/ABS(AE37)),3)</f>
        <v>1</v>
      </c>
    </row>
    <row r="38" spans="1:38" ht="16.5" customHeight="1">
      <c r="A38" s="489" t="s">
        <v>997</v>
      </c>
      <c r="B38" s="489"/>
      <c r="C38" s="253">
        <f>+'Exhibit F'!D33+'Exhibit G'!D26</f>
        <v>24.8</v>
      </c>
      <c r="D38" s="451"/>
      <c r="E38" s="253">
        <f>+'Exhibit F'!F33+'Exhibit G'!F26</f>
        <v>21.499999999999996</v>
      </c>
      <c r="F38" s="451"/>
      <c r="G38" s="253">
        <f>+'Exhibit F'!H33+'Exhibit G'!H26</f>
        <v>23.600000000000005</v>
      </c>
      <c r="H38" s="377"/>
      <c r="I38" s="253">
        <f>+'Exhibit F'!J33+'Exhibit G'!J26</f>
        <v>29.099999999999991</v>
      </c>
      <c r="J38" s="377"/>
      <c r="K38" s="253">
        <f>+'Exhibit F'!L33+'Exhibit G'!L26</f>
        <v>22.099999999999991</v>
      </c>
      <c r="L38" s="151"/>
      <c r="M38" s="253">
        <f>+'Exhibit F'!N33+'Exhibit G'!N26</f>
        <v>26.300000000000015</v>
      </c>
      <c r="N38" s="151"/>
      <c r="O38" s="253">
        <f>+'Exhibit F'!P33+'Exhibit G'!P26</f>
        <v>23.299999999999965</v>
      </c>
      <c r="P38" s="151"/>
      <c r="Q38" s="253">
        <f>+'Exhibit F'!R33+'Exhibit G'!R26</f>
        <v>21.800000000000015</v>
      </c>
      <c r="R38" s="253"/>
      <c r="S38" s="253">
        <f>+'Exhibit F'!T33+'Exhibit G'!T26</f>
        <v>23.800000000000022</v>
      </c>
      <c r="T38" s="253"/>
      <c r="U38" s="253">
        <f>+'Exhibit F'!V33+'Exhibit G'!V26</f>
        <v>30.500000000000004</v>
      </c>
      <c r="V38" s="253"/>
      <c r="W38" s="253">
        <f>+'Exhibit F'!X33+'Exhibit G'!X26</f>
        <v>14.699999999999985</v>
      </c>
      <c r="X38" s="253"/>
      <c r="Y38" s="253">
        <f>+'Exhibit F'!Z33+'Exhibit G'!Z26</f>
        <v>20.500000000000004</v>
      </c>
      <c r="Z38" s="151"/>
      <c r="AA38" s="686"/>
      <c r="AB38" s="377">
        <f t="shared" si="5"/>
        <v>282</v>
      </c>
      <c r="AC38" s="151"/>
      <c r="AD38" s="1823"/>
      <c r="AE38" s="253">
        <f>+'Exhibit F'!AF33+'Exhibit G'!AG26</f>
        <v>277.3</v>
      </c>
      <c r="AF38" s="151"/>
      <c r="AG38" s="151"/>
      <c r="AH38" s="467">
        <f t="shared" si="6"/>
        <v>4.7</v>
      </c>
      <c r="AI38" s="467"/>
      <c r="AJ38" s="663">
        <f t="shared" si="7"/>
        <v>1.7000000000000001E-2</v>
      </c>
    </row>
    <row r="39" spans="1:38" ht="16.5" customHeight="1">
      <c r="A39" s="489" t="s">
        <v>998</v>
      </c>
      <c r="B39" s="489"/>
      <c r="C39" s="253">
        <f>+'Exhibit F'!D34+'Exhibit G'!D27+'Exhibit I'!E22</f>
        <v>12</v>
      </c>
      <c r="D39" s="451"/>
      <c r="E39" s="253">
        <f>+'Exhibit F'!F34+'Exhibit G'!F27+'Exhibit I'!G22</f>
        <v>10.499999999999998</v>
      </c>
      <c r="F39" s="451"/>
      <c r="G39" s="253">
        <f>+'Exhibit F'!H34+'Exhibit G'!H27+'Exhibit I'!I22</f>
        <v>9.5000000000000036</v>
      </c>
      <c r="H39" s="377"/>
      <c r="I39" s="253">
        <f>+'Exhibit F'!J34+'Exhibit G'!J27+'Exhibit I'!K22</f>
        <v>11.699999999999994</v>
      </c>
      <c r="J39" s="377"/>
      <c r="K39" s="253">
        <f>+'Exhibit F'!L34+'Exhibit G'!L27+'Exhibit I'!M22</f>
        <v>11.499999999999996</v>
      </c>
      <c r="L39" s="151"/>
      <c r="M39" s="253">
        <f>+'Exhibit F'!N34+'Exhibit G'!N27+'Exhibit I'!O22</f>
        <v>9.9</v>
      </c>
      <c r="N39" s="151"/>
      <c r="O39" s="253">
        <f>+'Exhibit F'!P34+'Exhibit G'!P27+'Exhibit I'!Q22</f>
        <v>13.2</v>
      </c>
      <c r="P39" s="151"/>
      <c r="Q39" s="253">
        <f>+'Exhibit F'!R34+'Exhibit G'!R27+'Exhibit I'!S22</f>
        <v>11.2</v>
      </c>
      <c r="R39" s="253"/>
      <c r="S39" s="253">
        <f>+'Exhibit F'!T34+'Exhibit G'!T27+'Exhibit I'!U22</f>
        <v>11.199999999999998</v>
      </c>
      <c r="T39" s="253"/>
      <c r="U39" s="253">
        <f>+'Exhibit F'!V34+'Exhibit G'!V27+'Exhibit I'!W22</f>
        <v>18.900000000000006</v>
      </c>
      <c r="V39" s="253"/>
      <c r="W39" s="253">
        <f>+'Exhibit F'!X34+'Exhibit G'!X27+'Exhibit I'!Y22</f>
        <v>13.699999999999994</v>
      </c>
      <c r="X39" s="253"/>
      <c r="Y39" s="253">
        <f>+'Exhibit F'!Z34+'Exhibit G'!Z27+'Exhibit I'!AA22</f>
        <v>9.2000000000000171</v>
      </c>
      <c r="Z39" s="151"/>
      <c r="AA39" s="686"/>
      <c r="AB39" s="377">
        <f t="shared" si="5"/>
        <v>142.5</v>
      </c>
      <c r="AC39" s="151"/>
      <c r="AD39" s="1823"/>
      <c r="AE39" s="253">
        <f>+'Exhibit F'!AF34+'Exhibit G'!AG27+'Exhibit I'!AI22</f>
        <v>142.10000000000002</v>
      </c>
      <c r="AF39" s="151"/>
      <c r="AG39" s="151"/>
      <c r="AH39" s="467">
        <f t="shared" si="6"/>
        <v>0.4</v>
      </c>
      <c r="AI39" s="467"/>
      <c r="AJ39" s="1824">
        <f t="shared" si="7"/>
        <v>3.0000000000000001E-3</v>
      </c>
    </row>
    <row r="40" spans="1:38" ht="16.5" customHeight="1">
      <c r="A40" s="489" t="s">
        <v>1307</v>
      </c>
      <c r="B40" s="489"/>
      <c r="C40" s="253">
        <f>'Exhibit F'!D35+'Exhibit G'!D28</f>
        <v>-0.1</v>
      </c>
      <c r="D40" s="451"/>
      <c r="E40" s="253">
        <f>'Exhibit F'!F35+'Exhibit G'!F28</f>
        <v>0.1</v>
      </c>
      <c r="F40" s="451"/>
      <c r="G40" s="253">
        <f>'Exhibit F'!H35+'Exhibit G'!H28</f>
        <v>6.2</v>
      </c>
      <c r="H40" s="377"/>
      <c r="I40" s="253">
        <f>'Exhibit F'!J35+'Exhibit G'!J28</f>
        <v>0</v>
      </c>
      <c r="J40" s="377"/>
      <c r="K40" s="253">
        <f>'Exhibit F'!L35+'Exhibit G'!L28</f>
        <v>9.9999999999999645E-2</v>
      </c>
      <c r="L40" s="151"/>
      <c r="M40" s="253">
        <f>'Exhibit F'!N35+'Exhibit G'!N28</f>
        <v>6.3</v>
      </c>
      <c r="N40" s="151"/>
      <c r="O40" s="253">
        <f>'Exhibit F'!P35+'Exhibit G'!P28</f>
        <v>9.9999999999999645E-2</v>
      </c>
      <c r="P40" s="151"/>
      <c r="Q40" s="253">
        <f>'Exhibit F'!R35+'Exhibit G'!R28</f>
        <v>0</v>
      </c>
      <c r="R40" s="253"/>
      <c r="S40" s="253">
        <f>'Exhibit F'!T35+'Exhibit G'!T28</f>
        <v>6.2</v>
      </c>
      <c r="T40" s="253"/>
      <c r="U40" s="253">
        <f>'Exhibit F'!V35+'Exhibit G'!V28</f>
        <v>0</v>
      </c>
      <c r="V40" s="253"/>
      <c r="W40" s="253">
        <f>'Exhibit F'!X35+'Exhibit G'!X28</f>
        <v>0</v>
      </c>
      <c r="X40" s="253"/>
      <c r="Y40" s="253">
        <f>'Exhibit F'!Z35+'Exhibit G'!Z28</f>
        <v>5.8999999999999995</v>
      </c>
      <c r="Z40" s="151"/>
      <c r="AA40" s="686"/>
      <c r="AB40" s="377">
        <f>ROUND(SUM(C40:Y40),1)</f>
        <v>24.8</v>
      </c>
      <c r="AC40" s="151"/>
      <c r="AD40" s="1823"/>
      <c r="AE40" s="253">
        <f>+'Exhibit F'!AF35+'Exhibit G'!AG28</f>
        <v>29.1</v>
      </c>
      <c r="AF40" s="151"/>
      <c r="AG40" s="151"/>
      <c r="AH40" s="467">
        <f>ROUND(SUM(+AB40-AE40),1)</f>
        <v>-4.3</v>
      </c>
      <c r="AI40" s="467"/>
      <c r="AJ40" s="1824">
        <f>ROUND(IF(AE40=0,1,AH40/ABS(AE40)),3)</f>
        <v>-0.14799999999999999</v>
      </c>
    </row>
    <row r="41" spans="1:38" ht="16.5" customHeight="1">
      <c r="A41" s="489" t="s">
        <v>1309</v>
      </c>
      <c r="B41" s="489"/>
      <c r="C41" s="253">
        <f>'Exhibit F'!D36</f>
        <v>6.4</v>
      </c>
      <c r="D41" s="451"/>
      <c r="E41" s="253">
        <f>'Exhibit F'!F36</f>
        <v>1</v>
      </c>
      <c r="F41" s="451"/>
      <c r="G41" s="253">
        <f>'Exhibit F'!H36</f>
        <v>-0.10000000000000053</v>
      </c>
      <c r="H41" s="377"/>
      <c r="I41" s="253">
        <f>'Exhibit F'!J36</f>
        <v>6.1</v>
      </c>
      <c r="J41" s="377"/>
      <c r="K41" s="253">
        <f>'Exhibit F'!L36</f>
        <v>0</v>
      </c>
      <c r="L41" s="151"/>
      <c r="M41" s="253">
        <f>'Exhibit F'!N36</f>
        <v>0</v>
      </c>
      <c r="N41" s="151"/>
      <c r="O41" s="253">
        <f>'Exhibit F'!P36</f>
        <v>6.1</v>
      </c>
      <c r="P41" s="151"/>
      <c r="Q41" s="253">
        <f>'Exhibit F'!R36</f>
        <v>0.10000000000000142</v>
      </c>
      <c r="R41" s="253"/>
      <c r="S41" s="253">
        <f>'Exhibit F'!T36</f>
        <v>0</v>
      </c>
      <c r="T41" s="253"/>
      <c r="U41" s="253">
        <f>'Exhibit F'!V36</f>
        <v>6.3000000000000007</v>
      </c>
      <c r="V41" s="253"/>
      <c r="W41" s="253">
        <f>'Exhibit F'!X36</f>
        <v>0.70000000000000284</v>
      </c>
      <c r="X41" s="253"/>
      <c r="Y41" s="253">
        <f>'Exhibit F'!Z36</f>
        <v>9.9999999999994316E-2</v>
      </c>
      <c r="Z41" s="151"/>
      <c r="AA41" s="376"/>
      <c r="AB41" s="377">
        <f t="shared" si="5"/>
        <v>26.7</v>
      </c>
      <c r="AC41" s="151"/>
      <c r="AD41" s="1823"/>
      <c r="AE41" s="253">
        <f>+'Exhibit F'!AF36</f>
        <v>28.5</v>
      </c>
      <c r="AF41" s="151"/>
      <c r="AG41" s="151"/>
      <c r="AH41" s="467">
        <f t="shared" ref="AH41" si="10">ROUND(SUM(+AB41-AE41),1)</f>
        <v>-1.8</v>
      </c>
      <c r="AI41" s="467"/>
      <c r="AJ41" s="1824">
        <f>ROUND(IF(AE41=0,1,AH41/ABS(AE41)),3)</f>
        <v>-6.3E-2</v>
      </c>
    </row>
    <row r="42" spans="1:38" ht="16.5" customHeight="1">
      <c r="A42" s="217" t="s">
        <v>992</v>
      </c>
      <c r="B42" s="489"/>
      <c r="C42" s="645">
        <f>ROUND(SUM(C32:C41),1)</f>
        <v>1546.2</v>
      </c>
      <c r="D42" s="16"/>
      <c r="E42" s="645">
        <f>ROUND(SUM(E32:E41),1)</f>
        <v>1544.3</v>
      </c>
      <c r="F42" s="16"/>
      <c r="G42" s="645">
        <f>ROUND(SUM(G32:G41),1)</f>
        <v>2051.6</v>
      </c>
      <c r="H42" s="151"/>
      <c r="I42" s="645">
        <f>ROUND(SUM(I32:I41),1)</f>
        <v>1598.7</v>
      </c>
      <c r="J42" s="151"/>
      <c r="K42" s="645">
        <f>ROUND(SUM(K32:K41),1)</f>
        <v>1546.9</v>
      </c>
      <c r="L42" s="151"/>
      <c r="M42" s="645">
        <f>ROUND(SUM(M32:M41),1)</f>
        <v>2051.1999999999998</v>
      </c>
      <c r="N42" s="151"/>
      <c r="O42" s="645">
        <f>ROUND(SUM(O32:O41),1)</f>
        <v>1617</v>
      </c>
      <c r="P42" s="151"/>
      <c r="Q42" s="645">
        <f>ROUND(SUM(Q32:Q41),1)</f>
        <v>1570.8</v>
      </c>
      <c r="R42" s="151"/>
      <c r="S42" s="645">
        <f>ROUND(SUM(S32:S41),1)</f>
        <v>1980</v>
      </c>
      <c r="T42" s="151"/>
      <c r="U42" s="645">
        <f>ROUND(SUM(U32:U41),1)</f>
        <v>1776.6</v>
      </c>
      <c r="V42" s="151"/>
      <c r="W42" s="645">
        <f>ROUND(SUM(W32:W41),1)</f>
        <v>1515.8</v>
      </c>
      <c r="X42" s="151"/>
      <c r="Y42" s="645">
        <f>ROUND(SUM(Y32:Y41),1)</f>
        <v>1786.1</v>
      </c>
      <c r="Z42" s="151"/>
      <c r="AA42" s="686"/>
      <c r="AB42" s="645">
        <f>ROUND(SUM(AB32:AB41),1)</f>
        <v>20585.2</v>
      </c>
      <c r="AC42" s="151"/>
      <c r="AD42" s="1823"/>
      <c r="AE42" s="645">
        <f>ROUND(SUM(AE32:AE41),1)</f>
        <v>19621.3</v>
      </c>
      <c r="AF42" s="151"/>
      <c r="AG42" s="151"/>
      <c r="AH42" s="178">
        <f>ROUND(SUM(AH32:AH41),1)</f>
        <v>963.9</v>
      </c>
      <c r="AI42" s="42"/>
      <c r="AJ42" s="13">
        <f t="shared" si="7"/>
        <v>4.9000000000000002E-2</v>
      </c>
    </row>
    <row r="43" spans="1:38" ht="16.5" customHeight="1">
      <c r="A43" s="739" t="s">
        <v>1038</v>
      </c>
      <c r="B43" s="489"/>
      <c r="C43" s="448"/>
      <c r="D43" s="448"/>
      <c r="E43" s="448"/>
      <c r="F43" s="448"/>
      <c r="G43" s="448"/>
      <c r="H43" s="151"/>
      <c r="I43" s="448"/>
      <c r="J43" s="151"/>
      <c r="K43" s="448"/>
      <c r="L43" s="151"/>
      <c r="M43" s="448"/>
      <c r="N43" s="151"/>
      <c r="O43" s="448"/>
      <c r="P43" s="151"/>
      <c r="Q43" s="448"/>
      <c r="R43" s="151"/>
      <c r="S43" s="448"/>
      <c r="T43" s="151"/>
      <c r="U43" s="448"/>
      <c r="V43" s="151"/>
      <c r="W43" s="448"/>
      <c r="X43" s="151"/>
      <c r="Y43" s="448"/>
      <c r="Z43" s="151"/>
      <c r="AA43" s="686"/>
      <c r="AB43" s="151"/>
      <c r="AC43" s="151"/>
      <c r="AD43" s="1823"/>
      <c r="AE43" s="375"/>
      <c r="AF43" s="151"/>
      <c r="AG43" s="151"/>
      <c r="AH43" s="42"/>
      <c r="AI43" s="42"/>
      <c r="AJ43" s="189"/>
    </row>
    <row r="44" spans="1:38" ht="16.5" customHeight="1">
      <c r="A44" s="489" t="s">
        <v>1000</v>
      </c>
      <c r="B44" s="489"/>
      <c r="C44" s="253">
        <f>+'Exhibit F'!D39+'Exhibit G'!D31+'Exhibit I'!E25</f>
        <v>1205</v>
      </c>
      <c r="D44" s="451"/>
      <c r="E44" s="253">
        <f>+'Exhibit F'!F39+'Exhibit G'!F31+'Exhibit I'!G25</f>
        <v>141.99999999999986</v>
      </c>
      <c r="F44" s="451"/>
      <c r="G44" s="253">
        <f>+'Exhibit F'!H39+'Exhibit G'!H31+'Exhibit I'!I25</f>
        <v>1512.8</v>
      </c>
      <c r="H44" s="377"/>
      <c r="I44" s="253">
        <f>+'Exhibit F'!J39+'Exhibit G'!J31+'Exhibit I'!K25</f>
        <v>327.20000000000005</v>
      </c>
      <c r="J44" s="377"/>
      <c r="K44" s="253">
        <f>+'Exhibit F'!L39+'Exhibit G'!L31+'Exhibit I'!M25</f>
        <v>-66.599999999999937</v>
      </c>
      <c r="L44" s="151"/>
      <c r="M44" s="253">
        <f>+'Exhibit F'!N39+'Exhibit G'!N31+'Exhibit I'!O25</f>
        <v>1516.3</v>
      </c>
      <c r="N44" s="151"/>
      <c r="O44" s="253">
        <f>+'Exhibit F'!P39+'Exhibit G'!P31+'Exhibit I'!Q25</f>
        <v>258.80000000000007</v>
      </c>
      <c r="P44" s="151"/>
      <c r="Q44" s="253">
        <f>+'Exhibit F'!R39+'Exhibit G'!R31+'Exhibit I'!S25</f>
        <v>186.60000000000014</v>
      </c>
      <c r="R44" s="253"/>
      <c r="S44" s="253">
        <f>+'Exhibit F'!T39+'Exhibit G'!T31+'Exhibit I'!U25</f>
        <v>1633.6999999999994</v>
      </c>
      <c r="T44" s="253"/>
      <c r="U44" s="253">
        <f>+'Exhibit F'!V39+'Exhibit G'!V31+'Exhibit I'!W25</f>
        <v>385.79999999999973</v>
      </c>
      <c r="V44" s="253"/>
      <c r="W44" s="253">
        <f>+'Exhibit F'!X39+'Exhibit G'!X31+'Exhibit I'!Y25</f>
        <v>-210.70000000000027</v>
      </c>
      <c r="X44" s="253"/>
      <c r="Y44" s="253">
        <f>+'Exhibit F'!Z39+'Exhibit G'!Z31+'Exhibit I'!AA25</f>
        <v>2126.6000000000013</v>
      </c>
      <c r="Z44" s="151"/>
      <c r="AA44" s="686"/>
      <c r="AB44" s="377">
        <f t="shared" ref="AB44:AB49" si="11">ROUND(SUM(C44:Y44),1)</f>
        <v>9017.5</v>
      </c>
      <c r="AC44" s="151"/>
      <c r="AD44" s="1823"/>
      <c r="AE44" s="253">
        <f>+'Exhibit F'!AF39+'Exhibit G'!AG31+'Exhibit I'!AI25</f>
        <v>7235</v>
      </c>
      <c r="AF44" s="151"/>
      <c r="AG44" s="151"/>
      <c r="AH44" s="467">
        <f t="shared" ref="AH44:AH49" si="12">ROUND(SUM(+AB44-AE44),1)</f>
        <v>1782.5</v>
      </c>
      <c r="AI44" s="42"/>
      <c r="AJ44" s="663">
        <f t="shared" ref="AJ44:AJ50" si="13">ROUND(IF(AE44=0,0,AH44/ABS(AE44)),3)</f>
        <v>0.246</v>
      </c>
    </row>
    <row r="45" spans="1:38" ht="16.5" customHeight="1">
      <c r="A45" s="489" t="s">
        <v>1001</v>
      </c>
      <c r="B45" s="489"/>
      <c r="C45" s="253">
        <f>+'Exhibit F'!D40+'Exhibit G'!D32+'Exhibit I'!E26</f>
        <v>9.7999999999999989</v>
      </c>
      <c r="D45" s="451"/>
      <c r="E45" s="253">
        <f>+'Exhibit F'!F40+'Exhibit G'!F32+'Exhibit I'!G26</f>
        <v>1.1999999999999997</v>
      </c>
      <c r="F45" s="451"/>
      <c r="G45" s="253">
        <f>+'Exhibit F'!H40+'Exhibit G'!H32+'Exhibit I'!I26</f>
        <v>93.899999999999991</v>
      </c>
      <c r="H45" s="377"/>
      <c r="I45" s="253">
        <f>+'Exhibit F'!J40+'Exhibit G'!J32+'Exhibit I'!K26</f>
        <v>3.399999999999995</v>
      </c>
      <c r="J45" s="377"/>
      <c r="K45" s="253">
        <f>+'Exhibit F'!L40+'Exhibit G'!L32+'Exhibit I'!M26</f>
        <v>1.7000000000000006</v>
      </c>
      <c r="L45" s="151"/>
      <c r="M45" s="253">
        <f>+'Exhibit F'!N40+'Exhibit G'!N32+'Exhibit I'!O26</f>
        <v>83.800000000000011</v>
      </c>
      <c r="N45" s="151"/>
      <c r="O45" s="253">
        <f>+'Exhibit F'!P40+'Exhibit G'!P32+'Exhibit I'!Q26</f>
        <v>5.3999999999999959</v>
      </c>
      <c r="P45" s="151"/>
      <c r="Q45" s="253">
        <f>+'Exhibit F'!R40+'Exhibit G'!R32+'Exhibit I'!S26</f>
        <v>35.199999999999996</v>
      </c>
      <c r="R45" s="253"/>
      <c r="S45" s="253">
        <f>+'Exhibit F'!T40+'Exhibit G'!T32+'Exhibit I'!U26</f>
        <v>99.100000000000051</v>
      </c>
      <c r="T45" s="253"/>
      <c r="U45" s="253">
        <f>+'Exhibit F'!V40+'Exhibit G'!V32+'Exhibit I'!W26</f>
        <v>-1.4000000000000199</v>
      </c>
      <c r="V45" s="253"/>
      <c r="W45" s="253">
        <f>+'Exhibit F'!X40+'Exhibit G'!X32+'Exhibit I'!Y26</f>
        <v>8.8999999999999879</v>
      </c>
      <c r="X45" s="253"/>
      <c r="Y45" s="253">
        <f>+'Exhibit F'!Z40+'Exhibit G'!Z32+'Exhibit I'!AA26</f>
        <v>183.6</v>
      </c>
      <c r="Z45" s="151"/>
      <c r="AA45" s="686"/>
      <c r="AB45" s="377">
        <f t="shared" si="11"/>
        <v>524.6</v>
      </c>
      <c r="AC45" s="151"/>
      <c r="AD45" s="1823"/>
      <c r="AE45" s="253">
        <f>+'Exhibit F'!AF40+'Exhibit G'!AG32+'Exhibit I'!AI26</f>
        <v>555.19999999999993</v>
      </c>
      <c r="AF45" s="151"/>
      <c r="AG45" s="151"/>
      <c r="AH45" s="467">
        <f t="shared" si="12"/>
        <v>-30.6</v>
      </c>
      <c r="AI45" s="42"/>
      <c r="AJ45" s="1824">
        <f t="shared" si="13"/>
        <v>-5.5E-2</v>
      </c>
    </row>
    <row r="46" spans="1:38" ht="16.5" customHeight="1">
      <c r="A46" s="489" t="s">
        <v>1002</v>
      </c>
      <c r="B46" s="489"/>
      <c r="C46" s="253">
        <f>+'Exhibit F'!D41+'Exhibit G'!D33</f>
        <v>109.7</v>
      </c>
      <c r="D46" s="451"/>
      <c r="E46" s="253">
        <f>+'Exhibit F'!F41+'Exhibit G'!F33</f>
        <v>40.100000000000009</v>
      </c>
      <c r="F46" s="451"/>
      <c r="G46" s="253">
        <f>+'Exhibit F'!H41+'Exhibit G'!H33</f>
        <v>537.50000000000011</v>
      </c>
      <c r="H46" s="377"/>
      <c r="I46" s="253">
        <f>+'Exhibit F'!J41+'Exhibit G'!J33</f>
        <v>19.699999999999903</v>
      </c>
      <c r="J46" s="377"/>
      <c r="K46" s="253">
        <f>+'Exhibit F'!L41+'Exhibit G'!L33</f>
        <v>19.599999999999994</v>
      </c>
      <c r="L46" s="151"/>
      <c r="M46" s="253">
        <f>+'Exhibit F'!N41+'Exhibit G'!N33</f>
        <v>500.70000000000005</v>
      </c>
      <c r="N46" s="151"/>
      <c r="O46" s="253">
        <f>+'Exhibit F'!P41+'Exhibit G'!P33</f>
        <v>3.899999999999892</v>
      </c>
      <c r="P46" s="151"/>
      <c r="Q46" s="253">
        <f>+'Exhibit F'!R41+'Exhibit G'!R33</f>
        <v>-5.9999999999999005</v>
      </c>
      <c r="R46" s="253"/>
      <c r="S46" s="253">
        <f>+'Exhibit F'!T41+'Exhibit G'!T33</f>
        <v>459.4</v>
      </c>
      <c r="T46" s="253"/>
      <c r="U46" s="253">
        <f>+'Exhibit F'!V41+'Exhibit G'!V33</f>
        <v>10.199999999999932</v>
      </c>
      <c r="V46" s="253"/>
      <c r="W46" s="253">
        <f>+'Exhibit F'!X41+'Exhibit G'!X33</f>
        <v>12.499999999999858</v>
      </c>
      <c r="X46" s="253"/>
      <c r="Y46" s="253">
        <f>+'Exhibit F'!Z41+'Exhibit G'!Z33</f>
        <v>973.09999999999968</v>
      </c>
      <c r="Z46" s="151"/>
      <c r="AA46" s="686"/>
      <c r="AB46" s="377">
        <f t="shared" si="11"/>
        <v>2680.4</v>
      </c>
      <c r="AC46" s="151"/>
      <c r="AD46" s="1823"/>
      <c r="AE46" s="253">
        <f>+'Exhibit F'!AF41+'Exhibit G'!AG33</f>
        <v>2452.4</v>
      </c>
      <c r="AF46" s="151"/>
      <c r="AG46" s="151"/>
      <c r="AH46" s="467">
        <f t="shared" si="12"/>
        <v>228</v>
      </c>
      <c r="AI46" s="42"/>
      <c r="AJ46" s="663">
        <f t="shared" si="13"/>
        <v>9.2999999999999999E-2</v>
      </c>
      <c r="AL46" s="141" t="s">
        <v>14</v>
      </c>
    </row>
    <row r="47" spans="1:38" ht="16.5" customHeight="1">
      <c r="A47" s="489" t="s">
        <v>1003</v>
      </c>
      <c r="B47" s="489"/>
      <c r="C47" s="253">
        <f>+'Exhibit F'!D42+'Exhibit G'!D34</f>
        <v>0</v>
      </c>
      <c r="D47" s="451"/>
      <c r="E47" s="253">
        <f>+'Exhibit F'!F42+'Exhibit G'!F34</f>
        <v>0</v>
      </c>
      <c r="F47" s="451"/>
      <c r="G47" s="253">
        <f>+'Exhibit F'!H42+'Exhibit G'!H34</f>
        <v>0</v>
      </c>
      <c r="H47" s="377"/>
      <c r="I47" s="253">
        <f>+'Exhibit F'!J42+'Exhibit G'!J34</f>
        <v>-6.3</v>
      </c>
      <c r="J47" s="377"/>
      <c r="K47" s="253">
        <f>+ROUND('Exhibit F'!L42+'Exhibit G'!L34,1)</f>
        <v>0</v>
      </c>
      <c r="L47" s="151"/>
      <c r="M47" s="253">
        <f>+ROUND('Exhibit F'!N42+'Exhibit G'!N34,1)</f>
        <v>0.2</v>
      </c>
      <c r="N47" s="151"/>
      <c r="O47" s="253">
        <f>+ROUND('Exhibit F'!P42+'Exhibit G'!P34,1)</f>
        <v>2</v>
      </c>
      <c r="P47" s="151"/>
      <c r="Q47" s="253">
        <f>+ROUND('Exhibit F'!R42+'Exhibit G'!R34,1)</f>
        <v>0</v>
      </c>
      <c r="R47" s="253"/>
      <c r="S47" s="253">
        <f>+ROUND('Exhibit F'!T42+'Exhibit G'!T34,1)</f>
        <v>0</v>
      </c>
      <c r="T47" s="253"/>
      <c r="U47" s="253">
        <f>+ROUND('Exhibit F'!V42+'Exhibit G'!V34,1)</f>
        <v>-0.1</v>
      </c>
      <c r="V47" s="253"/>
      <c r="W47" s="253">
        <f>+ROUND('Exhibit F'!X42+'Exhibit G'!X34,1)</f>
        <v>358.9</v>
      </c>
      <c r="X47" s="253"/>
      <c r="Y47" s="253">
        <f>+ROUND('Exhibit F'!Z42+'Exhibit G'!Z34,1)</f>
        <v>0</v>
      </c>
      <c r="Z47" s="151"/>
      <c r="AA47" s="686"/>
      <c r="AB47" s="377">
        <f t="shared" si="11"/>
        <v>354.7</v>
      </c>
      <c r="AC47" s="151"/>
      <c r="AD47" s="1823"/>
      <c r="AE47" s="253">
        <f>+'Exhibit F'!AF42+'Exhibit G'!AG34</f>
        <v>19.899999999999999</v>
      </c>
      <c r="AF47" s="151"/>
      <c r="AG47" s="151"/>
      <c r="AH47" s="467">
        <f t="shared" si="12"/>
        <v>334.8</v>
      </c>
      <c r="AI47" s="42"/>
      <c r="AJ47" s="978">
        <f>ROUND(IF(AE47=0,0,AH47/ABS(AE47)),3)</f>
        <v>16.824000000000002</v>
      </c>
      <c r="AL47" s="141" t="s">
        <v>14</v>
      </c>
    </row>
    <row r="48" spans="1:38" ht="16.5" customHeight="1">
      <c r="A48" s="489" t="s">
        <v>1446</v>
      </c>
      <c r="B48" s="489"/>
      <c r="C48" s="253">
        <f>+'Exhibit F'!D43+'Exhibit H'!B22</f>
        <v>181.2</v>
      </c>
      <c r="D48" s="451"/>
      <c r="E48" s="253">
        <f>+'Exhibit F'!F43+'Exhibit H'!D22</f>
        <v>-48.399999999999977</v>
      </c>
      <c r="F48" s="451"/>
      <c r="G48" s="253">
        <f>+'Exhibit F'!H43+'Exhibit H'!F22</f>
        <v>2780.4</v>
      </c>
      <c r="H48" s="377"/>
      <c r="I48" s="253">
        <f>+'Exhibit F'!J43+'Exhibit H'!H22</f>
        <v>-49.000000000000284</v>
      </c>
      <c r="J48" s="377"/>
      <c r="K48" s="253">
        <f>+'Exhibit F'!L43+'Exhibit H'!J22</f>
        <v>87.800000000000182</v>
      </c>
      <c r="L48" s="151"/>
      <c r="M48" s="253">
        <f>+'Exhibit F'!N43+'Exhibit H'!L22</f>
        <v>3361.1</v>
      </c>
      <c r="N48" s="151"/>
      <c r="O48" s="253">
        <f>+'Exhibit F'!P43+'Exhibit H'!N22</f>
        <v>-655.70000000000027</v>
      </c>
      <c r="P48" s="151"/>
      <c r="Q48" s="253">
        <f>+'Exhibit F'!R43+'Exhibit H'!P22</f>
        <v>30.200000000000728</v>
      </c>
      <c r="R48" s="253"/>
      <c r="S48" s="253">
        <f>+'Exhibit F'!T43+'Exhibit H'!R22</f>
        <v>4033.199999999998</v>
      </c>
      <c r="T48" s="253"/>
      <c r="U48" s="253">
        <f>+'Exhibit F'!V43+'Exhibit H'!T22</f>
        <v>569.40000000000146</v>
      </c>
      <c r="V48" s="253"/>
      <c r="W48" s="253">
        <f>+'Exhibit F'!X43+'Exhibit H'!V22</f>
        <v>108.39999999999964</v>
      </c>
      <c r="X48" s="253"/>
      <c r="Y48" s="253">
        <f>+'Exhibit F'!Z43+'Exhibit H'!X22</f>
        <v>4545.8</v>
      </c>
      <c r="Z48" s="151"/>
      <c r="AA48" s="686"/>
      <c r="AB48" s="377">
        <f t="shared" si="11"/>
        <v>14944.4</v>
      </c>
      <c r="AC48" s="151"/>
      <c r="AD48" s="1823"/>
      <c r="AE48" s="253">
        <f>+'Exhibit F'!AF43+'Exhibit H'!AD22</f>
        <v>16430.400000000001</v>
      </c>
      <c r="AF48" s="151"/>
      <c r="AG48" s="151"/>
      <c r="AH48" s="467">
        <f t="shared" si="12"/>
        <v>-1486</v>
      </c>
      <c r="AI48" s="42"/>
      <c r="AJ48" s="978">
        <f>ROUND(IF(AE48=0,1,AH48/ABS(AE48)),3)</f>
        <v>-0.09</v>
      </c>
    </row>
    <row r="49" spans="1:36" ht="16.5" customHeight="1">
      <c r="A49" s="489" t="s">
        <v>1004</v>
      </c>
      <c r="B49" s="489"/>
      <c r="C49" s="253">
        <f>+'Exhibit F'!D44+'Exhibit G'!D35+'Exhibit I'!E27</f>
        <v>84.7</v>
      </c>
      <c r="D49" s="451"/>
      <c r="E49" s="253">
        <f>+'Exhibit F'!F44+'Exhibit G'!F35+'Exhibit I'!G27</f>
        <v>89.59999999999998</v>
      </c>
      <c r="F49" s="451"/>
      <c r="G49" s="253">
        <f>+'Exhibit F'!H44+'Exhibit G'!H35+'Exhibit I'!I27</f>
        <v>95.800000000000011</v>
      </c>
      <c r="H49" s="377"/>
      <c r="I49" s="253">
        <f>+'Exhibit F'!J44+'Exhibit G'!J35+'Exhibit I'!K27</f>
        <v>88.699999999999989</v>
      </c>
      <c r="J49" s="377"/>
      <c r="K49" s="253">
        <f>+'Exhibit F'!L44+'Exhibit G'!L35+'Exhibit I'!M27</f>
        <v>94.000000000000028</v>
      </c>
      <c r="L49" s="151"/>
      <c r="M49" s="253">
        <f>+'Exhibit F'!N44+'Exhibit G'!N35+'Exhibit I'!O27</f>
        <v>103.20000000000002</v>
      </c>
      <c r="N49" s="151"/>
      <c r="O49" s="253">
        <f>+'Exhibit F'!P44+'Exhibit G'!P35+'Exhibit I'!Q27</f>
        <v>88.199999999999989</v>
      </c>
      <c r="P49" s="151"/>
      <c r="Q49" s="253">
        <f>+'Exhibit F'!R44+'Exhibit G'!R35+'Exhibit I'!S27</f>
        <v>89.80000000000004</v>
      </c>
      <c r="R49" s="253"/>
      <c r="S49" s="253">
        <f>+'Exhibit F'!T44+'Exhibit G'!T35+'Exhibit I'!U27</f>
        <v>95.299999999999926</v>
      </c>
      <c r="T49" s="253"/>
      <c r="U49" s="253">
        <f>+'Exhibit F'!V44+'Exhibit G'!V35+'Exhibit I'!W27</f>
        <v>85.200000000000045</v>
      </c>
      <c r="V49" s="253"/>
      <c r="W49" s="253">
        <f>+'Exhibit F'!X44+'Exhibit G'!X35+'Exhibit I'!Y27</f>
        <v>93.099999999999881</v>
      </c>
      <c r="X49" s="253"/>
      <c r="Y49" s="253">
        <f>+'Exhibit F'!Z44+'Exhibit G'!Z35+'Exhibit I'!AA27</f>
        <v>87.200000000000017</v>
      </c>
      <c r="Z49" s="151"/>
      <c r="AA49" s="686"/>
      <c r="AB49" s="377">
        <f t="shared" si="11"/>
        <v>1094.8</v>
      </c>
      <c r="AC49" s="151"/>
      <c r="AD49" s="1823"/>
      <c r="AE49" s="253">
        <f>+'Exhibit F'!AF44+'Exhibit G'!AG35+'Exhibit I'!AI27</f>
        <v>1031.7</v>
      </c>
      <c r="AF49" s="151"/>
      <c r="AG49" s="151"/>
      <c r="AH49" s="467">
        <f t="shared" si="12"/>
        <v>63.1</v>
      </c>
      <c r="AI49" s="42"/>
      <c r="AJ49" s="663">
        <f t="shared" si="13"/>
        <v>6.0999999999999999E-2</v>
      </c>
    </row>
    <row r="50" spans="1:36" ht="16.5" customHeight="1">
      <c r="A50" s="217" t="s">
        <v>999</v>
      </c>
      <c r="B50" s="489"/>
      <c r="C50" s="645">
        <f>ROUND(SUM(C44:C49),1)</f>
        <v>1590.4</v>
      </c>
      <c r="D50" s="16"/>
      <c r="E50" s="645">
        <f>ROUND(SUM(E44:E49),1)</f>
        <v>224.5</v>
      </c>
      <c r="F50" s="16"/>
      <c r="G50" s="645">
        <f>ROUND(SUM(G44:G49),1)</f>
        <v>5020.3999999999996</v>
      </c>
      <c r="H50" s="151"/>
      <c r="I50" s="645">
        <f>ROUND(SUM(I44:I49),1)</f>
        <v>383.7</v>
      </c>
      <c r="J50" s="151"/>
      <c r="K50" s="645">
        <f>ROUND(SUM(K44:K49),1)</f>
        <v>136.5</v>
      </c>
      <c r="L50" s="151"/>
      <c r="M50" s="645">
        <f>ROUND(SUM(M44:M49),1)</f>
        <v>5565.3</v>
      </c>
      <c r="N50" s="151"/>
      <c r="O50" s="645">
        <f>ROUND(SUM(O44:O49),1)</f>
        <v>-297.39999999999998</v>
      </c>
      <c r="P50" s="151"/>
      <c r="Q50" s="645">
        <f>ROUND(SUM(Q44:Q49),1)</f>
        <v>335.8</v>
      </c>
      <c r="R50" s="151"/>
      <c r="S50" s="645">
        <f>ROUND(SUM(S44:S49),1)</f>
        <v>6320.7</v>
      </c>
      <c r="T50" s="151"/>
      <c r="U50" s="645">
        <f>ROUND(SUM(U44:U49),1)</f>
        <v>1049.0999999999999</v>
      </c>
      <c r="V50" s="151"/>
      <c r="W50" s="645">
        <f>ROUND(SUM(W44:W49),1)</f>
        <v>371.1</v>
      </c>
      <c r="X50" s="151"/>
      <c r="Y50" s="645">
        <f>ROUND(SUM(Y44:Y49),1)</f>
        <v>7916.3</v>
      </c>
      <c r="Z50" s="151"/>
      <c r="AA50" s="686"/>
      <c r="AB50" s="645">
        <f>ROUND(SUM(AB44:AB49),1)</f>
        <v>28616.400000000001</v>
      </c>
      <c r="AC50" s="151"/>
      <c r="AD50" s="1823"/>
      <c r="AE50" s="645">
        <f>ROUND(SUM(AE44:AE49),1)</f>
        <v>27724.6</v>
      </c>
      <c r="AF50" s="151"/>
      <c r="AG50" s="151"/>
      <c r="AH50" s="645">
        <f>ROUND(SUM(AH44:AH49),1)</f>
        <v>891.8</v>
      </c>
      <c r="AI50" s="42"/>
      <c r="AJ50" s="13">
        <f t="shared" si="13"/>
        <v>3.2000000000000001E-2</v>
      </c>
    </row>
    <row r="51" spans="1:36" ht="16.5" customHeight="1">
      <c r="A51" s="739" t="s">
        <v>1039</v>
      </c>
      <c r="B51" s="489"/>
      <c r="C51" s="448"/>
      <c r="D51" s="448"/>
      <c r="E51" s="448"/>
      <c r="F51" s="448"/>
      <c r="G51" s="448"/>
      <c r="H51" s="151"/>
      <c r="I51" s="448"/>
      <c r="J51" s="151"/>
      <c r="K51" s="448"/>
      <c r="L51" s="151"/>
      <c r="M51" s="448"/>
      <c r="N51" s="151"/>
      <c r="O51" s="448"/>
      <c r="P51" s="151"/>
      <c r="Q51" s="448"/>
      <c r="R51" s="151"/>
      <c r="S51" s="448"/>
      <c r="T51" s="151"/>
      <c r="U51" s="448"/>
      <c r="V51" s="151"/>
      <c r="W51" s="448"/>
      <c r="X51" s="151"/>
      <c r="Y51" s="448"/>
      <c r="Z51" s="151"/>
      <c r="AA51" s="686"/>
      <c r="AB51" s="151"/>
      <c r="AC51" s="151"/>
      <c r="AD51" s="1823"/>
      <c r="AE51" s="375"/>
      <c r="AF51" s="151"/>
      <c r="AG51" s="151"/>
      <c r="AH51" s="42"/>
      <c r="AI51" s="42"/>
      <c r="AJ51" s="189"/>
    </row>
    <row r="52" spans="1:36" ht="16.5" customHeight="1">
      <c r="A52" s="489" t="s">
        <v>1007</v>
      </c>
      <c r="B52" s="489"/>
      <c r="C52" s="919">
        <f>+'Exhibit F'!D47</f>
        <v>0</v>
      </c>
      <c r="D52" s="451"/>
      <c r="E52" s="919">
        <f>+'Exhibit F'!F47</f>
        <v>0</v>
      </c>
      <c r="F52" s="451"/>
      <c r="G52" s="919">
        <f>+'Exhibit F'!H47</f>
        <v>0</v>
      </c>
      <c r="H52" s="377"/>
      <c r="I52" s="919">
        <f>+'Exhibit F'!J47</f>
        <v>0</v>
      </c>
      <c r="J52" s="377"/>
      <c r="K52" s="919">
        <f>+'Exhibit F'!L47</f>
        <v>0</v>
      </c>
      <c r="L52" s="151"/>
      <c r="M52" s="919">
        <f>+'Exhibit F'!N47</f>
        <v>0</v>
      </c>
      <c r="N52" s="151"/>
      <c r="O52" s="919">
        <f>+'Exhibit F'!P47</f>
        <v>0</v>
      </c>
      <c r="P52" s="151"/>
      <c r="Q52" s="919">
        <f>+'Exhibit F'!R47</f>
        <v>0</v>
      </c>
      <c r="R52" s="919"/>
      <c r="S52" s="919">
        <f>+'Exhibit F'!T47</f>
        <v>0</v>
      </c>
      <c r="T52" s="919"/>
      <c r="U52" s="919">
        <f>+'Exhibit F'!V47</f>
        <v>0</v>
      </c>
      <c r="V52" s="919"/>
      <c r="W52" s="919">
        <f>+'Exhibit F'!X47</f>
        <v>0</v>
      </c>
      <c r="X52" s="919"/>
      <c r="Y52" s="919">
        <f>+'Exhibit F'!Z47</f>
        <v>0</v>
      </c>
      <c r="Z52" s="151"/>
      <c r="AA52" s="686"/>
      <c r="AB52" s="377">
        <f t="shared" ref="AB52:AB56" si="14">ROUND(SUM(C52:Y52),1)</f>
        <v>0</v>
      </c>
      <c r="AC52" s="151"/>
      <c r="AD52" s="1823"/>
      <c r="AE52" s="919">
        <f>+'Exhibit F'!AF47</f>
        <v>0</v>
      </c>
      <c r="AF52" s="151"/>
      <c r="AG52" s="151"/>
      <c r="AH52" s="467">
        <f t="shared" ref="AH52:AH56" si="15">ROUND(SUM(+AB52-AE52),1)</f>
        <v>0</v>
      </c>
      <c r="AI52" s="42"/>
      <c r="AJ52" s="469">
        <f>-ROUND(IF(AE52=0,0,AH52/ABS(AE52)),3)</f>
        <v>0</v>
      </c>
    </row>
    <row r="53" spans="1:36" ht="16.5" customHeight="1">
      <c r="A53" s="489" t="s">
        <v>1008</v>
      </c>
      <c r="B53" s="489"/>
      <c r="C53" s="253">
        <f>+'Exhibit F'!D48</f>
        <v>127.3</v>
      </c>
      <c r="D53" s="451"/>
      <c r="E53" s="253">
        <f>+'Exhibit F'!F48</f>
        <v>126.00000000000001</v>
      </c>
      <c r="F53" s="451"/>
      <c r="G53" s="253">
        <f>+'Exhibit F'!H48</f>
        <v>123.50000000000001</v>
      </c>
      <c r="H53" s="377"/>
      <c r="I53" s="253">
        <f>+'Exhibit F'!J48</f>
        <v>132.69999999999999</v>
      </c>
      <c r="J53" s="377"/>
      <c r="K53" s="253">
        <f>+'Exhibit F'!L48</f>
        <v>156.90000000000003</v>
      </c>
      <c r="L53" s="377"/>
      <c r="M53" s="253">
        <f>+'Exhibit F'!N48</f>
        <v>399.8</v>
      </c>
      <c r="N53" s="151"/>
      <c r="O53" s="253">
        <f>+'Exhibit F'!P48</f>
        <v>252.59999999999985</v>
      </c>
      <c r="P53" s="151"/>
      <c r="Q53" s="253">
        <f>+'Exhibit F'!R48</f>
        <v>257.39999999999986</v>
      </c>
      <c r="R53" s="253"/>
      <c r="S53" s="253">
        <f>+'Exhibit F'!T48</f>
        <v>136.00000000000028</v>
      </c>
      <c r="T53" s="253"/>
      <c r="U53" s="253">
        <f>+'Exhibit F'!V48</f>
        <v>67.999999999999773</v>
      </c>
      <c r="V53" s="253"/>
      <c r="W53" s="253">
        <f>+'Exhibit F'!X48</f>
        <v>243.10000000000008</v>
      </c>
      <c r="X53" s="253"/>
      <c r="Y53" s="253">
        <f>+'Exhibit F'!Z48</f>
        <v>161.89999999999964</v>
      </c>
      <c r="Z53" s="151"/>
      <c r="AA53" s="686"/>
      <c r="AB53" s="377">
        <f t="shared" si="14"/>
        <v>2185.1999999999998</v>
      </c>
      <c r="AC53" s="151"/>
      <c r="AD53" s="1823"/>
      <c r="AE53" s="253">
        <f>+'Exhibit F'!AF48</f>
        <v>1386.1000000000001</v>
      </c>
      <c r="AF53" s="151"/>
      <c r="AG53" s="151"/>
      <c r="AH53" s="467">
        <f t="shared" si="15"/>
        <v>799.1</v>
      </c>
      <c r="AI53" s="42"/>
      <c r="AJ53" s="663">
        <f t="shared" ref="AJ53:AJ58" si="16">ROUND(IF(AE53=0,0,AH53/ABS(AE53)),3)</f>
        <v>0.57699999999999996</v>
      </c>
    </row>
    <row r="54" spans="1:36" ht="16.5" customHeight="1">
      <c r="A54" s="489" t="s">
        <v>1009</v>
      </c>
      <c r="B54" s="489"/>
      <c r="C54" s="253">
        <f>+'Exhibit F'!D49</f>
        <v>1.5</v>
      </c>
      <c r="D54" s="451"/>
      <c r="E54" s="253">
        <f>+'Exhibit F'!F49</f>
        <v>1.1000000000000001</v>
      </c>
      <c r="F54" s="451"/>
      <c r="G54" s="253">
        <f>+'Exhibit F'!H49</f>
        <v>0.60000000000000009</v>
      </c>
      <c r="H54" s="377"/>
      <c r="I54" s="253">
        <f>+'Exhibit F'!J49</f>
        <v>1.9</v>
      </c>
      <c r="J54" s="377"/>
      <c r="K54" s="253">
        <f>+'Exhibit F'!L49</f>
        <v>1.9999999999999996</v>
      </c>
      <c r="L54" s="377"/>
      <c r="M54" s="253">
        <f>+'Exhibit F'!N49</f>
        <v>1.9000000000000012</v>
      </c>
      <c r="N54" s="151"/>
      <c r="O54" s="253">
        <f>+'Exhibit F'!P49</f>
        <v>0.89999999999999991</v>
      </c>
      <c r="P54" s="151"/>
      <c r="Q54" s="253">
        <f>+'Exhibit F'!R49</f>
        <v>0.90000000000000036</v>
      </c>
      <c r="R54" s="253"/>
      <c r="S54" s="253">
        <f>+'Exhibit F'!T49</f>
        <v>0.79999999999999849</v>
      </c>
      <c r="T54" s="253"/>
      <c r="U54" s="253">
        <f>+'Exhibit F'!V49</f>
        <v>0.5</v>
      </c>
      <c r="V54" s="253"/>
      <c r="W54" s="253">
        <f>+'Exhibit F'!X49</f>
        <v>0.80000000000000071</v>
      </c>
      <c r="X54" s="253"/>
      <c r="Y54" s="253">
        <f>+'Exhibit F'!Z49</f>
        <v>9.9999999999999645E-2</v>
      </c>
      <c r="Z54" s="151"/>
      <c r="AA54" s="686"/>
      <c r="AB54" s="377">
        <f t="shared" si="14"/>
        <v>13</v>
      </c>
      <c r="AC54" s="151"/>
      <c r="AD54" s="1823"/>
      <c r="AE54" s="253">
        <f>+'Exhibit F'!AF49</f>
        <v>12.9</v>
      </c>
      <c r="AF54" s="151"/>
      <c r="AG54" s="151"/>
      <c r="AH54" s="467">
        <f t="shared" si="15"/>
        <v>0.1</v>
      </c>
      <c r="AI54" s="42"/>
      <c r="AJ54" s="663">
        <f t="shared" si="16"/>
        <v>8.0000000000000002E-3</v>
      </c>
    </row>
    <row r="55" spans="1:36" ht="16.5" customHeight="1">
      <c r="A55" s="489" t="s">
        <v>1010</v>
      </c>
      <c r="B55" s="489"/>
      <c r="C55" s="253">
        <f>+'Exhibit F'!D50+'Exhibit H'!B25+'Exhibit I'!E30</f>
        <v>152.4</v>
      </c>
      <c r="D55" s="451"/>
      <c r="E55" s="253">
        <f>+'Exhibit F'!F50+'Exhibit H'!D25+'Exhibit I'!G30</f>
        <v>129.99999999999997</v>
      </c>
      <c r="F55" s="451"/>
      <c r="G55" s="253">
        <f>+'Exhibit F'!H50+'Exhibit H'!F25+'Exhibit I'!I30</f>
        <v>143.50000000000003</v>
      </c>
      <c r="H55" s="377"/>
      <c r="I55" s="253">
        <f>+'Exhibit F'!J50+'Exhibit H'!H25+'Exhibit I'!K30</f>
        <v>170.39999999999989</v>
      </c>
      <c r="J55" s="377"/>
      <c r="K55" s="253">
        <f>+'Exhibit F'!L50+'Exhibit H'!J25+'Exhibit I'!M30</f>
        <v>141.69999999999999</v>
      </c>
      <c r="L55" s="377"/>
      <c r="M55" s="253">
        <f>+'Exhibit F'!N50+'Exhibit H'!L25+'Exhibit I'!O30</f>
        <v>136.00000000000009</v>
      </c>
      <c r="N55" s="151"/>
      <c r="O55" s="253">
        <f>+'Exhibit F'!P50+'Exhibit H'!N25+'Exhibit I'!Q30</f>
        <v>131.19999999999996</v>
      </c>
      <c r="P55" s="151"/>
      <c r="Q55" s="253">
        <f>+'Exhibit F'!R50+'Exhibit H'!P25+'Exhibit I'!S30</f>
        <v>106.90000000000002</v>
      </c>
      <c r="R55" s="253"/>
      <c r="S55" s="253">
        <f>+'Exhibit F'!T50+'Exhibit H'!R25+'Exhibit I'!U30</f>
        <v>101.7</v>
      </c>
      <c r="T55" s="253"/>
      <c r="U55" s="253">
        <f>+'Exhibit F'!V50+'Exhibit H'!T25+'Exhibit I'!W30</f>
        <v>92.199999999999861</v>
      </c>
      <c r="V55" s="253"/>
      <c r="W55" s="253">
        <f>+'Exhibit F'!X50+'Exhibit H'!V25+'Exhibit I'!Y30</f>
        <v>98.499999999999986</v>
      </c>
      <c r="X55" s="253"/>
      <c r="Y55" s="253">
        <f>+'Exhibit F'!Z50+'Exhibit H'!X25+'Exhibit I'!AA30</f>
        <v>67.499999999999773</v>
      </c>
      <c r="Z55" s="151"/>
      <c r="AA55" s="686"/>
      <c r="AB55" s="377">
        <f t="shared" si="14"/>
        <v>1472</v>
      </c>
      <c r="AC55" s="151"/>
      <c r="AD55" s="1823"/>
      <c r="AE55" s="253">
        <f>+'Exhibit F'!AF50+'Exhibit H'!AD25+'Exhibit I'!AI30</f>
        <v>1639.5</v>
      </c>
      <c r="AF55" s="151"/>
      <c r="AG55" s="151"/>
      <c r="AH55" s="467">
        <f t="shared" si="15"/>
        <v>-167.5</v>
      </c>
      <c r="AI55" s="42"/>
      <c r="AJ55" s="663">
        <f t="shared" si="16"/>
        <v>-0.10199999999999999</v>
      </c>
    </row>
    <row r="56" spans="1:36" ht="16.5" customHeight="1">
      <c r="A56" s="489" t="s">
        <v>1449</v>
      </c>
      <c r="B56" s="489"/>
      <c r="C56" s="253">
        <f>+'Exhibit F'!D51</f>
        <v>0</v>
      </c>
      <c r="D56" s="451"/>
      <c r="E56" s="253">
        <f>+'Exhibit F'!F51</f>
        <v>0.2</v>
      </c>
      <c r="F56" s="451"/>
      <c r="G56" s="253">
        <f>+'Exhibit F'!H51</f>
        <v>9.9999999999999978E-2</v>
      </c>
      <c r="H56" s="377"/>
      <c r="I56" s="253">
        <f>+'Exhibit F'!J51</f>
        <v>0.2</v>
      </c>
      <c r="J56" s="377"/>
      <c r="K56" s="253">
        <f>+'Exhibit F'!L51</f>
        <v>0.19999999999999996</v>
      </c>
      <c r="L56" s="377"/>
      <c r="M56" s="253">
        <f>+'Exhibit F'!N51</f>
        <v>0</v>
      </c>
      <c r="N56" s="151"/>
      <c r="O56" s="253">
        <f>+'Exhibit F'!P51</f>
        <v>0.2</v>
      </c>
      <c r="P56" s="151"/>
      <c r="Q56" s="253">
        <f>+'Exhibit F'!R51</f>
        <v>1.0000000000000002</v>
      </c>
      <c r="R56" s="253"/>
      <c r="S56" s="253">
        <f>+'Exhibit F'!T51</f>
        <v>0</v>
      </c>
      <c r="T56" s="253"/>
      <c r="U56" s="253">
        <f>+'Exhibit F'!V51</f>
        <v>0.10000000000000009</v>
      </c>
      <c r="V56" s="253"/>
      <c r="W56" s="253">
        <f>+'Exhibit F'!X51</f>
        <v>0</v>
      </c>
      <c r="X56" s="253"/>
      <c r="Y56" s="253">
        <f>+'Exhibit F'!Z51</f>
        <v>0</v>
      </c>
      <c r="Z56" s="151"/>
      <c r="AA56" s="686"/>
      <c r="AB56" s="377">
        <f t="shared" si="14"/>
        <v>2</v>
      </c>
      <c r="AC56" s="151"/>
      <c r="AD56" s="1823"/>
      <c r="AE56" s="253">
        <f>+'Exhibit F'!AF51</f>
        <v>1.5</v>
      </c>
      <c r="AF56" s="151"/>
      <c r="AG56" s="151"/>
      <c r="AH56" s="467">
        <f t="shared" si="15"/>
        <v>0.5</v>
      </c>
      <c r="AI56" s="42"/>
      <c r="AJ56" s="978">
        <f>ROUND(IF(AE56=0,1,AH56/ABS(AE56)),3)</f>
        <v>0.33300000000000002</v>
      </c>
    </row>
    <row r="57" spans="1:36" ht="16.5" customHeight="1">
      <c r="A57" s="754" t="s">
        <v>1254</v>
      </c>
      <c r="B57" s="489"/>
      <c r="C57" s="253">
        <f>+'Exhibit F'!D52+'Exhibit H'!B26</f>
        <v>0.4</v>
      </c>
      <c r="D57" s="451"/>
      <c r="E57" s="253">
        <f>+'Exhibit F'!F52+'Exhibit H'!D26</f>
        <v>0.19999999999999996</v>
      </c>
      <c r="F57" s="451"/>
      <c r="G57" s="253">
        <f>+'Exhibit F'!H52+'Exhibit H'!F26</f>
        <v>0.20000000000000007</v>
      </c>
      <c r="H57" s="377"/>
      <c r="I57" s="253">
        <f>+'Exhibit F'!J52+'Exhibit H'!H26</f>
        <v>0.39999999999999991</v>
      </c>
      <c r="J57" s="377"/>
      <c r="K57" s="253">
        <f>+'Exhibit F'!L52+'Exhibit H'!J26</f>
        <v>0.4</v>
      </c>
      <c r="L57" s="151"/>
      <c r="M57" s="253">
        <f>+'Exhibit F'!N52+'Exhibit H'!L26</f>
        <v>0.40000000000000024</v>
      </c>
      <c r="N57" s="151"/>
      <c r="O57" s="253">
        <f>+'Exhibit F'!P52+'Exhibit H'!N26</f>
        <v>0.59999999999999964</v>
      </c>
      <c r="P57" s="151"/>
      <c r="Q57" s="253">
        <f>+'Exhibit F'!R52+'Exhibit H'!P26</f>
        <v>0.40000000000000036</v>
      </c>
      <c r="R57" s="253"/>
      <c r="S57" s="253">
        <f>+'Exhibit F'!T52+'Exhibit H'!R26</f>
        <v>1</v>
      </c>
      <c r="T57" s="253"/>
      <c r="U57" s="253">
        <f>+'Exhibit F'!V52+'Exhibit H'!T26</f>
        <v>2.3999999999999986</v>
      </c>
      <c r="V57" s="253"/>
      <c r="W57" s="253">
        <f>+'Exhibit F'!X52+'Exhibit H'!V26</f>
        <v>0.19999999999999929</v>
      </c>
      <c r="X57" s="253"/>
      <c r="Y57" s="253">
        <f>+'Exhibit F'!Z52+'Exhibit H'!X26</f>
        <v>0.10000000000000053</v>
      </c>
      <c r="Z57" s="151"/>
      <c r="AA57" s="686"/>
      <c r="AB57" s="377">
        <f t="shared" ref="AB57" si="17">ROUND(SUM(C57:Y57),1)</f>
        <v>6.7</v>
      </c>
      <c r="AC57" s="151"/>
      <c r="AD57" s="1823"/>
      <c r="AE57" s="253">
        <f>+'Exhibit F'!AF52+'Exhibit H'!AD26</f>
        <v>12.8</v>
      </c>
      <c r="AF57" s="151"/>
      <c r="AG57" s="151"/>
      <c r="AH57" s="467">
        <f>ROUND(SUM(+AB57-AE57),1)</f>
        <v>-6.1</v>
      </c>
      <c r="AI57" s="169"/>
      <c r="AJ57" s="961">
        <f>ROUND(IF(AE57=0,1,AH57/ABS(AE57)),3)</f>
        <v>-0.47699999999999998</v>
      </c>
    </row>
    <row r="58" spans="1:36" ht="16.5" customHeight="1">
      <c r="A58" s="217" t="s">
        <v>1005</v>
      </c>
      <c r="B58" s="489"/>
      <c r="C58" s="645">
        <f>ROUND(SUM(C52:C57),1)</f>
        <v>281.60000000000002</v>
      </c>
      <c r="D58" s="16"/>
      <c r="E58" s="645">
        <f>ROUND(SUM(E52:E57),1)</f>
        <v>257.5</v>
      </c>
      <c r="F58" s="16"/>
      <c r="G58" s="645">
        <f>ROUND(SUM(G52:G57),1)</f>
        <v>267.89999999999998</v>
      </c>
      <c r="H58" s="151"/>
      <c r="I58" s="645">
        <f>ROUND(SUM(I52:I57),1)</f>
        <v>305.60000000000002</v>
      </c>
      <c r="J58" s="151"/>
      <c r="K58" s="645">
        <f>ROUND(SUM(K52:K57),1)</f>
        <v>301.2</v>
      </c>
      <c r="L58" s="151"/>
      <c r="M58" s="645">
        <f>ROUND(SUM(M52:M57),1)</f>
        <v>538.1</v>
      </c>
      <c r="N58" s="151"/>
      <c r="O58" s="645">
        <f>ROUND(SUM(O52:O57),1)</f>
        <v>385.5</v>
      </c>
      <c r="P58" s="151"/>
      <c r="Q58" s="645">
        <f>ROUND(SUM(Q52:Q57),1)</f>
        <v>366.6</v>
      </c>
      <c r="R58" s="151"/>
      <c r="S58" s="645">
        <f>ROUND(SUM(S52:S57),1)</f>
        <v>239.5</v>
      </c>
      <c r="T58" s="151"/>
      <c r="U58" s="645">
        <f>ROUND(SUM(U52:U57),1)</f>
        <v>163.19999999999999</v>
      </c>
      <c r="V58" s="151"/>
      <c r="W58" s="645">
        <f>ROUND(SUM(W52:W57),1)</f>
        <v>342.6</v>
      </c>
      <c r="X58" s="151"/>
      <c r="Y58" s="645">
        <f>ROUND(SUM(Y52:Y57),1)</f>
        <v>229.6</v>
      </c>
      <c r="Z58" s="151"/>
      <c r="AA58" s="686"/>
      <c r="AB58" s="645">
        <f>ROUND(SUM(AB52:AB57),1)</f>
        <v>3678.9</v>
      </c>
      <c r="AC58" s="151"/>
      <c r="AD58" s="1823"/>
      <c r="AE58" s="645">
        <f>ROUND(SUM(AE52:AE57),1)</f>
        <v>3052.8</v>
      </c>
      <c r="AF58" s="151"/>
      <c r="AG58" s="151"/>
      <c r="AH58" s="645">
        <f>ROUND(SUM(AH52:AH57),1)</f>
        <v>626.1</v>
      </c>
      <c r="AI58" s="42"/>
      <c r="AJ58" s="13">
        <f t="shared" si="16"/>
        <v>0.20499999999999999</v>
      </c>
    </row>
    <row r="59" spans="1:36" ht="16.5" customHeight="1">
      <c r="A59" s="217"/>
      <c r="B59" s="489"/>
      <c r="C59" s="16"/>
      <c r="D59" s="16"/>
      <c r="E59" s="16"/>
      <c r="F59" s="16"/>
      <c r="G59" s="16"/>
      <c r="H59" s="151"/>
      <c r="I59" s="16"/>
      <c r="J59" s="151"/>
      <c r="K59" s="16"/>
      <c r="L59" s="151"/>
      <c r="M59" s="16"/>
      <c r="N59" s="151"/>
      <c r="O59" s="16"/>
      <c r="P59" s="151"/>
      <c r="Q59" s="16"/>
      <c r="R59" s="151"/>
      <c r="S59" s="16"/>
      <c r="T59" s="151"/>
      <c r="U59" s="16"/>
      <c r="V59" s="151"/>
      <c r="W59" s="16"/>
      <c r="X59" s="151"/>
      <c r="Y59" s="16"/>
      <c r="Z59" s="151"/>
      <c r="AA59" s="376"/>
      <c r="AB59" s="151"/>
      <c r="AC59" s="151"/>
      <c r="AD59" s="1823"/>
      <c r="AE59" s="151"/>
      <c r="AF59" s="151"/>
      <c r="AG59" s="151"/>
      <c r="AH59" s="472"/>
      <c r="AI59" s="151"/>
      <c r="AJ59" s="472"/>
    </row>
    <row r="60" spans="1:36" ht="16.5" customHeight="1">
      <c r="A60" s="217" t="s">
        <v>1006</v>
      </c>
      <c r="B60" s="20"/>
      <c r="C60" s="15">
        <f>ROUND(SUM(C58+C50+C42+C30),1)</f>
        <v>18139.8</v>
      </c>
      <c r="D60" s="36"/>
      <c r="E60" s="15">
        <f>ROUND(SUM(E58+E50+E42+E30),1)</f>
        <v>4750.5</v>
      </c>
      <c r="F60" s="36"/>
      <c r="G60" s="15">
        <f>ROUND(SUM(G58+G50+G42+G30),1)</f>
        <v>11533</v>
      </c>
      <c r="H60" s="36"/>
      <c r="I60" s="15">
        <f>ROUND(SUM(I58+I50+I42+I30),1)</f>
        <v>5379.7</v>
      </c>
      <c r="J60" s="36"/>
      <c r="K60" s="15">
        <f>ROUND(SUM(K58+K50+K42+K30),1)</f>
        <v>5573.4</v>
      </c>
      <c r="L60" s="36"/>
      <c r="M60" s="15">
        <f>ROUND(SUM(M58+M50+M42+M30),1)</f>
        <v>13013.8</v>
      </c>
      <c r="N60" s="36"/>
      <c r="O60" s="15">
        <f>ROUND(SUM(O58+O50+O42+O30),1)</f>
        <v>3648.3</v>
      </c>
      <c r="P60" s="36"/>
      <c r="Q60" s="15">
        <f>ROUND(SUM(Q58+Q50+Q42+Q30),1)</f>
        <v>4988.5</v>
      </c>
      <c r="R60" s="36"/>
      <c r="S60" s="15">
        <f>ROUND(SUM(S58+S50+S42+S30),1)</f>
        <v>12821.3</v>
      </c>
      <c r="T60" s="36"/>
      <c r="U60" s="15">
        <f>ROUND(SUM(U58+U50+U42+U30),1)</f>
        <v>11261.3</v>
      </c>
      <c r="V60" s="36"/>
      <c r="W60" s="15">
        <f>ROUND(SUM(W58+W50+W42+W30),1)</f>
        <v>6376.9</v>
      </c>
      <c r="X60" s="39"/>
      <c r="Y60" s="15">
        <f>ROUND(SUM(Y58+Y50+Y42+Y30),1)</f>
        <v>14169.6</v>
      </c>
      <c r="Z60" s="39"/>
      <c r="AA60" s="30"/>
      <c r="AB60" s="221">
        <f>ROUND(+AB58+AB50+AB42+AB30,1)</f>
        <v>111656.1</v>
      </c>
      <c r="AC60" s="36"/>
      <c r="AD60" s="37"/>
      <c r="AE60" s="221">
        <f>ROUND(+AE58+AE50+AE42+AE30,1)</f>
        <v>121136</v>
      </c>
      <c r="AF60" s="36"/>
      <c r="AG60" s="1449"/>
      <c r="AH60" s="221">
        <f>ROUND(+AH58+AH50+AH42+AH30,1)</f>
        <v>-9479.9</v>
      </c>
      <c r="AI60" s="467"/>
      <c r="AJ60" s="1825">
        <f>ROUND(IF(AE60=0,0,AH60/ABS(AE60)),3)</f>
        <v>-7.8E-2</v>
      </c>
    </row>
    <row r="61" spans="1:36" ht="16.5" customHeight="1">
      <c r="A61" s="151"/>
      <c r="B61" s="151"/>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378"/>
      <c r="AB61" s="377"/>
      <c r="AC61" s="377"/>
      <c r="AD61" s="1826"/>
      <c r="AE61" s="377"/>
      <c r="AF61" s="377"/>
      <c r="AG61" s="377"/>
      <c r="AH61" s="377"/>
      <c r="AI61" s="151"/>
      <c r="AJ61" s="488"/>
    </row>
    <row r="62" spans="1:36" ht="16.5" customHeight="1">
      <c r="A62" s="117" t="s">
        <v>916</v>
      </c>
      <c r="B62" s="648"/>
      <c r="C62" s="377"/>
      <c r="D62" s="377"/>
      <c r="E62" s="377"/>
      <c r="F62" s="377"/>
      <c r="G62" s="377"/>
      <c r="H62" s="377"/>
      <c r="I62" s="377" t="s">
        <v>14</v>
      </c>
      <c r="J62" s="377"/>
      <c r="K62" s="377" t="s">
        <v>14</v>
      </c>
      <c r="L62" s="377"/>
      <c r="M62" s="377"/>
      <c r="N62" s="377"/>
      <c r="O62" s="377"/>
      <c r="P62" s="377"/>
      <c r="Q62" s="377"/>
      <c r="R62" s="377"/>
      <c r="S62" s="377"/>
      <c r="T62" s="377"/>
      <c r="U62" s="377"/>
      <c r="V62" s="377"/>
      <c r="W62" s="377"/>
      <c r="X62" s="377"/>
      <c r="Y62" s="377"/>
      <c r="Z62" s="377"/>
      <c r="AA62" s="378"/>
      <c r="AB62" s="377"/>
      <c r="AC62" s="377"/>
      <c r="AD62" s="1826"/>
      <c r="AE62" s="377"/>
      <c r="AF62" s="377"/>
      <c r="AG62" s="377"/>
      <c r="AH62" s="377"/>
      <c r="AI62" s="151"/>
      <c r="AJ62" s="488"/>
    </row>
    <row r="63" spans="1:36" ht="16.5" customHeight="1">
      <c r="A63" s="597" t="s">
        <v>1031</v>
      </c>
      <c r="B63" s="648"/>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8"/>
      <c r="AB63" s="377"/>
      <c r="AC63" s="377"/>
      <c r="AD63" s="1826"/>
      <c r="AE63" s="377"/>
      <c r="AF63" s="377"/>
      <c r="AG63" s="377"/>
      <c r="AH63" s="377"/>
      <c r="AI63" s="151"/>
      <c r="AJ63" s="488"/>
    </row>
    <row r="64" spans="1:36" ht="16.5" customHeight="1">
      <c r="A64" s="597" t="s">
        <v>914</v>
      </c>
      <c r="B64" s="597"/>
      <c r="C64" s="377">
        <f>+'Exhibit F'!D59+'Exhibit G'!D42</f>
        <v>1.9</v>
      </c>
      <c r="D64" s="377"/>
      <c r="E64" s="377">
        <f>+'Exhibit F'!F59+'Exhibit G'!F42</f>
        <v>0.9</v>
      </c>
      <c r="F64" s="377"/>
      <c r="G64" s="377">
        <f>+'Exhibit F'!H59+'Exhibit G'!H42</f>
        <v>0.99999999999999989</v>
      </c>
      <c r="H64" s="377"/>
      <c r="I64" s="377">
        <f>+'Exhibit F'!J59+'Exhibit G'!J42</f>
        <v>0.80000000000000027</v>
      </c>
      <c r="J64" s="377"/>
      <c r="K64" s="377">
        <f>+'Exhibit F'!L59+'Exhibit G'!L42</f>
        <v>11.3</v>
      </c>
      <c r="L64" s="377"/>
      <c r="M64" s="377">
        <f>+'Exhibit F'!N59+'Exhibit G'!N42</f>
        <v>101</v>
      </c>
      <c r="N64" s="377"/>
      <c r="O64" s="377">
        <f>+'Exhibit F'!P59+'Exhibit G'!P42</f>
        <v>31.1</v>
      </c>
      <c r="P64" s="377"/>
      <c r="Q64" s="377">
        <f>+'Exhibit F'!R59+'Exhibit G'!R42</f>
        <v>131</v>
      </c>
      <c r="R64" s="377"/>
      <c r="S64" s="377">
        <f>+'Exhibit F'!T59+'Exhibit G'!T42</f>
        <v>1.0999999999999996</v>
      </c>
      <c r="T64" s="377"/>
      <c r="U64" s="377">
        <f>+'Exhibit F'!V59+'Exhibit G'!V42</f>
        <v>30.9</v>
      </c>
      <c r="V64" s="377"/>
      <c r="W64" s="377">
        <f>+'Exhibit F'!X59+'Exhibit G'!X42</f>
        <v>11.500000000000023</v>
      </c>
      <c r="X64" s="377"/>
      <c r="Y64" s="377">
        <f>+'Exhibit F'!Z59+'Exhibit G'!Z42</f>
        <v>409.29999999999995</v>
      </c>
      <c r="Z64" s="377"/>
      <c r="AA64" s="378"/>
      <c r="AB64" s="377">
        <f t="shared" ref="AB64:AB105" si="18">ROUND(SUM(C64:Y64),1)</f>
        <v>731.8</v>
      </c>
      <c r="AC64" s="377"/>
      <c r="AD64" s="1826"/>
      <c r="AE64" s="377">
        <f>+'Exhibit F'!AF59+'Exhibit G'!AG42</f>
        <v>585.19999999999993</v>
      </c>
      <c r="AF64" s="377"/>
      <c r="AG64" s="377"/>
      <c r="AH64" s="377">
        <f t="shared" ref="AH64:AH105" si="19">ROUND(SUM(AB64-AE64),1)</f>
        <v>146.6</v>
      </c>
      <c r="AI64" s="151"/>
      <c r="AJ64" s="663">
        <f>ROUND(IF(AE64=0,0,AH64/ABS(AE64)),3)</f>
        <v>0.251</v>
      </c>
    </row>
    <row r="65" spans="1:36" ht="16.5" customHeight="1">
      <c r="A65" s="597" t="s">
        <v>915</v>
      </c>
      <c r="B65" s="597"/>
      <c r="C65" s="377">
        <f>+'Exhibit F'!D60+'Exhibit I'!E37</f>
        <v>0.2</v>
      </c>
      <c r="D65" s="377"/>
      <c r="E65" s="377">
        <f>+'Exhibit F'!F60+'Exhibit I'!G37</f>
        <v>0.2</v>
      </c>
      <c r="F65" s="377"/>
      <c r="G65" s="377">
        <f>+'Exhibit F'!H60+'Exhibit I'!I37</f>
        <v>25</v>
      </c>
      <c r="H65" s="377"/>
      <c r="I65" s="377">
        <f>+'Exhibit F'!J60+'Exhibit I'!K37</f>
        <v>10.000000000000002</v>
      </c>
      <c r="J65" s="377"/>
      <c r="K65" s="377">
        <f>+'Exhibit F'!L60+'Exhibit I'!M37</f>
        <v>9.9999999999998423E-2</v>
      </c>
      <c r="L65" s="377"/>
      <c r="M65" s="377">
        <f>+'Exhibit F'!N60+'Exhibit I'!O37</f>
        <v>34.899999999999991</v>
      </c>
      <c r="N65" s="377"/>
      <c r="O65" s="377">
        <f>+'Exhibit F'!P60+'Exhibit I'!Q37</f>
        <v>1.1000000000000014</v>
      </c>
      <c r="P65" s="377"/>
      <c r="Q65" s="377">
        <f>+'Exhibit F'!R60+'Exhibit I'!S37</f>
        <v>0.20000000000000284</v>
      </c>
      <c r="R65" s="377"/>
      <c r="S65" s="377">
        <f>+'Exhibit F'!T60+'Exhibit I'!U37</f>
        <v>21.599999999999994</v>
      </c>
      <c r="T65" s="377"/>
      <c r="U65" s="377">
        <f>+'Exhibit F'!V60+'Exhibit I'!W37</f>
        <v>2.1000000000000085</v>
      </c>
      <c r="V65" s="377"/>
      <c r="W65" s="377">
        <f>+'Exhibit F'!X60+'Exhibit I'!Y37</f>
        <v>0.39999999999999147</v>
      </c>
      <c r="X65" s="377"/>
      <c r="Y65" s="377">
        <f>+'Exhibit F'!Z60+'Exhibit I'!AA37</f>
        <v>25.500000000000007</v>
      </c>
      <c r="Z65" s="377"/>
      <c r="AA65" s="378"/>
      <c r="AB65" s="377">
        <f t="shared" si="18"/>
        <v>121.3</v>
      </c>
      <c r="AC65" s="377"/>
      <c r="AD65" s="1826"/>
      <c r="AE65" s="377">
        <f>+'Exhibit F'!AF60+'Exhibit I'!AI37</f>
        <v>128.80000000000001</v>
      </c>
      <c r="AF65" s="377"/>
      <c r="AG65" s="377"/>
      <c r="AH65" s="377">
        <f t="shared" si="19"/>
        <v>-7.5</v>
      </c>
      <c r="AI65" s="151"/>
      <c r="AJ65" s="663">
        <f>ROUND(IF(AE65=0,0,AH65/ABS(AE65)),3)</f>
        <v>-5.8000000000000003E-2</v>
      </c>
    </row>
    <row r="66" spans="1:36" ht="16.5" customHeight="1">
      <c r="A66" s="597" t="s">
        <v>1032</v>
      </c>
      <c r="B66" s="597"/>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8"/>
      <c r="AB66" s="377"/>
      <c r="AC66" s="377"/>
      <c r="AD66" s="1826"/>
      <c r="AE66" s="377"/>
      <c r="AF66" s="377"/>
      <c r="AG66" s="377"/>
      <c r="AH66" s="377"/>
      <c r="AI66" s="151"/>
      <c r="AJ66" s="663"/>
    </row>
    <row r="67" spans="1:36" ht="16.5" customHeight="1">
      <c r="A67" s="597" t="s">
        <v>919</v>
      </c>
      <c r="B67" s="597"/>
      <c r="C67" s="377">
        <f>+'Exhibit F'!D62+'Exhibit G'!D44+'Exhibit I'!E39</f>
        <v>140.6</v>
      </c>
      <c r="D67" s="377"/>
      <c r="E67" s="377">
        <f>+'Exhibit F'!F62+'Exhibit G'!F44+'Exhibit I'!G39</f>
        <v>45.500000000000007</v>
      </c>
      <c r="F67" s="377"/>
      <c r="G67" s="377">
        <f>+'Exhibit F'!H62+'Exhibit G'!H44+'Exhibit I'!I39</f>
        <v>44.400000000000006</v>
      </c>
      <c r="H67" s="377"/>
      <c r="I67" s="377">
        <f>+'Exhibit F'!J62+'Exhibit G'!J44+'Exhibit I'!K39</f>
        <v>100.20000000000002</v>
      </c>
      <c r="J67" s="377"/>
      <c r="K67" s="377">
        <f>+'Exhibit F'!L62+'Exhibit G'!L44+'Exhibit I'!M39</f>
        <v>63.799999999999955</v>
      </c>
      <c r="L67" s="377"/>
      <c r="M67" s="377">
        <f>+'Exhibit F'!N62+'Exhibit G'!N44+'Exhibit I'!O39</f>
        <v>89.100000000000051</v>
      </c>
      <c r="N67" s="377"/>
      <c r="O67" s="377">
        <f>+'Exhibit F'!P62+'Exhibit G'!P44+'Exhibit I'!Q39</f>
        <v>58.999999999999993</v>
      </c>
      <c r="P67" s="377"/>
      <c r="Q67" s="377">
        <f>+'Exhibit F'!R62+'Exhibit G'!R44+'Exhibit I'!S39</f>
        <v>-10.699999999999971</v>
      </c>
      <c r="R67" s="377"/>
      <c r="S67" s="377">
        <f>+'Exhibit F'!T62+'Exhibit G'!T44+'Exhibit I'!U39</f>
        <v>115.79999999999994</v>
      </c>
      <c r="T67" s="377"/>
      <c r="U67" s="377">
        <f>+'Exhibit F'!V62+'Exhibit G'!V44+'Exhibit I'!W39</f>
        <v>117.2</v>
      </c>
      <c r="V67" s="377"/>
      <c r="W67" s="377">
        <f>+'Exhibit F'!X62+'Exhibit G'!X44+'Exhibit I'!Y39</f>
        <v>22.499999999999968</v>
      </c>
      <c r="X67" s="377"/>
      <c r="Y67" s="377">
        <f>+'Exhibit F'!Z62+'Exhibit G'!Z44+'Exhibit I'!AA39</f>
        <v>177.90000000000015</v>
      </c>
      <c r="Z67" s="377"/>
      <c r="AA67" s="378"/>
      <c r="AB67" s="377">
        <f>ROUND(SUM(C67:Y67),1)</f>
        <v>965.3</v>
      </c>
      <c r="AC67" s="377"/>
      <c r="AD67" s="1826"/>
      <c r="AE67" s="377">
        <f>+'Exhibit F'!AF62+'Exhibit G'!AG44+'Exhibit I'!AI39</f>
        <v>824</v>
      </c>
      <c r="AF67" s="377"/>
      <c r="AG67" s="377"/>
      <c r="AH67" s="377">
        <f t="shared" si="19"/>
        <v>141.30000000000001</v>
      </c>
      <c r="AI67" s="151"/>
      <c r="AJ67" s="663">
        <f>ROUND(IF(AE67=0,0,AH67/ABS(AE67)),3)</f>
        <v>0.17100000000000001</v>
      </c>
    </row>
    <row r="68" spans="1:36" ht="16.5" customHeight="1">
      <c r="A68" s="597" t="s">
        <v>920</v>
      </c>
      <c r="B68" s="597"/>
      <c r="C68" s="377">
        <f>+'Exhibit F'!D63+'Exhibit G'!D45</f>
        <v>536.9</v>
      </c>
      <c r="D68" s="377"/>
      <c r="E68" s="377">
        <f>+'Exhibit F'!F63+'Exhibit G'!F45</f>
        <v>533.80000000000018</v>
      </c>
      <c r="F68" s="377"/>
      <c r="G68" s="377">
        <f>+'Exhibit F'!H63+'Exhibit G'!H45</f>
        <v>564.19999999999982</v>
      </c>
      <c r="H68" s="377"/>
      <c r="I68" s="377">
        <f>+'Exhibit F'!J63+'Exhibit G'!J45</f>
        <v>577.79999999999995</v>
      </c>
      <c r="J68" s="377"/>
      <c r="K68" s="377">
        <f>+'Exhibit F'!L63+'Exhibit G'!L45</f>
        <v>542.30000000000018</v>
      </c>
      <c r="L68" s="377"/>
      <c r="M68" s="377">
        <f>+'Exhibit F'!N63+'Exhibit G'!N45</f>
        <v>576.39999999999941</v>
      </c>
      <c r="N68" s="377"/>
      <c r="O68" s="377">
        <f>+'Exhibit F'!P63+'Exhibit G'!P45</f>
        <v>538.10000000000014</v>
      </c>
      <c r="P68" s="377"/>
      <c r="Q68" s="377">
        <f>+'Exhibit F'!R63+'Exhibit G'!R45</f>
        <v>533.69999999999925</v>
      </c>
      <c r="R68" s="377"/>
      <c r="S68" s="377">
        <f>+'Exhibit F'!T63+'Exhibit G'!T45</f>
        <v>602.60000000000059</v>
      </c>
      <c r="T68" s="377"/>
      <c r="U68" s="377">
        <f>+'Exhibit F'!V63+'Exhibit G'!V45</f>
        <v>564.20000000000005</v>
      </c>
      <c r="V68" s="377"/>
      <c r="W68" s="377">
        <f>+'Exhibit F'!X63+'Exhibit G'!X45</f>
        <v>590.4</v>
      </c>
      <c r="X68" s="377"/>
      <c r="Y68" s="377">
        <f>+'Exhibit F'!Z63+'Exhibit G'!Z45</f>
        <v>607.0000000000008</v>
      </c>
      <c r="Z68" s="377"/>
      <c r="AA68" s="378"/>
      <c r="AB68" s="377">
        <f t="shared" si="18"/>
        <v>6767.4</v>
      </c>
      <c r="AC68" s="377"/>
      <c r="AD68" s="1826"/>
      <c r="AE68" s="377">
        <f>+'Exhibit F'!AF63+'Exhibit G'!AG45+'Exhibit H'!AD33</f>
        <v>6361.5</v>
      </c>
      <c r="AF68" s="377"/>
      <c r="AG68" s="377"/>
      <c r="AH68" s="377">
        <f t="shared" si="19"/>
        <v>405.9</v>
      </c>
      <c r="AI68" s="151"/>
      <c r="AJ68" s="663">
        <f>ROUND(IF(AE68=0,0,AH68/ABS(AE68)),3)</f>
        <v>6.4000000000000001E-2</v>
      </c>
    </row>
    <row r="69" spans="1:36" ht="16.5" customHeight="1">
      <c r="A69" s="597" t="s">
        <v>921</v>
      </c>
      <c r="B69" s="597"/>
      <c r="C69" s="377">
        <f>+'Exhibit F'!D64+'Exhibit G'!D46</f>
        <v>4.5999999999999996</v>
      </c>
      <c r="D69" s="377"/>
      <c r="E69" s="377">
        <f>+'Exhibit F'!F64+'Exhibit G'!F46</f>
        <v>0</v>
      </c>
      <c r="F69" s="377"/>
      <c r="G69" s="377">
        <f>+'Exhibit F'!H64+'Exhibit G'!H46</f>
        <v>0.30000000000000071</v>
      </c>
      <c r="H69" s="377"/>
      <c r="I69" s="377">
        <f>+'Exhibit F'!J64+'Exhibit G'!J46</f>
        <v>0</v>
      </c>
      <c r="J69" s="377"/>
      <c r="K69" s="377">
        <f>+'Exhibit F'!L64+'Exhibit G'!L46</f>
        <v>0.19999999999999929</v>
      </c>
      <c r="L69" s="377"/>
      <c r="M69" s="377">
        <f>+'Exhibit F'!N64+'Exhibit G'!N46</f>
        <v>59.499999999999986</v>
      </c>
      <c r="N69" s="377"/>
      <c r="O69" s="377">
        <f>+'Exhibit F'!P64+'Exhibit G'!P46</f>
        <v>-0.19999999999998863</v>
      </c>
      <c r="P69" s="377"/>
      <c r="Q69" s="377">
        <f>+'Exhibit F'!R64+'Exhibit G'!R46</f>
        <v>-0.20000000000000284</v>
      </c>
      <c r="R69" s="377"/>
      <c r="S69" s="377">
        <f>+'Exhibit F'!T64+'Exhibit G'!T46</f>
        <v>-0.40000000000000568</v>
      </c>
      <c r="T69" s="377"/>
      <c r="U69" s="377">
        <f>+'Exhibit F'!V64+'Exhibit G'!V46</f>
        <v>0.20000000000000284</v>
      </c>
      <c r="V69" s="377"/>
      <c r="W69" s="377">
        <f>+'Exhibit F'!X64+'Exhibit G'!X46</f>
        <v>-9.9999999999994316E-2</v>
      </c>
      <c r="X69" s="377"/>
      <c r="Y69" s="377">
        <f>+'Exhibit F'!Z64+'Exhibit G'!Z46</f>
        <v>64.100000000000009</v>
      </c>
      <c r="Z69" s="377"/>
      <c r="AA69" s="378"/>
      <c r="AB69" s="377">
        <f t="shared" si="18"/>
        <v>128</v>
      </c>
      <c r="AC69" s="377"/>
      <c r="AD69" s="1826"/>
      <c r="AE69" s="377">
        <f>+'Exhibit F'!AF64+'Exhibit G'!AG46</f>
        <v>95.1</v>
      </c>
      <c r="AF69" s="377"/>
      <c r="AG69" s="377"/>
      <c r="AH69" s="377">
        <f t="shared" si="19"/>
        <v>32.9</v>
      </c>
      <c r="AI69" s="151"/>
      <c r="AJ69" s="1824">
        <f>ROUND(IF(AE69=0,0,AH69/ABS(AE69)),3)</f>
        <v>0.34599999999999997</v>
      </c>
    </row>
    <row r="70" spans="1:36" ht="16.5" customHeight="1">
      <c r="A70" s="597" t="s">
        <v>922</v>
      </c>
      <c r="B70" s="597"/>
      <c r="C70" s="377">
        <f>+'Exhibit F'!D65+'Exhibit G'!D47</f>
        <v>0</v>
      </c>
      <c r="D70" s="377"/>
      <c r="E70" s="377">
        <f>+'Exhibit F'!F65+'Exhibit G'!F47</f>
        <v>0</v>
      </c>
      <c r="F70" s="377"/>
      <c r="G70" s="377">
        <f>+'Exhibit F'!H65+'Exhibit G'!H47</f>
        <v>0.2</v>
      </c>
      <c r="H70" s="377"/>
      <c r="I70" s="377">
        <f>+'Exhibit F'!J65+'Exhibit G'!J47</f>
        <v>0</v>
      </c>
      <c r="J70" s="377"/>
      <c r="K70" s="377">
        <f>+'Exhibit F'!L65+'Exhibit G'!L47</f>
        <v>0</v>
      </c>
      <c r="L70" s="377"/>
      <c r="M70" s="377">
        <f>+'Exhibit F'!N65+'Exhibit G'!N47</f>
        <v>0.19999999999999998</v>
      </c>
      <c r="N70" s="377"/>
      <c r="O70" s="377">
        <f>+'Exhibit F'!P65+'Exhibit G'!P47</f>
        <v>0.1</v>
      </c>
      <c r="P70" s="377"/>
      <c r="Q70" s="377">
        <f>+'Exhibit F'!R65+'Exhibit G'!R47</f>
        <v>0</v>
      </c>
      <c r="R70" s="377"/>
      <c r="S70" s="377">
        <f>+'Exhibit F'!T65+'Exhibit G'!T47</f>
        <v>0.10000000000000006</v>
      </c>
      <c r="T70" s="377"/>
      <c r="U70" s="377">
        <f>+'Exhibit F'!V65+'Exhibit G'!V47</f>
        <v>0</v>
      </c>
      <c r="V70" s="377"/>
      <c r="W70" s="377">
        <f>+'Exhibit F'!X65+'Exhibit G'!X47</f>
        <v>0.19999999999999996</v>
      </c>
      <c r="X70" s="377"/>
      <c r="Y70" s="377">
        <f>+'Exhibit F'!Z65+'Exhibit G'!Z47</f>
        <v>0</v>
      </c>
      <c r="Z70" s="377"/>
      <c r="AA70" s="378"/>
      <c r="AB70" s="377">
        <f t="shared" si="18"/>
        <v>0.8</v>
      </c>
      <c r="AC70" s="377"/>
      <c r="AD70" s="1826"/>
      <c r="AE70" s="377">
        <f>+'Exhibit F'!AF65+'Exhibit G'!AG47</f>
        <v>-9.9999999999999978E-2</v>
      </c>
      <c r="AF70" s="377"/>
      <c r="AG70" s="377"/>
      <c r="AH70" s="377">
        <f t="shared" si="19"/>
        <v>0.9</v>
      </c>
      <c r="AI70" s="151"/>
      <c r="AJ70" s="663">
        <f>ROUND(IF(AE70=0,0,AH70/ABS(AE70)),3)</f>
        <v>9</v>
      </c>
    </row>
    <row r="71" spans="1:36" ht="16.5" customHeight="1">
      <c r="A71" s="597" t="s">
        <v>1036</v>
      </c>
      <c r="B71" s="597"/>
      <c r="C71" s="377"/>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8"/>
      <c r="AB71" s="377"/>
      <c r="AC71" s="377"/>
      <c r="AD71" s="1826"/>
      <c r="AE71" s="377"/>
      <c r="AF71" s="377"/>
      <c r="AG71" s="377"/>
      <c r="AH71" s="377"/>
      <c r="AI71" s="151"/>
      <c r="AJ71" s="663"/>
    </row>
    <row r="72" spans="1:36" ht="16.5" customHeight="1">
      <c r="A72" s="597" t="s">
        <v>923</v>
      </c>
      <c r="B72" s="597"/>
      <c r="C72" s="377">
        <f>+'Exhibit F'!D67+'Exhibit H'!B35</f>
        <v>5.4</v>
      </c>
      <c r="D72" s="377"/>
      <c r="E72" s="377">
        <f>+'Exhibit F'!F67+'Exhibit H'!D35</f>
        <v>5.6999999999999993</v>
      </c>
      <c r="F72" s="377"/>
      <c r="G72" s="377">
        <f>+'Exhibit F'!H67+'Exhibit H'!F35</f>
        <v>6.0000000000000018</v>
      </c>
      <c r="H72" s="377"/>
      <c r="I72" s="377">
        <f>+'Exhibit F'!J67+'Exhibit H'!H35</f>
        <v>5.1999999999999975</v>
      </c>
      <c r="J72" s="377"/>
      <c r="K72" s="377">
        <f>+'Exhibit F'!L67+'Exhibit H'!J35</f>
        <v>5.6000000000000032</v>
      </c>
      <c r="L72" s="377"/>
      <c r="M72" s="377">
        <f>+'Exhibit F'!N67+'Exhibit H'!L35</f>
        <v>6.3000000000000007</v>
      </c>
      <c r="N72" s="377"/>
      <c r="O72" s="377">
        <f>+'Exhibit F'!P67+'Exhibit H'!N35</f>
        <v>6.1999999999999975</v>
      </c>
      <c r="P72" s="377"/>
      <c r="Q72" s="377">
        <f>+'Exhibit F'!R67+'Exhibit H'!P35</f>
        <v>6.6000000000000103</v>
      </c>
      <c r="R72" s="377"/>
      <c r="S72" s="377">
        <f>+'Exhibit F'!T67+'Exhibit H'!R35</f>
        <v>4.7999999999999972</v>
      </c>
      <c r="T72" s="377"/>
      <c r="U72" s="377">
        <f>+'Exhibit F'!V67+'Exhibit H'!T35</f>
        <v>6.5999999999999925</v>
      </c>
      <c r="V72" s="377"/>
      <c r="W72" s="377">
        <f>+'Exhibit F'!X67+'Exhibit H'!V35</f>
        <v>5.7000000000000046</v>
      </c>
      <c r="X72" s="377"/>
      <c r="Y72" s="377">
        <f>+'Exhibit F'!Z67+'Exhibit H'!X35</f>
        <v>5.4999999999999929</v>
      </c>
      <c r="Z72" s="377"/>
      <c r="AA72" s="378"/>
      <c r="AB72" s="377">
        <f t="shared" si="18"/>
        <v>69.599999999999994</v>
      </c>
      <c r="AC72" s="377"/>
      <c r="AD72" s="1826"/>
      <c r="AE72" s="377">
        <f>+'Exhibit F'!AF67+'Exhibit H'!AD35</f>
        <v>70.3</v>
      </c>
      <c r="AF72" s="377"/>
      <c r="AG72" s="377"/>
      <c r="AH72" s="377">
        <f t="shared" si="19"/>
        <v>-0.7</v>
      </c>
      <c r="AI72" s="151"/>
      <c r="AJ72" s="663">
        <f t="shared" ref="AJ72:AJ79" si="20">ROUND(IF(AE72=0,0,AH72/ABS(AE72)),3)</f>
        <v>-0.01</v>
      </c>
    </row>
    <row r="73" spans="1:36" ht="16.5" customHeight="1">
      <c r="A73" s="597" t="s">
        <v>1126</v>
      </c>
      <c r="B73" s="597"/>
      <c r="C73" s="377">
        <f>'Exhibit G'!D49</f>
        <v>0</v>
      </c>
      <c r="D73" s="377"/>
      <c r="E73" s="377">
        <f>'Exhibit G'!F49</f>
        <v>0.2</v>
      </c>
      <c r="F73" s="377"/>
      <c r="G73" s="377">
        <f>'Exhibit G'!H49</f>
        <v>1.3</v>
      </c>
      <c r="H73" s="377"/>
      <c r="I73" s="377">
        <f>'Exhibit G'!J49</f>
        <v>0.39999999999999986</v>
      </c>
      <c r="J73" s="377"/>
      <c r="K73" s="377">
        <f>'Exhibit G'!L49</f>
        <v>0.20000000000000012</v>
      </c>
      <c r="L73" s="377"/>
      <c r="M73" s="377">
        <f>'Exhibit G'!N49</f>
        <v>9.9999999999999978E-2</v>
      </c>
      <c r="N73" s="377"/>
      <c r="O73" s="377">
        <f>'Exhibit G'!P49</f>
        <v>0</v>
      </c>
      <c r="P73" s="377"/>
      <c r="Q73" s="377">
        <f>'Exhibit G'!R49</f>
        <v>9.9999999999999645E-2</v>
      </c>
      <c r="R73" s="377"/>
      <c r="S73" s="377">
        <f>'Exhibit G'!T49</f>
        <v>0.10000000000000009</v>
      </c>
      <c r="T73" s="377"/>
      <c r="U73" s="377">
        <f>'Exhibit G'!V49</f>
        <v>0</v>
      </c>
      <c r="V73" s="377"/>
      <c r="W73" s="377">
        <f>'Exhibit G'!X49</f>
        <v>0</v>
      </c>
      <c r="X73" s="377"/>
      <c r="Y73" s="377">
        <f>'Exhibit G'!Z49</f>
        <v>0</v>
      </c>
      <c r="Z73" s="377"/>
      <c r="AA73" s="687"/>
      <c r="AB73" s="377">
        <f t="shared" si="18"/>
        <v>2.4</v>
      </c>
      <c r="AC73" s="377"/>
      <c r="AD73" s="1826"/>
      <c r="AE73" s="377">
        <f>'Exhibit G'!AG49</f>
        <v>2.5</v>
      </c>
      <c r="AF73" s="377"/>
      <c r="AG73" s="377"/>
      <c r="AH73" s="377">
        <f>ROUND(SUM(AB73-AE73),1)</f>
        <v>-0.1</v>
      </c>
      <c r="AI73" s="151"/>
      <c r="AJ73" s="469">
        <f>ROUND(IF(AE73=0,1,AH73/ABS(AE73)),3)</f>
        <v>-0.04</v>
      </c>
    </row>
    <row r="74" spans="1:36" ht="16.5" customHeight="1">
      <c r="A74" s="597" t="s">
        <v>924</v>
      </c>
      <c r="B74" s="597"/>
      <c r="C74" s="377">
        <f>+'Exhibit F'!D69+'Exhibit G'!D50+'Exhibit I'!E41+'Exhibit H'!B36</f>
        <v>50.399999999999991</v>
      </c>
      <c r="D74" s="377"/>
      <c r="E74" s="377">
        <f>+'Exhibit F'!F69+'Exhibit G'!F50+'Exhibit I'!G41+'Exhibit H'!D36</f>
        <v>49.000000000000007</v>
      </c>
      <c r="F74" s="377"/>
      <c r="G74" s="377">
        <f>+'Exhibit F'!H69+'Exhibit G'!H50+'Exhibit I'!I41+'Exhibit H'!F36</f>
        <v>130.1</v>
      </c>
      <c r="H74" s="377"/>
      <c r="I74" s="377">
        <f>+'Exhibit F'!J69+'Exhibit G'!J50+'Exhibit I'!K41+'Exhibit H'!H36</f>
        <v>55.600000000000009</v>
      </c>
      <c r="J74" s="377"/>
      <c r="K74" s="377">
        <f>+'Exhibit F'!L69+'Exhibit G'!L50+'Exhibit I'!M41+'Exhibit H'!J36</f>
        <v>62.699999999999989</v>
      </c>
      <c r="L74" s="377"/>
      <c r="M74" s="377">
        <f>+'Exhibit F'!N69+'Exhibit G'!N50+'Exhibit I'!O41+'Exhibit H'!L36</f>
        <v>113.90000000000003</v>
      </c>
      <c r="N74" s="377"/>
      <c r="O74" s="377">
        <f>+'Exhibit F'!P69+'Exhibit G'!P50+'Exhibit I'!Q41+'Exhibit H'!N36</f>
        <v>66.300000000000026</v>
      </c>
      <c r="P74" s="377"/>
      <c r="Q74" s="377">
        <f>+'Exhibit F'!R69+'Exhibit G'!R50+'Exhibit I'!S41+'Exhibit H'!P36</f>
        <v>72.799999999999912</v>
      </c>
      <c r="R74" s="377"/>
      <c r="S74" s="377">
        <f>+'Exhibit F'!T69+'Exhibit G'!T50+'Exhibit I'!U41+'Exhibit H'!R36</f>
        <v>127.10000000000005</v>
      </c>
      <c r="T74" s="377"/>
      <c r="U74" s="377">
        <f>+'Exhibit F'!V69+'Exhibit G'!V50+'Exhibit I'!W41+'Exhibit H'!T36</f>
        <v>91.900000000000077</v>
      </c>
      <c r="V74" s="377"/>
      <c r="W74" s="377">
        <f>+'Exhibit F'!X69+'Exhibit G'!X50+'Exhibit I'!Y41+'Exhibit H'!V36</f>
        <v>48.400000000000055</v>
      </c>
      <c r="X74" s="377"/>
      <c r="Y74" s="377">
        <f>+'Exhibit F'!Z69+'Exhibit G'!Z50+'Exhibit I'!AA41+'Exhibit H'!X36</f>
        <v>145.80000000000004</v>
      </c>
      <c r="Z74" s="377"/>
      <c r="AA74" s="378"/>
      <c r="AB74" s="377">
        <f t="shared" si="18"/>
        <v>1014</v>
      </c>
      <c r="AC74" s="377"/>
      <c r="AD74" s="1826"/>
      <c r="AE74" s="467">
        <f>+'Exhibit F'!AF69+'Exhibit G'!AG50+'Exhibit I'!AI41+'Exhibit H'!AD36</f>
        <v>1006.6000000000001</v>
      </c>
      <c r="AF74" s="377"/>
      <c r="AG74" s="377"/>
      <c r="AH74" s="377">
        <f>ROUND(SUM(AB74-AE74),1)</f>
        <v>7.4</v>
      </c>
      <c r="AI74" s="151"/>
      <c r="AJ74" s="469">
        <f>ROUND(IF(AE74=0,1,AH74/ABS(AE74)),3)</f>
        <v>7.0000000000000001E-3</v>
      </c>
    </row>
    <row r="75" spans="1:36" ht="16.5" customHeight="1">
      <c r="A75" s="597" t="s">
        <v>925</v>
      </c>
      <c r="B75" s="597"/>
      <c r="C75" s="377">
        <f>+'Exhibit F'!D70+'Exhibit G'!D51+'Exhibit H'!B37</f>
        <v>8.1</v>
      </c>
      <c r="D75" s="377"/>
      <c r="E75" s="377">
        <f>+'Exhibit F'!F70+'Exhibit G'!F51+'Exhibit H'!D37</f>
        <v>32.799999999999997</v>
      </c>
      <c r="F75" s="377"/>
      <c r="G75" s="377">
        <f>+'Exhibit F'!H70+'Exhibit G'!H51+'Exhibit H'!F37</f>
        <v>50.1</v>
      </c>
      <c r="H75" s="377"/>
      <c r="I75" s="377">
        <f>+'Exhibit F'!J70+'Exhibit G'!J51+'Exhibit H'!H37</f>
        <v>-30.999999999999996</v>
      </c>
      <c r="J75" s="377"/>
      <c r="K75" s="377">
        <f>+'Exhibit F'!L70+'Exhibit G'!L51+'Exhibit H'!J37</f>
        <v>46.700000000000017</v>
      </c>
      <c r="L75" s="377"/>
      <c r="M75" s="377">
        <f>+'Exhibit F'!N70+'Exhibit G'!N51+'Exhibit H'!L37</f>
        <v>13.299999999999986</v>
      </c>
      <c r="N75" s="377"/>
      <c r="O75" s="377">
        <f>+'Exhibit F'!P70+'Exhibit G'!P51+'Exhibit H'!N37</f>
        <v>19.7</v>
      </c>
      <c r="P75" s="377"/>
      <c r="Q75" s="377">
        <f>+'Exhibit F'!R70+'Exhibit G'!R51+'Exhibit H'!P37</f>
        <v>25.70000000000001</v>
      </c>
      <c r="R75" s="377"/>
      <c r="S75" s="377">
        <f>+'Exhibit F'!T70+'Exhibit G'!T51+'Exhibit H'!R37</f>
        <v>14.599999999999991</v>
      </c>
      <c r="T75" s="377"/>
      <c r="U75" s="377">
        <f>+'Exhibit F'!V70+'Exhibit G'!V51+'Exhibit H'!T37</f>
        <v>25.399999999999991</v>
      </c>
      <c r="V75" s="377"/>
      <c r="W75" s="377">
        <f>+'Exhibit F'!X70+'Exhibit G'!X51+'Exhibit H'!V37</f>
        <v>12.799999999999994</v>
      </c>
      <c r="X75" s="377"/>
      <c r="Y75" s="377">
        <f>+'Exhibit F'!Z70+'Exhibit G'!Z51+'Exhibit H'!X37</f>
        <v>24.799999999999997</v>
      </c>
      <c r="Z75" s="377"/>
      <c r="AA75" s="378"/>
      <c r="AB75" s="377">
        <f t="shared" si="18"/>
        <v>243</v>
      </c>
      <c r="AC75" s="377"/>
      <c r="AD75" s="1826"/>
      <c r="AE75" s="377">
        <f>+'Exhibit F'!AF70+'Exhibit G'!AG51+'Exhibit H'!AD37+'Exhibit I'!AI42</f>
        <v>273.40000000000003</v>
      </c>
      <c r="AF75" s="377"/>
      <c r="AG75" s="377"/>
      <c r="AH75" s="377">
        <f t="shared" si="19"/>
        <v>-30.4</v>
      </c>
      <c r="AI75" s="151"/>
      <c r="AJ75" s="469">
        <f t="shared" si="20"/>
        <v>-0.111</v>
      </c>
    </row>
    <row r="76" spans="1:36" ht="16.5" customHeight="1">
      <c r="A76" s="597" t="s">
        <v>926</v>
      </c>
      <c r="B76" s="597"/>
      <c r="C76" s="377">
        <f>+'Exhibit F'!D71+'Exhibit G'!D52+'Exhibit H'!B38</f>
        <v>0.7</v>
      </c>
      <c r="D76" s="377"/>
      <c r="E76" s="377">
        <f>+'Exhibit F'!F71+'Exhibit G'!F52+'Exhibit H'!D38</f>
        <v>0.40000000000000008</v>
      </c>
      <c r="F76" s="377"/>
      <c r="G76" s="377">
        <f>+'Exhibit F'!H71+'Exhibit G'!H52+'Exhibit H'!F38</f>
        <v>0.59999999999999976</v>
      </c>
      <c r="H76" s="377"/>
      <c r="I76" s="377">
        <f>+'Exhibit F'!J71+'Exhibit G'!J52+'Exhibit H'!H38</f>
        <v>0.60000000000000009</v>
      </c>
      <c r="J76" s="377"/>
      <c r="K76" s="377">
        <f>+'Exhibit F'!L71+'Exhibit G'!L52+'Exhibit H'!J38</f>
        <v>1.0999999999999996</v>
      </c>
      <c r="L76" s="377"/>
      <c r="M76" s="377">
        <f>+'Exhibit F'!N71+'Exhibit G'!N52+'Exhibit H'!L38</f>
        <v>0.20000000000000029</v>
      </c>
      <c r="N76" s="377"/>
      <c r="O76" s="377">
        <f>+'Exhibit F'!P71+'Exhibit G'!P52+'Exhibit H'!N38</f>
        <v>0.39999999999999997</v>
      </c>
      <c r="P76" s="377"/>
      <c r="Q76" s="377">
        <f>+'Exhibit F'!R71+'Exhibit G'!R52+'Exhibit H'!P38</f>
        <v>9.9999999999999867E-2</v>
      </c>
      <c r="R76" s="377"/>
      <c r="S76" s="377">
        <f>+'Exhibit F'!T71+'Exhibit G'!T52+'Exhibit H'!R38</f>
        <v>0.69999999999999973</v>
      </c>
      <c r="T76" s="377"/>
      <c r="U76" s="377">
        <f>+'Exhibit F'!V71+'Exhibit G'!V52+'Exhibit H'!T38</f>
        <v>0.20000000000000012</v>
      </c>
      <c r="V76" s="377"/>
      <c r="W76" s="377">
        <f>+'Exhibit F'!X71+'Exhibit G'!X52+'Exhibit H'!V38</f>
        <v>0.39999999999999947</v>
      </c>
      <c r="X76" s="377"/>
      <c r="Y76" s="377">
        <f>+'Exhibit F'!Z71+'Exhibit G'!Z52+'Exhibit H'!X38</f>
        <v>1.1999999999999995</v>
      </c>
      <c r="Z76" s="377"/>
      <c r="AA76" s="378"/>
      <c r="AB76" s="377">
        <f t="shared" si="18"/>
        <v>6.6</v>
      </c>
      <c r="AC76" s="377"/>
      <c r="AD76" s="1826"/>
      <c r="AE76" s="377">
        <f>+'Exhibit F'!AF71+'Exhibit G'!AG52+'Exhibit H'!AD38</f>
        <v>6.8</v>
      </c>
      <c r="AF76" s="377"/>
      <c r="AG76" s="377"/>
      <c r="AH76" s="377">
        <f t="shared" si="19"/>
        <v>-0.2</v>
      </c>
      <c r="AI76" s="151"/>
      <c r="AJ76" s="469">
        <f>ROUND(IF(AE76=0,0,AH76/ABS(AE76)),3)</f>
        <v>-2.9000000000000001E-2</v>
      </c>
    </row>
    <row r="77" spans="1:36" ht="16.5" customHeight="1">
      <c r="A77" s="597" t="s">
        <v>927</v>
      </c>
      <c r="B77" s="597"/>
      <c r="C77" s="377">
        <f>+'Exhibit F'!D72+'Exhibit G'!D53+'Exhibit I'!E43+'Exhibit H'!B39</f>
        <v>94.4</v>
      </c>
      <c r="D77" s="377"/>
      <c r="E77" s="377">
        <f>+'Exhibit F'!F72+'Exhibit G'!F53+'Exhibit I'!G43+'Exhibit H'!D39</f>
        <v>99.4</v>
      </c>
      <c r="F77" s="377"/>
      <c r="G77" s="377">
        <f>+'Exhibit F'!H72+'Exhibit G'!H53+'Exhibit I'!I43+'Exhibit H'!F39</f>
        <v>115.2</v>
      </c>
      <c r="H77" s="377"/>
      <c r="I77" s="377">
        <f>+'Exhibit F'!J72+'Exhibit G'!J53+'Exhibit I'!K43+'Exhibit H'!H39</f>
        <v>87.700000000000017</v>
      </c>
      <c r="J77" s="377"/>
      <c r="K77" s="377">
        <f>+'Exhibit F'!L72+'Exhibit G'!L53+'Exhibit I'!M43+'Exhibit H'!J39</f>
        <v>105.30000000000001</v>
      </c>
      <c r="L77" s="377"/>
      <c r="M77" s="377">
        <f>+'Exhibit F'!N72+'Exhibit G'!N53+'Exhibit I'!O43+'Exhibit H'!L39</f>
        <v>82.199999999999989</v>
      </c>
      <c r="N77" s="377"/>
      <c r="O77" s="377">
        <f>+'Exhibit F'!P72+'Exhibit G'!P53+'Exhibit I'!Q43+'Exhibit H'!N39</f>
        <v>119.2</v>
      </c>
      <c r="P77" s="377"/>
      <c r="Q77" s="377">
        <f>+'Exhibit F'!R72+'Exhibit G'!R53+'Exhibit I'!S43+'Exhibit H'!P39</f>
        <v>101.69999999999999</v>
      </c>
      <c r="R77" s="377"/>
      <c r="S77" s="377">
        <f>+'Exhibit F'!T72+'Exhibit G'!T53+'Exhibit I'!U43+'Exhibit H'!R39</f>
        <v>93.500000000000085</v>
      </c>
      <c r="T77" s="377"/>
      <c r="U77" s="377">
        <f>+'Exhibit F'!V72+'Exhibit G'!V53+'Exhibit I'!W43+'Exhibit H'!T39</f>
        <v>86.799999999999983</v>
      </c>
      <c r="V77" s="377"/>
      <c r="W77" s="377">
        <f>+'Exhibit F'!X72+'Exhibit G'!X53+'Exhibit I'!Y43+'Exhibit H'!V39</f>
        <v>86.5</v>
      </c>
      <c r="X77" s="377"/>
      <c r="Y77" s="377">
        <f>+'Exhibit F'!Z72+'Exhibit G'!Z53+'Exhibit I'!AA43+'Exhibit H'!X39</f>
        <v>134.5</v>
      </c>
      <c r="Z77" s="377"/>
      <c r="AA77" s="378"/>
      <c r="AB77" s="377">
        <f t="shared" si="18"/>
        <v>1206.4000000000001</v>
      </c>
      <c r="AC77" s="377"/>
      <c r="AD77" s="1826"/>
      <c r="AE77" s="377">
        <f>+'Exhibit F'!AF72+'Exhibit G'!AG53+'Exhibit I'!AI43+'Exhibit H'!AD39</f>
        <v>1326</v>
      </c>
      <c r="AF77" s="377"/>
      <c r="AG77" s="377"/>
      <c r="AH77" s="377">
        <f t="shared" si="19"/>
        <v>-119.6</v>
      </c>
      <c r="AI77" s="151"/>
      <c r="AJ77" s="469">
        <f t="shared" si="20"/>
        <v>-0.09</v>
      </c>
    </row>
    <row r="78" spans="1:36" ht="16.5" customHeight="1">
      <c r="A78" s="597" t="s">
        <v>928</v>
      </c>
      <c r="B78" s="597"/>
      <c r="C78" s="377">
        <f>+'Exhibit F'!D73+'Exhibit G'!D54+'Exhibit I'!E44+'Exhibit H'!B40</f>
        <v>40.4</v>
      </c>
      <c r="D78" s="377"/>
      <c r="E78" s="377">
        <f>+'Exhibit F'!F73+'Exhibit G'!F54+'Exhibit I'!G44+'Exhibit H'!D40</f>
        <v>87.9</v>
      </c>
      <c r="F78" s="377"/>
      <c r="G78" s="377">
        <f>+'Exhibit F'!H73+'Exhibit G'!H54+'Exhibit I'!I44+'Exhibit H'!F40</f>
        <v>80.699999999999989</v>
      </c>
      <c r="H78" s="377"/>
      <c r="I78" s="377">
        <f>+'Exhibit F'!J73+'Exhibit G'!J54+'Exhibit I'!K44+'Exhibit H'!H40</f>
        <v>117.19999999999999</v>
      </c>
      <c r="J78" s="377"/>
      <c r="K78" s="377">
        <f>+'Exhibit F'!L73+'Exhibit G'!L54+'Exhibit I'!M44+'Exhibit H'!J40</f>
        <v>86.19999999999996</v>
      </c>
      <c r="L78" s="377"/>
      <c r="M78" s="377">
        <f>+'Exhibit F'!N73+'Exhibit G'!N54+'Exhibit I'!O44+'Exhibit H'!L40</f>
        <v>147.90000000000003</v>
      </c>
      <c r="N78" s="377"/>
      <c r="O78" s="377">
        <f>+'Exhibit F'!P73+'Exhibit G'!P54+'Exhibit I'!Q44+'Exhibit H'!N40</f>
        <v>78.899999999999949</v>
      </c>
      <c r="P78" s="377"/>
      <c r="Q78" s="377">
        <f>+'Exhibit F'!R73+'Exhibit G'!R54+'Exhibit I'!S44+'Exhibit H'!P40</f>
        <v>97.500000000000057</v>
      </c>
      <c r="R78" s="377"/>
      <c r="S78" s="377">
        <f>+'Exhibit F'!T73+'Exhibit G'!T54+'Exhibit I'!U44+'Exhibit H'!R40</f>
        <v>66.200000000000017</v>
      </c>
      <c r="T78" s="377"/>
      <c r="U78" s="377">
        <f>+'Exhibit F'!V73+'Exhibit G'!V54+'Exhibit I'!W44+'Exhibit H'!T40</f>
        <v>115.09999999999988</v>
      </c>
      <c r="V78" s="377"/>
      <c r="W78" s="377">
        <f>+'Exhibit F'!X73+'Exhibit G'!X54+'Exhibit I'!Y44+'Exhibit H'!V40</f>
        <v>114.5000000000001</v>
      </c>
      <c r="X78" s="377"/>
      <c r="Y78" s="377">
        <f>+'Exhibit F'!Z73+'Exhibit G'!Z54+'Exhibit I'!AA44+'Exhibit H'!X40</f>
        <v>93.000000000000071</v>
      </c>
      <c r="Z78" s="377"/>
      <c r="AA78" s="378"/>
      <c r="AB78" s="377">
        <f t="shared" si="18"/>
        <v>1125.5</v>
      </c>
      <c r="AC78" s="377"/>
      <c r="AD78" s="1826"/>
      <c r="AE78" s="377">
        <f>+'Exhibit F'!AF73+'Exhibit G'!AG54+'Exhibit I'!AI44+'Exhibit H'!AD40</f>
        <v>1105.4000000000001</v>
      </c>
      <c r="AF78" s="377"/>
      <c r="AG78" s="377"/>
      <c r="AH78" s="377">
        <f t="shared" si="19"/>
        <v>20.100000000000001</v>
      </c>
      <c r="AI78" s="151"/>
      <c r="AJ78" s="469">
        <f t="shared" si="20"/>
        <v>1.7999999999999999E-2</v>
      </c>
    </row>
    <row r="79" spans="1:36" ht="16.5" customHeight="1">
      <c r="A79" s="597" t="s">
        <v>917</v>
      </c>
      <c r="B79" s="597"/>
      <c r="C79" s="377">
        <f>+'Exhibit F'!D74+'Exhibit G'!D55+'Exhibit I'!E45</f>
        <v>31.000000000000004</v>
      </c>
      <c r="D79" s="377"/>
      <c r="E79" s="377">
        <f>+'Exhibit F'!F74+'Exhibit G'!F55+'Exhibit I'!G45</f>
        <v>19.299999999999997</v>
      </c>
      <c r="F79" s="377"/>
      <c r="G79" s="377">
        <f>+'Exhibit F'!H74+'Exhibit G'!H55+'Exhibit I'!I45</f>
        <v>43.900000000000006</v>
      </c>
      <c r="H79" s="377"/>
      <c r="I79" s="377">
        <f>+'Exhibit F'!J74+'Exhibit G'!J55+'Exhibit I'!K45</f>
        <v>33.29999999999999</v>
      </c>
      <c r="J79" s="377"/>
      <c r="K79" s="377">
        <f>+'Exhibit F'!L74+'Exhibit G'!L55+'Exhibit I'!M45</f>
        <v>69.600000000000037</v>
      </c>
      <c r="L79" s="377"/>
      <c r="M79" s="377">
        <f>+'Exhibit F'!N74+'Exhibit G'!N55+'Exhibit I'!O45</f>
        <v>35.199999999999974</v>
      </c>
      <c r="N79" s="377"/>
      <c r="O79" s="377">
        <f>+'Exhibit F'!P74+'Exhibit G'!P55+'Exhibit I'!Q45</f>
        <v>35.700000000000017</v>
      </c>
      <c r="P79" s="377"/>
      <c r="Q79" s="377">
        <f>+'Exhibit F'!R74+'Exhibit G'!R55+'Exhibit I'!S45</f>
        <v>38.200000000000003</v>
      </c>
      <c r="R79" s="377"/>
      <c r="S79" s="377">
        <f>+'Exhibit F'!T74+'Exhibit G'!T55+'Exhibit I'!U45</f>
        <v>74.40000000000002</v>
      </c>
      <c r="T79" s="377"/>
      <c r="U79" s="377">
        <f>+'Exhibit F'!V74+'Exhibit G'!V55+'Exhibit I'!W45</f>
        <v>69.599999999999852</v>
      </c>
      <c r="V79" s="377"/>
      <c r="W79" s="377">
        <f>+'Exhibit F'!X74+'Exhibit G'!X55+'Exhibit I'!Y45</f>
        <v>28.900000000000055</v>
      </c>
      <c r="X79" s="377"/>
      <c r="Y79" s="377">
        <f>+'Exhibit F'!Z74+'Exhibit G'!Z55+'Exhibit I'!AA45</f>
        <v>41.69999999999996</v>
      </c>
      <c r="Z79" s="377"/>
      <c r="AA79" s="378"/>
      <c r="AB79" s="377">
        <f t="shared" si="18"/>
        <v>520.79999999999995</v>
      </c>
      <c r="AC79" s="377"/>
      <c r="AD79" s="1826"/>
      <c r="AE79" s="377">
        <f>+'Exhibit F'!AF74+'Exhibit G'!AG55+'Exhibit I'!AI45</f>
        <v>433.5</v>
      </c>
      <c r="AF79" s="377"/>
      <c r="AG79" s="377"/>
      <c r="AH79" s="377">
        <f t="shared" si="19"/>
        <v>87.3</v>
      </c>
      <c r="AI79" s="151"/>
      <c r="AJ79" s="469">
        <f t="shared" si="20"/>
        <v>0.20100000000000001</v>
      </c>
    </row>
    <row r="80" spans="1:36" ht="16.5" customHeight="1">
      <c r="A80" s="597" t="s">
        <v>1033</v>
      </c>
      <c r="B80" s="597"/>
      <c r="C80" s="377"/>
      <c r="D80" s="377"/>
      <c r="E80" s="377"/>
      <c r="F80" s="377"/>
      <c r="G80" s="377"/>
      <c r="H80" s="377"/>
      <c r="I80" s="377"/>
      <c r="J80" s="377"/>
      <c r="K80" s="377"/>
      <c r="L80" s="377"/>
      <c r="M80" s="377"/>
      <c r="N80" s="377"/>
      <c r="O80" s="377"/>
      <c r="P80" s="377"/>
      <c r="Q80" s="377"/>
      <c r="R80" s="377"/>
      <c r="S80" s="377"/>
      <c r="T80" s="377"/>
      <c r="U80" s="377"/>
      <c r="V80" s="377"/>
      <c r="W80" s="377"/>
      <c r="X80" s="377"/>
      <c r="Y80" s="377"/>
      <c r="Z80" s="377"/>
      <c r="AA80" s="378"/>
      <c r="AB80" s="377"/>
      <c r="AC80" s="377"/>
      <c r="AD80" s="1826"/>
      <c r="AE80" s="377"/>
      <c r="AF80" s="377"/>
      <c r="AG80" s="377"/>
      <c r="AH80" s="377"/>
      <c r="AI80" s="151"/>
      <c r="AJ80" s="469"/>
    </row>
    <row r="81" spans="1:36" ht="16.5" customHeight="1">
      <c r="A81" s="597" t="s">
        <v>929</v>
      </c>
      <c r="B81" s="597"/>
      <c r="C81" s="377">
        <f>+'Exhibit G'!D57</f>
        <v>39.6</v>
      </c>
      <c r="D81" s="377"/>
      <c r="E81" s="377">
        <f>+'Exhibit G'!F57</f>
        <v>11.5</v>
      </c>
      <c r="F81" s="377"/>
      <c r="G81" s="377">
        <f>+'Exhibit G'!H57</f>
        <v>41.1</v>
      </c>
      <c r="H81" s="377"/>
      <c r="I81" s="377">
        <f>+'Exhibit G'!J57</f>
        <v>35.70000000000001</v>
      </c>
      <c r="J81" s="377"/>
      <c r="K81" s="377">
        <f>+'Exhibit G'!L57</f>
        <v>18.199999999999982</v>
      </c>
      <c r="L81" s="377"/>
      <c r="M81" s="377">
        <f>+'Exhibit G'!N57</f>
        <v>42.800000000000026</v>
      </c>
      <c r="N81" s="377"/>
      <c r="O81" s="377">
        <f>+'Exhibit G'!P57</f>
        <v>36.299999999999969</v>
      </c>
      <c r="P81" s="377"/>
      <c r="Q81" s="377">
        <f>+'Exhibit G'!R57</f>
        <v>19.800000000000011</v>
      </c>
      <c r="R81" s="377"/>
      <c r="S81" s="377">
        <f>+'Exhibit G'!T57</f>
        <v>41.5</v>
      </c>
      <c r="T81" s="377"/>
      <c r="U81" s="377">
        <f>+'Exhibit G'!V57</f>
        <v>35.600000000000009</v>
      </c>
      <c r="V81" s="377"/>
      <c r="W81" s="377">
        <f>+'Exhibit G'!X57</f>
        <v>13.399999999999977</v>
      </c>
      <c r="X81" s="377"/>
      <c r="Y81" s="377">
        <f>+'Exhibit G'!Z57</f>
        <v>44.199999999999946</v>
      </c>
      <c r="Z81" s="377"/>
      <c r="AA81" s="378"/>
      <c r="AB81" s="377">
        <f t="shared" ref="AB81:AB86" si="21">ROUND(SUM(C81:Y81),1)</f>
        <v>379.7</v>
      </c>
      <c r="AC81" s="377"/>
      <c r="AD81" s="1826"/>
      <c r="AE81" s="377">
        <f>+'Exhibit G'!AG57</f>
        <v>828.7</v>
      </c>
      <c r="AF81" s="377"/>
      <c r="AG81" s="377"/>
      <c r="AH81" s="377">
        <f t="shared" ref="AH81:AH86" si="22">ROUND(SUM(AB81-AE81),1)</f>
        <v>-449</v>
      </c>
      <c r="AI81" s="151"/>
      <c r="AJ81" s="978">
        <f>ROUND(IF(AE81=0,1,AH81/ABS(AE81)),3)</f>
        <v>-0.54200000000000004</v>
      </c>
    </row>
    <row r="82" spans="1:36" ht="16.5" customHeight="1">
      <c r="A82" s="597" t="s">
        <v>1480</v>
      </c>
      <c r="B82" s="597"/>
      <c r="C82" s="377">
        <f>+'Exhibit G'!D58</f>
        <v>186.3</v>
      </c>
      <c r="D82" s="377"/>
      <c r="E82" s="377">
        <f>+'Exhibit G'!F58</f>
        <v>189.59999999999997</v>
      </c>
      <c r="F82" s="377"/>
      <c r="G82" s="377">
        <f>+'Exhibit G'!H58</f>
        <v>232.80000000000007</v>
      </c>
      <c r="H82" s="377"/>
      <c r="I82" s="377">
        <f>+'Exhibit G'!J58</f>
        <v>191.69999999999993</v>
      </c>
      <c r="J82" s="377"/>
      <c r="K82" s="377">
        <f>+'Exhibit G'!L58</f>
        <v>248.69999999999993</v>
      </c>
      <c r="L82" s="377"/>
      <c r="M82" s="377">
        <f>+'Exhibit G'!N58</f>
        <v>176.50000000000011</v>
      </c>
      <c r="N82" s="377"/>
      <c r="O82" s="377">
        <f>+'Exhibit G'!P58</f>
        <v>184.60000000000014</v>
      </c>
      <c r="P82" s="377"/>
      <c r="Q82" s="377">
        <f>+'Exhibit G'!R58</f>
        <v>285.20000000000016</v>
      </c>
      <c r="R82" s="377"/>
      <c r="S82" s="377">
        <f>+'Exhibit G'!T58</f>
        <v>179.19999999999993</v>
      </c>
      <c r="T82" s="377"/>
      <c r="U82" s="377">
        <f>+'Exhibit G'!V58</f>
        <v>222.3000000000003</v>
      </c>
      <c r="V82" s="377"/>
      <c r="W82" s="377">
        <f>+'Exhibit G'!X58</f>
        <v>201.39999999999975</v>
      </c>
      <c r="X82" s="377"/>
      <c r="Y82" s="377">
        <f>+'Exhibit G'!Z58</f>
        <v>393.39999999999964</v>
      </c>
      <c r="Z82" s="377"/>
      <c r="AA82" s="378"/>
      <c r="AB82" s="377">
        <f t="shared" si="21"/>
        <v>2691.7</v>
      </c>
      <c r="AC82" s="377"/>
      <c r="AD82" s="1826"/>
      <c r="AE82" s="377">
        <f>+'Exhibit G'!AG58</f>
        <v>2563</v>
      </c>
      <c r="AF82" s="377"/>
      <c r="AG82" s="377"/>
      <c r="AH82" s="377">
        <f t="shared" si="22"/>
        <v>128.69999999999999</v>
      </c>
      <c r="AI82" s="151"/>
      <c r="AJ82" s="978">
        <f>ROUND(IF(AE82=0,0,AH82/ABS(AE82)),3)</f>
        <v>0.05</v>
      </c>
    </row>
    <row r="83" spans="1:36" ht="16.5" customHeight="1">
      <c r="A83" s="597" t="s">
        <v>1481</v>
      </c>
      <c r="B83" s="597"/>
      <c r="C83" s="377">
        <f>+'Exhibit G'!D59+'Exhibit F'!D76</f>
        <v>43.6</v>
      </c>
      <c r="D83" s="377"/>
      <c r="E83" s="377">
        <f>+'Exhibit G'!F59+'Exhibit F'!F76</f>
        <v>53.4</v>
      </c>
      <c r="F83" s="377"/>
      <c r="G83" s="377">
        <f>+'Exhibit G'!H59+'Exhibit F'!H76</f>
        <v>38.599999999999987</v>
      </c>
      <c r="H83" s="377"/>
      <c r="I83" s="377">
        <f>+'Exhibit G'!J59+'Exhibit F'!J76</f>
        <v>33.499999999999993</v>
      </c>
      <c r="J83" s="377"/>
      <c r="K83" s="377">
        <f>+'Exhibit G'!L59+'Exhibit F'!L76</f>
        <v>53.599999999999987</v>
      </c>
      <c r="L83" s="377"/>
      <c r="M83" s="377">
        <f>+'Exhibit G'!N59+'Exhibit F'!N76</f>
        <v>67.699999999999989</v>
      </c>
      <c r="N83" s="377"/>
      <c r="O83" s="377">
        <f>+'Exhibit G'!P59+'Exhibit F'!P76</f>
        <v>67.100000000000023</v>
      </c>
      <c r="P83" s="377"/>
      <c r="Q83" s="377">
        <f>+'Exhibit G'!R59+'Exhibit F'!R76</f>
        <v>92.000000000000028</v>
      </c>
      <c r="R83" s="377"/>
      <c r="S83" s="377">
        <f>+'Exhibit G'!T59+'Exhibit F'!T76</f>
        <v>63.500000000000028</v>
      </c>
      <c r="T83" s="377"/>
      <c r="U83" s="377">
        <f>+'Exhibit G'!V59+'Exhibit F'!V76</f>
        <v>81.299999999999955</v>
      </c>
      <c r="V83" s="377"/>
      <c r="W83" s="377">
        <f>+'Exhibit G'!X59+'Exhibit F'!X76</f>
        <v>55.099999999999966</v>
      </c>
      <c r="X83" s="377"/>
      <c r="Y83" s="377">
        <f>+'Exhibit G'!Z59+'Exhibit F'!Z76</f>
        <v>78.000000000000028</v>
      </c>
      <c r="Z83" s="377"/>
      <c r="AA83" s="378"/>
      <c r="AB83" s="377">
        <f t="shared" si="21"/>
        <v>727.4</v>
      </c>
      <c r="AC83" s="377"/>
      <c r="AD83" s="1826"/>
      <c r="AE83" s="377">
        <f>+'Exhibit G'!AG59</f>
        <v>357.5</v>
      </c>
      <c r="AF83" s="377"/>
      <c r="AG83" s="377"/>
      <c r="AH83" s="377">
        <f t="shared" si="22"/>
        <v>369.9</v>
      </c>
      <c r="AI83" s="151"/>
      <c r="AJ83" s="978">
        <f>ROUND(IF(AE83=0,1,AH83/ABS(AE83)),3)</f>
        <v>1.0349999999999999</v>
      </c>
    </row>
    <row r="84" spans="1:36" ht="16.5" customHeight="1">
      <c r="A84" s="597" t="s">
        <v>930</v>
      </c>
      <c r="B84" s="597"/>
      <c r="C84" s="377">
        <f>+'Exhibit G'!D60</f>
        <v>73.400000000000006</v>
      </c>
      <c r="D84" s="377"/>
      <c r="E84" s="377">
        <f>+'Exhibit G'!F60</f>
        <v>71.299999999999983</v>
      </c>
      <c r="F84" s="377"/>
      <c r="G84" s="377">
        <f>+'Exhibit G'!H60</f>
        <v>90.9</v>
      </c>
      <c r="H84" s="377"/>
      <c r="I84" s="377">
        <f>+'Exhibit G'!J60</f>
        <v>79.400000000000006</v>
      </c>
      <c r="J84" s="377"/>
      <c r="K84" s="377">
        <f>+'Exhibit G'!L60</f>
        <v>98.799999999999983</v>
      </c>
      <c r="L84" s="377"/>
      <c r="M84" s="377">
        <f>+'Exhibit G'!N60</f>
        <v>77.300000000000097</v>
      </c>
      <c r="N84" s="377"/>
      <c r="O84" s="377">
        <f>+'Exhibit G'!P60</f>
        <v>77.400000000000006</v>
      </c>
      <c r="P84" s="377"/>
      <c r="Q84" s="377">
        <f>+'Exhibit G'!R60</f>
        <v>95.4</v>
      </c>
      <c r="R84" s="377"/>
      <c r="S84" s="377">
        <f>+'Exhibit G'!T60</f>
        <v>68.500000000000028</v>
      </c>
      <c r="T84" s="377"/>
      <c r="U84" s="377">
        <f>+'Exhibit G'!V60</f>
        <v>88.500000000000028</v>
      </c>
      <c r="V84" s="377"/>
      <c r="W84" s="377">
        <f>+'Exhibit G'!X60</f>
        <v>83.300000000000097</v>
      </c>
      <c r="X84" s="377"/>
      <c r="Y84" s="377">
        <f>+'Exhibit G'!Z60</f>
        <v>108.59999999999997</v>
      </c>
      <c r="Z84" s="377"/>
      <c r="AA84" s="378"/>
      <c r="AB84" s="377">
        <f t="shared" si="21"/>
        <v>1012.8</v>
      </c>
      <c r="AC84" s="377"/>
      <c r="AD84" s="1826"/>
      <c r="AE84" s="377">
        <f>+'Exhibit G'!AG60+'Exhibit F'!AF76</f>
        <v>1007</v>
      </c>
      <c r="AF84" s="377"/>
      <c r="AG84" s="377"/>
      <c r="AH84" s="377">
        <f t="shared" si="22"/>
        <v>5.8</v>
      </c>
      <c r="AI84" s="151"/>
      <c r="AJ84" s="978">
        <f>ROUND(IF(AE84=0,1,AH84/ABS(AE84)),3)</f>
        <v>6.0000000000000001E-3</v>
      </c>
    </row>
    <row r="85" spans="1:36" ht="16.5" customHeight="1">
      <c r="A85" s="597" t="s">
        <v>918</v>
      </c>
      <c r="B85" s="597"/>
      <c r="C85" s="377">
        <f>+'Exhibit F'!D77+'Exhibit G'!D61+'Exhibit H'!B41+'Exhibit I'!E46</f>
        <v>14.999999999999998</v>
      </c>
      <c r="D85" s="377"/>
      <c r="E85" s="377">
        <f>+'Exhibit F'!F77+'Exhibit G'!F61+'Exhibit H'!D41+'Exhibit I'!G46</f>
        <v>23.400000000000002</v>
      </c>
      <c r="F85" s="377"/>
      <c r="G85" s="377">
        <f>+'Exhibit F'!H77+'Exhibit G'!H61+'Exhibit H'!F41+'Exhibit I'!I46</f>
        <v>46.399999999999991</v>
      </c>
      <c r="H85" s="377"/>
      <c r="I85" s="377">
        <f>+'Exhibit F'!J77+'Exhibit G'!J61+'Exhibit H'!H41+'Exhibit I'!K46</f>
        <v>63.199999999999989</v>
      </c>
      <c r="J85" s="377"/>
      <c r="K85" s="377">
        <f>+'Exhibit F'!L77+'Exhibit G'!L61+'Exhibit H'!J41+'Exhibit I'!M46</f>
        <v>91.899999999999977</v>
      </c>
      <c r="L85" s="377"/>
      <c r="M85" s="377">
        <f>+'Exhibit F'!N77+'Exhibit G'!N61+'Exhibit H'!L41+'Exhibit I'!O46</f>
        <v>117.60000000000004</v>
      </c>
      <c r="N85" s="377"/>
      <c r="O85" s="377">
        <f>+'Exhibit F'!P77+'Exhibit G'!P61+'Exhibit H'!N41+'Exhibit I'!Q46</f>
        <v>151.10000000000002</v>
      </c>
      <c r="P85" s="377"/>
      <c r="Q85" s="377">
        <f>+'Exhibit F'!R77+'Exhibit G'!R61+'Exhibit H'!P41+'Exhibit I'!S46</f>
        <v>197.69999999999993</v>
      </c>
      <c r="R85" s="377"/>
      <c r="S85" s="377">
        <f>+'Exhibit F'!T77+'Exhibit G'!T61+'Exhibit H'!R41+'Exhibit I'!U46</f>
        <v>220.99999999999997</v>
      </c>
      <c r="T85" s="377"/>
      <c r="U85" s="377">
        <f>+'Exhibit F'!V77+'Exhibit G'!V61+'Exhibit H'!T41+'Exhibit I'!W46</f>
        <v>264.5</v>
      </c>
      <c r="V85" s="377"/>
      <c r="W85" s="377">
        <f>+'Exhibit F'!X77+'Exhibit G'!X61+'Exhibit H'!V41+'Exhibit I'!Y46</f>
        <v>310.09999999999997</v>
      </c>
      <c r="X85" s="377"/>
      <c r="Y85" s="377">
        <f>+'Exhibit F'!Z77+'Exhibit G'!Z61+'Exhibit H'!X41+'Exhibit I'!AA46</f>
        <v>298.90000000000009</v>
      </c>
      <c r="Z85" s="377"/>
      <c r="AA85" s="378"/>
      <c r="AB85" s="377">
        <f t="shared" si="21"/>
        <v>1800.8</v>
      </c>
      <c r="AC85" s="377"/>
      <c r="AD85" s="1826"/>
      <c r="AE85" s="377">
        <f>+'Exhibit F'!AF77+'Exhibit G'!AG61+'Exhibit H'!AD41+'Exhibit I'!AI46</f>
        <v>66</v>
      </c>
      <c r="AF85" s="377"/>
      <c r="AG85" s="377"/>
      <c r="AH85" s="377">
        <f t="shared" si="22"/>
        <v>1734.8</v>
      </c>
      <c r="AI85" s="151"/>
      <c r="AJ85" s="1824">
        <f>ROUND(IF(AE85=0,0,AH85/ABS(AE85)),3)</f>
        <v>26.285</v>
      </c>
    </row>
    <row r="86" spans="1:36" ht="16.5" customHeight="1">
      <c r="A86" s="597" t="s">
        <v>935</v>
      </c>
      <c r="B86" s="597"/>
      <c r="C86" s="377">
        <f>+'Exhibit F'!D78+'Exhibit G'!D62+'Exhibit H'!B42+'Exhibit I'!E47</f>
        <v>7.2</v>
      </c>
      <c r="D86" s="377"/>
      <c r="E86" s="377">
        <f>+'Exhibit F'!F78+'Exhibit G'!F62+'Exhibit H'!D42+'Exhibit I'!G47</f>
        <v>2.0999999999999996</v>
      </c>
      <c r="F86" s="377"/>
      <c r="G86" s="377">
        <f>+'Exhibit F'!H78+'Exhibit G'!H62+'Exhibit H'!F42+'Exhibit I'!I47</f>
        <v>6.4</v>
      </c>
      <c r="H86" s="377"/>
      <c r="I86" s="377">
        <f>+'Exhibit F'!J78+'Exhibit G'!J62+'Exhibit H'!H42+'Exhibit I'!K47</f>
        <v>3.4000000000000012</v>
      </c>
      <c r="J86" s="377"/>
      <c r="K86" s="377">
        <f>+'Exhibit F'!L78+'Exhibit G'!L62+'Exhibit H'!J42+'Exhibit I'!M47</f>
        <v>76.499999999999986</v>
      </c>
      <c r="L86" s="377"/>
      <c r="M86" s="377">
        <f>+'Exhibit F'!N78+'Exhibit G'!N62+'Exhibit H'!L42+'Exhibit I'!O47</f>
        <v>4.8000000000000025</v>
      </c>
      <c r="N86" s="377"/>
      <c r="O86" s="377">
        <f>+'Exhibit F'!P78+'Exhibit G'!P62+'Exhibit H'!N42+'Exhibit I'!Q47</f>
        <v>3.2000000000000028</v>
      </c>
      <c r="P86" s="377"/>
      <c r="Q86" s="377">
        <f>+'Exhibit F'!R78+'Exhibit G'!R62+'Exhibit H'!P42+'Exhibit I'!S47</f>
        <v>5.099999999999997</v>
      </c>
      <c r="R86" s="377"/>
      <c r="S86" s="377">
        <f>+'Exhibit F'!T78+'Exhibit G'!T62+'Exhibit H'!R42+'Exhibit I'!U47</f>
        <v>5.6</v>
      </c>
      <c r="T86" s="377"/>
      <c r="U86" s="377">
        <f>+'Exhibit F'!V78+'Exhibit G'!V62+'Exhibit H'!T42+'Exhibit I'!W47</f>
        <v>2.6000000000000085</v>
      </c>
      <c r="V86" s="377"/>
      <c r="W86" s="377">
        <f>+'Exhibit F'!X78+'Exhibit G'!X62+'Exhibit H'!V42+'Exhibit I'!Y47</f>
        <v>111</v>
      </c>
      <c r="X86" s="377"/>
      <c r="Y86" s="377">
        <f>+'Exhibit F'!Z78+'Exhibit G'!Z62+'Exhibit H'!X42+'Exhibit I'!AA47</f>
        <v>1.4000000000000341</v>
      </c>
      <c r="Z86" s="377"/>
      <c r="AA86" s="378"/>
      <c r="AB86" s="377">
        <f t="shared" si="21"/>
        <v>229.3</v>
      </c>
      <c r="AC86" s="377"/>
      <c r="AD86" s="1826"/>
      <c r="AE86" s="377">
        <f>+'Exhibit F'!AF78+'Exhibit G'!AG62+'Exhibit H'!AD42+'Exhibit I'!AI47</f>
        <v>325.90000000000003</v>
      </c>
      <c r="AF86" s="377"/>
      <c r="AG86" s="377"/>
      <c r="AH86" s="377">
        <f t="shared" si="22"/>
        <v>-96.6</v>
      </c>
      <c r="AI86" s="151"/>
      <c r="AJ86" s="469">
        <f>ROUND(IF(AE86=0,0,AH86/ABS(AE86)),3)</f>
        <v>-0.29599999999999999</v>
      </c>
    </row>
    <row r="87" spans="1:36" ht="16.5" customHeight="1">
      <c r="A87" s="597" t="s">
        <v>1034</v>
      </c>
      <c r="B87" s="597"/>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8"/>
      <c r="AB87" s="377"/>
      <c r="AC87" s="377"/>
      <c r="AD87" s="1826"/>
      <c r="AE87" s="377"/>
      <c r="AF87" s="377"/>
      <c r="AG87" s="377"/>
      <c r="AH87" s="377"/>
      <c r="AI87" s="151"/>
      <c r="AJ87" s="663"/>
    </row>
    <row r="88" spans="1:36" ht="16.5" customHeight="1">
      <c r="A88" s="597" t="s">
        <v>931</v>
      </c>
      <c r="B88" s="597"/>
      <c r="C88" s="377">
        <f>+'Exhibit G'!D64+'Exhibit I'!E49</f>
        <v>882.7</v>
      </c>
      <c r="D88" s="377"/>
      <c r="E88" s="377">
        <f>+'Exhibit G'!F64+'Exhibit I'!G49</f>
        <v>972.59999999999991</v>
      </c>
      <c r="F88" s="377"/>
      <c r="G88" s="377">
        <f>+'Exhibit G'!H64+'Exhibit I'!I49</f>
        <v>513.00000000000023</v>
      </c>
      <c r="H88" s="377"/>
      <c r="I88" s="377">
        <f>+'Exhibit G'!J64+'Exhibit I'!K49</f>
        <v>51.5</v>
      </c>
      <c r="J88" s="377"/>
      <c r="K88" s="377">
        <f>+'Exhibit G'!L64+'Exhibit I'!M49</f>
        <v>271.89999999999986</v>
      </c>
      <c r="L88" s="377"/>
      <c r="M88" s="377">
        <f>+'Exhibit G'!N64+'Exhibit I'!O49</f>
        <v>683.10000000000036</v>
      </c>
      <c r="N88" s="377"/>
      <c r="O88" s="377">
        <f>+'Exhibit G'!P64+'Exhibit I'!Q49</f>
        <v>487.59999999999945</v>
      </c>
      <c r="P88" s="377"/>
      <c r="Q88" s="377">
        <f>+'Exhibit G'!R64+'Exhibit I'!S49</f>
        <v>351.5</v>
      </c>
      <c r="R88" s="377"/>
      <c r="S88" s="377">
        <f>+'Exhibit G'!T64+'Exhibit I'!U49</f>
        <v>587</v>
      </c>
      <c r="T88" s="377"/>
      <c r="U88" s="377">
        <f>+'Exhibit G'!V64+'Exhibit I'!W49</f>
        <v>0</v>
      </c>
      <c r="V88" s="377"/>
      <c r="W88" s="377">
        <f>+'Exhibit G'!X64+'Exhibit I'!Y49</f>
        <v>0.3000000000001819</v>
      </c>
      <c r="X88" s="377"/>
      <c r="Y88" s="377">
        <f>+'Exhibit G'!Z64+'Exhibit I'!AA49</f>
        <v>495.80000000000018</v>
      </c>
      <c r="Z88" s="377"/>
      <c r="AA88" s="378"/>
      <c r="AB88" s="377">
        <f t="shared" si="18"/>
        <v>5297</v>
      </c>
      <c r="AC88" s="377"/>
      <c r="AD88" s="1826"/>
      <c r="AE88" s="377">
        <f>+'Exhibit G'!AG64+'Exhibit I'!AI49+'Exhibit H'!AD44+'Exhibit F'!AF80</f>
        <v>3890.9</v>
      </c>
      <c r="AF88" s="377"/>
      <c r="AG88" s="377"/>
      <c r="AH88" s="377">
        <f t="shared" si="19"/>
        <v>1406.1</v>
      </c>
      <c r="AI88" s="151"/>
      <c r="AJ88" s="978">
        <f>ROUND(IF(AE88=0,1,AH88/ABS(AE88)),3)</f>
        <v>0.36099999999999999</v>
      </c>
    </row>
    <row r="89" spans="1:36" ht="16.5" customHeight="1">
      <c r="A89" s="597" t="s">
        <v>932</v>
      </c>
      <c r="B89" s="597"/>
      <c r="C89" s="377">
        <f>+'Exhibit F'!D81+'Exhibit G'!D65</f>
        <v>14.2</v>
      </c>
      <c r="D89" s="377"/>
      <c r="E89" s="377">
        <f>+'Exhibit F'!F81+'Exhibit G'!F65</f>
        <v>0</v>
      </c>
      <c r="F89" s="377"/>
      <c r="G89" s="377">
        <f>+'Exhibit F'!H81+'Exhibit G'!H65</f>
        <v>0</v>
      </c>
      <c r="H89" s="377"/>
      <c r="I89" s="377">
        <f>+'Exhibit F'!J81+'Exhibit G'!J65</f>
        <v>12.7</v>
      </c>
      <c r="J89" s="377"/>
      <c r="K89" s="377">
        <f>+'Exhibit F'!L81+'Exhibit G'!L65</f>
        <v>0</v>
      </c>
      <c r="L89" s="377"/>
      <c r="M89" s="377">
        <f>+'Exhibit F'!N81+'Exhibit G'!N65</f>
        <v>0</v>
      </c>
      <c r="N89" s="377"/>
      <c r="O89" s="377">
        <f>+'Exhibit F'!P81+'Exhibit G'!P65</f>
        <v>8.9</v>
      </c>
      <c r="P89" s="377"/>
      <c r="Q89" s="377">
        <f>+'Exhibit F'!R81+'Exhibit G'!R65</f>
        <v>0</v>
      </c>
      <c r="R89" s="377"/>
      <c r="S89" s="377">
        <f>+'Exhibit F'!T81+'Exhibit G'!T65</f>
        <v>0</v>
      </c>
      <c r="T89" s="377"/>
      <c r="U89" s="377">
        <f>+'Exhibit F'!V81+'Exhibit G'!V65</f>
        <v>9.9999999999999645E-2</v>
      </c>
      <c r="V89" s="377"/>
      <c r="W89" s="377">
        <f>+'Exhibit F'!X81+'Exhibit G'!X65</f>
        <v>0</v>
      </c>
      <c r="X89" s="377"/>
      <c r="Y89" s="377">
        <f>+'Exhibit F'!Z81+'Exhibit G'!Z65</f>
        <v>0</v>
      </c>
      <c r="Z89" s="377"/>
      <c r="AA89" s="378"/>
      <c r="AB89" s="377">
        <f t="shared" si="18"/>
        <v>35.9</v>
      </c>
      <c r="AC89" s="377"/>
      <c r="AD89" s="1826"/>
      <c r="AE89" s="377">
        <f>+'Exhibit F'!AF81+'Exhibit G'!AG65</f>
        <v>10.199999999999999</v>
      </c>
      <c r="AF89" s="377"/>
      <c r="AG89" s="377"/>
      <c r="AH89" s="377">
        <f t="shared" si="19"/>
        <v>25.7</v>
      </c>
      <c r="AI89" s="151"/>
      <c r="AJ89" s="469">
        <f>ROUND(IF(AE89=0,1,AH89/ABS(AE89)),3)</f>
        <v>2.52</v>
      </c>
    </row>
    <row r="90" spans="1:36" ht="16.5" customHeight="1">
      <c r="A90" s="597" t="s">
        <v>933</v>
      </c>
      <c r="B90" s="597"/>
      <c r="C90" s="377">
        <f>+'Exhibit F'!D82+'Exhibit G'!D66</f>
        <v>2.8</v>
      </c>
      <c r="D90" s="377"/>
      <c r="E90" s="377">
        <f>+'Exhibit F'!F82+'Exhibit G'!F66</f>
        <v>3.7</v>
      </c>
      <c r="F90" s="377"/>
      <c r="G90" s="377">
        <f>+'Exhibit F'!H82+'Exhibit G'!H66</f>
        <v>4</v>
      </c>
      <c r="H90" s="377"/>
      <c r="I90" s="377">
        <f>+'Exhibit F'!J82+'Exhibit G'!J66</f>
        <v>27.5</v>
      </c>
      <c r="J90" s="377"/>
      <c r="K90" s="377">
        <f>+'Exhibit F'!L82+'Exhibit G'!L66</f>
        <v>1.8000000000000016</v>
      </c>
      <c r="L90" s="377"/>
      <c r="M90" s="377">
        <f>+'Exhibit F'!N82+'Exhibit G'!N66</f>
        <v>0</v>
      </c>
      <c r="N90" s="377"/>
      <c r="O90" s="377">
        <f>+'Exhibit F'!P82+'Exhibit G'!P66</f>
        <v>13.400000000000002</v>
      </c>
      <c r="P90" s="377"/>
      <c r="Q90" s="377">
        <f>+'Exhibit F'!R82+'Exhibit G'!R66</f>
        <v>0.29999999999999716</v>
      </c>
      <c r="R90" s="377"/>
      <c r="S90" s="377">
        <f>+'Exhibit F'!T82+'Exhibit G'!T66</f>
        <v>0.70000000000000284</v>
      </c>
      <c r="T90" s="377"/>
      <c r="U90" s="377">
        <f>+'Exhibit F'!V82+'Exhibit G'!V66</f>
        <v>7.2999999999999972</v>
      </c>
      <c r="V90" s="377"/>
      <c r="W90" s="377">
        <f>+'Exhibit F'!X82+'Exhibit G'!X66</f>
        <v>0.10000000000000142</v>
      </c>
      <c r="X90" s="377"/>
      <c r="Y90" s="377">
        <f>+'Exhibit F'!Z82+'Exhibit G'!Z66</f>
        <v>4.5</v>
      </c>
      <c r="Z90" s="377"/>
      <c r="AA90" s="378"/>
      <c r="AB90" s="377">
        <f t="shared" si="18"/>
        <v>66.099999999999994</v>
      </c>
      <c r="AC90" s="377"/>
      <c r="AD90" s="1826"/>
      <c r="AE90" s="377">
        <f>+'Exhibit F'!AF82+'Exhibit G'!AG66</f>
        <v>103.5</v>
      </c>
      <c r="AF90" s="377"/>
      <c r="AG90" s="377"/>
      <c r="AH90" s="377">
        <f t="shared" si="19"/>
        <v>-37.4</v>
      </c>
      <c r="AI90" s="151"/>
      <c r="AJ90" s="978">
        <f t="shared" ref="AJ90:AJ92" si="23">ROUND(IF(AE90=0,0,AH90/ABS(AE90)),3)</f>
        <v>-0.36099999999999999</v>
      </c>
    </row>
    <row r="91" spans="1:36" ht="16.5" customHeight="1">
      <c r="A91" s="597" t="s">
        <v>934</v>
      </c>
      <c r="B91" s="597"/>
      <c r="C91" s="377">
        <f>+'Exhibit F'!D83+'Exhibit G'!D67+'Exhibit I'!E51</f>
        <v>5.3000000000000007</v>
      </c>
      <c r="D91" s="377"/>
      <c r="E91" s="377">
        <f>+'Exhibit F'!F83+'Exhibit G'!F67+'Exhibit I'!G51</f>
        <v>11.100000000000001</v>
      </c>
      <c r="F91" s="377"/>
      <c r="G91" s="377">
        <f>+'Exhibit F'!H83+'Exhibit G'!H67+'Exhibit I'!I51</f>
        <v>5.2</v>
      </c>
      <c r="H91" s="377"/>
      <c r="I91" s="377">
        <f>+'Exhibit F'!J83+'Exhibit G'!J67+'Exhibit I'!K51</f>
        <v>9.3999999999999986</v>
      </c>
      <c r="J91" s="377"/>
      <c r="K91" s="377">
        <f>+'Exhibit F'!L83+'Exhibit G'!L67+'Exhibit I'!M51</f>
        <v>5.4000000000000012</v>
      </c>
      <c r="L91" s="377"/>
      <c r="M91" s="377">
        <f>+'Exhibit F'!N83+'Exhibit G'!N67+'Exhibit I'!O51</f>
        <v>-0.2999999999999966</v>
      </c>
      <c r="N91" s="377"/>
      <c r="O91" s="377">
        <f>+'Exhibit F'!P83+'Exhibit G'!P67+'Exhibit I'!Q51</f>
        <v>7.8999999999999968</v>
      </c>
      <c r="P91" s="377"/>
      <c r="Q91" s="377">
        <f>+'Exhibit F'!R83+'Exhibit G'!R67+'Exhibit I'!S51</f>
        <v>0</v>
      </c>
      <c r="R91" s="377"/>
      <c r="S91" s="377">
        <f>+'Exhibit F'!T83+'Exhibit G'!T67+'Exhibit I'!U51</f>
        <v>22.3</v>
      </c>
      <c r="T91" s="377"/>
      <c r="U91" s="377">
        <f>+'Exhibit F'!V83+'Exhibit G'!V67+'Exhibit I'!W51</f>
        <v>5.4000000000000021</v>
      </c>
      <c r="V91" s="377"/>
      <c r="W91" s="377">
        <f>+'Exhibit F'!X83+'Exhibit G'!X67+'Exhibit I'!Y51</f>
        <v>6.7999999999999954</v>
      </c>
      <c r="X91" s="377"/>
      <c r="Y91" s="377">
        <f>+'Exhibit F'!Z83+'Exhibit G'!Z67+'Exhibit I'!AA51</f>
        <v>20.5</v>
      </c>
      <c r="Z91" s="377"/>
      <c r="AA91" s="378"/>
      <c r="AB91" s="377">
        <f t="shared" si="18"/>
        <v>99</v>
      </c>
      <c r="AC91" s="377"/>
      <c r="AD91" s="1826"/>
      <c r="AE91" s="377">
        <f>+'Exhibit F'!AF83+'Exhibit G'!AG67+'Exhibit I'!AI51</f>
        <v>106</v>
      </c>
      <c r="AF91" s="377"/>
      <c r="AG91" s="377"/>
      <c r="AH91" s="377">
        <f t="shared" si="19"/>
        <v>-7</v>
      </c>
      <c r="AI91" s="151"/>
      <c r="AJ91" s="469">
        <f t="shared" si="23"/>
        <v>-6.6000000000000003E-2</v>
      </c>
    </row>
    <row r="92" spans="1:36" ht="16.5" customHeight="1">
      <c r="A92" s="597" t="s">
        <v>936</v>
      </c>
      <c r="B92" s="597"/>
      <c r="C92" s="377">
        <f>+'Exhibit F'!D84+'Exhibit G'!D68+'Exhibit H'!B45+'Exhibit I'!E52</f>
        <v>36</v>
      </c>
      <c r="D92" s="377"/>
      <c r="E92" s="377">
        <f>+'Exhibit F'!F84+'Exhibit G'!F68+'Exhibit H'!D45+'Exhibit I'!G52</f>
        <v>31.300000000000004</v>
      </c>
      <c r="F92" s="377"/>
      <c r="G92" s="377">
        <f>+'Exhibit F'!H84+'Exhibit G'!H68+'Exhibit H'!F45+'Exhibit I'!I52</f>
        <v>23.200000000000006</v>
      </c>
      <c r="H92" s="377"/>
      <c r="I92" s="377">
        <f>+'Exhibit F'!J84+'Exhibit G'!J68+'Exhibit H'!H45+'Exhibit I'!K52</f>
        <v>3.5999999999999903</v>
      </c>
      <c r="J92" s="377"/>
      <c r="K92" s="377">
        <f>+'Exhibit F'!L84+'Exhibit G'!L68+'Exhibit H'!J45+'Exhibit I'!M52</f>
        <v>13.100000000000017</v>
      </c>
      <c r="L92" s="377"/>
      <c r="M92" s="377">
        <f>+'Exhibit F'!N84+'Exhibit G'!N68+'Exhibit H'!L45+'Exhibit I'!O52</f>
        <v>-0.70000000000001927</v>
      </c>
      <c r="N92" s="377"/>
      <c r="O92" s="377">
        <f>+'Exhibit F'!P84+'Exhibit G'!P68+'Exhibit H'!N45+'Exhibit I'!Q52</f>
        <v>2.7000000000000091</v>
      </c>
      <c r="P92" s="377"/>
      <c r="Q92" s="377">
        <f>+'Exhibit F'!R84+'Exhibit G'!R68+'Exhibit H'!P45+'Exhibit I'!S52</f>
        <v>69.69999999999996</v>
      </c>
      <c r="R92" s="377"/>
      <c r="S92" s="377">
        <f>+'Exhibit F'!T84+'Exhibit G'!T68+'Exhibit H'!R45+'Exhibit I'!U52</f>
        <v>20.100000000000037</v>
      </c>
      <c r="T92" s="377"/>
      <c r="U92" s="377">
        <f>+'Exhibit F'!V84+'Exhibit G'!V68+'Exhibit H'!T45+'Exhibit I'!W52</f>
        <v>23.20000000000001</v>
      </c>
      <c r="V92" s="377"/>
      <c r="W92" s="377">
        <f>+'Exhibit F'!X84+'Exhibit G'!X68+'Exhibit H'!V45+'Exhibit I'!Y52</f>
        <v>94.499999999999929</v>
      </c>
      <c r="X92" s="377"/>
      <c r="Y92" s="377">
        <f>+'Exhibit F'!Z84+'Exhibit G'!Z68+'Exhibit H'!X45+'Exhibit I'!AA52</f>
        <v>101.50000000000003</v>
      </c>
      <c r="Z92" s="377"/>
      <c r="AA92" s="378"/>
      <c r="AB92" s="377">
        <f t="shared" si="18"/>
        <v>418.2</v>
      </c>
      <c r="AC92" s="377"/>
      <c r="AD92" s="1826"/>
      <c r="AE92" s="377">
        <f>+'Exhibit F'!AF84+'Exhibit G'!AG68+'Exhibit H'!AD45+'Exhibit I'!AI52</f>
        <v>488</v>
      </c>
      <c r="AF92" s="377"/>
      <c r="AG92" s="377"/>
      <c r="AH92" s="377">
        <f t="shared" si="19"/>
        <v>-69.8</v>
      </c>
      <c r="AI92" s="151"/>
      <c r="AJ92" s="978">
        <f t="shared" si="23"/>
        <v>-0.14299999999999999</v>
      </c>
    </row>
    <row r="93" spans="1:36" ht="16.5" customHeight="1">
      <c r="A93" s="597" t="s">
        <v>1035</v>
      </c>
      <c r="B93" s="597"/>
      <c r="C93" s="377"/>
      <c r="D93" s="377"/>
      <c r="E93" s="377"/>
      <c r="F93" s="377"/>
      <c r="G93" s="377"/>
      <c r="H93" s="377"/>
      <c r="I93" s="377"/>
      <c r="J93" s="377"/>
      <c r="K93" s="377"/>
      <c r="L93" s="377"/>
      <c r="M93" s="377"/>
      <c r="N93" s="377"/>
      <c r="O93" s="377"/>
      <c r="P93" s="377"/>
      <c r="Q93" s="377"/>
      <c r="R93" s="377"/>
      <c r="S93" s="377"/>
      <c r="T93" s="377"/>
      <c r="U93" s="377"/>
      <c r="V93" s="377"/>
      <c r="W93" s="377"/>
      <c r="X93" s="377"/>
      <c r="Y93" s="377"/>
      <c r="Z93" s="377"/>
      <c r="AA93" s="378"/>
      <c r="AB93" s="377"/>
      <c r="AC93" s="377"/>
      <c r="AD93" s="1826"/>
      <c r="AE93" s="377"/>
      <c r="AF93" s="377"/>
      <c r="AG93" s="377"/>
      <c r="AH93" s="377"/>
      <c r="AI93" s="151"/>
      <c r="AJ93" s="469"/>
    </row>
    <row r="94" spans="1:36" ht="16.5" customHeight="1">
      <c r="A94" s="597" t="s">
        <v>937</v>
      </c>
      <c r="B94" s="597"/>
      <c r="C94" s="377">
        <f>+'Exhibit F'!D86+'Exhibit G'!D70+'Exhibit I'!E54</f>
        <v>32.4</v>
      </c>
      <c r="D94" s="377"/>
      <c r="E94" s="377">
        <f>+'Exhibit F'!F86+'Exhibit G'!F70+'Exhibit I'!G54</f>
        <v>9.1000000000000014</v>
      </c>
      <c r="F94" s="377"/>
      <c r="G94" s="377">
        <f>+'Exhibit F'!H86+'Exhibit G'!H70+'Exhibit I'!I54</f>
        <v>20.299999999999997</v>
      </c>
      <c r="H94" s="377"/>
      <c r="I94" s="377">
        <f>+'Exhibit F'!J86+'Exhibit G'!J70+'Exhibit I'!K54</f>
        <v>24.699999999999996</v>
      </c>
      <c r="J94" s="377"/>
      <c r="K94" s="377">
        <f>+'Exhibit F'!L86+'Exhibit G'!L70+'Exhibit I'!M54</f>
        <v>9.2999999999999989</v>
      </c>
      <c r="L94" s="377"/>
      <c r="M94" s="377">
        <f>+'Exhibit F'!N86+'Exhibit G'!N70+'Exhibit I'!O54</f>
        <v>23.900000000000013</v>
      </c>
      <c r="N94" s="377"/>
      <c r="O94" s="377">
        <f>+'Exhibit F'!P86+'Exhibit G'!P70+'Exhibit I'!Q54</f>
        <v>23.300000000000004</v>
      </c>
      <c r="P94" s="377"/>
      <c r="Q94" s="377">
        <f>+'Exhibit F'!R86+'Exhibit G'!R70+'Exhibit I'!S54</f>
        <v>8.2999999999999829</v>
      </c>
      <c r="R94" s="377"/>
      <c r="S94" s="377">
        <f>+'Exhibit F'!T86+'Exhibit G'!T70+'Exhibit I'!U54</f>
        <v>22.70000000000001</v>
      </c>
      <c r="T94" s="377"/>
      <c r="U94" s="377">
        <f>+'Exhibit F'!V86+'Exhibit G'!V70+'Exhibit I'!W54</f>
        <v>8.1000000000000014</v>
      </c>
      <c r="V94" s="377"/>
      <c r="W94" s="377">
        <f>+'Exhibit F'!X86+'Exhibit G'!X70+'Exhibit I'!Y54</f>
        <v>16.499999999999993</v>
      </c>
      <c r="X94" s="377"/>
      <c r="Y94" s="377">
        <f>+'Exhibit F'!Z86+'Exhibit G'!Z70+'Exhibit I'!AA54</f>
        <v>19.500000000000014</v>
      </c>
      <c r="Z94" s="377"/>
      <c r="AA94" s="378"/>
      <c r="AB94" s="377">
        <f t="shared" si="18"/>
        <v>218.1</v>
      </c>
      <c r="AC94" s="377"/>
      <c r="AD94" s="1826"/>
      <c r="AE94" s="377">
        <f>+'Exhibit F'!AF86+'Exhibit G'!AG70+'Exhibit I'!AI54</f>
        <v>254.10000000000002</v>
      </c>
      <c r="AF94" s="377"/>
      <c r="AG94" s="377"/>
      <c r="AH94" s="377">
        <f t="shared" si="19"/>
        <v>-36</v>
      </c>
      <c r="AI94" s="151"/>
      <c r="AJ94" s="978">
        <f>ROUND(IF(AE94=0,0,AH94/ABS(AE94)),3)</f>
        <v>-0.14199999999999999</v>
      </c>
    </row>
    <row r="95" spans="1:36" ht="16.5" customHeight="1">
      <c r="A95" s="597" t="s">
        <v>938</v>
      </c>
      <c r="B95" s="597"/>
      <c r="C95" s="377">
        <f>+'Exhibit G'!D71+'Exhibit F'!D87</f>
        <v>6.8999999999999968</v>
      </c>
      <c r="D95" s="377"/>
      <c r="E95" s="377">
        <f>+'Exhibit G'!F71+'Exhibit F'!F87</f>
        <v>0</v>
      </c>
      <c r="F95" s="377"/>
      <c r="G95" s="377">
        <f>+'Exhibit G'!H71+'Exhibit F'!H87</f>
        <v>0.40000000000000568</v>
      </c>
      <c r="H95" s="377"/>
      <c r="I95" s="377">
        <f>+'Exhibit G'!J71+'Exhibit F'!J87</f>
        <v>0</v>
      </c>
      <c r="J95" s="377"/>
      <c r="K95" s="377">
        <f>+'Exhibit G'!L71+'Exhibit F'!L87</f>
        <v>9.9999999999997202E-2</v>
      </c>
      <c r="L95" s="377"/>
      <c r="M95" s="377">
        <f>+'Exhibit G'!N71+'Exhibit F'!N87</f>
        <v>0.69999999999998863</v>
      </c>
      <c r="N95" s="377"/>
      <c r="O95" s="377">
        <f>+'Exhibit G'!P71+'Exhibit F'!P87</f>
        <v>0.60000000000002252</v>
      </c>
      <c r="P95" s="377"/>
      <c r="Q95" s="377">
        <f>+'Exhibit G'!R71+'Exhibit F'!R87</f>
        <v>0.1</v>
      </c>
      <c r="R95" s="377"/>
      <c r="S95" s="377">
        <f>+'Exhibit G'!T71+'Exhibit F'!T87</f>
        <v>0</v>
      </c>
      <c r="T95" s="377"/>
      <c r="U95" s="377">
        <f>+'Exhibit G'!V71+'Exhibit F'!V87</f>
        <v>0.1</v>
      </c>
      <c r="V95" s="377"/>
      <c r="W95" s="377">
        <f>+'Exhibit G'!X71+'Exhibit F'!X87</f>
        <v>0.10000000000001136</v>
      </c>
      <c r="X95" s="377"/>
      <c r="Y95" s="377">
        <f>+'Exhibit G'!Z71+'Exhibit F'!Z87</f>
        <v>0.20000000000000018</v>
      </c>
      <c r="Z95" s="377"/>
      <c r="AA95" s="378"/>
      <c r="AB95" s="377">
        <f t="shared" si="18"/>
        <v>9.1999999999999993</v>
      </c>
      <c r="AC95" s="377"/>
      <c r="AD95" s="1826"/>
      <c r="AE95" s="377">
        <f>+'Exhibit G'!AG71+'Exhibit F'!AF87</f>
        <v>15.499999999999863</v>
      </c>
      <c r="AF95" s="377"/>
      <c r="AG95" s="377"/>
      <c r="AH95" s="377">
        <f t="shared" si="19"/>
        <v>-6.3</v>
      </c>
      <c r="AI95" s="151"/>
      <c r="AJ95" s="469">
        <f>ROUND(IF(AE95=0,0,AH95/ABS(AE95)),3)</f>
        <v>-0.40600000000000003</v>
      </c>
    </row>
    <row r="96" spans="1:36" ht="16.5" customHeight="1">
      <c r="A96" s="597" t="s">
        <v>1257</v>
      </c>
      <c r="B96" s="597"/>
      <c r="C96" s="377">
        <f>'Exhibit G'!D72</f>
        <v>0</v>
      </c>
      <c r="D96" s="377"/>
      <c r="E96" s="377">
        <f>'Exhibit G'!F72</f>
        <v>0</v>
      </c>
      <c r="F96" s="377"/>
      <c r="G96" s="377">
        <f>'Exhibit G'!H72</f>
        <v>0</v>
      </c>
      <c r="H96" s="377"/>
      <c r="I96" s="377">
        <f>'Exhibit G'!J72</f>
        <v>0</v>
      </c>
      <c r="J96" s="377"/>
      <c r="K96" s="377">
        <f>'Exhibit G'!L72</f>
        <v>0</v>
      </c>
      <c r="L96" s="377"/>
      <c r="M96" s="377">
        <f>'Exhibit G'!N72</f>
        <v>0</v>
      </c>
      <c r="N96" s="377"/>
      <c r="O96" s="377">
        <f>'Exhibit G'!P72</f>
        <v>0</v>
      </c>
      <c r="P96" s="377"/>
      <c r="Q96" s="377">
        <f>'Exhibit G'!R72</f>
        <v>0</v>
      </c>
      <c r="R96" s="377"/>
      <c r="S96" s="377">
        <f>'Exhibit G'!T72</f>
        <v>68</v>
      </c>
      <c r="T96" s="377"/>
      <c r="U96" s="377">
        <f>'Exhibit G'!V72</f>
        <v>0</v>
      </c>
      <c r="V96" s="377"/>
      <c r="W96" s="377">
        <f>'Exhibit G'!X72</f>
        <v>0</v>
      </c>
      <c r="X96" s="377"/>
      <c r="Y96" s="377">
        <f>'Exhibit G'!Z72</f>
        <v>0</v>
      </c>
      <c r="Z96" s="377"/>
      <c r="AA96" s="687"/>
      <c r="AB96" s="377">
        <f t="shared" si="18"/>
        <v>68</v>
      </c>
      <c r="AC96" s="377"/>
      <c r="AD96" s="1826"/>
      <c r="AE96" s="377">
        <f>'Exhibit G'!AG72</f>
        <v>228</v>
      </c>
      <c r="AF96" s="377"/>
      <c r="AG96" s="377"/>
      <c r="AH96" s="377">
        <f t="shared" ref="AH96" si="24">ROUND(SUM(AB96-AE96),1)</f>
        <v>-160</v>
      </c>
      <c r="AI96" s="151"/>
      <c r="AJ96" s="469">
        <f>ROUND(IF(AE96=0,0,AH96/ABS(AE96)),3)</f>
        <v>-0.70199999999999996</v>
      </c>
    </row>
    <row r="97" spans="1:45" ht="16.5" customHeight="1">
      <c r="A97" s="597" t="s">
        <v>939</v>
      </c>
      <c r="B97" s="597"/>
      <c r="C97" s="377">
        <f>+'Exhibit F'!D88+'Exhibit G'!D73+'Exhibit I'!E55</f>
        <v>2.2999999999999998</v>
      </c>
      <c r="D97" s="377"/>
      <c r="E97" s="377">
        <f>+'Exhibit F'!F88+'Exhibit G'!F73+'Exhibit I'!G55</f>
        <v>2.1</v>
      </c>
      <c r="F97" s="377"/>
      <c r="G97" s="377">
        <f>+'Exhibit F'!H88+'Exhibit G'!H73+'Exhibit I'!I55</f>
        <v>1.2</v>
      </c>
      <c r="H97" s="377"/>
      <c r="I97" s="377">
        <f>+'Exhibit F'!J88+'Exhibit G'!J73+'Exhibit I'!K55</f>
        <v>1.2000000000000004</v>
      </c>
      <c r="J97" s="377"/>
      <c r="K97" s="377">
        <f>+'Exhibit F'!L88+'Exhibit G'!L73+'Exhibit I'!M55</f>
        <v>0.79999999999999982</v>
      </c>
      <c r="L97" s="377"/>
      <c r="M97" s="377">
        <f>+'Exhibit F'!N88+'Exhibit G'!N73+'Exhibit I'!O55</f>
        <v>2.1999999999999997</v>
      </c>
      <c r="N97" s="377"/>
      <c r="O97" s="377">
        <f>+'Exhibit F'!P88+'Exhibit G'!P73+'Exhibit I'!Q55</f>
        <v>2.1</v>
      </c>
      <c r="P97" s="377"/>
      <c r="Q97" s="377">
        <f>+'Exhibit F'!R88+'Exhibit G'!R73+'Exhibit I'!S55</f>
        <v>1.3000000000000003</v>
      </c>
      <c r="R97" s="377"/>
      <c r="S97" s="377">
        <f>+'Exhibit F'!T88+'Exhibit G'!T73+'Exhibit I'!U55</f>
        <v>36.700000000000003</v>
      </c>
      <c r="T97" s="377"/>
      <c r="U97" s="377">
        <f>+'Exhibit F'!V88+'Exhibit G'!V73+'Exhibit I'!W55</f>
        <v>0.49999999999999822</v>
      </c>
      <c r="V97" s="377"/>
      <c r="W97" s="377">
        <f>+'Exhibit F'!X88+'Exhibit G'!X73+'Exhibit I'!Y55</f>
        <v>2.100000000000001</v>
      </c>
      <c r="X97" s="377"/>
      <c r="Y97" s="377">
        <f>+'Exhibit F'!Z88+'Exhibit G'!Z73+'Exhibit I'!AA55</f>
        <v>3</v>
      </c>
      <c r="Z97" s="377"/>
      <c r="AA97" s="378"/>
      <c r="AB97" s="377">
        <f t="shared" si="18"/>
        <v>55.5</v>
      </c>
      <c r="AC97" s="377"/>
      <c r="AD97" s="1826"/>
      <c r="AE97" s="377">
        <f>+'Exhibit F'!AF88+'Exhibit G'!AG73+'Exhibit I'!AI55</f>
        <v>43.3</v>
      </c>
      <c r="AF97" s="377"/>
      <c r="AG97" s="377"/>
      <c r="AH97" s="377">
        <f t="shared" si="19"/>
        <v>12.2</v>
      </c>
      <c r="AI97" s="151"/>
      <c r="AJ97" s="663">
        <f t="shared" ref="AJ97:AJ104" si="25">ROUND(IF(AE97=0,0,AH97/ABS(AE97)),3)</f>
        <v>0.28199999999999997</v>
      </c>
    </row>
    <row r="98" spans="1:45" ht="16.5" customHeight="1">
      <c r="A98" s="597" t="s">
        <v>940</v>
      </c>
      <c r="B98" s="597"/>
      <c r="C98" s="377">
        <f>+'Exhibit F'!D89+'Exhibit G'!D74+'Exhibit I'!E56</f>
        <v>11</v>
      </c>
      <c r="D98" s="377"/>
      <c r="E98" s="377">
        <f>+'Exhibit F'!F89+'Exhibit G'!F74+'Exhibit I'!G56</f>
        <v>10.5</v>
      </c>
      <c r="F98" s="377"/>
      <c r="G98" s="377">
        <f>+'Exhibit F'!H89+'Exhibit G'!H74+'Exhibit I'!I56</f>
        <v>20.900000000000002</v>
      </c>
      <c r="H98" s="377"/>
      <c r="I98" s="377">
        <f>+'Exhibit F'!J89+'Exhibit G'!J74+'Exhibit I'!K56</f>
        <v>14.2</v>
      </c>
      <c r="J98" s="377"/>
      <c r="K98" s="377">
        <f>+'Exhibit F'!L89+'Exhibit G'!L74+'Exhibit I'!M56</f>
        <v>16.599999999999998</v>
      </c>
      <c r="L98" s="377"/>
      <c r="M98" s="377">
        <f>+'Exhibit F'!N89+'Exhibit G'!N74+'Exhibit I'!O56</f>
        <v>18.2</v>
      </c>
      <c r="N98" s="377"/>
      <c r="O98" s="377">
        <f>+'Exhibit F'!P89+'Exhibit G'!P74+'Exhibit I'!Q56</f>
        <v>6.100000000000005</v>
      </c>
      <c r="P98" s="377"/>
      <c r="Q98" s="377">
        <f>+'Exhibit F'!R89+'Exhibit G'!R74+'Exhibit I'!S56</f>
        <v>16.799999999999997</v>
      </c>
      <c r="R98" s="377"/>
      <c r="S98" s="377">
        <f>+'Exhibit F'!T89+'Exhibit G'!T74+'Exhibit I'!U56</f>
        <v>29.3</v>
      </c>
      <c r="T98" s="377"/>
      <c r="U98" s="377">
        <f>+'Exhibit F'!V89+'Exhibit G'!V74+'Exhibit I'!W56</f>
        <v>20.000000000000004</v>
      </c>
      <c r="V98" s="377"/>
      <c r="W98" s="377">
        <f>+'Exhibit F'!X89+'Exhibit G'!X74+'Exhibit I'!Y56</f>
        <v>20.799999999999986</v>
      </c>
      <c r="X98" s="377"/>
      <c r="Y98" s="377">
        <f>+'Exhibit F'!Z89+'Exhibit G'!Z74+'Exhibit I'!AA56</f>
        <v>18.70000000000001</v>
      </c>
      <c r="Z98" s="377"/>
      <c r="AA98" s="378"/>
      <c r="AB98" s="377">
        <f>ROUND(SUM(C98:Y98),1)</f>
        <v>203.1</v>
      </c>
      <c r="AC98" s="377"/>
      <c r="AD98" s="1826"/>
      <c r="AE98" s="377">
        <f>+'Exhibit F'!AF89+'Exhibit G'!AG74+'Exhibit I'!AI56</f>
        <v>163.5</v>
      </c>
      <c r="AF98" s="377"/>
      <c r="AG98" s="377"/>
      <c r="AH98" s="377">
        <f t="shared" si="19"/>
        <v>39.6</v>
      </c>
      <c r="AI98" s="151"/>
      <c r="AJ98" s="663">
        <f t="shared" si="25"/>
        <v>0.24199999999999999</v>
      </c>
    </row>
    <row r="99" spans="1:45" ht="16.5" customHeight="1">
      <c r="A99" s="597" t="s">
        <v>941</v>
      </c>
      <c r="B99" s="597"/>
      <c r="C99" s="377">
        <f>+'Exhibit F'!D90+'Exhibit G'!D75+'Exhibit H'!B47</f>
        <v>268.2</v>
      </c>
      <c r="D99" s="377"/>
      <c r="E99" s="377">
        <f>+'Exhibit F'!F90+'Exhibit G'!F75+'Exhibit H'!D47</f>
        <v>234.7</v>
      </c>
      <c r="F99" s="377"/>
      <c r="G99" s="377">
        <f>+'Exhibit F'!H90+'Exhibit G'!H75+'Exhibit H'!F47</f>
        <v>243.8000000000001</v>
      </c>
      <c r="H99" s="377"/>
      <c r="I99" s="377">
        <f>+'Exhibit F'!J90+'Exhibit G'!J75+'Exhibit H'!H47</f>
        <v>227</v>
      </c>
      <c r="J99" s="377"/>
      <c r="K99" s="377">
        <f>+'Exhibit F'!L90+'Exhibit G'!L75+'Exhibit H'!J47</f>
        <v>163.90000000000009</v>
      </c>
      <c r="L99" s="377"/>
      <c r="M99" s="377">
        <f>+'Exhibit F'!N90+'Exhibit G'!N75+'Exhibit H'!L47</f>
        <v>356.2</v>
      </c>
      <c r="N99" s="377"/>
      <c r="O99" s="377">
        <f>+'Exhibit F'!P90+'Exhibit G'!P75+'Exhibit H'!N47</f>
        <v>237.5</v>
      </c>
      <c r="P99" s="377"/>
      <c r="Q99" s="377">
        <f>+'Exhibit F'!R90+'Exhibit G'!R75+'Exhibit H'!P47</f>
        <v>247.7</v>
      </c>
      <c r="R99" s="377"/>
      <c r="S99" s="377">
        <f>+'Exhibit F'!T90+'Exhibit G'!T75+'Exhibit H'!R47</f>
        <v>347.7</v>
      </c>
      <c r="T99" s="377"/>
      <c r="U99" s="377">
        <f>+'Exhibit F'!V90+'Exhibit G'!V75+'Exhibit H'!T47</f>
        <v>241.30000000000015</v>
      </c>
      <c r="V99" s="377"/>
      <c r="W99" s="377">
        <f>+'Exhibit F'!X90+'Exhibit G'!X75+'Exhibit H'!V47</f>
        <v>246.20000000000005</v>
      </c>
      <c r="X99" s="377"/>
      <c r="Y99" s="377">
        <f>+'Exhibit F'!Z90+'Exhibit G'!Z75+'Exhibit H'!X47</f>
        <v>291.79999999999978</v>
      </c>
      <c r="Z99" s="377"/>
      <c r="AA99" s="378"/>
      <c r="AB99" s="377">
        <f t="shared" si="18"/>
        <v>3106</v>
      </c>
      <c r="AC99" s="377"/>
      <c r="AD99" s="1826"/>
      <c r="AE99" s="377">
        <f>+'Exhibit F'!AF90+'Exhibit G'!AG75+'Exhibit H'!AD47</f>
        <v>2830.1</v>
      </c>
      <c r="AF99" s="377"/>
      <c r="AG99" s="377"/>
      <c r="AH99" s="377">
        <f t="shared" si="19"/>
        <v>275.89999999999998</v>
      </c>
      <c r="AI99" s="151"/>
      <c r="AJ99" s="663">
        <f t="shared" si="25"/>
        <v>9.7000000000000003E-2</v>
      </c>
    </row>
    <row r="100" spans="1:45" ht="16.5" customHeight="1">
      <c r="A100" s="597" t="s">
        <v>942</v>
      </c>
      <c r="B100" s="597"/>
      <c r="C100" s="377">
        <f>+'Exhibit G'!D76+'Exhibit F'!D91+'Exhibit I'!E57</f>
        <v>9.6</v>
      </c>
      <c r="D100" s="377"/>
      <c r="E100" s="377">
        <f>+'Exhibit G'!F76+'Exhibit F'!F91+'Exhibit I'!G57</f>
        <v>10.3</v>
      </c>
      <c r="F100" s="377"/>
      <c r="G100" s="377">
        <f>+'Exhibit G'!H76+'Exhibit F'!H91+'Exhibit I'!I57</f>
        <v>14.5</v>
      </c>
      <c r="H100" s="377"/>
      <c r="I100" s="377">
        <f>+'Exhibit G'!J76+'Exhibit F'!J91+'Exhibit I'!K57</f>
        <v>16.399999999999999</v>
      </c>
      <c r="J100" s="377"/>
      <c r="K100" s="377">
        <f>+'Exhibit G'!L76+'Exhibit F'!L91+'Exhibit I'!M57</f>
        <v>8.0000000000000036</v>
      </c>
      <c r="L100" s="377"/>
      <c r="M100" s="377">
        <f>+'Exhibit G'!N76+'Exhibit F'!N91+'Exhibit I'!O57</f>
        <v>12.7</v>
      </c>
      <c r="N100" s="377"/>
      <c r="O100" s="377">
        <f>+'Exhibit G'!P76+'Exhibit F'!P91+'Exhibit I'!Q57</f>
        <v>13.899999999999991</v>
      </c>
      <c r="P100" s="377"/>
      <c r="Q100" s="377">
        <f>+'Exhibit G'!R76+'Exhibit F'!R91+'Exhibit I'!S57</f>
        <v>7.6000000000000023</v>
      </c>
      <c r="R100" s="377"/>
      <c r="S100" s="377">
        <f>+'Exhibit G'!T76+'Exhibit F'!T91+'Exhibit I'!U57</f>
        <v>11.300000000000002</v>
      </c>
      <c r="T100" s="377"/>
      <c r="U100" s="377">
        <f>+'Exhibit G'!V76+'Exhibit F'!V91+'Exhibit I'!W57</f>
        <v>12.900000000000009</v>
      </c>
      <c r="V100" s="377"/>
      <c r="W100" s="377">
        <f>+'Exhibit G'!X76+'Exhibit F'!X91+'Exhibit I'!Y57</f>
        <v>8.4999999999999964</v>
      </c>
      <c r="X100" s="377"/>
      <c r="Y100" s="377">
        <f>+'Exhibit G'!Z76+'Exhibit F'!Z91+'Exhibit I'!AA57</f>
        <v>12.100000000000005</v>
      </c>
      <c r="Z100" s="377"/>
      <c r="AA100" s="378"/>
      <c r="AB100" s="377">
        <f t="shared" si="18"/>
        <v>137.80000000000001</v>
      </c>
      <c r="AC100" s="377"/>
      <c r="AD100" s="1826"/>
      <c r="AE100" s="377">
        <f>+'Exhibit G'!AG76+'Exhibit F'!AF91+'Exhibit I'!AI57</f>
        <v>146.29999999999998</v>
      </c>
      <c r="AF100" s="377"/>
      <c r="AG100" s="377"/>
      <c r="AH100" s="377">
        <f t="shared" si="19"/>
        <v>-8.5</v>
      </c>
      <c r="AI100" s="151"/>
      <c r="AJ100" s="663">
        <f t="shared" si="25"/>
        <v>-5.8000000000000003E-2</v>
      </c>
    </row>
    <row r="101" spans="1:45" ht="16.5" customHeight="1">
      <c r="A101" s="597" t="s">
        <v>943</v>
      </c>
      <c r="B101" s="597"/>
      <c r="C101" s="377">
        <f>+'Exhibit F'!D92+'Exhibit G'!D77+'Exhibit I'!E58</f>
        <v>8</v>
      </c>
      <c r="D101" s="377"/>
      <c r="E101" s="377">
        <f>+'Exhibit F'!F92+'Exhibit G'!F77+'Exhibit I'!G58</f>
        <v>4.1999999999999993</v>
      </c>
      <c r="F101" s="377"/>
      <c r="G101" s="377">
        <f>+'Exhibit F'!H92+'Exhibit G'!H77+'Exhibit I'!I58</f>
        <v>0.60000000000000053</v>
      </c>
      <c r="H101" s="377"/>
      <c r="I101" s="377">
        <f>+'Exhibit F'!J92+'Exhibit G'!J77+'Exhibit I'!K58</f>
        <v>1.3999999999999995</v>
      </c>
      <c r="J101" s="377"/>
      <c r="K101" s="377">
        <f>+'Exhibit F'!L92+'Exhibit G'!L77+'Exhibit I'!M58</f>
        <v>94.1</v>
      </c>
      <c r="L101" s="377"/>
      <c r="M101" s="377">
        <f>+'Exhibit F'!N92+'Exhibit G'!N77+'Exhibit I'!O58</f>
        <v>0.90000000000000335</v>
      </c>
      <c r="N101" s="377"/>
      <c r="O101" s="377">
        <f>+'Exhibit F'!P92+'Exhibit G'!P77+'Exhibit I'!Q58</f>
        <v>68.600000000000009</v>
      </c>
      <c r="P101" s="377"/>
      <c r="Q101" s="377">
        <f>+'Exhibit F'!R92+'Exhibit G'!R77+'Exhibit I'!S58</f>
        <v>41.6</v>
      </c>
      <c r="R101" s="377"/>
      <c r="S101" s="377">
        <f>+'Exhibit F'!T92+'Exhibit G'!T77+'Exhibit I'!U58</f>
        <v>1.0000000000000124</v>
      </c>
      <c r="T101" s="377"/>
      <c r="U101" s="377">
        <f>+'Exhibit F'!V92+'Exhibit G'!V77+'Exhibit I'!W58</f>
        <v>15.799999999999994</v>
      </c>
      <c r="V101" s="377"/>
      <c r="W101" s="377">
        <f>+'Exhibit F'!X92+'Exhibit G'!X77+'Exhibit I'!Y58</f>
        <v>47.899999999999984</v>
      </c>
      <c r="X101" s="377"/>
      <c r="Y101" s="377">
        <f>+'Exhibit F'!Z92+'Exhibit G'!Z77+'Exhibit I'!AA58</f>
        <v>2.7000000000000064</v>
      </c>
      <c r="Z101" s="377"/>
      <c r="AA101" s="378"/>
      <c r="AB101" s="377">
        <f t="shared" si="18"/>
        <v>286.8</v>
      </c>
      <c r="AC101" s="377"/>
      <c r="AD101" s="1826"/>
      <c r="AE101" s="377">
        <f>+'Exhibit F'!AF92+'Exhibit G'!AG77+'Exhibit I'!AI58</f>
        <v>129.5</v>
      </c>
      <c r="AF101" s="377"/>
      <c r="AG101" s="377"/>
      <c r="AH101" s="377">
        <f t="shared" si="19"/>
        <v>157.30000000000001</v>
      </c>
      <c r="AI101" s="151"/>
      <c r="AJ101" s="1824">
        <f t="shared" si="25"/>
        <v>1.2150000000000001</v>
      </c>
    </row>
    <row r="102" spans="1:45" ht="16.5" customHeight="1">
      <c r="A102" s="597" t="s">
        <v>944</v>
      </c>
      <c r="B102" s="597"/>
      <c r="C102" s="377">
        <f>+'Exhibit F'!D93+'Exhibit G'!D78</f>
        <v>1.9</v>
      </c>
      <c r="D102" s="377"/>
      <c r="E102" s="377">
        <f>+'Exhibit F'!F93+'Exhibit G'!F78</f>
        <v>1.4</v>
      </c>
      <c r="F102" s="377"/>
      <c r="G102" s="377">
        <f>+'Exhibit F'!H93+'Exhibit G'!H78</f>
        <v>1.7000000000000002</v>
      </c>
      <c r="H102" s="377"/>
      <c r="I102" s="377">
        <f>+'Exhibit F'!J93+'Exhibit G'!J78</f>
        <v>1.4000000000000004</v>
      </c>
      <c r="J102" s="377"/>
      <c r="K102" s="377">
        <f>+'Exhibit F'!L93+'Exhibit G'!L78</f>
        <v>-0.20000000000000018</v>
      </c>
      <c r="L102" s="377"/>
      <c r="M102" s="377">
        <f>+'Exhibit F'!N93+'Exhibit G'!N78</f>
        <v>1.1999999999999993</v>
      </c>
      <c r="N102" s="377"/>
      <c r="O102" s="377">
        <f>+'Exhibit F'!P93+'Exhibit G'!P78</f>
        <v>1.2999999999999989</v>
      </c>
      <c r="P102" s="377"/>
      <c r="Q102" s="377">
        <f>+'Exhibit F'!R93+'Exhibit G'!R78</f>
        <v>1.3000000000000007</v>
      </c>
      <c r="R102" s="377"/>
      <c r="S102" s="377">
        <f>+'Exhibit F'!T93+'Exhibit G'!T78</f>
        <v>1.8000000000000007</v>
      </c>
      <c r="T102" s="377"/>
      <c r="U102" s="377">
        <f>+'Exhibit F'!V93+'Exhibit G'!V78</f>
        <v>19.300000000000004</v>
      </c>
      <c r="V102" s="377"/>
      <c r="W102" s="377">
        <f>+'Exhibit F'!X93+'Exhibit G'!X78</f>
        <v>1.1000000000000014</v>
      </c>
      <c r="X102" s="377"/>
      <c r="Y102" s="377">
        <f>+'Exhibit F'!Z93+'Exhibit G'!Z78</f>
        <v>1.5999999999999943</v>
      </c>
      <c r="Z102" s="377"/>
      <c r="AA102" s="378"/>
      <c r="AB102" s="377">
        <f t="shared" si="18"/>
        <v>33.799999999999997</v>
      </c>
      <c r="AC102" s="377"/>
      <c r="AD102" s="1826"/>
      <c r="AE102" s="377">
        <f>+'Exhibit F'!AF93+'Exhibit G'!AG78</f>
        <v>24.2</v>
      </c>
      <c r="AF102" s="377"/>
      <c r="AG102" s="377"/>
      <c r="AH102" s="377">
        <f t="shared" si="19"/>
        <v>9.6</v>
      </c>
      <c r="AI102" s="151"/>
      <c r="AJ102" s="663">
        <f t="shared" si="25"/>
        <v>0.39700000000000002</v>
      </c>
    </row>
    <row r="103" spans="1:45" ht="16.5" customHeight="1">
      <c r="A103" s="597" t="s">
        <v>945</v>
      </c>
      <c r="B103" s="597"/>
      <c r="C103" s="377">
        <f>+'Exhibit F'!D94+'Exhibit G'!D79+'Exhibit I'!E59+'Exhibit H'!B48</f>
        <v>109.49999999999999</v>
      </c>
      <c r="D103" s="377"/>
      <c r="E103" s="377">
        <f>+'Exhibit F'!F94+'Exhibit G'!F79+'Exhibit I'!G59+'Exhibit H'!D48</f>
        <v>68.3</v>
      </c>
      <c r="F103" s="377"/>
      <c r="G103" s="377">
        <f>+'Exhibit F'!H94+'Exhibit G'!H79+'Exhibit I'!I59+'Exhibit H'!F48</f>
        <v>76.599999999999994</v>
      </c>
      <c r="H103" s="377"/>
      <c r="I103" s="377">
        <f>+'Exhibit F'!J94+'Exhibit G'!J79+'Exhibit I'!K59+'Exhibit H'!H48</f>
        <v>50.60000000000003</v>
      </c>
      <c r="J103" s="377"/>
      <c r="K103" s="377">
        <f>+'Exhibit F'!L94+'Exhibit G'!L79+'Exhibit I'!M59+'Exhibit H'!J48</f>
        <v>47.500000000000014</v>
      </c>
      <c r="L103" s="377"/>
      <c r="M103" s="377">
        <f>+'Exhibit F'!N94+'Exhibit G'!N79+'Exhibit I'!O59+'Exhibit H'!L48</f>
        <v>84.4</v>
      </c>
      <c r="N103" s="377"/>
      <c r="O103" s="377">
        <f>+'Exhibit F'!P94+'Exhibit G'!P79+'Exhibit I'!Q59+'Exhibit H'!N48</f>
        <v>50.099999999999966</v>
      </c>
      <c r="P103" s="377"/>
      <c r="Q103" s="377">
        <f>+'Exhibit F'!R94+'Exhibit G'!R79+'Exhibit I'!S59+'Exhibit H'!P48</f>
        <v>40.800000000000026</v>
      </c>
      <c r="R103" s="377"/>
      <c r="S103" s="377">
        <f>+'Exhibit F'!T94+'Exhibit G'!T79+'Exhibit I'!U59+'Exhibit H'!R48</f>
        <v>78.199999999999989</v>
      </c>
      <c r="T103" s="377"/>
      <c r="U103" s="377">
        <f>+'Exhibit F'!V94+'Exhibit G'!V79+'Exhibit I'!W59+'Exhibit H'!T48</f>
        <v>9.0000000000000426</v>
      </c>
      <c r="V103" s="377"/>
      <c r="W103" s="377">
        <f>+'Exhibit F'!X94+'Exhibit G'!X79+'Exhibit I'!Y59+'Exhibit H'!V48</f>
        <v>85.399999999999906</v>
      </c>
      <c r="X103" s="377"/>
      <c r="Y103" s="377">
        <f>+'Exhibit F'!Z94+'Exhibit G'!Z79+'Exhibit I'!AA59+'Exhibit H'!X48</f>
        <v>53.700000000000109</v>
      </c>
      <c r="Z103" s="377"/>
      <c r="AA103" s="378"/>
      <c r="AB103" s="377">
        <f t="shared" si="18"/>
        <v>754.1</v>
      </c>
      <c r="AC103" s="377"/>
      <c r="AD103" s="1826"/>
      <c r="AE103" s="377">
        <f>+'Exhibit F'!AF94+'Exhibit G'!AG79+'Exhibit I'!AI59+'Exhibit H'!AD48</f>
        <v>852.3</v>
      </c>
      <c r="AF103" s="377"/>
      <c r="AG103" s="377"/>
      <c r="AH103" s="377">
        <f t="shared" si="19"/>
        <v>-98.2</v>
      </c>
      <c r="AI103" s="151"/>
      <c r="AJ103" s="1824">
        <f t="shared" si="25"/>
        <v>-0.115</v>
      </c>
    </row>
    <row r="104" spans="1:45" ht="16.5" customHeight="1">
      <c r="A104" s="597" t="s">
        <v>946</v>
      </c>
      <c r="B104" s="597"/>
      <c r="C104" s="377">
        <f>+'Exhibit F'!D95+'Exhibit G'!D80+'Exhibit I'!E60+'Exhibit H'!B49</f>
        <v>0.70000000000000007</v>
      </c>
      <c r="D104" s="377"/>
      <c r="E104" s="377">
        <f>+'Exhibit F'!F95+'Exhibit G'!F80+'Exhibit I'!G60+'Exhibit H'!D49</f>
        <v>1.6</v>
      </c>
      <c r="F104" s="377"/>
      <c r="G104" s="377">
        <f>+'Exhibit F'!H95+'Exhibit G'!H80+'Exhibit I'!I60+'Exhibit H'!F49</f>
        <v>2.0999999999999996</v>
      </c>
      <c r="H104" s="377"/>
      <c r="I104" s="377">
        <f>+'Exhibit F'!J95+'Exhibit G'!J80+'Exhibit I'!K60+'Exhibit H'!H49</f>
        <v>2.2999999999999998</v>
      </c>
      <c r="J104" s="377"/>
      <c r="K104" s="377">
        <f>+'Exhibit F'!L95+'Exhibit G'!L80+'Exhibit I'!M60+'Exhibit H'!J49</f>
        <v>1.4000000000000006</v>
      </c>
      <c r="L104" s="377"/>
      <c r="M104" s="377">
        <f>+'Exhibit F'!N95+'Exhibit G'!N80+'Exhibit I'!O60+'Exhibit H'!L49</f>
        <v>1.0999999999999992</v>
      </c>
      <c r="N104" s="377"/>
      <c r="O104" s="377">
        <f>+'Exhibit F'!P95+'Exhibit G'!P80+'Exhibit I'!Q60+'Exhibit H'!N49</f>
        <v>1.2999999999999987</v>
      </c>
      <c r="P104" s="377"/>
      <c r="Q104" s="377">
        <f>+'Exhibit F'!R95+'Exhibit G'!R80+'Exhibit I'!S60+'Exhibit H'!P49</f>
        <v>0.5</v>
      </c>
      <c r="R104" s="377"/>
      <c r="S104" s="377">
        <f>+'Exhibit F'!T95+'Exhibit G'!T80+'Exhibit I'!U60+'Exhibit H'!R49</f>
        <v>1.6</v>
      </c>
      <c r="T104" s="377"/>
      <c r="U104" s="377">
        <f>+'Exhibit F'!V95+'Exhibit G'!V80+'Exhibit I'!W60+'Exhibit H'!T49</f>
        <v>0.90000000000000036</v>
      </c>
      <c r="V104" s="377"/>
      <c r="W104" s="377">
        <f>+'Exhibit F'!X95+'Exhibit G'!X80+'Exhibit I'!Y60+'Exhibit H'!V49</f>
        <v>6.3999999999999977</v>
      </c>
      <c r="X104" s="377"/>
      <c r="Y104" s="377">
        <f>+'Exhibit F'!Z95+'Exhibit G'!Z80+'Exhibit I'!AA60+'Exhibit H'!X49</f>
        <v>1.200000000000002</v>
      </c>
      <c r="Z104" s="377"/>
      <c r="AA104" s="378"/>
      <c r="AB104" s="377">
        <f t="shared" si="18"/>
        <v>21.1</v>
      </c>
      <c r="AC104" s="377"/>
      <c r="AD104" s="1826"/>
      <c r="AE104" s="377">
        <f>+'Exhibit F'!AF95+'Exhibit G'!AG80+'Exhibit I'!AI60+'Exhibit H'!AD49</f>
        <v>35.5</v>
      </c>
      <c r="AF104" s="377"/>
      <c r="AG104" s="377"/>
      <c r="AH104" s="377">
        <f t="shared" si="19"/>
        <v>-14.4</v>
      </c>
      <c r="AI104" s="151"/>
      <c r="AJ104" s="663">
        <f t="shared" si="25"/>
        <v>-0.40600000000000003</v>
      </c>
    </row>
    <row r="105" spans="1:45" ht="16.5" customHeight="1">
      <c r="A105" s="597" t="s">
        <v>947</v>
      </c>
      <c r="B105" s="597"/>
      <c r="C105" s="377">
        <f>+'Exhibit G'!D81</f>
        <v>36.700000000000003</v>
      </c>
      <c r="D105" s="377"/>
      <c r="E105" s="377">
        <f>+'Exhibit G'!F81</f>
        <v>-26.1</v>
      </c>
      <c r="F105" s="377"/>
      <c r="G105" s="377">
        <f>+'Exhibit G'!H81</f>
        <v>54.100000000000009</v>
      </c>
      <c r="H105" s="377"/>
      <c r="I105" s="377">
        <f>+'Exhibit G'!J81</f>
        <v>25.399999999999984</v>
      </c>
      <c r="J105" s="377"/>
      <c r="K105" s="377">
        <f>+'Exhibit G'!L81</f>
        <v>98.200000000000031</v>
      </c>
      <c r="L105" s="377"/>
      <c r="M105" s="377">
        <f>+'Exhibit G'!N81</f>
        <v>415.49999999999989</v>
      </c>
      <c r="N105" s="377"/>
      <c r="O105" s="377">
        <f>+'Exhibit G'!P81</f>
        <v>96.700000000000045</v>
      </c>
      <c r="P105" s="377"/>
      <c r="Q105" s="377">
        <f>+'Exhibit G'!R81</f>
        <v>71</v>
      </c>
      <c r="R105" s="377"/>
      <c r="S105" s="377">
        <f>+'Exhibit G'!T81</f>
        <v>-25.600000000000023</v>
      </c>
      <c r="T105" s="377"/>
      <c r="U105" s="377">
        <f>+'Exhibit G'!V81</f>
        <v>246.10000000000002</v>
      </c>
      <c r="V105" s="377"/>
      <c r="W105" s="377">
        <f>+'Exhibit G'!X81</f>
        <v>293.89999999999998</v>
      </c>
      <c r="X105" s="377"/>
      <c r="Y105" s="377">
        <f>+'Exhibit G'!Z81</f>
        <v>0.89999999999986358</v>
      </c>
      <c r="Z105" s="377"/>
      <c r="AA105" s="378"/>
      <c r="AB105" s="377">
        <f t="shared" si="18"/>
        <v>1286.8</v>
      </c>
      <c r="AC105" s="377"/>
      <c r="AD105" s="1826"/>
      <c r="AE105" s="377">
        <f>+'Exhibit G'!AG81</f>
        <v>1244.2</v>
      </c>
      <c r="AF105" s="377"/>
      <c r="AG105" s="377"/>
      <c r="AH105" s="377">
        <f t="shared" si="19"/>
        <v>42.6</v>
      </c>
      <c r="AI105" s="151"/>
      <c r="AJ105" s="663">
        <f>ROUND(IF(AE105=0,0,AH105/ABS(AE105)),3)</f>
        <v>3.4000000000000002E-2</v>
      </c>
    </row>
    <row r="106" spans="1:45" s="302" customFormat="1" ht="16.5" customHeight="1">
      <c r="A106" s="217" t="s">
        <v>980</v>
      </c>
      <c r="B106" s="138"/>
      <c r="C106" s="178">
        <f>ROUND(SUM(C64:C105),1)</f>
        <v>2707.9</v>
      </c>
      <c r="D106" s="751"/>
      <c r="E106" s="178">
        <f>ROUND(SUM(E64:E105),1)</f>
        <v>2561.1999999999998</v>
      </c>
      <c r="F106" s="751"/>
      <c r="G106" s="178">
        <f>ROUND(SUM(G64:G105),1)</f>
        <v>2500.8000000000002</v>
      </c>
      <c r="H106" s="42"/>
      <c r="I106" s="178">
        <f>ROUND(SUM(I64:I105),1)</f>
        <v>1834</v>
      </c>
      <c r="J106" s="42"/>
      <c r="K106" s="178">
        <f>ROUND(SUM(K64:K105),1)</f>
        <v>2314.6999999999998</v>
      </c>
      <c r="L106" s="42"/>
      <c r="M106" s="178">
        <f>ROUND(SUM(M64:M105),1)</f>
        <v>3346</v>
      </c>
      <c r="N106" s="42"/>
      <c r="O106" s="1257">
        <f>ROUND(SUM(O64:O105),1)</f>
        <v>2497.3000000000002</v>
      </c>
      <c r="P106" s="42"/>
      <c r="Q106" s="1257">
        <f>ROUND(SUM(Q64:Q105),1)</f>
        <v>2550.4</v>
      </c>
      <c r="R106" s="42"/>
      <c r="S106" s="178">
        <f>ROUND(SUM(S64:S105),1)</f>
        <v>2904.3</v>
      </c>
      <c r="T106" s="42"/>
      <c r="U106" s="178">
        <f>ROUND(SUM(U64:U105),1)</f>
        <v>2415</v>
      </c>
      <c r="V106" s="42"/>
      <c r="W106" s="178">
        <f>ROUND(SUM(W64:W105),1)</f>
        <v>2527</v>
      </c>
      <c r="X106" s="111"/>
      <c r="Y106" s="178">
        <f>ROUND(SUM(Y64:Y105),1)</f>
        <v>3682.5</v>
      </c>
      <c r="Z106" s="111"/>
      <c r="AA106" s="179"/>
      <c r="AB106" s="178">
        <f>ROUND(SUM(AB64:AB105),1)</f>
        <v>31841.1</v>
      </c>
      <c r="AC106" s="42"/>
      <c r="AD106" s="44"/>
      <c r="AE106" s="178">
        <f>ROUND(SUM(AE64:AE105),1)</f>
        <v>27932.2</v>
      </c>
      <c r="AF106" s="42"/>
      <c r="AG106" s="1827"/>
      <c r="AH106" s="178">
        <f>ROUND(SUM(AH64:AH105),1)</f>
        <v>3908.9</v>
      </c>
      <c r="AI106" s="42"/>
      <c r="AJ106" s="13">
        <f>ROUND(IF(AE106=0,0,AH106/ABS(AE106)),3)</f>
        <v>0.14000000000000001</v>
      </c>
      <c r="AL106" s="141"/>
    </row>
    <row r="107" spans="1:45" s="302" customFormat="1" ht="16.5" customHeight="1">
      <c r="A107" s="369"/>
      <c r="B107" s="369"/>
      <c r="C107" s="381"/>
      <c r="D107" s="381"/>
      <c r="E107" s="381"/>
      <c r="F107" s="381"/>
      <c r="G107" s="381"/>
      <c r="H107" s="381"/>
      <c r="I107" s="381"/>
      <c r="J107" s="381"/>
      <c r="K107" s="381"/>
      <c r="L107" s="381"/>
      <c r="M107" s="381"/>
      <c r="N107" s="381"/>
      <c r="O107" s="381"/>
      <c r="P107" s="381"/>
      <c r="Q107" s="381"/>
      <c r="R107" s="381"/>
      <c r="S107" s="381"/>
      <c r="T107" s="381"/>
      <c r="U107" s="381"/>
      <c r="V107" s="381"/>
      <c r="W107" s="381"/>
      <c r="X107" s="381"/>
      <c r="Y107" s="381" t="s">
        <v>14</v>
      </c>
      <c r="Z107" s="381"/>
      <c r="AA107" s="382"/>
      <c r="AB107" s="381" t="s">
        <v>14</v>
      </c>
      <c r="AC107" s="381"/>
      <c r="AD107" s="382"/>
      <c r="AE107" s="381"/>
      <c r="AF107" s="381"/>
      <c r="AG107" s="381"/>
      <c r="AH107" s="381"/>
      <c r="AI107" s="369"/>
      <c r="AJ107" s="189"/>
      <c r="AL107" s="141"/>
    </row>
    <row r="108" spans="1:45" ht="16.5" customHeight="1">
      <c r="A108" s="151" t="s">
        <v>20</v>
      </c>
      <c r="B108" s="151"/>
      <c r="C108" s="379">
        <f>+'Exhibit F'!D98+'Exhibit G'!D84+'Exhibit H'!B52+'Exhibit I'!E63</f>
        <v>6751.7</v>
      </c>
      <c r="D108" s="377"/>
      <c r="E108" s="379">
        <f>+'Exhibit F'!F98+'Exhibit G'!F84+'Exhibit H'!D52+'Exhibit I'!G63</f>
        <v>7503.3</v>
      </c>
      <c r="F108" s="377"/>
      <c r="G108" s="379">
        <f>+'Exhibit F'!H98+'Exhibit G'!H84+'Exhibit H'!F52+'Exhibit I'!I63</f>
        <v>8221</v>
      </c>
      <c r="H108" s="377"/>
      <c r="I108" s="379">
        <f>+'Exhibit F'!J98+'Exhibit G'!J84+'Exhibit H'!H52+'Exhibit I'!K63</f>
        <v>5686.7999999999984</v>
      </c>
      <c r="J108" s="377"/>
      <c r="K108" s="379">
        <f>+'Exhibit F'!L98+'Exhibit G'!L84+'Exhibit H'!J52+'Exhibit I'!M63</f>
        <v>6203.4999999999955</v>
      </c>
      <c r="L108" s="377"/>
      <c r="M108" s="379">
        <f>+'Exhibit F'!N98+'Exhibit G'!N84+'Exhibit H'!L52+'Exhibit I'!O63</f>
        <v>8820.6999999999989</v>
      </c>
      <c r="N108" s="377"/>
      <c r="O108" s="379">
        <f>+'Exhibit F'!P98+'Exhibit G'!P84+'Exhibit H'!N52+'Exhibit I'!Q63</f>
        <v>5509.5000000000018</v>
      </c>
      <c r="P108" s="377"/>
      <c r="Q108" s="379">
        <f>+'Exhibit F'!R98+'Exhibit G'!R84+'Exhibit H'!P52+'Exhibit I'!S63</f>
        <v>5427.4000000000005</v>
      </c>
      <c r="R108" s="377"/>
      <c r="S108" s="379">
        <f>+'Exhibit F'!T98+'Exhibit G'!T84+'Exhibit H'!R52+'Exhibit I'!U63</f>
        <v>11287.700000000004</v>
      </c>
      <c r="T108" s="377"/>
      <c r="U108" s="379">
        <f>+'Exhibit F'!V98+'Exhibit G'!V84+'Exhibit H'!T52+'Exhibit I'!W63</f>
        <v>7492.9999999999982</v>
      </c>
      <c r="V108" s="377"/>
      <c r="W108" s="379">
        <f>+'Exhibit F'!X98+'Exhibit G'!X84+'Exhibit H'!V52+'Exhibit I'!Y63</f>
        <v>5732.0000000000164</v>
      </c>
      <c r="X108" s="377"/>
      <c r="Y108" s="379">
        <f>+'Exhibit F'!Z98+'Exhibit G'!Z84+'Exhibit H'!X52+'Exhibit I'!AA63</f>
        <v>10926.499999999993</v>
      </c>
      <c r="Z108" s="377"/>
      <c r="AA108" s="378"/>
      <c r="AB108" s="1762">
        <f>ROUND(SUM(C108:Y108),1)</f>
        <v>89563.1</v>
      </c>
      <c r="AC108" s="377"/>
      <c r="AD108" s="1826"/>
      <c r="AE108" s="379">
        <f>+'Exhibit F'!AF98+'Exhibit G'!AG84+'Exhibit H'!AD52+'Exhibit I'!AI63</f>
        <v>95306.400000000009</v>
      </c>
      <c r="AF108" s="377"/>
      <c r="AG108" s="377"/>
      <c r="AH108" s="1762">
        <f>ROUND(SUM(AB108-AE108),1)</f>
        <v>-5743.3</v>
      </c>
      <c r="AI108" s="151"/>
      <c r="AJ108" s="1828">
        <f>ROUND(IF(AE108=0,0,AH108/ABS(AE108)),3)</f>
        <v>-0.06</v>
      </c>
    </row>
    <row r="109" spans="1:45" ht="16.5" customHeight="1">
      <c r="A109" s="151"/>
      <c r="B109" s="151"/>
      <c r="C109" s="377"/>
      <c r="D109" s="377"/>
      <c r="E109" s="377"/>
      <c r="F109" s="377"/>
      <c r="G109" s="377"/>
      <c r="H109" s="377"/>
      <c r="I109" s="377"/>
      <c r="J109" s="377"/>
      <c r="K109" s="377"/>
      <c r="L109" s="377"/>
      <c r="M109" s="377"/>
      <c r="N109" s="377"/>
      <c r="O109" s="377"/>
      <c r="P109" s="377"/>
      <c r="Q109" s="377"/>
      <c r="R109" s="377"/>
      <c r="S109" s="377"/>
      <c r="T109" s="377"/>
      <c r="U109" s="377"/>
      <c r="V109" s="377"/>
      <c r="W109" s="377"/>
      <c r="X109" s="377"/>
      <c r="Y109" s="377"/>
      <c r="Z109" s="377"/>
      <c r="AA109" s="378"/>
      <c r="AB109" s="377"/>
      <c r="AC109" s="377"/>
      <c r="AD109" s="1826"/>
      <c r="AE109" s="377"/>
      <c r="AF109" s="377"/>
      <c r="AG109" s="377"/>
      <c r="AH109" s="377"/>
      <c r="AI109" s="151"/>
      <c r="AJ109" s="1829"/>
    </row>
    <row r="110" spans="1:45" ht="16.5" customHeight="1">
      <c r="A110" s="19" t="s">
        <v>147</v>
      </c>
      <c r="B110" s="20"/>
      <c r="C110" s="603">
        <f>ROUND(SUM(C108+C106+C60),1)</f>
        <v>27599.4</v>
      </c>
      <c r="D110" s="42"/>
      <c r="E110" s="603">
        <f>ROUND(SUM(E108+E106+E60),1)</f>
        <v>14815</v>
      </c>
      <c r="F110" s="42"/>
      <c r="G110" s="603">
        <f>ROUND(SUM(G108+G106+G60),1)</f>
        <v>22254.799999999999</v>
      </c>
      <c r="H110" s="42"/>
      <c r="I110" s="603">
        <f>ROUND(SUM(I108+I106+I60),1)</f>
        <v>12900.5</v>
      </c>
      <c r="J110" s="42"/>
      <c r="K110" s="603">
        <f>ROUND(SUM(K108+K106+K60),1)</f>
        <v>14091.6</v>
      </c>
      <c r="L110" s="42"/>
      <c r="M110" s="603">
        <f>ROUND(SUM(M108+M106+M60),1)</f>
        <v>25180.5</v>
      </c>
      <c r="N110" s="42"/>
      <c r="O110" s="603">
        <f>ROUND(SUM(O108+O106+O60),1)</f>
        <v>11655.1</v>
      </c>
      <c r="P110" s="42"/>
      <c r="Q110" s="603">
        <f>ROUND(SUM(Q108+Q106+Q60),1)</f>
        <v>12966.3</v>
      </c>
      <c r="R110" s="42"/>
      <c r="S110" s="603">
        <f>ROUND(SUM(S108+S106+S60),1)</f>
        <v>27013.3</v>
      </c>
      <c r="T110" s="42"/>
      <c r="U110" s="603">
        <f>ROUND(SUM(U108+U106+U60),1)</f>
        <v>21169.3</v>
      </c>
      <c r="V110" s="42"/>
      <c r="W110" s="603">
        <f>ROUND(SUM(W108+W106+W60),1)</f>
        <v>14635.9</v>
      </c>
      <c r="X110" s="111"/>
      <c r="Y110" s="603">
        <f>ROUND(SUM(Y108+Y106+Y60),1)</f>
        <v>28778.6</v>
      </c>
      <c r="Z110" s="175"/>
      <c r="AA110" s="19"/>
      <c r="AB110" s="603">
        <f>ROUND(SUM(AB108+AB106+AB60),1)</f>
        <v>233060.3</v>
      </c>
      <c r="AC110" s="42"/>
      <c r="AD110" s="44"/>
      <c r="AE110" s="603">
        <f>ROUND(SUM(AE108+AE106+AE60),1)</f>
        <v>244374.6</v>
      </c>
      <c r="AF110" s="42"/>
      <c r="AG110" s="1827"/>
      <c r="AH110" s="603">
        <f>ROUND(SUM(AH108+AH106+AH60),1)</f>
        <v>-11314.3</v>
      </c>
      <c r="AI110" s="42"/>
      <c r="AJ110" s="1825">
        <f>ROUND(IF(AE110=0,0,AH110/ABS(AE110)),3)</f>
        <v>-4.5999999999999999E-2</v>
      </c>
      <c r="AK110" s="302"/>
      <c r="AM110" s="302"/>
      <c r="AN110" s="302"/>
      <c r="AO110" s="302"/>
      <c r="AP110" s="302"/>
      <c r="AQ110" s="302"/>
      <c r="AR110" s="302"/>
      <c r="AS110" s="302"/>
    </row>
    <row r="111" spans="1:45" ht="16.5" customHeight="1">
      <c r="A111" s="111"/>
      <c r="B111" s="151"/>
      <c r="C111" s="35"/>
      <c r="D111" s="377"/>
      <c r="E111" s="35"/>
      <c r="F111" s="377"/>
      <c r="G111" s="35"/>
      <c r="H111" s="377"/>
      <c r="I111" s="35"/>
      <c r="J111" s="377"/>
      <c r="K111" s="35"/>
      <c r="L111" s="377"/>
      <c r="M111" s="35"/>
      <c r="N111" s="377"/>
      <c r="O111" s="35"/>
      <c r="P111" s="377"/>
      <c r="Q111" s="35"/>
      <c r="R111" s="377"/>
      <c r="S111" s="35"/>
      <c r="T111" s="377"/>
      <c r="U111" s="35"/>
      <c r="V111" s="377"/>
      <c r="W111" s="35"/>
      <c r="X111" s="377"/>
      <c r="Y111" s="35"/>
      <c r="Z111" s="377"/>
      <c r="AA111" s="378"/>
      <c r="AB111" s="35"/>
      <c r="AC111" s="377"/>
      <c r="AD111" s="1826"/>
      <c r="AE111" s="35"/>
      <c r="AF111" s="377"/>
      <c r="AG111" s="377"/>
      <c r="AH111" s="467"/>
      <c r="AI111" s="151"/>
      <c r="AJ111" s="472"/>
    </row>
    <row r="112" spans="1:45" ht="16.5" customHeight="1">
      <c r="A112" s="111" t="s">
        <v>22</v>
      </c>
      <c r="B112" s="151"/>
      <c r="C112" s="377"/>
      <c r="D112" s="377"/>
      <c r="E112" s="377"/>
      <c r="F112" s="377"/>
      <c r="G112" s="377"/>
      <c r="H112" s="377"/>
      <c r="I112" s="377"/>
      <c r="J112" s="377"/>
      <c r="K112" s="377"/>
      <c r="L112" s="377"/>
      <c r="M112" s="377"/>
      <c r="N112" s="377"/>
      <c r="O112" s="377"/>
      <c r="P112" s="377"/>
      <c r="Q112" s="377"/>
      <c r="R112" s="377"/>
      <c r="S112" s="377"/>
      <c r="T112" s="377"/>
      <c r="U112" s="377"/>
      <c r="V112" s="377"/>
      <c r="W112" s="377"/>
      <c r="X112" s="377"/>
      <c r="Y112" s="377"/>
      <c r="Z112" s="377"/>
      <c r="AA112" s="378"/>
      <c r="AB112" s="377"/>
      <c r="AC112" s="377"/>
      <c r="AD112" s="1826"/>
      <c r="AE112" s="377"/>
      <c r="AF112" s="377"/>
      <c r="AG112" s="377"/>
      <c r="AH112" s="467"/>
      <c r="AI112" s="151"/>
      <c r="AJ112" s="472"/>
    </row>
    <row r="113" spans="1:37" ht="16.5" customHeight="1">
      <c r="A113" s="151" t="s">
        <v>135</v>
      </c>
      <c r="B113" s="151"/>
      <c r="C113" s="377"/>
      <c r="D113" s="377"/>
      <c r="E113" s="377"/>
      <c r="F113" s="377"/>
      <c r="G113" s="377"/>
      <c r="H113" s="377"/>
      <c r="I113" s="377"/>
      <c r="J113" s="377"/>
      <c r="K113" s="377"/>
      <c r="L113" s="377"/>
      <c r="M113" s="377"/>
      <c r="N113" s="377"/>
      <c r="O113" s="377"/>
      <c r="P113" s="377"/>
      <c r="Q113" s="377"/>
      <c r="R113" s="377"/>
      <c r="S113" s="377"/>
      <c r="T113" s="377"/>
      <c r="U113" s="377"/>
      <c r="V113" s="377"/>
      <c r="W113" s="377"/>
      <c r="X113" s="377"/>
      <c r="Y113" s="377"/>
      <c r="Z113" s="377"/>
      <c r="AA113" s="378"/>
      <c r="AB113" s="377"/>
      <c r="AC113" s="377"/>
      <c r="AD113" s="1826"/>
      <c r="AE113" s="36"/>
      <c r="AF113" s="377"/>
      <c r="AG113" s="377"/>
      <c r="AH113" s="377"/>
      <c r="AI113" s="151"/>
      <c r="AJ113" s="488"/>
    </row>
    <row r="114" spans="1:37" ht="16.5" customHeight="1">
      <c r="A114" s="176" t="s">
        <v>24</v>
      </c>
      <c r="B114" s="151"/>
      <c r="C114" s="377">
        <f>+'Exhibit F'!D104+'Exhibit G'!D90+'Exhibit I'!E69</f>
        <v>2000.1</v>
      </c>
      <c r="D114" s="377"/>
      <c r="E114" s="377">
        <f>+'Exhibit F'!F104+'Exhibit G'!F90+'Exhibit I'!G69</f>
        <v>5113.4000000000005</v>
      </c>
      <c r="F114" s="377"/>
      <c r="G114" s="377">
        <f>+'Exhibit F'!H104+'Exhibit G'!H90+'Exhibit I'!I69</f>
        <v>3018.7999999999997</v>
      </c>
      <c r="H114" s="377"/>
      <c r="I114" s="377">
        <f>+'Exhibit F'!J104+'Exhibit G'!J90+'Exhibit I'!K69</f>
        <v>1613.2999999999997</v>
      </c>
      <c r="J114" s="377"/>
      <c r="K114" s="377">
        <f>+'Exhibit F'!L104+'Exhibit G'!L90+'Exhibit I'!M69</f>
        <v>1251.1999999999998</v>
      </c>
      <c r="L114" s="377"/>
      <c r="M114" s="377">
        <f>+'Exhibit F'!N104+'Exhibit G'!N90+'Exhibit I'!O69</f>
        <v>5109.7</v>
      </c>
      <c r="N114" s="377"/>
      <c r="O114" s="377">
        <f>+'Exhibit F'!P104+'Exhibit G'!P90+'Exhibit I'!Q69</f>
        <v>1647.5000000000014</v>
      </c>
      <c r="P114" s="377"/>
      <c r="Q114" s="377">
        <f>+'Exhibit F'!R104+'Exhibit G'!R90+'Exhibit I'!S69</f>
        <v>2867.4999999999995</v>
      </c>
      <c r="R114" s="377"/>
      <c r="S114" s="377">
        <f>+'Exhibit F'!T104+'Exhibit G'!T90+'Exhibit I'!U69</f>
        <v>5666.7000000000016</v>
      </c>
      <c r="T114" s="377"/>
      <c r="U114" s="377">
        <f>+'Exhibit F'!V104+'Exhibit G'!V90+'Exhibit I'!W69</f>
        <v>3423.9999999999995</v>
      </c>
      <c r="V114" s="377"/>
      <c r="W114" s="377">
        <f>+'Exhibit F'!X104+'Exhibit G'!X90+'Exhibit I'!Y69</f>
        <v>2783.2999999999984</v>
      </c>
      <c r="X114" s="377"/>
      <c r="Y114" s="377">
        <f>+'Exhibit F'!Z104+'Exhibit G'!Z90+'Exhibit I'!AA69</f>
        <v>11545.6</v>
      </c>
      <c r="Z114" s="377"/>
      <c r="AA114" s="378"/>
      <c r="AB114" s="36">
        <f>ROUND(SUM(C114:Y114),1)</f>
        <v>46041.1</v>
      </c>
      <c r="AC114" s="377"/>
      <c r="AD114" s="1826"/>
      <c r="AE114" s="36">
        <f>+'Exhibit F'!AF104+'Exhibit G'!AG90+'Exhibit I'!AI69</f>
        <v>41769.200000000004</v>
      </c>
      <c r="AF114" s="377"/>
      <c r="AG114" s="377"/>
      <c r="AH114" s="377">
        <f>ROUND(SUM(AB114-AE114),1)</f>
        <v>4271.8999999999996</v>
      </c>
      <c r="AI114" s="151"/>
      <c r="AJ114" s="663">
        <f>ROUND(IF(AE114=0,0,AH114/ABS(AE114)),3)</f>
        <v>0.10199999999999999</v>
      </c>
    </row>
    <row r="115" spans="1:37" ht="16.5" customHeight="1">
      <c r="A115" s="176" t="s">
        <v>25</v>
      </c>
      <c r="B115" s="151"/>
      <c r="C115" s="377">
        <f>+'Exhibit F'!D105+'Exhibit G'!D91+'Exhibit I'!E70</f>
        <v>4.3999999999999995</v>
      </c>
      <c r="D115" s="377"/>
      <c r="E115" s="377">
        <f>+'Exhibit F'!F105+'Exhibit G'!F91+'Exhibit I'!G70</f>
        <v>9.0999999999999979</v>
      </c>
      <c r="F115" s="377"/>
      <c r="G115" s="377">
        <f>+'Exhibit F'!H105+'Exhibit G'!H91+'Exhibit I'!I70</f>
        <v>11.6</v>
      </c>
      <c r="H115" s="377"/>
      <c r="I115" s="377">
        <f>+'Exhibit F'!J105+'Exhibit G'!J91+'Exhibit I'!K70</f>
        <v>14.800000000000002</v>
      </c>
      <c r="J115" s="377"/>
      <c r="K115" s="377">
        <f>+'Exhibit F'!L105+'Exhibit G'!L91+'Exhibit I'!M70</f>
        <v>148.20000000000002</v>
      </c>
      <c r="L115" s="377"/>
      <c r="M115" s="377">
        <f>+'Exhibit F'!N105+'Exhibit G'!N91+'Exhibit I'!O70</f>
        <v>8.1999999999999869</v>
      </c>
      <c r="N115" s="377"/>
      <c r="O115" s="377">
        <f>+'Exhibit F'!P105+'Exhibit G'!P91+'Exhibit I'!Q70</f>
        <v>14.200000000000012</v>
      </c>
      <c r="P115" s="377"/>
      <c r="Q115" s="377">
        <f>+'Exhibit F'!R105+'Exhibit G'!R91+'Exhibit I'!S70</f>
        <v>13.3</v>
      </c>
      <c r="R115" s="377"/>
      <c r="S115" s="377">
        <f>+'Exhibit F'!T105+'Exhibit G'!T91+'Exhibit I'!U70</f>
        <v>6.600000000000005</v>
      </c>
      <c r="T115" s="377"/>
      <c r="U115" s="377">
        <f>+'Exhibit F'!V105+'Exhibit G'!V91+'Exhibit I'!W70</f>
        <v>77.899999999999977</v>
      </c>
      <c r="V115" s="377"/>
      <c r="W115" s="377">
        <f>+'Exhibit F'!X105+'Exhibit G'!X91+'Exhibit I'!Y70</f>
        <v>15.700000000000001</v>
      </c>
      <c r="X115" s="377"/>
      <c r="Y115" s="377">
        <f>+'Exhibit F'!Z105+'Exhibit G'!Z91+'Exhibit I'!AA70</f>
        <v>177.2</v>
      </c>
      <c r="Z115" s="377"/>
      <c r="AA115" s="378"/>
      <c r="AB115" s="36">
        <f t="shared" ref="AB115:AB122" si="26">ROUND(SUM(C115:Y115),1)</f>
        <v>501.2</v>
      </c>
      <c r="AC115" s="377"/>
      <c r="AD115" s="1826"/>
      <c r="AE115" s="36">
        <f>+'Exhibit F'!AF105+'Exhibit G'!AG91+'Exhibit I'!AI70</f>
        <v>382.79999999999995</v>
      </c>
      <c r="AF115" s="377"/>
      <c r="AG115" s="377"/>
      <c r="AH115" s="377">
        <f t="shared" ref="AH115:AH122" si="27">ROUND(SUM(AB115-AE115),1)</f>
        <v>118.4</v>
      </c>
      <c r="AI115" s="151"/>
      <c r="AJ115" s="663">
        <f>ROUND(IF(AE115=0,0,AH115/ABS(AE115)),3)</f>
        <v>0.309</v>
      </c>
    </row>
    <row r="116" spans="1:37" ht="16.5" customHeight="1">
      <c r="A116" s="176" t="s">
        <v>26</v>
      </c>
      <c r="B116" s="151"/>
      <c r="C116" s="377">
        <f>+'Exhibit F'!D106+'Exhibit G'!D92+'Exhibit I'!E71</f>
        <v>155.20000000000002</v>
      </c>
      <c r="D116" s="377"/>
      <c r="E116" s="377">
        <f>+'Exhibit F'!F106+'Exhibit G'!F92+'Exhibit I'!G71</f>
        <v>200.2</v>
      </c>
      <c r="F116" s="377"/>
      <c r="G116" s="377">
        <f>+'Exhibit F'!H106+'Exhibit G'!H92+'Exhibit I'!I71</f>
        <v>486.1</v>
      </c>
      <c r="H116" s="377"/>
      <c r="I116" s="377">
        <f>+'Exhibit F'!J106+'Exhibit G'!J92+'Exhibit I'!K71</f>
        <v>464.69999999999993</v>
      </c>
      <c r="J116" s="377"/>
      <c r="K116" s="377">
        <f>+'Exhibit F'!L106+'Exhibit G'!L92+'Exhibit I'!M71</f>
        <v>136.49999999999997</v>
      </c>
      <c r="L116" s="377"/>
      <c r="M116" s="377">
        <f>+'Exhibit F'!N106+'Exhibit G'!N92+'Exhibit I'!O71</f>
        <v>220.00000000000003</v>
      </c>
      <c r="N116" s="377"/>
      <c r="O116" s="377">
        <f>+'Exhibit F'!P106+'Exhibit G'!P92+'Exhibit I'!Q71</f>
        <v>116.49999999999997</v>
      </c>
      <c r="P116" s="377"/>
      <c r="Q116" s="377">
        <f>+'Exhibit F'!R106+'Exhibit G'!R92+'Exhibit I'!S71</f>
        <v>85.59999999999998</v>
      </c>
      <c r="R116" s="377"/>
      <c r="S116" s="377">
        <f>+'Exhibit F'!T106+'Exhibit G'!T92+'Exhibit I'!U71</f>
        <v>359.90000000000009</v>
      </c>
      <c r="T116" s="377"/>
      <c r="U116" s="377">
        <f>+'Exhibit F'!V106+'Exhibit G'!V92+'Exhibit I'!W71</f>
        <v>65.500000000000057</v>
      </c>
      <c r="V116" s="377"/>
      <c r="W116" s="377">
        <f>+'Exhibit F'!X106+'Exhibit G'!X92+'Exhibit I'!Y71</f>
        <v>110.50000000000017</v>
      </c>
      <c r="X116" s="377"/>
      <c r="Y116" s="377">
        <f>+'Exhibit F'!Z106+'Exhibit G'!Z92+'Exhibit I'!AA71</f>
        <v>208.99999999999966</v>
      </c>
      <c r="Z116" s="377"/>
      <c r="AA116" s="378"/>
      <c r="AB116" s="36">
        <f t="shared" si="26"/>
        <v>2609.6999999999998</v>
      </c>
      <c r="AC116" s="377"/>
      <c r="AD116" s="1826"/>
      <c r="AE116" s="36">
        <f>+'Exhibit F'!AF106+'Exhibit G'!AG92+'Exhibit I'!AI71</f>
        <v>2304.8000000000002</v>
      </c>
      <c r="AF116" s="377"/>
      <c r="AG116" s="377"/>
      <c r="AH116" s="377">
        <f t="shared" si="27"/>
        <v>304.89999999999998</v>
      </c>
      <c r="AI116" s="151"/>
      <c r="AJ116" s="663">
        <f>ROUND(IF(AE116=0,0,AH116/ABS(AE116)),3)</f>
        <v>0.13200000000000001</v>
      </c>
    </row>
    <row r="117" spans="1:37" ht="16.5" customHeight="1">
      <c r="A117" s="176" t="s">
        <v>27</v>
      </c>
      <c r="B117" s="151"/>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8"/>
      <c r="AB117" s="36"/>
      <c r="AC117" s="377"/>
      <c r="AD117" s="1826"/>
      <c r="AE117" s="115"/>
      <c r="AF117" s="377"/>
      <c r="AG117" s="377"/>
      <c r="AH117" s="377" t="s">
        <v>14</v>
      </c>
      <c r="AI117" s="151"/>
      <c r="AJ117" s="488"/>
    </row>
    <row r="118" spans="1:37" ht="16.5" customHeight="1">
      <c r="A118" s="177" t="s">
        <v>28</v>
      </c>
      <c r="B118" s="151"/>
      <c r="C118" s="377">
        <f>+'Exhibit F'!D108+'Exhibit G'!D94+'Exhibit I'!E73</f>
        <v>7264.3000000000011</v>
      </c>
      <c r="D118" s="377"/>
      <c r="E118" s="377">
        <f>+'Exhibit F'!F108+'Exhibit G'!F94+'Exhibit I'!G73</f>
        <v>6366.9</v>
      </c>
      <c r="F118" s="377"/>
      <c r="G118" s="377">
        <f>+'Exhibit F'!H108+'Exhibit G'!H94+'Exhibit I'!I73</f>
        <v>6784.9000000000024</v>
      </c>
      <c r="H118" s="377"/>
      <c r="I118" s="377">
        <f>+'Exhibit F'!J108+'Exhibit G'!J94+'Exhibit I'!K73</f>
        <v>5959.0999999999985</v>
      </c>
      <c r="J118" s="377"/>
      <c r="K118" s="377">
        <f>+'Exhibit F'!L108+'Exhibit G'!L94+'Exhibit I'!M73</f>
        <v>6767.6999999999962</v>
      </c>
      <c r="L118" s="377"/>
      <c r="M118" s="377">
        <f>+'Exhibit F'!N108+'Exhibit G'!N94+'Exhibit I'!O73</f>
        <v>5742.9000000000051</v>
      </c>
      <c r="N118" s="377"/>
      <c r="O118" s="377">
        <f>+'Exhibit F'!P108+'Exhibit G'!P94+'Exhibit I'!Q73</f>
        <v>6924.0999999999949</v>
      </c>
      <c r="P118" s="377"/>
      <c r="Q118" s="377">
        <f>+'Exhibit F'!R108+'Exhibit G'!R94+'Exhibit I'!S73</f>
        <v>7519.7</v>
      </c>
      <c r="R118" s="377"/>
      <c r="S118" s="377">
        <f>+'Exhibit F'!T108+'Exhibit G'!T94+'Exhibit I'!U73</f>
        <v>7328.4000000000015</v>
      </c>
      <c r="T118" s="377"/>
      <c r="U118" s="377">
        <f>+'Exhibit F'!V108+'Exhibit G'!V94+'Exhibit I'!W73</f>
        <v>6770.9999999999927</v>
      </c>
      <c r="V118" s="377"/>
      <c r="W118" s="377">
        <f>+'Exhibit F'!X108+'Exhibit G'!X94+'Exhibit I'!Y73</f>
        <v>4482.5999999999967</v>
      </c>
      <c r="X118" s="377"/>
      <c r="Y118" s="377">
        <f>+'Exhibit F'!Z108+'Exhibit G'!Z94+'Exhibit I'!AA73</f>
        <v>8412.0000000000036</v>
      </c>
      <c r="Z118" s="377"/>
      <c r="AA118" s="378"/>
      <c r="AB118" s="36">
        <f t="shared" si="26"/>
        <v>80323.600000000006</v>
      </c>
      <c r="AC118" s="377"/>
      <c r="AD118" s="1826"/>
      <c r="AE118" s="36">
        <f>+'Exhibit F'!AF108+'Exhibit G'!AG94+'Exhibit I'!AI73</f>
        <v>72116.799999999988</v>
      </c>
      <c r="AF118" s="377"/>
      <c r="AG118" s="377"/>
      <c r="AH118" s="377">
        <f t="shared" si="27"/>
        <v>8206.7999999999993</v>
      </c>
      <c r="AI118" s="151"/>
      <c r="AJ118" s="663">
        <f t="shared" ref="AJ118:AJ124" si="28">ROUND(IF(AE118=0,0,AH118/ABS(AE118)),3)</f>
        <v>0.114</v>
      </c>
    </row>
    <row r="119" spans="1:37" ht="16.5" customHeight="1">
      <c r="A119" s="176" t="s">
        <v>29</v>
      </c>
      <c r="B119" s="151"/>
      <c r="C119" s="377">
        <f>+'Exhibit F'!D109+'Exhibit G'!D95+'Exhibit I'!E74</f>
        <v>637.79999999999995</v>
      </c>
      <c r="D119" s="377"/>
      <c r="E119" s="377">
        <f>+'Exhibit F'!F109+'Exhibit G'!F95+'Exhibit I'!G74</f>
        <v>825.39999999999986</v>
      </c>
      <c r="F119" s="377"/>
      <c r="G119" s="377">
        <f>+'Exhibit F'!H109+'Exhibit G'!H95+'Exhibit I'!I74</f>
        <v>1502.9000000000003</v>
      </c>
      <c r="H119" s="377"/>
      <c r="I119" s="377">
        <f>+'Exhibit F'!J109+'Exhibit G'!J95+'Exhibit I'!K74</f>
        <v>822.99999999999989</v>
      </c>
      <c r="J119" s="377"/>
      <c r="K119" s="377">
        <f>+'Exhibit F'!L109+'Exhibit G'!L95+'Exhibit I'!M74</f>
        <v>931.59999999999968</v>
      </c>
      <c r="L119" s="377"/>
      <c r="M119" s="377">
        <f>+'Exhibit F'!N109+'Exhibit G'!N95+'Exhibit I'!O74</f>
        <v>1284.4000000000001</v>
      </c>
      <c r="N119" s="377"/>
      <c r="O119" s="377">
        <f>+'Exhibit F'!P109+'Exhibit G'!P95+'Exhibit I'!Q74</f>
        <v>1059.9000000000001</v>
      </c>
      <c r="P119" s="377"/>
      <c r="Q119" s="377">
        <f>+'Exhibit F'!R109+'Exhibit G'!R95+'Exhibit I'!S74</f>
        <v>943.10000000000025</v>
      </c>
      <c r="R119" s="377"/>
      <c r="S119" s="377">
        <f>+'Exhibit F'!T109+'Exhibit G'!T95+'Exhibit I'!U74</f>
        <v>1464.4</v>
      </c>
      <c r="T119" s="377"/>
      <c r="U119" s="377">
        <f>+'Exhibit F'!V109+'Exhibit G'!V95+'Exhibit I'!W74</f>
        <v>973.90000000000066</v>
      </c>
      <c r="V119" s="377"/>
      <c r="W119" s="377">
        <f>+'Exhibit F'!X109+'Exhibit G'!X95+'Exhibit I'!Y74</f>
        <v>400.89999999999947</v>
      </c>
      <c r="X119" s="377"/>
      <c r="Y119" s="377">
        <f>+'Exhibit F'!Z109+'Exhibit G'!Z95+'Exhibit I'!AA74</f>
        <v>2808.8000000000015</v>
      </c>
      <c r="Z119" s="377"/>
      <c r="AA119" s="378"/>
      <c r="AB119" s="36">
        <f t="shared" si="26"/>
        <v>13656.1</v>
      </c>
      <c r="AC119" s="1763"/>
      <c r="AD119" s="377"/>
      <c r="AE119" s="36">
        <f>+'Exhibit F'!AF109+'Exhibit G'!AG95+'Exhibit I'!AI74</f>
        <v>12303.1</v>
      </c>
      <c r="AF119" s="377"/>
      <c r="AG119" s="377"/>
      <c r="AH119" s="377">
        <f t="shared" si="27"/>
        <v>1353</v>
      </c>
      <c r="AI119" s="151"/>
      <c r="AJ119" s="663">
        <f t="shared" si="28"/>
        <v>0.11</v>
      </c>
    </row>
    <row r="120" spans="1:37" ht="16.5" customHeight="1">
      <c r="A120" s="176" t="s">
        <v>30</v>
      </c>
      <c r="B120" s="151"/>
      <c r="C120" s="377">
        <f>+'Exhibit F'!D110+'Exhibit G'!D96+'Exhibit I'!E75</f>
        <v>93.1</v>
      </c>
      <c r="D120" s="377"/>
      <c r="E120" s="377">
        <f>+'Exhibit F'!F110+'Exhibit G'!F96+'Exhibit I'!G75</f>
        <v>134.29999999999998</v>
      </c>
      <c r="F120" s="377"/>
      <c r="G120" s="377">
        <f>+'Exhibit F'!H110+'Exhibit G'!H96+'Exhibit I'!I75</f>
        <v>235.50000000000006</v>
      </c>
      <c r="H120" s="377"/>
      <c r="I120" s="377">
        <f>+'Exhibit F'!J110+'Exhibit G'!J96+'Exhibit I'!K75</f>
        <v>106.10000000000001</v>
      </c>
      <c r="J120" s="377"/>
      <c r="K120" s="377">
        <f>+'Exhibit F'!L110+'Exhibit G'!L96+'Exhibit I'!M75</f>
        <v>269.59999999999997</v>
      </c>
      <c r="L120" s="377"/>
      <c r="M120" s="377">
        <f>+'Exhibit F'!N110+'Exhibit G'!N96+'Exhibit I'!O75</f>
        <v>149.20000000000002</v>
      </c>
      <c r="N120" s="377"/>
      <c r="O120" s="377">
        <f>+'Exhibit F'!P110+'Exhibit G'!P96+'Exhibit I'!Q75</f>
        <v>283.39999999999998</v>
      </c>
      <c r="P120" s="377"/>
      <c r="Q120" s="377">
        <f>+'Exhibit F'!R110+'Exhibit G'!R96+'Exhibit I'!S75</f>
        <v>152.00000000000006</v>
      </c>
      <c r="R120" s="377"/>
      <c r="S120" s="377">
        <f>+'Exhibit F'!T110+'Exhibit G'!T96+'Exhibit I'!U75</f>
        <v>976.50000000000023</v>
      </c>
      <c r="T120" s="377"/>
      <c r="U120" s="377">
        <f>+'Exhibit F'!V110+'Exhibit G'!V96+'Exhibit I'!W75</f>
        <v>229.00000000000003</v>
      </c>
      <c r="V120" s="377"/>
      <c r="W120" s="377">
        <f>+'Exhibit F'!X110+'Exhibit G'!X96+'Exhibit I'!Y75</f>
        <v>275.19999999999936</v>
      </c>
      <c r="X120" s="377"/>
      <c r="Y120" s="377">
        <f>+'Exhibit F'!Z110+'Exhibit G'!Z96+'Exhibit I'!AA75</f>
        <v>901</v>
      </c>
      <c r="Z120" s="377"/>
      <c r="AA120" s="378"/>
      <c r="AB120" s="36">
        <f t="shared" si="26"/>
        <v>3804.9</v>
      </c>
      <c r="AC120" s="1764"/>
      <c r="AD120" s="1826"/>
      <c r="AE120" s="36">
        <f>+'Exhibit F'!AF110+'Exhibit G'!AG96+'Exhibit I'!AI75</f>
        <v>2348.4</v>
      </c>
      <c r="AF120" s="377"/>
      <c r="AG120" s="377"/>
      <c r="AH120" s="377">
        <f t="shared" si="27"/>
        <v>1456.5</v>
      </c>
      <c r="AI120" s="151"/>
      <c r="AJ120" s="663">
        <f t="shared" si="28"/>
        <v>0.62</v>
      </c>
    </row>
    <row r="121" spans="1:37" ht="16.5" customHeight="1">
      <c r="A121" s="176" t="s">
        <v>31</v>
      </c>
      <c r="B121" s="151"/>
      <c r="C121" s="377">
        <f>+'Exhibit F'!D111+'Exhibit G'!D97+'Exhibit I'!E76</f>
        <v>592.20000000000005</v>
      </c>
      <c r="D121" s="377"/>
      <c r="E121" s="377">
        <f>+'Exhibit F'!F111+'Exhibit G'!F97+'Exhibit I'!G76</f>
        <v>804.9</v>
      </c>
      <c r="F121" s="377"/>
      <c r="G121" s="377">
        <f>+'Exhibit F'!H111+'Exhibit G'!H97+'Exhibit I'!I76</f>
        <v>1016.2999999999998</v>
      </c>
      <c r="H121" s="377"/>
      <c r="I121" s="377">
        <f>+'Exhibit F'!J111+'Exhibit G'!J97+'Exhibit I'!K76</f>
        <v>1183.0000000000002</v>
      </c>
      <c r="J121" s="377"/>
      <c r="K121" s="377">
        <f>+'Exhibit F'!L111+'Exhibit G'!L97+'Exhibit I'!M76</f>
        <v>809.8</v>
      </c>
      <c r="L121" s="377"/>
      <c r="M121" s="377">
        <f>+'Exhibit F'!N111+'Exhibit G'!N97+'Exhibit I'!O76</f>
        <v>885.00000000000011</v>
      </c>
      <c r="N121" s="377"/>
      <c r="O121" s="377">
        <f>+'Exhibit F'!P111+'Exhibit G'!P97+'Exhibit I'!Q76</f>
        <v>897.59999999999991</v>
      </c>
      <c r="P121" s="377"/>
      <c r="Q121" s="377">
        <f>+'Exhibit F'!R111+'Exhibit G'!R97+'Exhibit I'!S76</f>
        <v>517.69999999999959</v>
      </c>
      <c r="R121" s="377"/>
      <c r="S121" s="377">
        <f>+'Exhibit F'!T111+'Exhibit G'!T97+'Exhibit I'!U76</f>
        <v>1161.2000000000003</v>
      </c>
      <c r="T121" s="377"/>
      <c r="U121" s="377">
        <f>+'Exhibit F'!V111+'Exhibit G'!V97+'Exhibit I'!W76</f>
        <v>567.40000000000077</v>
      </c>
      <c r="V121" s="377"/>
      <c r="W121" s="377">
        <f>+'Exhibit F'!X111+'Exhibit G'!X97+'Exhibit I'!Y76</f>
        <v>1112.8999999999996</v>
      </c>
      <c r="X121" s="377"/>
      <c r="Y121" s="377">
        <f>+'Exhibit F'!Z111+'Exhibit G'!Z97+'Exhibit I'!AA76</f>
        <v>2651.6999999999994</v>
      </c>
      <c r="Z121" s="377"/>
      <c r="AA121" s="378"/>
      <c r="AB121" s="36">
        <f t="shared" si="26"/>
        <v>12199.7</v>
      </c>
      <c r="AC121" s="1764"/>
      <c r="AD121" s="1826"/>
      <c r="AE121" s="36">
        <f>+'Exhibit F'!AF111+'Exhibit G'!AG97+'Exhibit I'!AI76</f>
        <v>13306.999999999998</v>
      </c>
      <c r="AF121" s="377"/>
      <c r="AG121" s="377"/>
      <c r="AH121" s="377">
        <f t="shared" si="27"/>
        <v>-1107.3</v>
      </c>
      <c r="AI121" s="151"/>
      <c r="AJ121" s="663">
        <f t="shared" si="28"/>
        <v>-8.3000000000000004E-2</v>
      </c>
    </row>
    <row r="122" spans="1:37" ht="16.5" customHeight="1">
      <c r="A122" s="176" t="s">
        <v>32</v>
      </c>
      <c r="B122" s="151"/>
      <c r="C122" s="377">
        <f>+'Exhibit F'!D112+'Exhibit G'!D98+'Exhibit I'!E77</f>
        <v>25.6</v>
      </c>
      <c r="D122" s="377"/>
      <c r="E122" s="377">
        <f>+'Exhibit F'!F112+'Exhibit G'!F98+'Exhibit I'!G77</f>
        <v>32.799999999999997</v>
      </c>
      <c r="F122" s="377"/>
      <c r="G122" s="377">
        <f>+'Exhibit F'!H112+'Exhibit G'!H98+'Exhibit I'!I77</f>
        <v>104.50000000000003</v>
      </c>
      <c r="H122" s="377"/>
      <c r="I122" s="377">
        <f>+'Exhibit F'!J112+'Exhibit G'!J98+'Exhibit I'!K77</f>
        <v>241.20000000000002</v>
      </c>
      <c r="J122" s="377"/>
      <c r="K122" s="377">
        <f>+'Exhibit F'!L112+'Exhibit G'!L98+'Exhibit I'!M77</f>
        <v>273.99999999999994</v>
      </c>
      <c r="L122" s="377"/>
      <c r="M122" s="377">
        <f>+'Exhibit F'!N112+'Exhibit G'!N98+'Exhibit I'!O77</f>
        <v>28.500000000000014</v>
      </c>
      <c r="N122" s="377"/>
      <c r="O122" s="377">
        <f>+'Exhibit F'!P112+'Exhibit G'!P98+'Exhibit I'!Q77</f>
        <v>142.89999999999986</v>
      </c>
      <c r="P122" s="377"/>
      <c r="Q122" s="377">
        <f>+'Exhibit F'!R112+'Exhibit G'!R98+'Exhibit I'!S77</f>
        <v>161.70000000000005</v>
      </c>
      <c r="R122" s="377"/>
      <c r="S122" s="377">
        <f>+'Exhibit F'!T112+'Exhibit G'!T98+'Exhibit I'!U77</f>
        <v>152.20000000000002</v>
      </c>
      <c r="T122" s="377"/>
      <c r="U122" s="377">
        <f>+'Exhibit F'!V112+'Exhibit G'!V98+'Exhibit I'!W77</f>
        <v>33.600000000000016</v>
      </c>
      <c r="V122" s="377"/>
      <c r="W122" s="377">
        <f>+'Exhibit F'!X112+'Exhibit G'!X98+'Exhibit I'!Y77</f>
        <v>154.00000000000003</v>
      </c>
      <c r="X122" s="377"/>
      <c r="Y122" s="377">
        <f>+'Exhibit F'!Z112+'Exhibit G'!Z98+'Exhibit I'!AA77</f>
        <v>260.2999999999999</v>
      </c>
      <c r="Z122" s="377"/>
      <c r="AA122" s="378"/>
      <c r="AB122" s="36">
        <f t="shared" si="26"/>
        <v>1611.3</v>
      </c>
      <c r="AC122" s="1764"/>
      <c r="AD122" s="1826"/>
      <c r="AE122" s="36">
        <f>+'Exhibit F'!AF112+'Exhibit G'!AG98+'Exhibit I'!AI77</f>
        <v>1520.4</v>
      </c>
      <c r="AF122" s="377"/>
      <c r="AG122" s="377"/>
      <c r="AH122" s="377">
        <f t="shared" si="27"/>
        <v>90.9</v>
      </c>
      <c r="AI122" s="151"/>
      <c r="AJ122" s="663">
        <f t="shared" si="28"/>
        <v>0.06</v>
      </c>
    </row>
    <row r="123" spans="1:37" ht="16.5" customHeight="1">
      <c r="A123" s="176" t="s">
        <v>33</v>
      </c>
      <c r="B123" s="151"/>
      <c r="C123" s="377">
        <f>+'Exhibit F'!D113+'Exhibit G'!D99+'Exhibit I'!E78</f>
        <v>96</v>
      </c>
      <c r="D123" s="377"/>
      <c r="E123" s="377">
        <f>+'Exhibit F'!F113+'Exhibit G'!F99+'Exhibit I'!G78</f>
        <v>659.2</v>
      </c>
      <c r="F123" s="377"/>
      <c r="G123" s="377">
        <f>+'Exhibit F'!H113+'Exhibit G'!H99+'Exhibit I'!I78</f>
        <v>444</v>
      </c>
      <c r="H123" s="377"/>
      <c r="I123" s="377">
        <f>+'Exhibit F'!J113+'Exhibit G'!J99+'Exhibit I'!K78</f>
        <v>391.10000000000008</v>
      </c>
      <c r="J123" s="377"/>
      <c r="K123" s="377">
        <f>+'Exhibit F'!L113+'Exhibit G'!L99+'Exhibit I'!M78</f>
        <v>582.09999999999968</v>
      </c>
      <c r="L123" s="377"/>
      <c r="M123" s="377">
        <f>+'Exhibit F'!N113+'Exhibit G'!N99+'Exhibit I'!O78</f>
        <v>510.00000000000023</v>
      </c>
      <c r="N123" s="377"/>
      <c r="O123" s="377">
        <f>+'Exhibit F'!P113+'Exhibit G'!P99+'Exhibit I'!Q78</f>
        <v>428.1999999999997</v>
      </c>
      <c r="P123" s="377"/>
      <c r="Q123" s="377">
        <f>+'Exhibit F'!R113+'Exhibit G'!R99+'Exhibit I'!S78</f>
        <v>739.40000000000055</v>
      </c>
      <c r="R123" s="377"/>
      <c r="S123" s="377">
        <f>+'Exhibit F'!T113+'Exhibit G'!T99+'Exhibit I'!U78</f>
        <v>1363.6999999999996</v>
      </c>
      <c r="T123" s="377"/>
      <c r="U123" s="377">
        <f>+'Exhibit F'!V113+'Exhibit G'!V99+'Exhibit I'!W78</f>
        <v>121.99999999999962</v>
      </c>
      <c r="V123" s="377"/>
      <c r="W123" s="377">
        <f>+'Exhibit F'!X113+'Exhibit G'!X99+'Exhibit I'!Y78</f>
        <v>181.30000000000038</v>
      </c>
      <c r="X123" s="377"/>
      <c r="Y123" s="377">
        <f>+'Exhibit F'!Z113+'Exhibit G'!Z99+'Exhibit I'!AA78</f>
        <v>1390.9</v>
      </c>
      <c r="Z123" s="377"/>
      <c r="AA123" s="378"/>
      <c r="AB123" s="377">
        <f>ROUND(SUM(C123:Y123),1)</f>
        <v>6907.9</v>
      </c>
      <c r="AC123" s="1764"/>
      <c r="AD123" s="1826"/>
      <c r="AE123" s="36">
        <f>+'Exhibit F'!AF113+'Exhibit G'!AG99+'Exhibit I'!AI78</f>
        <v>7885.2999999999993</v>
      </c>
      <c r="AF123" s="377"/>
      <c r="AG123" s="377"/>
      <c r="AH123" s="377">
        <f>ROUND(SUM(AB123-AE123),1)</f>
        <v>-977.4</v>
      </c>
      <c r="AI123" s="151"/>
      <c r="AJ123" s="663">
        <f t="shared" si="28"/>
        <v>-0.124</v>
      </c>
    </row>
    <row r="124" spans="1:37" ht="16.5" customHeight="1">
      <c r="A124" s="151" t="s">
        <v>34</v>
      </c>
      <c r="B124" s="151"/>
      <c r="C124" s="384">
        <f>ROUND(SUM(C114:C123),1)</f>
        <v>10868.7</v>
      </c>
      <c r="D124" s="381"/>
      <c r="E124" s="384">
        <f>ROUND(SUM(E114:E123),1)</f>
        <v>14146.2</v>
      </c>
      <c r="F124" s="381"/>
      <c r="G124" s="384">
        <f>ROUND(SUM(G114:G123),1)</f>
        <v>13604.6</v>
      </c>
      <c r="H124" s="381"/>
      <c r="I124" s="384">
        <f>ROUND(SUM(I114:I123),1)</f>
        <v>10796.3</v>
      </c>
      <c r="J124" s="381"/>
      <c r="K124" s="384">
        <f>ROUND(SUM(K114:K123),1)</f>
        <v>11170.7</v>
      </c>
      <c r="L124" s="381"/>
      <c r="M124" s="384">
        <f>ROUND(SUM(M114:M123),1)</f>
        <v>13937.9</v>
      </c>
      <c r="N124" s="381"/>
      <c r="O124" s="384">
        <f>ROUND(SUM(O114:O123),1)</f>
        <v>11514.3</v>
      </c>
      <c r="P124" s="381"/>
      <c r="Q124" s="384">
        <f>ROUND(SUM(Q114:Q123),1)</f>
        <v>13000</v>
      </c>
      <c r="R124" s="381"/>
      <c r="S124" s="384">
        <f>ROUND(SUM(S114:S123),1)</f>
        <v>18479.599999999999</v>
      </c>
      <c r="T124" s="381"/>
      <c r="U124" s="384">
        <f>ROUND(SUM(U114:U123),1)</f>
        <v>12264.3</v>
      </c>
      <c r="V124" s="381"/>
      <c r="W124" s="384">
        <f>ROUND(SUM(W114:W123),1)</f>
        <v>9516.4</v>
      </c>
      <c r="X124" s="381"/>
      <c r="Y124" s="384">
        <f>ROUND(SUM(Y114:Y123),1)</f>
        <v>28356.5</v>
      </c>
      <c r="Z124" s="381"/>
      <c r="AA124" s="382"/>
      <c r="AB124" s="384">
        <f>ROUND(SUM(AB114:AB123),1)</f>
        <v>167655.5</v>
      </c>
      <c r="AC124" s="1765"/>
      <c r="AD124" s="1830"/>
      <c r="AE124" s="384">
        <f>ROUND(SUM(AE114:AE123),1)</f>
        <v>153937.79999999999</v>
      </c>
      <c r="AF124" s="381"/>
      <c r="AG124" s="381"/>
      <c r="AH124" s="384">
        <f>ROUND(SUM(AH114:AH123),1)</f>
        <v>13717.7</v>
      </c>
      <c r="AI124" s="369"/>
      <c r="AJ124" s="13">
        <f t="shared" si="28"/>
        <v>8.8999999999999996E-2</v>
      </c>
      <c r="AK124" s="302"/>
    </row>
    <row r="125" spans="1:37" ht="16.5" customHeight="1">
      <c r="A125" s="151" t="s">
        <v>35</v>
      </c>
      <c r="B125" s="151"/>
      <c r="C125" s="377"/>
      <c r="D125" s="377"/>
      <c r="E125" s="377"/>
      <c r="F125" s="377"/>
      <c r="G125" s="377"/>
      <c r="H125" s="377"/>
      <c r="I125" s="377"/>
      <c r="J125" s="377"/>
      <c r="K125" s="377"/>
      <c r="L125" s="377"/>
      <c r="M125" s="377"/>
      <c r="N125" s="377"/>
      <c r="O125" s="377"/>
      <c r="P125" s="377"/>
      <c r="Q125" s="377"/>
      <c r="R125" s="377"/>
      <c r="S125" s="377"/>
      <c r="T125" s="377"/>
      <c r="U125" s="377"/>
      <c r="V125" s="377"/>
      <c r="W125" s="377"/>
      <c r="X125" s="377"/>
      <c r="Y125" s="377"/>
      <c r="Z125" s="377"/>
      <c r="AA125" s="378"/>
      <c r="AB125" s="377"/>
      <c r="AC125" s="377"/>
      <c r="AD125" s="1826"/>
      <c r="AE125" s="36"/>
      <c r="AF125" s="377"/>
      <c r="AG125" s="377"/>
      <c r="AH125" s="467"/>
      <c r="AI125" s="151"/>
      <c r="AJ125" s="472"/>
    </row>
    <row r="126" spans="1:37" ht="16.5" customHeight="1">
      <c r="A126" s="151" t="s">
        <v>136</v>
      </c>
      <c r="B126" s="151"/>
      <c r="C126" s="377">
        <f>+'Exhibit F'!D116+'Exhibit G'!D102+'Exhibit I'!E81</f>
        <v>1209.0999999999999</v>
      </c>
      <c r="D126" s="377"/>
      <c r="E126" s="377">
        <f>+'Exhibit F'!F116+'Exhibit G'!F102+'Exhibit I'!G81</f>
        <v>1153.2</v>
      </c>
      <c r="F126" s="377"/>
      <c r="G126" s="377">
        <f>+'Exhibit F'!H116+'Exhibit G'!H102+'Exhibit I'!I81</f>
        <v>1316.2000000000003</v>
      </c>
      <c r="H126" s="377"/>
      <c r="I126" s="377">
        <f>+'Exhibit F'!J116+'Exhibit G'!J102+'Exhibit I'!K81</f>
        <v>1171.2999999999997</v>
      </c>
      <c r="J126" s="377"/>
      <c r="K126" s="377">
        <f>+'Exhibit F'!L116+'Exhibit G'!L102+'Exhibit I'!M81</f>
        <v>1578.9999999999995</v>
      </c>
      <c r="L126" s="377"/>
      <c r="M126" s="377">
        <f>+'Exhibit F'!N116+'Exhibit G'!N102+'Exhibit I'!O81</f>
        <v>1151.1999999999998</v>
      </c>
      <c r="N126" s="377"/>
      <c r="O126" s="377">
        <f>+'Exhibit F'!P116+'Exhibit G'!P102+'Exhibit I'!Q81</f>
        <v>1302.9000000000005</v>
      </c>
      <c r="P126" s="377"/>
      <c r="Q126" s="377">
        <f>+'Exhibit F'!R116+'Exhibit G'!R102+'Exhibit I'!S81</f>
        <v>1252.1999999999998</v>
      </c>
      <c r="R126" s="377"/>
      <c r="S126" s="377">
        <f>+'Exhibit F'!T116+'Exhibit G'!T102+'Exhibit I'!U81</f>
        <v>1391.6</v>
      </c>
      <c r="T126" s="377"/>
      <c r="U126" s="377">
        <f>+'Exhibit F'!V116+'Exhibit G'!V102+'Exhibit I'!W81</f>
        <v>1202.9999999999995</v>
      </c>
      <c r="V126" s="377"/>
      <c r="W126" s="377">
        <f>+'Exhibit F'!X116+'Exhibit G'!X102+'Exhibit I'!Y81</f>
        <v>1148.5</v>
      </c>
      <c r="X126" s="377"/>
      <c r="Y126" s="377">
        <f>+'Exhibit F'!Z116+'Exhibit G'!Z102+'Exhibit I'!AA81</f>
        <v>1666.3000000000013</v>
      </c>
      <c r="Z126" s="377"/>
      <c r="AA126" s="378"/>
      <c r="AB126" s="377">
        <f>ROUND(SUM(C126:Y126),1)</f>
        <v>15544.5</v>
      </c>
      <c r="AC126" s="377"/>
      <c r="AD126" s="1826"/>
      <c r="AE126" s="36">
        <f>+'Exhibit F'!AF116+'Exhibit G'!AG102+'Exhibit I'!AI81</f>
        <v>15094.2</v>
      </c>
      <c r="AF126" s="377"/>
      <c r="AG126" s="377"/>
      <c r="AH126" s="377">
        <f>ROUND(SUM(AB126-AE126),1)</f>
        <v>450.3</v>
      </c>
      <c r="AI126" s="151"/>
      <c r="AJ126" s="663">
        <f>ROUND(IF(AE126=0,0,AH126/ABS(AE126)),3)</f>
        <v>0.03</v>
      </c>
    </row>
    <row r="127" spans="1:37" ht="16.5" customHeight="1">
      <c r="A127" s="151" t="s">
        <v>137</v>
      </c>
      <c r="B127" s="151"/>
      <c r="C127" s="377">
        <f>+'Exhibit F'!D117+'Exhibit G'!D103+'Exhibit H'!B58+'Exhibit I'!E82</f>
        <v>468.7</v>
      </c>
      <c r="D127" s="377"/>
      <c r="E127" s="377">
        <f>+'Exhibit F'!F117+'Exhibit G'!F103+'Exhibit H'!D58+'Exhibit I'!G82</f>
        <v>627.9</v>
      </c>
      <c r="F127" s="377"/>
      <c r="G127" s="377">
        <f>+'Exhibit F'!H117+'Exhibit G'!H103+'Exhibit H'!F58+'Exhibit I'!I82</f>
        <v>652.9</v>
      </c>
      <c r="H127" s="377"/>
      <c r="I127" s="377">
        <f>+'Exhibit F'!J117+'Exhibit G'!J103+'Exhibit H'!H58+'Exhibit I'!K82</f>
        <v>441.10000000000014</v>
      </c>
      <c r="J127" s="377"/>
      <c r="K127" s="377">
        <f>+'Exhibit F'!L117+'Exhibit G'!L103+'Exhibit H'!J58+'Exhibit I'!M82</f>
        <v>678.59999999999968</v>
      </c>
      <c r="L127" s="377"/>
      <c r="M127" s="377">
        <f>+'Exhibit F'!N117+'Exhibit G'!N103+'Exhibit H'!L58+'Exhibit I'!O82</f>
        <v>687.69999999999982</v>
      </c>
      <c r="N127" s="377"/>
      <c r="O127" s="377">
        <f>+'Exhibit F'!P117+'Exhibit G'!P103+'Exhibit H'!N58+'Exhibit I'!Q82</f>
        <v>586.0999999999998</v>
      </c>
      <c r="P127" s="377"/>
      <c r="Q127" s="377">
        <f>+'Exhibit F'!R117+'Exhibit G'!R103+'Exhibit H'!P58+'Exhibit I'!S82</f>
        <v>711.3</v>
      </c>
      <c r="R127" s="377"/>
      <c r="S127" s="377">
        <f>+'Exhibit F'!T117+'Exhibit G'!T103+'Exhibit H'!R58+'Exhibit I'!U82</f>
        <v>611.90000000000009</v>
      </c>
      <c r="T127" s="377"/>
      <c r="U127" s="377">
        <f>+'Exhibit F'!V117+'Exhibit G'!V103+'Exhibit H'!T58+'Exhibit I'!W82</f>
        <v>703.40000000000009</v>
      </c>
      <c r="V127" s="377"/>
      <c r="W127" s="377">
        <f>+'Exhibit F'!X117+'Exhibit G'!X103+'Exhibit H'!V58+'Exhibit I'!Y82</f>
        <v>818.40000000000055</v>
      </c>
      <c r="X127" s="377"/>
      <c r="Y127" s="377">
        <f>+'Exhibit F'!Z117+'Exhibit G'!Z103+'Exhibit H'!X58+'Exhibit I'!AA82</f>
        <v>991.89999999999964</v>
      </c>
      <c r="Z127" s="377"/>
      <c r="AA127" s="378"/>
      <c r="AB127" s="377">
        <f>ROUND(SUM(C127:Y127),1)</f>
        <v>7979.9</v>
      </c>
      <c r="AC127" s="377"/>
      <c r="AD127" s="1826"/>
      <c r="AE127" s="36">
        <f>+'Exhibit F'!AF117+'Exhibit G'!AG103+'Exhibit H'!AD58+'Exhibit I'!AI82</f>
        <v>9279.6</v>
      </c>
      <c r="AF127" s="377"/>
      <c r="AG127" s="377"/>
      <c r="AH127" s="377">
        <f>ROUND(SUM(AB127-AE127),1)</f>
        <v>-1299.7</v>
      </c>
      <c r="AI127" s="151"/>
      <c r="AJ127" s="663">
        <f>ROUND(IF(AE127=0,0,AH127/ABS(AE127)),3)</f>
        <v>-0.14000000000000001</v>
      </c>
    </row>
    <row r="128" spans="1:37" ht="16.5" customHeight="1">
      <c r="A128" s="151" t="s">
        <v>38</v>
      </c>
      <c r="B128" s="151"/>
      <c r="C128" s="377">
        <f>+'Exhibit F'!D118+'Exhibit G'!D104+'Exhibit I'!E83</f>
        <v>872</v>
      </c>
      <c r="D128" s="377"/>
      <c r="E128" s="377">
        <f>+'Exhibit F'!F118+'Exhibit G'!F104+'Exhibit I'!G83</f>
        <v>2093.7999999999997</v>
      </c>
      <c r="F128" s="377"/>
      <c r="G128" s="377">
        <f>+'Exhibit F'!H118+'Exhibit G'!H104+'Exhibit I'!I83</f>
        <v>486.70000000000027</v>
      </c>
      <c r="H128" s="377"/>
      <c r="I128" s="377">
        <f>+'Exhibit F'!J118+'Exhibit G'!J104+'Exhibit I'!K83</f>
        <v>581.89999999999975</v>
      </c>
      <c r="J128" s="377"/>
      <c r="K128" s="377">
        <f>+'Exhibit F'!L118+'Exhibit G'!L104+'Exhibit I'!M83</f>
        <v>643.5</v>
      </c>
      <c r="L128" s="377"/>
      <c r="M128" s="377">
        <f>+'Exhibit F'!N118+'Exhibit G'!N104+'Exhibit I'!O83</f>
        <v>555.30000000000064</v>
      </c>
      <c r="N128" s="377"/>
      <c r="O128" s="377">
        <f>+'Exhibit F'!P118+'Exhibit G'!P104+'Exhibit I'!Q83</f>
        <v>691.10000000000036</v>
      </c>
      <c r="P128" s="377"/>
      <c r="Q128" s="377">
        <f>+'Exhibit F'!R118+'Exhibit G'!R104+'Exhibit I'!S83</f>
        <v>559.49999999999932</v>
      </c>
      <c r="R128" s="377"/>
      <c r="S128" s="377">
        <f>+'Exhibit F'!T118+'Exhibit G'!T104+'Exhibit I'!U83</f>
        <v>682.10000000000014</v>
      </c>
      <c r="T128" s="377"/>
      <c r="U128" s="377">
        <f>+'Exhibit F'!V118+'Exhibit G'!V104+'Exhibit I'!W83</f>
        <v>754.10000000000036</v>
      </c>
      <c r="V128" s="377"/>
      <c r="W128" s="377">
        <f>+'Exhibit F'!X118+'Exhibit G'!X104+'Exhibit I'!Y83</f>
        <v>619.59999999999968</v>
      </c>
      <c r="X128" s="377"/>
      <c r="Y128" s="377">
        <f>+'Exhibit F'!Z118+'Exhibit G'!Z104+'Exhibit I'!AA83</f>
        <v>2048.3999999999983</v>
      </c>
      <c r="Z128" s="377"/>
      <c r="AA128" s="378"/>
      <c r="AB128" s="377">
        <f>ROUND(SUM(C128:Y128),1)</f>
        <v>10588</v>
      </c>
      <c r="AC128" s="377"/>
      <c r="AD128" s="1826"/>
      <c r="AE128" s="36">
        <f>+'Exhibit F'!AF118+'Exhibit G'!AG104+'Exhibit H'!AD59+'Exhibit I'!AI83</f>
        <v>11060.2</v>
      </c>
      <c r="AF128" s="377"/>
      <c r="AG128" s="377"/>
      <c r="AH128" s="377">
        <f>ROUND(SUM(AB128-AE128),1)</f>
        <v>-472.2</v>
      </c>
      <c r="AI128" s="151"/>
      <c r="AJ128" s="663">
        <f>ROUND(IF(AE128=0,0,AH128/ABS(AE128)),3)</f>
        <v>-4.2999999999999997E-2</v>
      </c>
    </row>
    <row r="129" spans="1:44" ht="16.5" customHeight="1">
      <c r="A129" s="151" t="s">
        <v>1144</v>
      </c>
      <c r="B129" s="151"/>
      <c r="C129" s="377"/>
      <c r="D129" s="377"/>
      <c r="E129" s="377"/>
      <c r="F129" s="377"/>
      <c r="G129" s="377"/>
      <c r="H129" s="377"/>
      <c r="I129" s="377"/>
      <c r="J129" s="377"/>
      <c r="K129" s="377"/>
      <c r="L129" s="377"/>
      <c r="M129" s="377"/>
      <c r="N129" s="377"/>
      <c r="O129" s="377"/>
      <c r="P129" s="377"/>
      <c r="Q129" s="377"/>
      <c r="R129" s="377"/>
      <c r="S129" s="377"/>
      <c r="T129" s="377"/>
      <c r="U129" s="377"/>
      <c r="V129" s="377"/>
      <c r="W129" s="377"/>
      <c r="X129" s="377"/>
      <c r="Y129" s="377"/>
      <c r="Z129" s="377"/>
      <c r="AA129" s="378"/>
      <c r="AB129" s="377"/>
      <c r="AC129" s="377"/>
      <c r="AD129" s="1826"/>
      <c r="AE129" s="377"/>
      <c r="AF129" s="377"/>
      <c r="AG129" s="377"/>
      <c r="AH129" s="377"/>
      <c r="AI129" s="151"/>
      <c r="AJ129" s="488"/>
    </row>
    <row r="130" spans="1:44" ht="16.5" customHeight="1">
      <c r="A130" s="151" t="s">
        <v>40</v>
      </c>
      <c r="B130" s="151"/>
      <c r="C130" s="377">
        <f>+'Exhibit H'!B60</f>
        <v>115.8</v>
      </c>
      <c r="D130" s="377"/>
      <c r="E130" s="377">
        <f>+'Exhibit H'!D60</f>
        <v>29.500000000000014</v>
      </c>
      <c r="F130" s="377"/>
      <c r="G130" s="377">
        <f>+'Exhibit H'!F60</f>
        <v>46.7</v>
      </c>
      <c r="H130" s="377"/>
      <c r="I130" s="377">
        <f>+'Exhibit H'!H60</f>
        <v>8</v>
      </c>
      <c r="J130" s="377"/>
      <c r="K130" s="377">
        <f>+'Exhibit H'!J60</f>
        <v>164.3</v>
      </c>
      <c r="L130" s="377"/>
      <c r="M130" s="377">
        <f>+'Exhibit H'!L60</f>
        <v>1061.1000000000001</v>
      </c>
      <c r="N130" s="377"/>
      <c r="O130" s="377">
        <f>+'Exhibit H'!N60</f>
        <v>2.3999999999998636</v>
      </c>
      <c r="P130" s="377"/>
      <c r="Q130" s="377">
        <f>+'Exhibit H'!P60</f>
        <v>12.799999999999955</v>
      </c>
      <c r="R130" s="377"/>
      <c r="S130" s="377">
        <f>+'Exhibit H'!R60</f>
        <v>82.700000000000045</v>
      </c>
      <c r="T130" s="377"/>
      <c r="U130" s="377">
        <f>+'Exhibit H'!T60</f>
        <v>1.2999999999999545</v>
      </c>
      <c r="V130" s="377"/>
      <c r="W130" s="377">
        <f>+'Exhibit H'!V60</f>
        <v>389.10000000000014</v>
      </c>
      <c r="X130" s="377"/>
      <c r="Y130" s="377">
        <f>+'Exhibit H'!X60</f>
        <v>8567.2000000000007</v>
      </c>
      <c r="Z130" s="377"/>
      <c r="AA130" s="378"/>
      <c r="AB130" s="377">
        <f>ROUND(SUM(C130:Y130),1)</f>
        <v>10480.9</v>
      </c>
      <c r="AC130" s="377"/>
      <c r="AD130" s="1826"/>
      <c r="AE130" s="36">
        <f>+'Exhibit H'!AD60+'Exhibit G'!AG106</f>
        <v>12587.199999999999</v>
      </c>
      <c r="AF130" s="377"/>
      <c r="AG130" s="377"/>
      <c r="AH130" s="377">
        <f>ROUND(SUM(AB130-AE130),1)</f>
        <v>-2106.3000000000002</v>
      </c>
      <c r="AI130" s="151"/>
      <c r="AJ130" s="663">
        <f>ROUND(IF(AE130=0,0,AH130/ABS(AE130)),3)</f>
        <v>-0.16700000000000001</v>
      </c>
    </row>
    <row r="131" spans="1:44" ht="16.5" customHeight="1">
      <c r="A131" s="383" t="s">
        <v>138</v>
      </c>
      <c r="B131" s="151"/>
      <c r="C131" s="379">
        <f>+'Exhibit G'!D107+'Exhibit I'!E84</f>
        <v>489.29999999999995</v>
      </c>
      <c r="D131" s="377"/>
      <c r="E131" s="379">
        <f>+'Exhibit G'!F107+'Exhibit I'!G84</f>
        <v>537.10000000000014</v>
      </c>
      <c r="F131" s="377"/>
      <c r="G131" s="379">
        <f>+'Exhibit G'!H107+'Exhibit I'!I84</f>
        <v>807.49999999999977</v>
      </c>
      <c r="H131" s="377"/>
      <c r="I131" s="379">
        <f>+'Exhibit G'!J107+'Exhibit I'!K84</f>
        <v>545.69999999999993</v>
      </c>
      <c r="J131" s="377"/>
      <c r="K131" s="379">
        <f>+'Exhibit G'!L107+'Exhibit I'!M84</f>
        <v>779.90000000000009</v>
      </c>
      <c r="L131" s="377"/>
      <c r="M131" s="379">
        <f>+'Exhibit G'!N107+'Exhibit I'!O84</f>
        <v>762.70000000000016</v>
      </c>
      <c r="N131" s="377"/>
      <c r="O131" s="379">
        <f>+'Exhibit G'!P107+'Exhibit I'!Q84</f>
        <v>751.69999999999993</v>
      </c>
      <c r="P131" s="377"/>
      <c r="Q131" s="379">
        <f>+'Exhibit G'!R107+'Exhibit I'!S84</f>
        <v>765.60000000000014</v>
      </c>
      <c r="R131" s="377"/>
      <c r="S131" s="379">
        <f>+'Exhibit G'!T107+'Exhibit I'!U84</f>
        <v>682.20000000000016</v>
      </c>
      <c r="T131" s="377"/>
      <c r="U131" s="379">
        <f>+'Exhibit G'!V107+'Exhibit I'!W84</f>
        <v>614.80000000000064</v>
      </c>
      <c r="V131" s="377"/>
      <c r="W131" s="379">
        <f>+'Exhibit G'!X107+'Exhibit I'!Y84</f>
        <v>572.99999999999955</v>
      </c>
      <c r="X131" s="377"/>
      <c r="Y131" s="379">
        <f>+'Exhibit G'!Z107+'Exhibit I'!AA84</f>
        <v>902.70000000000073</v>
      </c>
      <c r="Z131" s="377"/>
      <c r="AA131" s="378"/>
      <c r="AB131" s="1762">
        <f>ROUND(SUM(C131:Y131),1)</f>
        <v>8212.2000000000007</v>
      </c>
      <c r="AC131" s="377"/>
      <c r="AD131" s="1826"/>
      <c r="AE131" s="650">
        <f>+'Exhibit G'!AG107+'Exhibit I'!AI84</f>
        <v>7380.4</v>
      </c>
      <c r="AF131" s="377"/>
      <c r="AG131" s="377"/>
      <c r="AH131" s="1762">
        <f>ROUND(SUM(AB131-AE131),1)</f>
        <v>831.8</v>
      </c>
      <c r="AI131" s="151"/>
      <c r="AJ131" s="1828">
        <f>ROUND(IF(AE131=0,0,AH131/ABS(AE131)),3)</f>
        <v>0.113</v>
      </c>
    </row>
    <row r="132" spans="1:44" ht="16.5" customHeight="1">
      <c r="A132" s="151"/>
      <c r="B132" s="151"/>
      <c r="C132" s="377"/>
      <c r="D132" s="377"/>
      <c r="E132" s="377"/>
      <c r="F132" s="377"/>
      <c r="G132" s="377"/>
      <c r="H132" s="377"/>
      <c r="I132" s="377"/>
      <c r="J132" s="377"/>
      <c r="K132" s="377"/>
      <c r="L132" s="377"/>
      <c r="M132" s="377"/>
      <c r="N132" s="377"/>
      <c r="O132" s="377"/>
      <c r="P132" s="377"/>
      <c r="Q132" s="377"/>
      <c r="R132" s="377"/>
      <c r="S132" s="377"/>
      <c r="T132" s="377"/>
      <c r="U132" s="377"/>
      <c r="V132" s="377"/>
      <c r="W132" s="377"/>
      <c r="X132" s="377"/>
      <c r="Y132" s="377"/>
      <c r="Z132" s="377"/>
      <c r="AA132" s="378"/>
      <c r="AB132" s="377"/>
      <c r="AC132" s="377"/>
      <c r="AD132" s="1826"/>
      <c r="AE132" s="377"/>
      <c r="AF132" s="377"/>
      <c r="AG132" s="377"/>
      <c r="AH132" s="377"/>
      <c r="AI132" s="151"/>
      <c r="AJ132" s="488"/>
    </row>
    <row r="133" spans="1:44" ht="16.5" customHeight="1">
      <c r="A133" s="111" t="s">
        <v>56</v>
      </c>
      <c r="B133" s="151"/>
      <c r="C133" s="380">
        <f>ROUND(SUM(C124:C131),1)</f>
        <v>14023.6</v>
      </c>
      <c r="D133" s="381"/>
      <c r="E133" s="380">
        <f>ROUND(SUM(E124:E131),1)</f>
        <v>18587.7</v>
      </c>
      <c r="F133" s="381"/>
      <c r="G133" s="380">
        <f>ROUND(SUM(G124:G131),1)</f>
        <v>16914.599999999999</v>
      </c>
      <c r="H133" s="381"/>
      <c r="I133" s="380">
        <f>ROUND(SUM(I124:I131),1)</f>
        <v>13544.3</v>
      </c>
      <c r="J133" s="381"/>
      <c r="K133" s="380">
        <f>ROUND(SUM(K124:K131),1)</f>
        <v>15016</v>
      </c>
      <c r="L133" s="381"/>
      <c r="M133" s="380">
        <f>ROUND(SUM(M124:M131),1)</f>
        <v>18155.900000000001</v>
      </c>
      <c r="N133" s="381"/>
      <c r="O133" s="380">
        <f>ROUND(SUM(O124:O131),1)</f>
        <v>14848.5</v>
      </c>
      <c r="P133" s="381"/>
      <c r="Q133" s="380">
        <f>ROUND(SUM(Q124:Q131),1)</f>
        <v>16301.4</v>
      </c>
      <c r="R133" s="381"/>
      <c r="S133" s="380">
        <f>ROUND(SUM(S124:S131),1)</f>
        <v>21930.1</v>
      </c>
      <c r="T133" s="381"/>
      <c r="U133" s="380">
        <f>ROUND(SUM(U124:U131),1)</f>
        <v>15540.9</v>
      </c>
      <c r="V133" s="381"/>
      <c r="W133" s="380">
        <f>ROUND(SUM(W124:W131),1)</f>
        <v>13065</v>
      </c>
      <c r="X133" s="381"/>
      <c r="Y133" s="380">
        <f>ROUND(SUM(Y124:Y131),1)</f>
        <v>42533</v>
      </c>
      <c r="Z133" s="381"/>
      <c r="AA133" s="382"/>
      <c r="AB133" s="380">
        <f>ROUND(SUM(AB124:AB131),1)</f>
        <v>220461</v>
      </c>
      <c r="AC133" s="381"/>
      <c r="AD133" s="1830"/>
      <c r="AE133" s="380">
        <f>ROUND(SUM(AE124:AE131),1)</f>
        <v>209339.4</v>
      </c>
      <c r="AF133" s="381"/>
      <c r="AG133" s="381"/>
      <c r="AH133" s="380">
        <f>ROUND(SUM(AB133-AE133),1)</f>
        <v>11121.6</v>
      </c>
      <c r="AI133" s="369"/>
      <c r="AJ133" s="1825">
        <f>ROUND(IF(AE133=0,0,AH133/ABS(AE133)),3)</f>
        <v>5.2999999999999999E-2</v>
      </c>
      <c r="AK133" s="302"/>
      <c r="AM133" s="302"/>
      <c r="AN133" s="302"/>
      <c r="AO133" s="302"/>
      <c r="AP133" s="302"/>
      <c r="AQ133" s="302"/>
      <c r="AR133" s="302"/>
    </row>
    <row r="134" spans="1:44" ht="16.5" customHeight="1">
      <c r="A134" s="111"/>
      <c r="B134" s="151"/>
      <c r="C134" s="377"/>
      <c r="D134" s="377"/>
      <c r="E134" s="377"/>
      <c r="F134" s="377"/>
      <c r="G134" s="377"/>
      <c r="H134" s="377"/>
      <c r="I134" s="377"/>
      <c r="J134" s="377"/>
      <c r="K134" s="377"/>
      <c r="L134" s="377"/>
      <c r="M134" s="377"/>
      <c r="N134" s="377"/>
      <c r="O134" s="377"/>
      <c r="P134" s="377"/>
      <c r="Q134" s="377"/>
      <c r="R134" s="377"/>
      <c r="S134" s="377"/>
      <c r="T134" s="377"/>
      <c r="U134" s="377"/>
      <c r="V134" s="377"/>
      <c r="W134" s="377"/>
      <c r="X134" s="377"/>
      <c r="Y134" s="377"/>
      <c r="Z134" s="377"/>
      <c r="AA134" s="378"/>
      <c r="AB134" s="377"/>
      <c r="AC134" s="377"/>
      <c r="AD134" s="1826"/>
      <c r="AE134" s="377"/>
      <c r="AF134" s="377"/>
      <c r="AG134" s="377"/>
      <c r="AH134" s="467"/>
      <c r="AI134" s="151"/>
      <c r="AJ134" s="472"/>
    </row>
    <row r="135" spans="1:44" ht="16.5" customHeight="1">
      <c r="A135" s="111" t="s">
        <v>43</v>
      </c>
      <c r="B135" s="151"/>
      <c r="C135" s="377"/>
      <c r="D135" s="377"/>
      <c r="E135" s="377"/>
      <c r="F135" s="377"/>
      <c r="G135" s="377"/>
      <c r="H135" s="377"/>
      <c r="I135" s="377"/>
      <c r="J135" s="377"/>
      <c r="K135" s="377"/>
      <c r="L135" s="377"/>
      <c r="M135" s="377"/>
      <c r="N135" s="377"/>
      <c r="O135" s="377"/>
      <c r="P135" s="377"/>
      <c r="Q135" s="377"/>
      <c r="R135" s="377"/>
      <c r="S135" s="377"/>
      <c r="T135" s="377"/>
      <c r="U135" s="377"/>
      <c r="V135" s="377"/>
      <c r="W135" s="377"/>
      <c r="X135" s="377"/>
      <c r="Y135" s="377"/>
      <c r="Z135" s="377"/>
      <c r="AA135" s="378"/>
      <c r="AB135" s="377"/>
      <c r="AC135" s="377"/>
      <c r="AD135" s="1826"/>
      <c r="AE135" s="377"/>
      <c r="AF135" s="377"/>
      <c r="AG135" s="377"/>
      <c r="AH135" s="467"/>
      <c r="AI135" s="151"/>
      <c r="AJ135" s="472"/>
    </row>
    <row r="136" spans="1:44" ht="16.5" customHeight="1">
      <c r="A136" s="111" t="s">
        <v>44</v>
      </c>
      <c r="B136" s="151"/>
      <c r="C136" s="380">
        <f>ROUND(SUM(C110-C133),1)</f>
        <v>13575.8</v>
      </c>
      <c r="D136" s="381"/>
      <c r="E136" s="380">
        <f>ROUND(SUM(E110-E133),1)</f>
        <v>-3772.7</v>
      </c>
      <c r="F136" s="381"/>
      <c r="G136" s="380">
        <f>ROUND(SUM(G110-G133),1)</f>
        <v>5340.2</v>
      </c>
      <c r="H136" s="381"/>
      <c r="I136" s="380">
        <f>ROUND(SUM(I110-I133),1)</f>
        <v>-643.79999999999995</v>
      </c>
      <c r="J136" s="381"/>
      <c r="K136" s="380">
        <f>ROUND(SUM(K110-K133),1)</f>
        <v>-924.4</v>
      </c>
      <c r="L136" s="381"/>
      <c r="M136" s="380">
        <f>ROUND(SUM(M110-M133),1)</f>
        <v>7024.6</v>
      </c>
      <c r="N136" s="381"/>
      <c r="O136" s="380">
        <f>ROUND(SUM(O110-O133),1)</f>
        <v>-3193.4</v>
      </c>
      <c r="P136" s="381"/>
      <c r="Q136" s="380">
        <f>ROUND(SUM(Q110-Q133),1)</f>
        <v>-3335.1</v>
      </c>
      <c r="R136" s="381"/>
      <c r="S136" s="380">
        <f>ROUND(SUM(S110-S133),1)</f>
        <v>5083.2</v>
      </c>
      <c r="T136" s="381"/>
      <c r="U136" s="380">
        <f>ROUND(SUM(U110-U133),1)</f>
        <v>5628.4</v>
      </c>
      <c r="V136" s="381"/>
      <c r="W136" s="380">
        <f>ROUND(SUM(W110-W133),1)</f>
        <v>1570.9</v>
      </c>
      <c r="X136" s="381"/>
      <c r="Y136" s="380">
        <f>ROUND(SUM(Y110-Y133),1)</f>
        <v>-13754.4</v>
      </c>
      <c r="Z136" s="381"/>
      <c r="AA136" s="382"/>
      <c r="AB136" s="380">
        <f>ROUND(SUM(AB110-AB133),1)</f>
        <v>12599.3</v>
      </c>
      <c r="AC136" s="381"/>
      <c r="AD136" s="1830"/>
      <c r="AE136" s="380">
        <f>ROUND(SUM(AE110-AE133),1)</f>
        <v>35035.199999999997</v>
      </c>
      <c r="AF136" s="381"/>
      <c r="AG136" s="381"/>
      <c r="AH136" s="1831">
        <f>ROUND(SUM(AB136-AE136),1)</f>
        <v>-22435.9</v>
      </c>
      <c r="AI136" s="369"/>
      <c r="AJ136" s="1832">
        <f>ROUND(IF(AE136=0,0,AH136/ABS(AE136)),3)</f>
        <v>-0.64</v>
      </c>
      <c r="AK136" s="302"/>
    </row>
    <row r="137" spans="1:44" ht="16.5" customHeight="1">
      <c r="A137" s="39"/>
      <c r="B137" s="151"/>
      <c r="C137" s="35"/>
      <c r="D137" s="377"/>
      <c r="E137" s="35"/>
      <c r="F137" s="377"/>
      <c r="G137" s="35"/>
      <c r="H137" s="377"/>
      <c r="I137" s="35"/>
      <c r="J137" s="377"/>
      <c r="K137" s="35"/>
      <c r="L137" s="377"/>
      <c r="M137" s="35"/>
      <c r="N137" s="377"/>
      <c r="O137" s="35"/>
      <c r="P137" s="377"/>
      <c r="Q137" s="35"/>
      <c r="R137" s="377"/>
      <c r="S137" s="35"/>
      <c r="T137" s="377"/>
      <c r="U137" s="35"/>
      <c r="V137" s="377"/>
      <c r="W137" s="35"/>
      <c r="X137" s="377"/>
      <c r="Y137" s="35"/>
      <c r="Z137" s="253"/>
      <c r="AA137" s="378"/>
      <c r="AB137" s="35"/>
      <c r="AC137" s="377"/>
      <c r="AD137" s="1826"/>
      <c r="AE137" s="35"/>
      <c r="AF137" s="377"/>
      <c r="AG137" s="377"/>
      <c r="AH137" s="467"/>
      <c r="AI137" s="151"/>
      <c r="AJ137" s="472"/>
    </row>
    <row r="138" spans="1:44" ht="16.5" customHeight="1">
      <c r="A138" s="111" t="s">
        <v>45</v>
      </c>
      <c r="B138" s="151"/>
      <c r="C138" s="377"/>
      <c r="D138" s="377"/>
      <c r="E138" s="377"/>
      <c r="F138" s="385"/>
      <c r="G138" s="377"/>
      <c r="H138" s="385"/>
      <c r="I138" s="385"/>
      <c r="J138" s="385"/>
      <c r="K138" s="385"/>
      <c r="L138" s="385"/>
      <c r="M138" s="385"/>
      <c r="N138" s="385"/>
      <c r="O138" s="385"/>
      <c r="P138" s="385"/>
      <c r="Q138" s="385"/>
      <c r="R138" s="385"/>
      <c r="S138" s="385"/>
      <c r="T138" s="385"/>
      <c r="U138" s="385"/>
      <c r="V138" s="377"/>
      <c r="W138" s="385"/>
      <c r="X138" s="377"/>
      <c r="Y138" s="385"/>
      <c r="Z138" s="1763"/>
      <c r="AA138" s="378"/>
      <c r="AB138" s="377"/>
      <c r="AC138" s="1763"/>
      <c r="AD138" s="377"/>
      <c r="AE138" s="377"/>
      <c r="AF138" s="377"/>
      <c r="AG138" s="377"/>
      <c r="AH138" s="467"/>
      <c r="AI138" s="151"/>
      <c r="AJ138" s="472"/>
    </row>
    <row r="139" spans="1:44" ht="16.5" customHeight="1">
      <c r="A139" s="151" t="s">
        <v>1335</v>
      </c>
      <c r="B139" s="151"/>
      <c r="C139" s="1331">
        <v>0</v>
      </c>
      <c r="D139" s="377"/>
      <c r="E139" s="1331">
        <v>0</v>
      </c>
      <c r="F139" s="385"/>
      <c r="G139" s="1331">
        <v>0</v>
      </c>
      <c r="H139" s="385"/>
      <c r="I139" s="1331">
        <v>0</v>
      </c>
      <c r="J139" s="385"/>
      <c r="K139" s="1331">
        <v>0</v>
      </c>
      <c r="L139" s="385"/>
      <c r="M139" s="1331">
        <v>0</v>
      </c>
      <c r="N139" s="385"/>
      <c r="O139" s="1331">
        <v>0</v>
      </c>
      <c r="P139" s="385"/>
      <c r="Q139" s="1331">
        <v>0</v>
      </c>
      <c r="R139" s="1331"/>
      <c r="S139" s="1331">
        <v>0</v>
      </c>
      <c r="T139" s="1331"/>
      <c r="U139" s="1331">
        <v>0</v>
      </c>
      <c r="V139" s="1331"/>
      <c r="W139" s="1331">
        <v>0</v>
      </c>
      <c r="X139" s="1331"/>
      <c r="Y139" s="1331">
        <f>'Exhibit A'!$V48</f>
        <v>0</v>
      </c>
      <c r="Z139" s="377"/>
      <c r="AA139" s="378"/>
      <c r="AB139" s="377">
        <f>ROUND(SUM(C139:Y139),1)</f>
        <v>0</v>
      </c>
      <c r="AC139" s="377"/>
      <c r="AD139" s="1826"/>
      <c r="AE139" s="377">
        <f>+'Exhibit A'!AD48</f>
        <v>0</v>
      </c>
      <c r="AF139" s="377"/>
      <c r="AG139" s="377"/>
      <c r="AH139" s="377">
        <f>ROUND(SUM(AB139-AE139),1)</f>
        <v>0</v>
      </c>
      <c r="AI139" s="371"/>
      <c r="AJ139" s="469">
        <f>ROUND(IF(AE139=0,0,AH139/ABS(AE139)),3)</f>
        <v>0</v>
      </c>
    </row>
    <row r="140" spans="1:44" ht="16.5" customHeight="1">
      <c r="A140" s="151" t="s">
        <v>46</v>
      </c>
      <c r="B140" s="151"/>
      <c r="C140" s="1331">
        <v>8827</v>
      </c>
      <c r="D140" s="377"/>
      <c r="E140" s="1331">
        <v>2653.6</v>
      </c>
      <c r="F140" s="377"/>
      <c r="G140" s="1331">
        <v>5907.6</v>
      </c>
      <c r="H140" s="377"/>
      <c r="I140" s="1331">
        <v>3304.6</v>
      </c>
      <c r="J140" s="377"/>
      <c r="K140" s="1331">
        <v>2586.4</v>
      </c>
      <c r="L140" s="377"/>
      <c r="M140" s="1331">
        <v>6148</v>
      </c>
      <c r="N140" s="377"/>
      <c r="O140" s="1331">
        <v>2437.6</v>
      </c>
      <c r="P140" s="377"/>
      <c r="Q140" s="1331">
        <v>2749.2</v>
      </c>
      <c r="R140" s="1331"/>
      <c r="S140" s="1331">
        <v>5283.3</v>
      </c>
      <c r="T140" s="1331"/>
      <c r="U140" s="1331">
        <v>3467.5</v>
      </c>
      <c r="V140" s="1331"/>
      <c r="W140" s="1331">
        <v>2191.6999999999998</v>
      </c>
      <c r="X140" s="1331"/>
      <c r="Y140" s="1331">
        <f>'Exhibit A'!$V49</f>
        <v>6767.3</v>
      </c>
      <c r="Z140" s="377"/>
      <c r="AA140" s="378"/>
      <c r="AB140" s="377">
        <f>ROUND(SUM(C140:Y140),1)</f>
        <v>52323.8</v>
      </c>
      <c r="AC140" s="377"/>
      <c r="AD140" s="378"/>
      <c r="AE140" s="377">
        <f>+'Exhibit A'!AD49</f>
        <v>61298.199999999983</v>
      </c>
      <c r="AF140" s="377"/>
      <c r="AG140" s="377"/>
      <c r="AH140" s="377">
        <f>ROUND(SUM(AB140-AE140),1)</f>
        <v>-8974.4</v>
      </c>
      <c r="AI140" s="151"/>
      <c r="AJ140" s="469">
        <f>ROUND(IF(AE140=0,0,AH140/ABS(AE140)),3)</f>
        <v>-0.14599999999999999</v>
      </c>
    </row>
    <row r="141" spans="1:44" ht="16.5" customHeight="1">
      <c r="A141" s="151" t="s">
        <v>47</v>
      </c>
      <c r="C141" s="1331">
        <v>-8830.5</v>
      </c>
      <c r="D141" s="35"/>
      <c r="E141" s="1913">
        <v>-2658.5</v>
      </c>
      <c r="F141" s="35"/>
      <c r="G141" s="1913">
        <v>-5942.3</v>
      </c>
      <c r="H141" s="35"/>
      <c r="I141" s="1913">
        <v>-3306.5</v>
      </c>
      <c r="J141" s="35"/>
      <c r="K141" s="1913">
        <v>-2596.9</v>
      </c>
      <c r="L141" s="35"/>
      <c r="M141" s="1913">
        <v>-6152.5</v>
      </c>
      <c r="N141" s="35"/>
      <c r="O141" s="1913">
        <v>-2439.6999999999998</v>
      </c>
      <c r="P141" s="35"/>
      <c r="Q141" s="1913">
        <v>-2759.4</v>
      </c>
      <c r="R141" s="1331"/>
      <c r="S141" s="1913">
        <v>-5284.7</v>
      </c>
      <c r="T141" s="1331"/>
      <c r="U141" s="1913">
        <v>-3470.1</v>
      </c>
      <c r="V141" s="1913"/>
      <c r="W141" s="1913">
        <v>-2201.9</v>
      </c>
      <c r="X141" s="1913"/>
      <c r="Y141" s="1913">
        <f>'Exhibit A'!$V50</f>
        <v>-6873.4</v>
      </c>
      <c r="Z141" s="35"/>
      <c r="AA141" s="386"/>
      <c r="AB141" s="1762">
        <f>ROUND(SUM(C141:Y141),1)</f>
        <v>-52516.4</v>
      </c>
      <c r="AC141" s="35"/>
      <c r="AD141" s="386"/>
      <c r="AE141" s="1762">
        <f>+'Exhibit A'!AD50</f>
        <v>-61535.499999999993</v>
      </c>
      <c r="AF141" s="35"/>
      <c r="AG141" s="35"/>
      <c r="AH141" s="1762">
        <f>ROUND(SUM(-AB141+AE141),1)</f>
        <v>-9019.1</v>
      </c>
      <c r="AI141" s="472"/>
      <c r="AJ141" s="961">
        <f>ROUND(IF(AE141=0,0,AH141/ABS(AE141)),3)</f>
        <v>-0.14699999999999999</v>
      </c>
      <c r="AK141" s="1833"/>
    </row>
    <row r="142" spans="1:44" ht="16.5" customHeight="1">
      <c r="A142" s="151"/>
      <c r="C142" s="1911"/>
      <c r="D142" s="35"/>
      <c r="E142" s="377"/>
      <c r="F142" s="35"/>
      <c r="G142" s="377"/>
      <c r="H142" s="35"/>
      <c r="I142" s="377"/>
      <c r="J142" s="35"/>
      <c r="K142" s="377"/>
      <c r="L142" s="35"/>
      <c r="M142" s="377"/>
      <c r="N142" s="35"/>
      <c r="O142" s="377"/>
      <c r="P142" s="35"/>
      <c r="Q142" s="377"/>
      <c r="R142" s="35"/>
      <c r="S142" s="377"/>
      <c r="T142" s="35"/>
      <c r="U142" s="377"/>
      <c r="V142" s="35"/>
      <c r="W142" s="377"/>
      <c r="X142" s="35"/>
      <c r="Y142" s="377"/>
      <c r="Z142" s="35"/>
      <c r="AA142" s="386"/>
      <c r="AB142" s="377"/>
      <c r="AC142" s="35"/>
      <c r="AD142" s="386"/>
      <c r="AE142" s="377"/>
      <c r="AF142" s="35"/>
      <c r="AG142" s="35"/>
      <c r="AH142" s="377"/>
      <c r="AI142" s="472"/>
      <c r="AJ142" s="488"/>
    </row>
    <row r="143" spans="1:44" ht="16.5" customHeight="1">
      <c r="A143" s="111" t="s">
        <v>48</v>
      </c>
      <c r="C143" s="380">
        <f>ROUND(SUM(C139:C141),1)</f>
        <v>-3.5</v>
      </c>
      <c r="D143" s="387"/>
      <c r="E143" s="380">
        <f>ROUND(SUM(E139:E141),1)</f>
        <v>-4.9000000000000004</v>
      </c>
      <c r="F143" s="387"/>
      <c r="G143" s="380">
        <f>ROUND(SUM(G139:G141),1)</f>
        <v>-34.700000000000003</v>
      </c>
      <c r="H143" s="387"/>
      <c r="I143" s="380">
        <f>ROUND(SUM(I139:I141),1)</f>
        <v>-1.9</v>
      </c>
      <c r="J143" s="387"/>
      <c r="K143" s="380">
        <f>ROUND(SUM(K139:K141),1)</f>
        <v>-10.5</v>
      </c>
      <c r="L143" s="387"/>
      <c r="M143" s="380">
        <f>ROUND(SUM(M139:M141),1)</f>
        <v>-4.5</v>
      </c>
      <c r="N143" s="387"/>
      <c r="O143" s="380">
        <f>ROUND(SUM(O139:O141),1)</f>
        <v>-2.1</v>
      </c>
      <c r="P143" s="387"/>
      <c r="Q143" s="380">
        <f>ROUND(SUM(Q139:Q141),1)</f>
        <v>-10.199999999999999</v>
      </c>
      <c r="R143" s="387"/>
      <c r="S143" s="380">
        <f>ROUND(SUM(S139:S141),1)</f>
        <v>-1.4</v>
      </c>
      <c r="T143" s="387"/>
      <c r="U143" s="380">
        <f>ROUND(SUM(U139:U141),1)</f>
        <v>-2.6</v>
      </c>
      <c r="V143" s="387"/>
      <c r="W143" s="380">
        <f>ROUND(SUM(W139:W141),1)</f>
        <v>-10.199999999999999</v>
      </c>
      <c r="X143" s="387"/>
      <c r="Y143" s="380">
        <f>ROUND(SUM(Y139:Y141),1)</f>
        <v>-106.1</v>
      </c>
      <c r="Z143" s="387"/>
      <c r="AA143" s="388"/>
      <c r="AB143" s="380">
        <f>ROUND(SUM(AB139:AB142),1)</f>
        <v>-192.6</v>
      </c>
      <c r="AC143" s="387"/>
      <c r="AD143" s="388"/>
      <c r="AE143" s="380">
        <f>SUM(AE139:AE142)</f>
        <v>-237.30000000001019</v>
      </c>
      <c r="AF143" s="387"/>
      <c r="AG143" s="387"/>
      <c r="AH143" s="380">
        <f>ROUND(SUM(+AH140-AH141+AH139),1)</f>
        <v>44.7</v>
      </c>
      <c r="AI143" s="111"/>
      <c r="AJ143" s="1832">
        <f>ROUND(IF(AE143=0,0,AH143/ABS(AE143)),3)</f>
        <v>0.188</v>
      </c>
      <c r="AK143" s="302"/>
    </row>
    <row r="144" spans="1:44" ht="16.5" customHeight="1">
      <c r="A144" s="39"/>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86"/>
      <c r="AB144" s="35"/>
      <c r="AC144" s="35"/>
      <c r="AD144" s="386"/>
      <c r="AE144" s="35"/>
      <c r="AF144" s="35"/>
      <c r="AG144" s="35"/>
      <c r="AH144" s="467"/>
      <c r="AI144" s="472"/>
      <c r="AJ144" s="472"/>
    </row>
    <row r="145" spans="1:59" ht="16.5" customHeight="1">
      <c r="A145" s="111" t="s">
        <v>43</v>
      </c>
      <c r="C145" s="377"/>
      <c r="D145" s="35"/>
      <c r="E145" s="377"/>
      <c r="F145" s="35"/>
      <c r="G145" s="377"/>
      <c r="H145" s="35"/>
      <c r="I145" s="377"/>
      <c r="J145" s="35"/>
      <c r="K145" s="377"/>
      <c r="L145" s="35"/>
      <c r="M145" s="377"/>
      <c r="N145" s="35"/>
      <c r="O145" s="377"/>
      <c r="P145" s="35"/>
      <c r="Q145" s="377"/>
      <c r="R145" s="35"/>
      <c r="S145" s="377"/>
      <c r="T145" s="35"/>
      <c r="U145" s="377"/>
      <c r="V145" s="35"/>
      <c r="W145" s="377"/>
      <c r="X145" s="35"/>
      <c r="Y145" s="377"/>
      <c r="Z145" s="35"/>
      <c r="AA145" s="386"/>
      <c r="AB145" s="377"/>
      <c r="AC145" s="35"/>
      <c r="AD145" s="386"/>
      <c r="AE145" s="377"/>
      <c r="AF145" s="35"/>
      <c r="AG145" s="35"/>
      <c r="AH145" s="467"/>
      <c r="AI145" s="472"/>
      <c r="AJ145" s="472"/>
    </row>
    <row r="146" spans="1:59" ht="16.5" customHeight="1">
      <c r="A146" s="111" t="s">
        <v>49</v>
      </c>
      <c r="C146" s="381"/>
      <c r="D146" s="387"/>
      <c r="E146" s="381"/>
      <c r="F146" s="387"/>
      <c r="G146" s="381"/>
      <c r="H146" s="387"/>
      <c r="I146" s="381"/>
      <c r="J146" s="387"/>
      <c r="K146" s="381"/>
      <c r="L146" s="387"/>
      <c r="M146" s="381"/>
      <c r="N146" s="387"/>
      <c r="O146" s="381"/>
      <c r="P146" s="387"/>
      <c r="Q146" s="381"/>
      <c r="R146" s="387"/>
      <c r="S146" s="381"/>
      <c r="T146" s="387"/>
      <c r="U146" s="381"/>
      <c r="V146" s="387"/>
      <c r="W146" s="381"/>
      <c r="X146" s="387"/>
      <c r="Y146" s="381"/>
      <c r="Z146" s="387"/>
      <c r="AA146" s="388"/>
      <c r="AB146" s="381"/>
      <c r="AC146" s="387"/>
      <c r="AD146" s="388"/>
      <c r="AE146" s="381"/>
      <c r="AF146" s="35"/>
      <c r="AG146" s="35"/>
      <c r="AH146" s="42"/>
      <c r="AI146" s="111"/>
      <c r="AJ146" s="111"/>
      <c r="AK146" s="302"/>
      <c r="AM146" s="302"/>
      <c r="AN146" s="302"/>
      <c r="AO146" s="302"/>
      <c r="AP146" s="302"/>
      <c r="AQ146" s="302"/>
      <c r="AR146" s="302"/>
      <c r="AS146" s="302"/>
      <c r="AT146" s="302"/>
      <c r="AU146" s="302"/>
      <c r="AV146" s="302"/>
      <c r="AW146" s="302"/>
      <c r="AX146" s="302"/>
      <c r="AY146" s="302"/>
      <c r="AZ146" s="302"/>
      <c r="BA146" s="302"/>
      <c r="BB146" s="302"/>
      <c r="BC146" s="302"/>
      <c r="BD146" s="302"/>
      <c r="BE146" s="302"/>
      <c r="BF146" s="302"/>
      <c r="BG146" s="302"/>
    </row>
    <row r="147" spans="1:59" ht="16.5" customHeight="1">
      <c r="A147" s="111" t="s">
        <v>50</v>
      </c>
      <c r="C147" s="389">
        <f>ROUND(SUM(C136+C143),1)</f>
        <v>13572.3</v>
      </c>
      <c r="D147" s="387"/>
      <c r="E147" s="389">
        <f>ROUND(SUM(E136+E143),1)</f>
        <v>-3777.6</v>
      </c>
      <c r="F147" s="387"/>
      <c r="G147" s="389">
        <f>ROUND(SUM(G136+G143),1)</f>
        <v>5305.5</v>
      </c>
      <c r="H147" s="387"/>
      <c r="I147" s="389">
        <f>ROUND(SUM(I136+I143),1)</f>
        <v>-645.70000000000005</v>
      </c>
      <c r="J147" s="387"/>
      <c r="K147" s="389">
        <f>ROUND(SUM(K136+K143),1)</f>
        <v>-934.9</v>
      </c>
      <c r="L147" s="387"/>
      <c r="M147" s="389">
        <f>ROUND(SUM(M136+M143),1)</f>
        <v>7020.1</v>
      </c>
      <c r="N147" s="387"/>
      <c r="O147" s="389">
        <f>ROUND(SUM(O136+O143),1)</f>
        <v>-3195.5</v>
      </c>
      <c r="P147" s="387"/>
      <c r="Q147" s="389">
        <f>ROUND(SUM(Q136+Q143),1)</f>
        <v>-3345.3</v>
      </c>
      <c r="R147" s="387"/>
      <c r="S147" s="389">
        <f>ROUND(SUM(S136+S143),1)</f>
        <v>5081.8</v>
      </c>
      <c r="T147" s="387"/>
      <c r="U147" s="389">
        <f>ROUND(SUM(U136+U143),1)</f>
        <v>5625.8</v>
      </c>
      <c r="V147" s="387"/>
      <c r="W147" s="389">
        <f>ROUND(SUM(W136+W143),1)</f>
        <v>1560.7</v>
      </c>
      <c r="X147" s="387"/>
      <c r="Y147" s="389">
        <f>ROUND(SUM(Y136+Y143),1)</f>
        <v>-13860.5</v>
      </c>
      <c r="Z147" s="387"/>
      <c r="AA147" s="388"/>
      <c r="AB147" s="389">
        <f>ROUND(SUM(AB136+AB143),1)</f>
        <v>12406.7</v>
      </c>
      <c r="AC147" s="387"/>
      <c r="AD147" s="388"/>
      <c r="AE147" s="389">
        <f>AE136+AE143</f>
        <v>34797.899999999987</v>
      </c>
      <c r="AF147" s="35"/>
      <c r="AG147" s="35"/>
      <c r="AH147" s="1831">
        <f>ROUND(SUM(AB147-AE147),1)</f>
        <v>-22391.200000000001</v>
      </c>
      <c r="AI147" s="111"/>
      <c r="AJ147" s="1832">
        <f>ROUND(IF(AE147=0,0,AH147/ABS(AE147)),3)</f>
        <v>-0.64300000000000002</v>
      </c>
      <c r="AK147" s="302"/>
      <c r="AM147" s="302"/>
      <c r="AN147" s="302"/>
      <c r="AO147" s="302"/>
      <c r="AP147" s="302"/>
      <c r="AQ147" s="302"/>
      <c r="AR147" s="302"/>
      <c r="AS147" s="302"/>
      <c r="AT147" s="302"/>
      <c r="AU147" s="302"/>
      <c r="AV147" s="302"/>
      <c r="AW147" s="302"/>
      <c r="AX147" s="302"/>
      <c r="AY147" s="302"/>
      <c r="AZ147" s="302"/>
      <c r="BA147" s="302"/>
      <c r="BB147" s="302"/>
      <c r="BC147" s="302"/>
      <c r="BD147" s="302"/>
      <c r="BE147" s="302"/>
      <c r="BF147" s="302"/>
      <c r="BG147" s="302"/>
    </row>
    <row r="148" spans="1:59" ht="16.5" customHeight="1">
      <c r="A148" s="111"/>
      <c r="C148" s="372"/>
      <c r="E148" s="372"/>
      <c r="G148" s="372"/>
      <c r="I148" s="372"/>
      <c r="K148" s="372"/>
      <c r="M148" s="372"/>
      <c r="O148" s="372"/>
      <c r="Q148" s="372"/>
      <c r="S148" s="372"/>
      <c r="U148" s="372"/>
      <c r="W148" s="372"/>
      <c r="Y148" s="372"/>
      <c r="AA148" s="390"/>
      <c r="AB148" s="372"/>
      <c r="AD148" s="390"/>
      <c r="AE148" s="372"/>
      <c r="AF148" s="35"/>
      <c r="AG148" s="35"/>
      <c r="AH148" s="472"/>
      <c r="AI148" s="472"/>
      <c r="AJ148" s="472"/>
    </row>
    <row r="149" spans="1:59" ht="16.5" customHeight="1" thickBot="1">
      <c r="A149" s="391" t="s">
        <v>139</v>
      </c>
      <c r="C149" s="392">
        <f>ROUND(SUM(C16+C147),1)</f>
        <v>67121.3</v>
      </c>
      <c r="D149" s="173"/>
      <c r="E149" s="392">
        <f>ROUND(SUM(E16+E147),1)</f>
        <v>63343.7</v>
      </c>
      <c r="F149" s="173"/>
      <c r="G149" s="392">
        <f>ROUND(SUM(G16+G147),1)</f>
        <v>68649.2</v>
      </c>
      <c r="H149" s="173"/>
      <c r="I149" s="392">
        <f>ROUND(SUM(I16+I147),1)</f>
        <v>68003.5</v>
      </c>
      <c r="J149" s="393"/>
      <c r="K149" s="392">
        <f>ROUND(SUM(K16+K147),1)</f>
        <v>67068.600000000006</v>
      </c>
      <c r="L149" s="393"/>
      <c r="M149" s="392">
        <f>ROUND(SUM(M16+M147),1)</f>
        <v>74088.7</v>
      </c>
      <c r="N149" s="393"/>
      <c r="O149" s="392">
        <f>ROUND(SUM(O16+O147),1)</f>
        <v>70893.2</v>
      </c>
      <c r="P149" s="393"/>
      <c r="Q149" s="392">
        <f>ROUND(SUM(Q16+Q147),1)</f>
        <v>67547.899999999994</v>
      </c>
      <c r="R149" s="393"/>
      <c r="S149" s="392">
        <f>ROUND(SUM(S16+S147),1)</f>
        <v>72629.7</v>
      </c>
      <c r="T149" s="393"/>
      <c r="U149" s="392">
        <f>ROUND(SUM(U16+U147),1)</f>
        <v>78255.5</v>
      </c>
      <c r="V149" s="393"/>
      <c r="W149" s="392">
        <f>ROUND(SUM(W16+W147),1)</f>
        <v>79816.2</v>
      </c>
      <c r="X149" s="393"/>
      <c r="Y149" s="392">
        <f>ROUND(SUM(Y16+Y147),1)</f>
        <v>65955.7</v>
      </c>
      <c r="Z149" s="173"/>
      <c r="AA149" s="394"/>
      <c r="AB149" s="392">
        <f>ROUND(SUM(AB16+AB147),1)</f>
        <v>65955.7</v>
      </c>
      <c r="AC149" s="173"/>
      <c r="AD149" s="394"/>
      <c r="AE149" s="392">
        <f>AE16+AE147</f>
        <v>53548.999999999985</v>
      </c>
      <c r="AF149" s="35"/>
      <c r="AG149" s="35"/>
      <c r="AH149" s="392">
        <f>ROUND(SUM(AB149-AE149),1)</f>
        <v>12406.7</v>
      </c>
      <c r="AI149" s="111"/>
      <c r="AJ149" s="1834">
        <f>ROUND(IF(AE149=0,0,AH149/ABS(AE149)),3)</f>
        <v>0.23200000000000001</v>
      </c>
      <c r="AK149" s="302"/>
    </row>
    <row r="150" spans="1:59" ht="16.5" customHeight="1" thickTop="1">
      <c r="A150" s="395"/>
      <c r="AH150" s="472"/>
      <c r="AI150" s="472"/>
      <c r="AJ150" s="472"/>
    </row>
    <row r="151" spans="1:59" ht="16.5" customHeight="1">
      <c r="A151" s="250" t="s">
        <v>140</v>
      </c>
      <c r="AH151" s="472"/>
      <c r="AI151" s="472"/>
      <c r="AJ151" s="472"/>
    </row>
    <row r="152" spans="1:59" ht="16.5" customHeight="1">
      <c r="AH152" s="472"/>
      <c r="AI152" s="472"/>
      <c r="AJ152" s="472"/>
    </row>
    <row r="153" spans="1:59" ht="16.5" customHeight="1">
      <c r="A153" s="20"/>
      <c r="AH153" s="472"/>
      <c r="AI153" s="472"/>
      <c r="AJ153" s="472"/>
    </row>
    <row r="154" spans="1:59" ht="16.5" customHeight="1">
      <c r="A154" s="20"/>
      <c r="AH154" s="472"/>
      <c r="AI154" s="472"/>
      <c r="AJ154" s="472"/>
    </row>
    <row r="155" spans="1:59" ht="16.5" customHeight="1">
      <c r="AH155" s="472"/>
      <c r="AI155" s="472"/>
      <c r="AJ155" s="472"/>
    </row>
    <row r="156" spans="1:59" ht="16.5" customHeight="1">
      <c r="AH156" s="472"/>
      <c r="AI156" s="472"/>
      <c r="AJ156" s="472"/>
    </row>
    <row r="157" spans="1:59" ht="16.5" customHeight="1">
      <c r="AH157" s="472"/>
      <c r="AI157" s="472"/>
      <c r="AJ157" s="472"/>
    </row>
    <row r="158" spans="1:59" ht="16.5" customHeight="1">
      <c r="AH158" s="472"/>
      <c r="AI158" s="472"/>
      <c r="AJ158" s="472"/>
    </row>
    <row r="159" spans="1:59" ht="16.5" customHeight="1">
      <c r="AH159" s="472"/>
      <c r="AI159" s="472"/>
      <c r="AJ159" s="472"/>
    </row>
    <row r="160" spans="1:59" ht="16.5" customHeight="1">
      <c r="AH160" s="472"/>
      <c r="AI160" s="472"/>
      <c r="AJ160" s="472"/>
    </row>
    <row r="161" spans="34:36" ht="16.5" customHeight="1">
      <c r="AH161" s="472"/>
      <c r="AI161" s="472"/>
      <c r="AJ161" s="472"/>
    </row>
    <row r="162" spans="34:36" ht="16.5" customHeight="1">
      <c r="AH162" s="472"/>
      <c r="AI162" s="472"/>
      <c r="AJ162" s="472"/>
    </row>
    <row r="163" spans="34:36" ht="16.5" customHeight="1">
      <c r="AH163" s="472"/>
      <c r="AI163" s="472"/>
      <c r="AJ163" s="472"/>
    </row>
  </sheetData>
  <mergeCells count="2">
    <mergeCell ref="AC5:AJ5"/>
    <mergeCell ref="AB12:AJ12"/>
  </mergeCells>
  <printOptions horizontalCentered="1"/>
  <pageMargins left="0.25" right="0.25" top="0.5" bottom="0.4" header="0" footer="0.25"/>
  <pageSetup scale="38" firstPageNumber="17" fitToHeight="2" orientation="landscape" useFirstPageNumber="1" r:id="rId1"/>
  <headerFooter scaleWithDoc="0" alignWithMargins="0">
    <oddFooter>&amp;C&amp;8&amp;P</oddFooter>
  </headerFooter>
  <rowBreaks count="1" manualBreakCount="1">
    <brk id="89" max="35" man="1"/>
  </rowBreaks>
  <ignoredErrors>
    <ignoredError sqref="AJ58:AJ72 AJ75 AJ140:AJ149 AJ97:AJ138 AJ29:AJ34 AJ21:AJ27 AJ87 AJ49:AJ55 AJ77:AJ80 AJ90:AJ94 AJ38:AJ46 AJ85 AJ36" unlockedFormula="1"/>
    <ignoredError sqref="AH35:AI35 AH24:AH26 AH96:AI96 AJ57 AJ48 AH37 AJ37" formula="1"/>
    <ignoredError sqref="AJ35 AJ82"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80" workbookViewId="0"/>
  </sheetViews>
  <sheetFormatPr defaultColWidth="8.84375" defaultRowHeight="16.5" customHeight="1"/>
  <cols>
    <col min="1" max="1" width="43" style="141" customWidth="1"/>
    <col min="2" max="2" width="1.84375" style="141" customWidth="1"/>
    <col min="3" max="3" width="13.07421875" style="141" customWidth="1"/>
    <col min="4" max="4" width="1.84375" style="141" customWidth="1"/>
    <col min="5" max="5" width="13.07421875" style="141" customWidth="1"/>
    <col min="6" max="6" width="1.84375" style="141" customWidth="1"/>
    <col min="7" max="7" width="13.53515625" style="141" customWidth="1"/>
    <col min="8" max="8" width="1.84375" style="141" customWidth="1"/>
    <col min="9" max="9" width="13.84375" style="141" customWidth="1"/>
    <col min="10" max="10" width="1.84375" style="141" customWidth="1"/>
    <col min="11" max="11" width="14.53515625" style="141" customWidth="1"/>
    <col min="12" max="12" width="1.84375" style="141" customWidth="1"/>
    <col min="13" max="13" width="13.07421875" style="141" customWidth="1"/>
    <col min="14" max="14" width="1.84375" style="141" customWidth="1"/>
    <col min="15" max="15" width="14.07421875" style="141" customWidth="1"/>
    <col min="16" max="16" width="1.84375" style="141" customWidth="1"/>
    <col min="17" max="17" width="13.07421875" style="141" customWidth="1"/>
    <col min="18" max="18" width="1.84375" style="141" customWidth="1"/>
    <col min="19" max="19" width="13.84375" style="141" customWidth="1"/>
    <col min="20" max="20" width="1.84375" style="141" customWidth="1"/>
    <col min="21" max="21" width="13" style="141" customWidth="1"/>
    <col min="22" max="22" width="1.84375" style="141" customWidth="1"/>
    <col min="23" max="23" width="13.07421875" style="141" customWidth="1"/>
    <col min="24" max="24" width="1.84375" style="141" customWidth="1"/>
    <col min="25" max="25" width="13.07421875" style="141" customWidth="1"/>
    <col min="26" max="27" width="1.84375" style="141" customWidth="1"/>
    <col min="28" max="28" width="15" style="141" customWidth="1"/>
    <col min="29" max="30" width="1.84375" style="141" customWidth="1"/>
    <col min="31" max="31" width="13.84375" style="141" customWidth="1"/>
    <col min="32" max="33" width="1.84375" style="141" customWidth="1"/>
    <col min="34" max="34" width="12.84375" style="141" bestFit="1" customWidth="1"/>
    <col min="35" max="35" width="1" style="141" customWidth="1"/>
    <col min="36" max="36" width="12.07421875" style="141" bestFit="1" customWidth="1"/>
    <col min="37" max="16384" width="8.84375" style="141"/>
  </cols>
  <sheetData>
    <row r="1" spans="1:37" ht="15.5">
      <c r="A1" s="1574" t="s">
        <v>868</v>
      </c>
    </row>
    <row r="2" spans="1:37" ht="15.5">
      <c r="A2" s="646"/>
    </row>
    <row r="3" spans="1:37" ht="23">
      <c r="A3" s="148" t="s">
        <v>0</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I3" s="151"/>
    </row>
    <row r="4" spans="1:37" ht="23">
      <c r="A4" s="148" t="s">
        <v>1057</v>
      </c>
      <c r="B4" s="151"/>
      <c r="C4" s="151"/>
      <c r="D4" s="151"/>
      <c r="E4" s="151"/>
      <c r="F4" s="151"/>
      <c r="G4" s="151"/>
      <c r="H4" s="151"/>
      <c r="I4" s="151" t="s">
        <v>14</v>
      </c>
      <c r="J4" s="151"/>
      <c r="K4" s="151"/>
      <c r="L4" s="151"/>
      <c r="M4" s="151"/>
      <c r="N4" s="151"/>
      <c r="O4" s="151"/>
      <c r="P4" s="151"/>
      <c r="Q4" s="151"/>
      <c r="R4" s="151"/>
      <c r="S4" s="151"/>
      <c r="T4" s="151"/>
      <c r="U4" s="151"/>
      <c r="V4" s="151"/>
      <c r="W4" s="151"/>
      <c r="X4" s="151"/>
      <c r="Y4" s="151" t="s">
        <v>14</v>
      </c>
      <c r="Z4" s="151"/>
      <c r="AA4" s="151"/>
      <c r="AB4" s="151"/>
      <c r="AC4" s="151"/>
      <c r="AD4" s="151"/>
      <c r="AE4" s="151"/>
      <c r="AF4" s="151"/>
      <c r="AG4" s="151"/>
      <c r="AI4" s="151"/>
    </row>
    <row r="5" spans="1:37" ht="23.25" customHeight="1">
      <c r="A5" s="150" t="s">
        <v>1058</v>
      </c>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C5" s="2311"/>
      <c r="AD5" s="2315"/>
      <c r="AE5" s="2315"/>
      <c r="AF5" s="2315"/>
      <c r="AG5" s="2315"/>
      <c r="AH5" s="2315"/>
      <c r="AI5" s="2315"/>
      <c r="AJ5" s="2315"/>
    </row>
    <row r="6" spans="1:37" ht="23">
      <c r="A6" s="150" t="str">
        <f>'Cashflow Governmental'!A6</f>
        <v xml:space="preserve">FISCAL YEAR 2022-2023   </v>
      </c>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I6" s="151"/>
    </row>
    <row r="7" spans="1:37" ht="23.25" customHeight="1">
      <c r="A7" s="148" t="s">
        <v>1247</v>
      </c>
      <c r="B7" s="151"/>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I7" s="151"/>
    </row>
    <row r="8" spans="1:37" ht="15.5">
      <c r="A8" s="151"/>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I8" s="151"/>
    </row>
    <row r="9" spans="1:37" ht="15.5">
      <c r="A9" s="151"/>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I9" s="151"/>
    </row>
    <row r="10" spans="1:37" ht="15.5">
      <c r="A10" s="151"/>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I10" s="151"/>
    </row>
    <row r="11" spans="1:37" ht="15.5">
      <c r="A11" s="151"/>
      <c r="B11" s="151"/>
      <c r="C11" s="151" t="s">
        <v>14</v>
      </c>
      <c r="D11" s="151" t="s">
        <v>14</v>
      </c>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C11" s="151"/>
      <c r="AD11" s="151"/>
      <c r="AE11" s="151"/>
      <c r="AF11" s="151"/>
      <c r="AG11" s="151"/>
      <c r="AI11" s="151"/>
    </row>
    <row r="12" spans="1:37" ht="15.5">
      <c r="A12" s="151"/>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Z12" s="151"/>
      <c r="AA12" s="371"/>
      <c r="AB12" s="2316" t="str">
        <f>'Cashflow Governmental'!AB12:AJ12</f>
        <v>12 Months Ended March 31</v>
      </c>
      <c r="AC12" s="2316"/>
      <c r="AD12" s="2316"/>
      <c r="AE12" s="2316"/>
      <c r="AF12" s="2316"/>
      <c r="AG12" s="2316"/>
      <c r="AH12" s="2316"/>
      <c r="AI12" s="2316"/>
      <c r="AJ12" s="2316"/>
    </row>
    <row r="13" spans="1:37" ht="15.5">
      <c r="A13" s="151"/>
      <c r="B13" s="151"/>
      <c r="C13" s="1017" t="str">
        <f>'Cashflow Governmental'!C13</f>
        <v>2022</v>
      </c>
      <c r="D13" s="369"/>
      <c r="E13" s="369"/>
      <c r="F13" s="369"/>
      <c r="G13" s="369"/>
      <c r="H13" s="369"/>
      <c r="I13" s="369"/>
      <c r="J13" s="369"/>
      <c r="K13" s="369"/>
      <c r="L13" s="369"/>
      <c r="M13" s="369"/>
      <c r="N13" s="369"/>
      <c r="O13" s="369"/>
      <c r="P13" s="369"/>
      <c r="Q13" s="369"/>
      <c r="R13" s="369"/>
      <c r="S13" s="369"/>
      <c r="T13" s="369"/>
      <c r="U13" s="1017">
        <f>'Cashflow Governmental'!U13</f>
        <v>2023</v>
      </c>
      <c r="V13" s="369"/>
      <c r="W13" s="369"/>
      <c r="X13" s="369"/>
      <c r="Y13" s="369"/>
      <c r="Z13" s="369"/>
      <c r="AA13" s="369"/>
      <c r="AB13" s="369"/>
      <c r="AC13" s="369"/>
      <c r="AD13" s="369"/>
      <c r="AE13" s="369"/>
      <c r="AF13" s="369"/>
      <c r="AG13" s="369"/>
      <c r="AH13" s="542" t="s">
        <v>7</v>
      </c>
      <c r="AI13" s="1821"/>
      <c r="AJ13" s="542" t="s">
        <v>8</v>
      </c>
    </row>
    <row r="14" spans="1:37" ht="15.5">
      <c r="A14" s="151"/>
      <c r="B14" s="151"/>
      <c r="C14" s="542" t="s">
        <v>122</v>
      </c>
      <c r="D14" s="369"/>
      <c r="E14" s="542" t="s">
        <v>123</v>
      </c>
      <c r="F14" s="369"/>
      <c r="G14" s="542" t="s">
        <v>124</v>
      </c>
      <c r="H14" s="369"/>
      <c r="I14" s="542" t="s">
        <v>125</v>
      </c>
      <c r="J14" s="369"/>
      <c r="K14" s="542" t="s">
        <v>126</v>
      </c>
      <c r="L14" s="369"/>
      <c r="M14" s="542" t="s">
        <v>127</v>
      </c>
      <c r="N14" s="369"/>
      <c r="O14" s="542" t="s">
        <v>128</v>
      </c>
      <c r="P14" s="369"/>
      <c r="Q14" s="1575" t="s">
        <v>129</v>
      </c>
      <c r="R14" s="369"/>
      <c r="S14" s="542" t="s">
        <v>130</v>
      </c>
      <c r="T14" s="369"/>
      <c r="U14" s="542" t="s">
        <v>131</v>
      </c>
      <c r="V14" s="369"/>
      <c r="W14" s="542" t="s">
        <v>132</v>
      </c>
      <c r="X14" s="369"/>
      <c r="Y14" s="542" t="s">
        <v>133</v>
      </c>
      <c r="Z14" s="369"/>
      <c r="AA14" s="369"/>
      <c r="AB14" s="1761">
        <f>'Cashflow Governmental'!AB14</f>
        <v>2023</v>
      </c>
      <c r="AC14" s="369"/>
      <c r="AD14" s="369"/>
      <c r="AE14" s="1761">
        <f>'Cashflow Governmental'!AE14</f>
        <v>2022</v>
      </c>
      <c r="AF14" s="369"/>
      <c r="AG14" s="369"/>
      <c r="AH14" s="1835" t="s">
        <v>11</v>
      </c>
      <c r="AI14" s="1821"/>
      <c r="AJ14" s="1835" t="s">
        <v>12</v>
      </c>
    </row>
    <row r="15" spans="1:37" ht="5.25" customHeight="1">
      <c r="A15" s="151"/>
      <c r="B15" s="151"/>
      <c r="C15" s="372"/>
      <c r="D15" s="151"/>
      <c r="E15" s="372"/>
      <c r="F15" s="151"/>
      <c r="G15" s="372"/>
      <c r="H15" s="151"/>
      <c r="I15" s="372"/>
      <c r="J15" s="151"/>
      <c r="K15" s="372"/>
      <c r="L15" s="151"/>
      <c r="M15" s="372"/>
      <c r="N15" s="151"/>
      <c r="O15" s="372" t="s">
        <v>14</v>
      </c>
      <c r="P15" s="151"/>
      <c r="Q15" s="373"/>
      <c r="R15" s="151"/>
      <c r="S15" s="372"/>
      <c r="T15" s="151"/>
      <c r="U15" s="372" t="s">
        <v>14</v>
      </c>
      <c r="V15" s="151"/>
      <c r="W15" s="372"/>
      <c r="X15" s="151"/>
      <c r="Y15" s="372"/>
      <c r="Z15" s="151"/>
      <c r="AA15" s="151"/>
      <c r="AB15" s="372"/>
      <c r="AC15" s="151"/>
      <c r="AD15" s="151"/>
      <c r="AE15" s="372"/>
      <c r="AF15" s="151"/>
      <c r="AG15" s="151"/>
      <c r="AI15" s="151"/>
    </row>
    <row r="16" spans="1:37" ht="15.5">
      <c r="A16" s="370" t="s">
        <v>134</v>
      </c>
      <c r="B16" s="151"/>
      <c r="C16" s="373">
        <f>'Exhibit F'!D12+'Exh D Special Revenue State Fed'!G41+'Exhibit H'!B12</f>
        <v>40767.199999999997</v>
      </c>
      <c r="D16" s="373"/>
      <c r="E16" s="373">
        <f>C148</f>
        <v>54487.5</v>
      </c>
      <c r="F16" s="373"/>
      <c r="G16" s="373">
        <f>E148</f>
        <v>49385.599999999999</v>
      </c>
      <c r="H16" s="373"/>
      <c r="I16" s="373">
        <f>G148</f>
        <v>53898</v>
      </c>
      <c r="J16" s="373"/>
      <c r="K16" s="373">
        <f>I148</f>
        <v>54451.7</v>
      </c>
      <c r="L16" s="373"/>
      <c r="M16" s="373">
        <f>K148</f>
        <v>54213.8</v>
      </c>
      <c r="N16" s="373"/>
      <c r="O16" s="373">
        <f>M148</f>
        <v>58499.3</v>
      </c>
      <c r="P16" s="373"/>
      <c r="Q16" s="373">
        <f>O148</f>
        <v>55519.8</v>
      </c>
      <c r="R16" s="373"/>
      <c r="S16" s="373">
        <f t="shared" ref="S16" si="0">Q148</f>
        <v>53865.7</v>
      </c>
      <c r="T16" s="373"/>
      <c r="U16" s="373">
        <f t="shared" ref="U16" si="1">S148</f>
        <v>58296.5</v>
      </c>
      <c r="V16" s="373"/>
      <c r="W16" s="373">
        <f t="shared" ref="W16" si="2">U148</f>
        <v>62341.1</v>
      </c>
      <c r="X16" s="373"/>
      <c r="Y16" s="373">
        <f t="shared" ref="Y16" si="3">W148</f>
        <v>63986.3</v>
      </c>
      <c r="Z16" s="373"/>
      <c r="AA16" s="1576"/>
      <c r="AB16" s="373">
        <f>C16</f>
        <v>40767.199999999997</v>
      </c>
      <c r="AC16" s="373"/>
      <c r="AD16" s="1822"/>
      <c r="AE16" s="373">
        <f>'Exhibit F'!AF12+'Exhibit G State'!AG13+'Exhibit H'!AD12</f>
        <v>14934.4</v>
      </c>
      <c r="AF16" s="373"/>
      <c r="AG16" s="373"/>
      <c r="AH16" s="373">
        <f>ROUND(SUM(AB16-AE16),1)</f>
        <v>25832.799999999999</v>
      </c>
      <c r="AI16" s="369"/>
      <c r="AJ16" s="189">
        <f>ROUND(SUM(AH16/AE16),3)</f>
        <v>1.73</v>
      </c>
      <c r="AK16" s="302"/>
    </row>
    <row r="17" spans="1:36" ht="15.5">
      <c r="A17" s="151"/>
      <c r="B17" s="151"/>
      <c r="C17" s="151" t="s">
        <v>14</v>
      </c>
      <c r="D17" s="151"/>
      <c r="E17" s="375"/>
      <c r="F17" s="151"/>
      <c r="G17" s="375"/>
      <c r="H17" s="151"/>
      <c r="I17" s="375"/>
      <c r="J17" s="151"/>
      <c r="K17" s="375"/>
      <c r="L17" s="151"/>
      <c r="M17" s="375"/>
      <c r="N17" s="151"/>
      <c r="O17" s="375"/>
      <c r="P17" s="151"/>
      <c r="Q17" s="375"/>
      <c r="R17" s="151"/>
      <c r="S17" s="375"/>
      <c r="T17" s="151"/>
      <c r="U17" s="375"/>
      <c r="V17" s="151"/>
      <c r="W17" s="373"/>
      <c r="X17" s="151"/>
      <c r="Y17" s="375"/>
      <c r="Z17" s="151"/>
      <c r="AA17" s="686"/>
      <c r="AB17" s="151" t="s">
        <v>14</v>
      </c>
      <c r="AC17" s="151"/>
      <c r="AD17" s="1823"/>
      <c r="AE17" s="151" t="s">
        <v>14</v>
      </c>
      <c r="AF17" s="151"/>
      <c r="AG17" s="151"/>
      <c r="AH17" s="472"/>
      <c r="AI17" s="151"/>
      <c r="AJ17" s="472"/>
    </row>
    <row r="18" spans="1:36" ht="15.5">
      <c r="A18" s="111" t="s">
        <v>13</v>
      </c>
      <c r="B18" s="151"/>
      <c r="C18" s="151"/>
      <c r="D18" s="151"/>
      <c r="E18" s="375"/>
      <c r="F18" s="151"/>
      <c r="G18" s="375"/>
      <c r="H18" s="151"/>
      <c r="I18" s="375"/>
      <c r="J18" s="151"/>
      <c r="K18" s="375"/>
      <c r="L18" s="151"/>
      <c r="M18" s="375"/>
      <c r="N18" s="151"/>
      <c r="O18" s="375"/>
      <c r="P18" s="151"/>
      <c r="Q18" s="375"/>
      <c r="R18" s="151"/>
      <c r="S18" s="375"/>
      <c r="T18" s="151"/>
      <c r="U18" s="375"/>
      <c r="V18" s="151"/>
      <c r="W18" s="375"/>
      <c r="X18" s="151"/>
      <c r="Y18" s="375"/>
      <c r="Z18" s="151"/>
      <c r="AA18" s="686"/>
      <c r="AB18" s="151"/>
      <c r="AC18" s="151"/>
      <c r="AD18" s="1823"/>
      <c r="AE18" s="151"/>
      <c r="AF18" s="151"/>
      <c r="AG18" s="151"/>
      <c r="AH18" s="472"/>
      <c r="AI18" s="151"/>
      <c r="AJ18" s="472"/>
    </row>
    <row r="19" spans="1:36" ht="15.5">
      <c r="A19" s="117" t="s">
        <v>978</v>
      </c>
      <c r="B19" s="151"/>
      <c r="C19" s="151"/>
      <c r="D19" s="151"/>
      <c r="E19" s="375"/>
      <c r="F19" s="151"/>
      <c r="G19" s="375"/>
      <c r="H19" s="151"/>
      <c r="I19" s="375"/>
      <c r="J19" s="151"/>
      <c r="K19" s="375"/>
      <c r="L19" s="151"/>
      <c r="M19" s="375"/>
      <c r="N19" s="151"/>
      <c r="O19" s="375"/>
      <c r="P19" s="151"/>
      <c r="Q19" s="375"/>
      <c r="R19" s="151"/>
      <c r="S19" s="375"/>
      <c r="T19" s="151"/>
      <c r="U19" s="375"/>
      <c r="V19" s="151"/>
      <c r="W19" s="375"/>
      <c r="X19" s="151"/>
      <c r="Y19" s="375"/>
      <c r="Z19" s="151"/>
      <c r="AA19" s="376"/>
      <c r="AB19" s="151"/>
      <c r="AC19" s="151"/>
      <c r="AD19" s="1823"/>
      <c r="AE19" s="151"/>
      <c r="AF19" s="151"/>
      <c r="AG19" s="151"/>
      <c r="AH19" s="472"/>
      <c r="AI19" s="151"/>
      <c r="AJ19" s="472"/>
    </row>
    <row r="20" spans="1:36" ht="15.5">
      <c r="A20" s="739" t="s">
        <v>1040</v>
      </c>
      <c r="B20" s="151"/>
      <c r="C20" s="151"/>
      <c r="D20" s="151"/>
      <c r="E20" s="377"/>
      <c r="F20" s="151"/>
      <c r="G20" s="377"/>
      <c r="H20" s="151"/>
      <c r="I20" s="375"/>
      <c r="J20" s="151"/>
      <c r="K20" s="375"/>
      <c r="L20" s="151"/>
      <c r="M20" s="375"/>
      <c r="N20" s="151"/>
      <c r="O20" s="375"/>
      <c r="P20" s="151"/>
      <c r="Q20" s="375"/>
      <c r="R20" s="151"/>
      <c r="S20" s="375"/>
      <c r="T20" s="151"/>
      <c r="U20" s="375"/>
      <c r="V20" s="151"/>
      <c r="W20" s="375"/>
      <c r="X20" s="151"/>
      <c r="Y20" s="375"/>
      <c r="Z20" s="151"/>
      <c r="AA20" s="686"/>
      <c r="AB20" s="151"/>
      <c r="AC20" s="151"/>
      <c r="AD20" s="1823"/>
      <c r="AE20" s="151"/>
      <c r="AF20" s="151"/>
      <c r="AG20" s="151"/>
      <c r="AH20" s="472"/>
      <c r="AI20" s="151"/>
      <c r="AJ20" s="472"/>
    </row>
    <row r="21" spans="1:36" ht="15.5">
      <c r="A21" s="489" t="s">
        <v>984</v>
      </c>
      <c r="B21" s="151"/>
      <c r="C21" s="377">
        <f>+'Exhibit F'!D17</f>
        <v>3733.2</v>
      </c>
      <c r="D21" s="377"/>
      <c r="E21" s="377">
        <f>+'Exhibit F'!F17</f>
        <v>3632</v>
      </c>
      <c r="F21" s="377"/>
      <c r="G21" s="377">
        <f>+'Exhibit F'!H17</f>
        <v>4010.5999999999995</v>
      </c>
      <c r="H21" s="377"/>
      <c r="I21" s="377">
        <f>+'Exhibit F'!J17</f>
        <v>3513.9000000000024</v>
      </c>
      <c r="J21" s="377"/>
      <c r="K21" s="377">
        <f>+'Exhibit F'!L17</f>
        <v>3959.7000000000016</v>
      </c>
      <c r="L21" s="377"/>
      <c r="M21" s="377">
        <f>+'Exhibit F'!N17</f>
        <v>3486.399999999996</v>
      </c>
      <c r="N21" s="377"/>
      <c r="O21" s="377">
        <f>+'Exhibit F'!P17</f>
        <v>3447.2000000000016</v>
      </c>
      <c r="P21" s="151"/>
      <c r="Q21" s="377">
        <f>+'Exhibit F'!R17</f>
        <v>4016.3</v>
      </c>
      <c r="R21" s="377"/>
      <c r="S21" s="377">
        <f>+'Exhibit F'!T17</f>
        <v>4986.3999999999969</v>
      </c>
      <c r="T21" s="377"/>
      <c r="U21" s="377">
        <f>+'Exhibit F'!V17</f>
        <v>5601.0000000000045</v>
      </c>
      <c r="V21" s="377"/>
      <c r="W21" s="377">
        <f>+'Exhibit F'!X17</f>
        <v>5691.4000000000005</v>
      </c>
      <c r="X21" s="377"/>
      <c r="Y21" s="377">
        <f>+'Exhibit F'!Z17</f>
        <v>6398.5999999999995</v>
      </c>
      <c r="Z21" s="151"/>
      <c r="AA21" s="686"/>
      <c r="AB21" s="377">
        <f>ROUND(SUM(C21:Y21),1)</f>
        <v>52476.7</v>
      </c>
      <c r="AC21" s="151"/>
      <c r="AD21" s="1823"/>
      <c r="AE21" s="377">
        <f>+'Exhibit F'!AF17</f>
        <v>53327.700000000004</v>
      </c>
      <c r="AF21" s="151"/>
      <c r="AG21" s="151"/>
      <c r="AH21" s="467">
        <f>ROUND(SUM(+AB21-AE21),1)</f>
        <v>-851</v>
      </c>
      <c r="AI21" s="169"/>
      <c r="AJ21" s="488">
        <f t="shared" ref="AJ21:AJ25" si="4">ROUND(SUM(+AH21/ABS(AE21)),3)</f>
        <v>-1.6E-2</v>
      </c>
    </row>
    <row r="22" spans="1:36" ht="15.5">
      <c r="A22" s="489" t="s">
        <v>1237</v>
      </c>
      <c r="B22" s="151"/>
      <c r="C22" s="377">
        <f>+'Exhibit F'!D18</f>
        <v>10927.5</v>
      </c>
      <c r="D22" s="377"/>
      <c r="E22" s="377">
        <f>+'Exhibit F'!F18</f>
        <v>152.80000000000109</v>
      </c>
      <c r="F22" s="377"/>
      <c r="G22" s="377">
        <f>+'Exhibit F'!H18</f>
        <v>1846.2999999999993</v>
      </c>
      <c r="H22" s="377"/>
      <c r="I22" s="377">
        <f>+'Exhibit F'!J18</f>
        <v>131.5</v>
      </c>
      <c r="J22" s="377"/>
      <c r="K22" s="377">
        <f>+'Exhibit F'!L18</f>
        <v>134.29999999999927</v>
      </c>
      <c r="L22" s="377"/>
      <c r="M22" s="377">
        <f>+'Exhibit F'!N18</f>
        <v>1985.3000000000011</v>
      </c>
      <c r="N22" s="377"/>
      <c r="O22" s="377">
        <f>+'Exhibit F'!P18</f>
        <v>157.09999999999854</v>
      </c>
      <c r="P22" s="151"/>
      <c r="Q22" s="377">
        <f>+'Exhibit F'!R18</f>
        <v>97.800000000001091</v>
      </c>
      <c r="R22" s="377"/>
      <c r="S22" s="377">
        <f>+'Exhibit F'!T18</f>
        <v>248.10000000000036</v>
      </c>
      <c r="T22" s="377"/>
      <c r="U22" s="377">
        <f>+'Exhibit F'!V18</f>
        <v>2520.2000000000007</v>
      </c>
      <c r="V22" s="377"/>
      <c r="W22" s="377">
        <f>+'Exhibit F'!X18</f>
        <v>101.19999999999709</v>
      </c>
      <c r="X22" s="377"/>
      <c r="Y22" s="377">
        <f>+'Exhibit F'!Z18</f>
        <v>126</v>
      </c>
      <c r="Z22" s="151"/>
      <c r="AA22" s="686"/>
      <c r="AB22" s="377">
        <f>ROUND(SUM(C22:Y22),1)</f>
        <v>18428.099999999999</v>
      </c>
      <c r="AC22" s="151"/>
      <c r="AD22" s="1823"/>
      <c r="AE22" s="377">
        <f>+'Exhibit F'!AF18</f>
        <v>21665.9</v>
      </c>
      <c r="AF22" s="151"/>
      <c r="AG22" s="151"/>
      <c r="AH22" s="467">
        <f t="shared" ref="AH22:AH28" si="5">ROUND(SUM(+AB22-AE22),1)</f>
        <v>-3237.8</v>
      </c>
      <c r="AI22" s="169"/>
      <c r="AJ22" s="1145">
        <f t="shared" si="4"/>
        <v>-0.14899999999999999</v>
      </c>
    </row>
    <row r="23" spans="1:36" ht="15.5">
      <c r="A23" s="489" t="s">
        <v>985</v>
      </c>
      <c r="B23" s="151"/>
      <c r="C23" s="377">
        <f>+'Exhibit F'!D19</f>
        <v>3269.8</v>
      </c>
      <c r="D23" s="377"/>
      <c r="E23" s="377">
        <f>+'Exhibit F'!F19</f>
        <v>174.89999999999964</v>
      </c>
      <c r="F23" s="377"/>
      <c r="G23" s="377">
        <f>+'Exhibit F'!H19</f>
        <v>103.80000000000018</v>
      </c>
      <c r="H23" s="377"/>
      <c r="I23" s="377">
        <f>+'Exhibit F'!J19</f>
        <v>67.5</v>
      </c>
      <c r="J23" s="377"/>
      <c r="K23" s="377">
        <f>+'Exhibit F'!L19</f>
        <v>85.5</v>
      </c>
      <c r="L23" s="377"/>
      <c r="M23" s="377">
        <f>+'Exhibit F'!N19</f>
        <v>114.09999999999991</v>
      </c>
      <c r="N23" s="377"/>
      <c r="O23" s="377">
        <f>+'Exhibit F'!P19</f>
        <v>1124.9999999999995</v>
      </c>
      <c r="P23" s="151"/>
      <c r="Q23" s="377">
        <f>+'Exhibit F'!R19</f>
        <v>87.500000000000909</v>
      </c>
      <c r="R23" s="377"/>
      <c r="S23" s="377">
        <f>+'Exhibit F'!T19</f>
        <v>36.399999999999636</v>
      </c>
      <c r="T23" s="377"/>
      <c r="U23" s="377">
        <f>+'Exhibit F'!V19</f>
        <v>28.300000000000182</v>
      </c>
      <c r="V23" s="377"/>
      <c r="W23" s="377">
        <f>+'Exhibit F'!X19</f>
        <v>104.49999999999909</v>
      </c>
      <c r="X23" s="377"/>
      <c r="Y23" s="377">
        <f>+'Exhibit F'!Z19</f>
        <v>253.00000000000091</v>
      </c>
      <c r="Z23" s="151"/>
      <c r="AA23" s="686"/>
      <c r="AB23" s="377">
        <f>ROUND(SUM(C23:Y23),1)</f>
        <v>5450.3</v>
      </c>
      <c r="AC23" s="151"/>
      <c r="AD23" s="1823"/>
      <c r="AE23" s="377">
        <f>+'Exhibit F'!AF19</f>
        <v>4631.1000000000004</v>
      </c>
      <c r="AF23" s="151"/>
      <c r="AG23" s="151"/>
      <c r="AH23" s="467">
        <f t="shared" si="5"/>
        <v>819.2</v>
      </c>
      <c r="AI23" s="169"/>
      <c r="AJ23" s="488">
        <f t="shared" si="4"/>
        <v>0.17699999999999999</v>
      </c>
    </row>
    <row r="24" spans="1:36" ht="15.5">
      <c r="A24" s="754" t="s">
        <v>986</v>
      </c>
      <c r="B24" s="151"/>
      <c r="C24" s="377">
        <f>+'Exhibit F'!D20</f>
        <v>-502</v>
      </c>
      <c r="D24" s="377"/>
      <c r="E24" s="377">
        <f>+'Exhibit F'!F20</f>
        <v>-39.100000000000023</v>
      </c>
      <c r="F24" s="377"/>
      <c r="G24" s="377">
        <f>+'Exhibit F'!H20</f>
        <v>-50.399999999999977</v>
      </c>
      <c r="H24" s="377"/>
      <c r="I24" s="377">
        <f>+'Exhibit F'!J20</f>
        <v>-20.799999999999955</v>
      </c>
      <c r="J24" s="377"/>
      <c r="K24" s="377">
        <f>+'Exhibit F'!L20</f>
        <v>-44</v>
      </c>
      <c r="L24" s="377"/>
      <c r="M24" s="377">
        <f>+'Exhibit F'!N20</f>
        <v>-90.200000000000045</v>
      </c>
      <c r="N24" s="377"/>
      <c r="O24" s="377">
        <f>+'Exhibit F'!P20</f>
        <v>-937.09999999999991</v>
      </c>
      <c r="P24" s="151"/>
      <c r="Q24" s="377">
        <f>+'Exhibit F'!R20</f>
        <v>-157.5</v>
      </c>
      <c r="R24" s="377"/>
      <c r="S24" s="377">
        <f>+'Exhibit F'!T20</f>
        <v>-21.300000000000182</v>
      </c>
      <c r="T24" s="377"/>
      <c r="U24" s="377">
        <f>+'Exhibit F'!V20</f>
        <v>11.300000000000182</v>
      </c>
      <c r="V24" s="377"/>
      <c r="W24" s="377">
        <f>+'Exhibit F'!X20</f>
        <v>-79.900000000000091</v>
      </c>
      <c r="X24" s="377"/>
      <c r="Y24" s="377">
        <f>+'Exhibit F'!Z20</f>
        <v>-77.099999999999909</v>
      </c>
      <c r="Z24" s="151"/>
      <c r="AA24" s="686"/>
      <c r="AB24" s="377">
        <f>ROUND(SUM(C24:Y24),1)</f>
        <v>-2008.1</v>
      </c>
      <c r="AC24" s="151"/>
      <c r="AD24" s="1823"/>
      <c r="AE24" s="377">
        <f>+'Exhibit F'!AF20</f>
        <v>-1122.3</v>
      </c>
      <c r="AF24" s="151"/>
      <c r="AG24" s="151"/>
      <c r="AH24" s="467">
        <f>-ROUND(SUM(+AB24-AE24),1)</f>
        <v>885.8</v>
      </c>
      <c r="AI24" s="169"/>
      <c r="AJ24" s="488">
        <f t="shared" si="4"/>
        <v>0.78900000000000003</v>
      </c>
    </row>
    <row r="25" spans="1:36" ht="15.5">
      <c r="A25" s="754" t="s">
        <v>1236</v>
      </c>
      <c r="B25" s="151"/>
      <c r="C25" s="377">
        <f>+'Exhibit F'!D21</f>
        <v>220.6</v>
      </c>
      <c r="D25" s="377"/>
      <c r="E25" s="377">
        <f>+'Exhibit F'!F21</f>
        <v>161.79999999999998</v>
      </c>
      <c r="F25" s="377"/>
      <c r="G25" s="377">
        <f>+'Exhibit F'!H21</f>
        <v>110.10000000000005</v>
      </c>
      <c r="H25" s="377"/>
      <c r="I25" s="377">
        <f>+'Exhibit F'!J21</f>
        <v>128.20000000000007</v>
      </c>
      <c r="J25" s="377"/>
      <c r="K25" s="377">
        <f>+'Exhibit F'!L21</f>
        <v>113.69999999999996</v>
      </c>
      <c r="L25" s="377"/>
      <c r="M25" s="377">
        <f>+'Exhibit F'!N21</f>
        <v>124.59999999999997</v>
      </c>
      <c r="N25" s="377"/>
      <c r="O25" s="377">
        <f>+'Exhibit F'!P21</f>
        <v>119.50000000000003</v>
      </c>
      <c r="P25" s="151"/>
      <c r="Q25" s="377">
        <f>+'Exhibit F'!R21</f>
        <v>136.50000000000003</v>
      </c>
      <c r="R25" s="377"/>
      <c r="S25" s="377">
        <f>+'Exhibit F'!T21</f>
        <v>142.6</v>
      </c>
      <c r="T25" s="377"/>
      <c r="U25" s="377">
        <f>+'Exhibit F'!V21</f>
        <v>133.60000000000028</v>
      </c>
      <c r="V25" s="377"/>
      <c r="W25" s="377">
        <f>+'Exhibit F'!X21</f>
        <v>207.49999999999974</v>
      </c>
      <c r="X25" s="377"/>
      <c r="Y25" s="377">
        <f>+'Exhibit F'!Z21</f>
        <v>193.39999999999989</v>
      </c>
      <c r="Z25" s="151"/>
      <c r="AA25" s="686"/>
      <c r="AB25" s="377">
        <f t="shared" ref="AB25:AB29" si="6">ROUND(SUM(C25:Y25),1)</f>
        <v>1792.1</v>
      </c>
      <c r="AC25" s="151"/>
      <c r="AD25" s="1823"/>
      <c r="AE25" s="377">
        <f>+'Exhibit F'!AF21</f>
        <v>1494.1</v>
      </c>
      <c r="AF25" s="151"/>
      <c r="AG25" s="151"/>
      <c r="AH25" s="467">
        <f t="shared" si="5"/>
        <v>298</v>
      </c>
      <c r="AI25" s="169"/>
      <c r="AJ25" s="488">
        <f t="shared" si="4"/>
        <v>0.19900000000000001</v>
      </c>
    </row>
    <row r="26" spans="1:36" ht="15.5">
      <c r="A26" s="490" t="s">
        <v>987</v>
      </c>
      <c r="B26" s="151"/>
      <c r="C26" s="178">
        <f>ROUND(SUM(C21:C25),1)</f>
        <v>17649.099999999999</v>
      </c>
      <c r="D26" s="151"/>
      <c r="E26" s="178">
        <f>ROUND(SUM(E21:E25),1)</f>
        <v>4082.4</v>
      </c>
      <c r="F26" s="151"/>
      <c r="G26" s="178">
        <f>ROUND(SUM(G21:G25),1)</f>
        <v>6020.4</v>
      </c>
      <c r="H26" s="151"/>
      <c r="I26" s="178">
        <f>ROUND(SUM(I21:I25),1)</f>
        <v>3820.3</v>
      </c>
      <c r="J26" s="151"/>
      <c r="K26" s="178">
        <f>ROUND(SUM(K21:K25),1)</f>
        <v>4249.2</v>
      </c>
      <c r="L26" s="151"/>
      <c r="M26" s="178">
        <f>ROUND(SUM(M21:M25),1)</f>
        <v>5620.2</v>
      </c>
      <c r="N26" s="151"/>
      <c r="O26" s="178">
        <f>ROUND(SUM(O21:O25),1)</f>
        <v>3911.7</v>
      </c>
      <c r="P26" s="151"/>
      <c r="Q26" s="178">
        <f>ROUND(SUM(Q21:Q25),1)</f>
        <v>4180.6000000000004</v>
      </c>
      <c r="R26" s="151"/>
      <c r="S26" s="178">
        <f>ROUND(SUM(S21:S25),1)</f>
        <v>5392.2</v>
      </c>
      <c r="T26" s="151"/>
      <c r="U26" s="178">
        <f>ROUND(SUM(U21:U25),1)</f>
        <v>8294.4</v>
      </c>
      <c r="V26" s="151"/>
      <c r="W26" s="178">
        <f>ROUND(SUM(W21:W25),1)</f>
        <v>6024.7</v>
      </c>
      <c r="X26" s="151"/>
      <c r="Y26" s="178">
        <f>ROUND(SUM(Y21:Y25),1)</f>
        <v>6893.9</v>
      </c>
      <c r="Z26" s="151"/>
      <c r="AA26" s="686"/>
      <c r="AB26" s="178">
        <f>ROUND(SUM(AB21:AB25),1)</f>
        <v>76139.100000000006</v>
      </c>
      <c r="AC26" s="151"/>
      <c r="AD26" s="1823"/>
      <c r="AE26" s="178">
        <f>ROUND(SUM(AE21:AE25),1)</f>
        <v>79996.5</v>
      </c>
      <c r="AF26" s="151"/>
      <c r="AG26" s="151"/>
      <c r="AH26" s="41">
        <f t="shared" si="5"/>
        <v>-3857.4</v>
      </c>
      <c r="AI26" s="169"/>
      <c r="AJ26" s="199">
        <f>ROUND(SUM(+AH26/ABS(AE26)),3)</f>
        <v>-4.8000000000000001E-2</v>
      </c>
    </row>
    <row r="27" spans="1:36" ht="15.5">
      <c r="A27" s="754" t="s">
        <v>989</v>
      </c>
      <c r="B27" s="151"/>
      <c r="C27" s="377">
        <f>+'Exhibit F'!D23+'Exhibit G State'!D17</f>
        <v>0</v>
      </c>
      <c r="D27" s="151"/>
      <c r="E27" s="377">
        <f>+'Exhibit F'!F23+'Exhibit G State'!F17</f>
        <v>0</v>
      </c>
      <c r="F27" s="151"/>
      <c r="G27" s="377">
        <f>+'Exhibit F'!H23+'Exhibit G State'!H17</f>
        <v>0</v>
      </c>
      <c r="H27" s="151"/>
      <c r="I27" s="377">
        <f>+'Exhibit F'!J23+'Exhibit G State'!J17</f>
        <v>0</v>
      </c>
      <c r="J27" s="151"/>
      <c r="K27" s="377">
        <f>+'Exhibit F'!L23+'Exhibit G State'!L17</f>
        <v>0</v>
      </c>
      <c r="L27" s="151"/>
      <c r="M27" s="377">
        <f>+'Exhibit F'!N23+'Exhibit G State'!N17</f>
        <v>0</v>
      </c>
      <c r="N27" s="151"/>
      <c r="O27" s="377">
        <f>+'Exhibit F'!P23+'Exhibit G State'!P17</f>
        <v>0</v>
      </c>
      <c r="P27" s="151"/>
      <c r="Q27" s="377">
        <f>+'Exhibit F'!R23+'Exhibit G State'!R17</f>
        <v>0</v>
      </c>
      <c r="R27" s="377"/>
      <c r="S27" s="377">
        <f>+'Exhibit F'!T23+'Exhibit G State'!T17</f>
        <v>0</v>
      </c>
      <c r="T27" s="377"/>
      <c r="U27" s="377">
        <f>+'Exhibit F'!V23+'Exhibit G State'!V17</f>
        <v>0</v>
      </c>
      <c r="V27" s="377"/>
      <c r="W27" s="377">
        <f>+'Exhibit F'!X23+'Exhibit G State'!X17</f>
        <v>0</v>
      </c>
      <c r="X27" s="377"/>
      <c r="Y27" s="377">
        <f>+'Exhibit F'!Z23+'Exhibit G State'!Z17</f>
        <v>0</v>
      </c>
      <c r="Z27" s="151"/>
      <c r="AA27" s="686"/>
      <c r="AB27" s="377">
        <f>ROUND(SUM(C27:Y27),1)</f>
        <v>0</v>
      </c>
      <c r="AC27" s="151"/>
      <c r="AD27" s="1823"/>
      <c r="AE27" s="377">
        <f>+'Exhibit F'!AF23+'Exhibit G State'!AG17</f>
        <v>0</v>
      </c>
      <c r="AF27" s="151"/>
      <c r="AG27" s="151"/>
      <c r="AH27" s="467">
        <f t="shared" si="5"/>
        <v>0</v>
      </c>
      <c r="AI27" s="169"/>
      <c r="AJ27" s="469">
        <f>ROUND(IF(AE27=0,0,AH27/ABS(AE27)),3)</f>
        <v>0</v>
      </c>
    </row>
    <row r="28" spans="1:36" ht="15.5">
      <c r="A28" s="754" t="s">
        <v>990</v>
      </c>
      <c r="B28" s="151"/>
      <c r="C28" s="377">
        <f>+'Exhibit F'!D24+'Exhibit H'!B16</f>
        <v>0</v>
      </c>
      <c r="D28" s="151"/>
      <c r="E28" s="377">
        <f>+'Exhibit F'!F24+'Exhibit H'!D16</f>
        <v>0</v>
      </c>
      <c r="F28" s="151"/>
      <c r="G28" s="377">
        <f>+'Exhibit F'!H24+'Exhibit H'!F16</f>
        <v>0</v>
      </c>
      <c r="H28" s="151"/>
      <c r="I28" s="377">
        <f>+'Exhibit F'!J24+'Exhibit H'!H16</f>
        <v>0</v>
      </c>
      <c r="J28" s="151"/>
      <c r="K28" s="377">
        <f>+'Exhibit F'!L24+'Exhibit H'!J16</f>
        <v>0</v>
      </c>
      <c r="L28" s="151"/>
      <c r="M28" s="377">
        <f>+'Exhibit F'!N24+'Exhibit H'!L16</f>
        <v>0</v>
      </c>
      <c r="N28" s="151"/>
      <c r="O28" s="377">
        <f>+'Exhibit F'!P24+'Exhibit H'!N16</f>
        <v>0</v>
      </c>
      <c r="P28" s="151"/>
      <c r="Q28" s="377">
        <f>+'Exhibit F'!R24+'Exhibit H'!P16</f>
        <v>0</v>
      </c>
      <c r="R28" s="377"/>
      <c r="S28" s="377">
        <f>+'Exhibit F'!T24+'Exhibit H'!R16</f>
        <v>0</v>
      </c>
      <c r="T28" s="377"/>
      <c r="U28" s="377">
        <f>+'Exhibit F'!V24+'Exhibit H'!T16</f>
        <v>0</v>
      </c>
      <c r="V28" s="377"/>
      <c r="W28" s="377">
        <f>+'Exhibit F'!X24+'Exhibit H'!V16</f>
        <v>0</v>
      </c>
      <c r="X28" s="377"/>
      <c r="Y28" s="377">
        <f>+'Exhibit F'!Z24+'Exhibit H'!X16</f>
        <v>0</v>
      </c>
      <c r="Z28" s="151"/>
      <c r="AA28" s="686"/>
      <c r="AB28" s="377">
        <f t="shared" si="6"/>
        <v>0</v>
      </c>
      <c r="AC28" s="151"/>
      <c r="AD28" s="1823"/>
      <c r="AE28" s="377">
        <f>+'Exhibit F'!AF24+'Exhibit H'!AD16</f>
        <v>0</v>
      </c>
      <c r="AF28" s="151"/>
      <c r="AG28" s="151"/>
      <c r="AH28" s="467">
        <f t="shared" si="5"/>
        <v>0</v>
      </c>
      <c r="AI28" s="169"/>
      <c r="AJ28" s="469">
        <f>ROUND(IF(AE28=0,0,AH28/ABS(AE28)),3)</f>
        <v>0</v>
      </c>
    </row>
    <row r="29" spans="1:36" ht="15.5">
      <c r="A29" s="489" t="s">
        <v>1238</v>
      </c>
      <c r="B29" s="377"/>
      <c r="C29" s="377">
        <f>+'Exhibit F'!D25</f>
        <v>-2927.5</v>
      </c>
      <c r="D29" s="377"/>
      <c r="E29" s="377">
        <f>+'Exhibit F'!F25</f>
        <v>-1358.1999999999998</v>
      </c>
      <c r="F29" s="377"/>
      <c r="G29" s="377">
        <f>+'Exhibit F'!H25</f>
        <v>-1827.3000000000002</v>
      </c>
      <c r="H29" s="377"/>
      <c r="I29" s="377">
        <f>+'Exhibit F'!J25</f>
        <v>-728.60000000000036</v>
      </c>
      <c r="J29" s="377"/>
      <c r="K29" s="377">
        <f>+'Exhibit F'!L25</f>
        <v>-660.39999999999964</v>
      </c>
      <c r="L29" s="151"/>
      <c r="M29" s="377">
        <f>+'Exhibit F'!N25</f>
        <v>-761</v>
      </c>
      <c r="N29" s="151"/>
      <c r="O29" s="377">
        <f>+'Exhibit F'!P25</f>
        <v>-1968.5</v>
      </c>
      <c r="P29" s="151"/>
      <c r="Q29" s="377">
        <f>+'Exhibit F'!R25</f>
        <v>-1465.2999999999993</v>
      </c>
      <c r="R29" s="377"/>
      <c r="S29" s="377">
        <f>+'Exhibit F'!T25</f>
        <v>-1111.1000000000013</v>
      </c>
      <c r="T29" s="377"/>
      <c r="U29" s="377">
        <f>+'Exhibit F'!V25</f>
        <v>-22</v>
      </c>
      <c r="V29" s="377"/>
      <c r="W29" s="377">
        <f>+'Exhibit F'!X25</f>
        <v>-1877.3000000000002</v>
      </c>
      <c r="X29" s="377"/>
      <c r="Y29" s="377">
        <f>+'Exhibit F'!Z25</f>
        <v>-2656.2999999999993</v>
      </c>
      <c r="Z29" s="151"/>
      <c r="AA29" s="686"/>
      <c r="AB29" s="377">
        <f t="shared" si="6"/>
        <v>-17363.5</v>
      </c>
      <c r="AC29" s="151"/>
      <c r="AD29" s="1823"/>
      <c r="AE29" s="377">
        <f>+'Exhibit F'!AF25</f>
        <v>-9259.2000000000007</v>
      </c>
      <c r="AF29" s="151"/>
      <c r="AG29" s="151"/>
      <c r="AH29" s="467">
        <f>-ROUND(SUM(+AB29-AE29),1)</f>
        <v>8104.3</v>
      </c>
      <c r="AI29" s="169"/>
      <c r="AJ29" s="488">
        <f>ROUND(SUM(+AH29/ABS(AE29)),3)</f>
        <v>0.875</v>
      </c>
    </row>
    <row r="30" spans="1:36" ht="15.5">
      <c r="A30" s="217" t="s">
        <v>988</v>
      </c>
      <c r="B30" s="151"/>
      <c r="C30" s="178">
        <f>ROUND(SUM(C26+C27+C28+C29),1)</f>
        <v>14721.6</v>
      </c>
      <c r="D30" s="151"/>
      <c r="E30" s="178">
        <f>ROUND(SUM(E26+E27+E28+E29),1)</f>
        <v>2724.2</v>
      </c>
      <c r="F30" s="151"/>
      <c r="G30" s="178">
        <f>ROUND(SUM(G26+G27+G28+G29),1)</f>
        <v>4193.1000000000004</v>
      </c>
      <c r="H30" s="151"/>
      <c r="I30" s="178">
        <f>ROUND(SUM(I26+I27+I28+I29),1)</f>
        <v>3091.7</v>
      </c>
      <c r="J30" s="151"/>
      <c r="K30" s="178">
        <f>ROUND(SUM(K26+K27+K28+K29),1)</f>
        <v>3588.8</v>
      </c>
      <c r="L30" s="151"/>
      <c r="M30" s="178">
        <f>ROUND(SUM(M26+M27+M28+M29),1)</f>
        <v>4859.2</v>
      </c>
      <c r="N30" s="151"/>
      <c r="O30" s="178">
        <f>ROUND(SUM(O26+O27+O28+O29),1)</f>
        <v>1943.2</v>
      </c>
      <c r="P30" s="151"/>
      <c r="Q30" s="178">
        <f>ROUND(SUM(Q26+Q27+Q28+Q29),1)</f>
        <v>2715.3</v>
      </c>
      <c r="R30" s="151"/>
      <c r="S30" s="178">
        <f>ROUND(SUM(S26+S27+S28+S29),1)</f>
        <v>4281.1000000000004</v>
      </c>
      <c r="T30" s="151"/>
      <c r="U30" s="178">
        <f>ROUND(SUM(U26+U27+U28+U29),1)</f>
        <v>8272.4</v>
      </c>
      <c r="V30" s="151"/>
      <c r="W30" s="178">
        <f>ROUND(SUM(W26+W27+W28+W29),1)</f>
        <v>4147.3999999999996</v>
      </c>
      <c r="X30" s="151"/>
      <c r="Y30" s="178">
        <f>ROUND(SUM(Y26+Y27+Y28+Y29),1)</f>
        <v>4237.6000000000004</v>
      </c>
      <c r="Z30" s="151"/>
      <c r="AA30" s="686"/>
      <c r="AB30" s="178">
        <f>ROUND(SUM(AB26+AB27+AB28+AB29),1)</f>
        <v>58775.6</v>
      </c>
      <c r="AC30" s="151"/>
      <c r="AD30" s="1823"/>
      <c r="AE30" s="178">
        <f>ROUND(SUM(AE26+AE27+AE28+AE29),1)</f>
        <v>70737.3</v>
      </c>
      <c r="AF30" s="151"/>
      <c r="AG30" s="151"/>
      <c r="AH30" s="178">
        <f>ROUND(SUM(AH26+AH27+AH28-AH29),1)</f>
        <v>-11961.7</v>
      </c>
      <c r="AI30" s="548"/>
      <c r="AJ30" s="199">
        <f>ROUND(SUM(+AH30/ABS(AE30)),3)</f>
        <v>-0.16900000000000001</v>
      </c>
    </row>
    <row r="31" spans="1:36" ht="15.5">
      <c r="A31" s="739" t="s">
        <v>1037</v>
      </c>
      <c r="B31" s="151"/>
      <c r="C31" s="151"/>
      <c r="D31" s="151"/>
      <c r="E31" s="151"/>
      <c r="F31" s="151"/>
      <c r="G31" s="151"/>
      <c r="H31" s="151"/>
      <c r="I31" s="151"/>
      <c r="J31" s="151"/>
      <c r="K31" s="151"/>
      <c r="L31" s="151"/>
      <c r="M31" s="151"/>
      <c r="N31" s="151"/>
      <c r="O31" s="151"/>
      <c r="P31" s="151"/>
      <c r="Q31" s="151"/>
      <c r="R31" s="151"/>
      <c r="S31" s="151"/>
      <c r="T31" s="151"/>
      <c r="U31" s="151"/>
      <c r="V31" s="151"/>
      <c r="W31" s="151"/>
      <c r="X31" s="151"/>
      <c r="Y31" s="151"/>
      <c r="Z31" s="151"/>
      <c r="AA31" s="686"/>
      <c r="AB31" s="151"/>
      <c r="AC31" s="151"/>
      <c r="AD31" s="1823"/>
      <c r="AE31" s="377"/>
      <c r="AF31" s="151"/>
      <c r="AG31" s="151"/>
      <c r="AH31" s="472"/>
      <c r="AI31" s="151"/>
      <c r="AJ31" s="472"/>
    </row>
    <row r="32" spans="1:36" ht="15.5">
      <c r="A32" s="489" t="s">
        <v>993</v>
      </c>
      <c r="B32" s="151"/>
      <c r="C32" s="377">
        <f>+'Exhibit F'!D28+'Exhibit H'!B19+'Exhibit G State'!D20</f>
        <v>1378.6999999999998</v>
      </c>
      <c r="D32" s="377"/>
      <c r="E32" s="377">
        <f>+'Exhibit F'!F28+'Exhibit H'!D19+'Exhibit G State'!F20</f>
        <v>1397.1999999999998</v>
      </c>
      <c r="F32" s="377"/>
      <c r="G32" s="377">
        <f>+'Exhibit F'!H28+'Exhibit H'!F19+'Exhibit G State'!H20</f>
        <v>1881.7000000000003</v>
      </c>
      <c r="H32" s="377"/>
      <c r="I32" s="377">
        <f>+'Exhibit F'!J28+'Exhibit H'!H19+'Exhibit G State'!J20</f>
        <v>1474.8000000000002</v>
      </c>
      <c r="J32" s="377"/>
      <c r="K32" s="377">
        <f>+'Exhibit F'!L28+'Exhibit H'!J19+'Exhibit G State'!L20</f>
        <v>1429.6</v>
      </c>
      <c r="L32" s="151"/>
      <c r="M32" s="377">
        <f>+'Exhibit F'!N28+'Exhibit H'!L19+'Exhibit G State'!N20</f>
        <v>1892.8999999999992</v>
      </c>
      <c r="N32" s="151"/>
      <c r="O32" s="377">
        <f>+'Exhibit F'!P28+'Exhibit H'!N19+'Exhibit G State'!P20</f>
        <v>1496.2000000000003</v>
      </c>
      <c r="P32" s="151"/>
      <c r="Q32" s="377">
        <f>+'Exhibit F'!R28+'Exhibit H'!P19+'Exhibit G State'!R20</f>
        <v>1465.6999999999998</v>
      </c>
      <c r="R32" s="377"/>
      <c r="S32" s="377">
        <f>+'Exhibit F'!T28+'Exhibit H'!R19+'Exhibit G State'!T20</f>
        <v>1839.4000000000003</v>
      </c>
      <c r="T32" s="377"/>
      <c r="U32" s="377">
        <f>+'Exhibit F'!V28+'Exhibit H'!T19+'Exhibit G State'!V20</f>
        <v>1617.8000000000006</v>
      </c>
      <c r="V32" s="377"/>
      <c r="W32" s="377">
        <f>+'Exhibit F'!X28+'Exhibit H'!V19+'Exhibit G State'!X20</f>
        <v>1395.6999999999973</v>
      </c>
      <c r="X32" s="377"/>
      <c r="Y32" s="377">
        <f>+'Exhibit F'!Z28+'Exhibit H'!X19+'Exhibit G State'!Z20</f>
        <v>1663.6999999999998</v>
      </c>
      <c r="Z32" s="151"/>
      <c r="AA32" s="686"/>
      <c r="AB32" s="377">
        <f t="shared" ref="AB32:AB39" si="7">ROUND(SUM(C32:Y32),1)</f>
        <v>18933.400000000001</v>
      </c>
      <c r="AC32" s="151"/>
      <c r="AD32" s="1823"/>
      <c r="AE32" s="377">
        <f>+'Exhibit F'!AF28+'Exhibit H'!AD19+'Exhibit G State'!AG20</f>
        <v>17580.099999999999</v>
      </c>
      <c r="AF32" s="151"/>
      <c r="AG32" s="151"/>
      <c r="AH32" s="467">
        <f t="shared" ref="AH32:AH39" si="8">ROUND(SUM(+AB32-AE32),1)</f>
        <v>1353.3</v>
      </c>
      <c r="AI32" s="169"/>
      <c r="AJ32" s="488">
        <f>ROUND(SUM(+AH32/ABS(AE32)),3)</f>
        <v>7.6999999999999999E-2</v>
      </c>
    </row>
    <row r="33" spans="1:36" ht="15.5">
      <c r="A33" s="489" t="s">
        <v>994</v>
      </c>
      <c r="B33" s="151"/>
      <c r="C33" s="377">
        <f>+'Exhibit F'!D29+'Exhibit G State'!D21</f>
        <v>1.8</v>
      </c>
      <c r="D33" s="377"/>
      <c r="E33" s="377">
        <f>+'Exhibit F'!F29+'Exhibit G State'!F21</f>
        <v>0</v>
      </c>
      <c r="F33" s="377"/>
      <c r="G33" s="377">
        <f>+'Exhibit F'!H29+'Exhibit G State'!H21</f>
        <v>6.3</v>
      </c>
      <c r="H33" s="377"/>
      <c r="I33" s="377">
        <f>+'Exhibit F'!J29+'Exhibit G State'!J21</f>
        <v>0</v>
      </c>
      <c r="J33" s="377"/>
      <c r="K33" s="377">
        <f>+'Exhibit F'!L29+'Exhibit G State'!L21</f>
        <v>0</v>
      </c>
      <c r="L33" s="151"/>
      <c r="M33" s="377">
        <f>+'Exhibit F'!N29+'Exhibit G State'!N21</f>
        <v>8.8999999999999986</v>
      </c>
      <c r="N33" s="151"/>
      <c r="O33" s="377">
        <f>+'Exhibit F'!P29+'Exhibit G State'!P21</f>
        <v>0</v>
      </c>
      <c r="P33" s="151"/>
      <c r="Q33" s="377">
        <f>+'Exhibit F'!R29+'Exhibit G State'!R21</f>
        <v>0</v>
      </c>
      <c r="R33" s="377"/>
      <c r="S33" s="377">
        <f>+'Exhibit F'!T29+'Exhibit G State'!T21</f>
        <v>7</v>
      </c>
      <c r="T33" s="377"/>
      <c r="U33" s="377">
        <f>+'Exhibit F'!V29+'Exhibit G State'!V21</f>
        <v>0</v>
      </c>
      <c r="V33" s="377"/>
      <c r="W33" s="377">
        <f>+'Exhibit F'!X29+'Exhibit G State'!X21</f>
        <v>0.10000000000000142</v>
      </c>
      <c r="X33" s="377"/>
      <c r="Y33" s="377">
        <f>+'Exhibit F'!Z29+'Exhibit G State'!Z21</f>
        <v>3.8999999999999986</v>
      </c>
      <c r="Z33" s="151"/>
      <c r="AA33" s="686"/>
      <c r="AB33" s="377">
        <f t="shared" si="7"/>
        <v>28</v>
      </c>
      <c r="AC33" s="151"/>
      <c r="AD33" s="1823"/>
      <c r="AE33" s="377">
        <f>+'Exhibit F'!AF29+'Exhibit G State'!AG21</f>
        <v>22</v>
      </c>
      <c r="AF33" s="151"/>
      <c r="AG33" s="151"/>
      <c r="AH33" s="467">
        <f t="shared" si="8"/>
        <v>6</v>
      </c>
      <c r="AI33" s="169"/>
      <c r="AJ33" s="978">
        <f>ROUND(IF(AE33=0,1,AH33/ABS(AE33)),3)</f>
        <v>0.27300000000000002</v>
      </c>
    </row>
    <row r="34" spans="1:36" ht="15.5">
      <c r="A34" s="489" t="s">
        <v>995</v>
      </c>
      <c r="B34" s="151"/>
      <c r="C34" s="377">
        <f>+'Exhibit F'!D30+'Exhibit G State'!D22</f>
        <v>84.699999999999989</v>
      </c>
      <c r="D34" s="377"/>
      <c r="E34" s="377">
        <f>+'Exhibit F'!F30+'Exhibit G State'!F22</f>
        <v>75.200000000000017</v>
      </c>
      <c r="F34" s="377"/>
      <c r="G34" s="377">
        <f>+'Exhibit F'!H30+'Exhibit G State'!H22</f>
        <v>82.699999999999989</v>
      </c>
      <c r="H34" s="377"/>
      <c r="I34" s="377">
        <f>+'Exhibit F'!J30+'Exhibit G State'!J22</f>
        <v>77.300000000000011</v>
      </c>
      <c r="J34" s="377"/>
      <c r="K34" s="377">
        <f>+'Exhibit F'!L30+'Exhibit G State'!L22</f>
        <v>83.599999999999966</v>
      </c>
      <c r="L34" s="151"/>
      <c r="M34" s="377">
        <f>+'Exhibit F'!N30+'Exhibit G State'!N22</f>
        <v>77.700000000000017</v>
      </c>
      <c r="N34" s="151"/>
      <c r="O34" s="377">
        <f>+'Exhibit F'!P30+'Exhibit G State'!P22</f>
        <v>78.500000000000057</v>
      </c>
      <c r="P34" s="151"/>
      <c r="Q34" s="377">
        <f>+'Exhibit F'!R30+'Exhibit G State'!R22</f>
        <v>73.099999999999994</v>
      </c>
      <c r="R34" s="377"/>
      <c r="S34" s="377">
        <f>+'Exhibit F'!T30+'Exhibit G State'!T22</f>
        <v>67.60000000000008</v>
      </c>
      <c r="T34" s="377"/>
      <c r="U34" s="377">
        <f>+'Exhibit F'!V30+'Exhibit G State'!V22</f>
        <v>76.699999999999932</v>
      </c>
      <c r="V34" s="377"/>
      <c r="W34" s="377">
        <f>+'Exhibit F'!X30+'Exhibit G State'!X22</f>
        <v>51.400000000000055</v>
      </c>
      <c r="X34" s="377"/>
      <c r="Y34" s="377">
        <f>+'Exhibit F'!Z30+'Exhibit G State'!Z22</f>
        <v>31.799999999999955</v>
      </c>
      <c r="Z34" s="151"/>
      <c r="AA34" s="686"/>
      <c r="AB34" s="377">
        <f t="shared" si="7"/>
        <v>860.3</v>
      </c>
      <c r="AC34" s="151"/>
      <c r="AD34" s="1823"/>
      <c r="AE34" s="377">
        <f>+'Exhibit F'!AF30+'Exhibit G State'!AG22</f>
        <v>957.3</v>
      </c>
      <c r="AF34" s="151"/>
      <c r="AG34" s="151"/>
      <c r="AH34" s="467">
        <f t="shared" si="8"/>
        <v>-97</v>
      </c>
      <c r="AI34" s="169"/>
      <c r="AJ34" s="488">
        <f>ROUND(SUM(+AH34/ABS(AE34)),3)</f>
        <v>-0.10100000000000001</v>
      </c>
    </row>
    <row r="35" spans="1:36" ht="15.5">
      <c r="A35" s="489" t="s">
        <v>1442</v>
      </c>
      <c r="B35" s="151"/>
      <c r="C35" s="377">
        <f>'Exhibit G State'!D23</f>
        <v>1</v>
      </c>
      <c r="D35" s="377"/>
      <c r="E35" s="377">
        <f>'Exhibit G State'!F23</f>
        <v>1.2000000000000002</v>
      </c>
      <c r="F35" s="377"/>
      <c r="G35" s="377">
        <f>'Exhibit G State'!H23</f>
        <v>1</v>
      </c>
      <c r="H35" s="377"/>
      <c r="I35" s="377">
        <f>'Exhibit G State'!J23</f>
        <v>1</v>
      </c>
      <c r="J35" s="377"/>
      <c r="K35" s="377">
        <f>'Exhibit G State'!L23</f>
        <v>0.89999999999999947</v>
      </c>
      <c r="L35" s="151"/>
      <c r="M35" s="377">
        <f>'Exhibit G State'!N23</f>
        <v>1</v>
      </c>
      <c r="N35" s="151"/>
      <c r="O35" s="377">
        <f>'Exhibit G State'!P23</f>
        <v>0.90000000000000036</v>
      </c>
      <c r="P35" s="151"/>
      <c r="Q35" s="377">
        <f>'Exhibit G State'!R23</f>
        <v>0.90000000000000036</v>
      </c>
      <c r="R35" s="377"/>
      <c r="S35" s="377">
        <f>'Exhibit G State'!T23</f>
        <v>1</v>
      </c>
      <c r="T35" s="377"/>
      <c r="U35" s="377">
        <f>'Exhibit G State'!V23</f>
        <v>1.0999999999999996</v>
      </c>
      <c r="V35" s="377"/>
      <c r="W35" s="377">
        <f>'Exhibit G State'!X23</f>
        <v>0.8000000000000016</v>
      </c>
      <c r="X35" s="377"/>
      <c r="Y35" s="377">
        <f>'Exhibit G State'!Z23</f>
        <v>1.7999999999999972</v>
      </c>
      <c r="Z35" s="151"/>
      <c r="AA35" s="686"/>
      <c r="AB35" s="377">
        <f t="shared" si="7"/>
        <v>12.6</v>
      </c>
      <c r="AC35" s="151"/>
      <c r="AD35" s="1823"/>
      <c r="AE35" s="377">
        <f>'Exhibit G State'!AG23</f>
        <v>12.9</v>
      </c>
      <c r="AF35" s="151"/>
      <c r="AG35" s="151"/>
      <c r="AH35" s="467">
        <f>ROUND(SUM(+AB35-AE35),1)</f>
        <v>-0.3</v>
      </c>
      <c r="AI35" s="169"/>
      <c r="AJ35" s="469">
        <f>ROUND(IF(AE35=0,1,AH35/ABS(AE35)),3)</f>
        <v>-2.3E-2</v>
      </c>
    </row>
    <row r="36" spans="1:36" ht="15.5">
      <c r="A36" s="489" t="s">
        <v>996</v>
      </c>
      <c r="B36" s="151"/>
      <c r="C36" s="377">
        <f>+'Exhibit F'!D31+'Exhibit G State'!D24</f>
        <v>6</v>
      </c>
      <c r="D36" s="377"/>
      <c r="E36" s="377">
        <f>+'Exhibit F'!F31+'Exhibit G State'!F24</f>
        <v>8</v>
      </c>
      <c r="F36" s="377"/>
      <c r="G36" s="377">
        <f>+'Exhibit F'!H31+'Exhibit G State'!H24</f>
        <v>4.3000000000000007</v>
      </c>
      <c r="H36" s="377"/>
      <c r="I36" s="377">
        <f>+'Exhibit F'!J31+'Exhibit G State'!J24</f>
        <v>-0.30000000000000071</v>
      </c>
      <c r="J36" s="377"/>
      <c r="K36" s="377">
        <f>+'Exhibit F'!L31+'Exhibit G State'!L24</f>
        <v>-0.30000000000000071</v>
      </c>
      <c r="L36" s="151"/>
      <c r="M36" s="377">
        <f>+'Exhibit F'!N31+'Exhibit G State'!N24</f>
        <v>-0.30000000000000071</v>
      </c>
      <c r="N36" s="151"/>
      <c r="O36" s="377">
        <f>+'Exhibit F'!P31+'Exhibit G State'!P24</f>
        <v>-0.29999999999999716</v>
      </c>
      <c r="P36" s="151"/>
      <c r="Q36" s="377">
        <f>+'Exhibit F'!R31+'Exhibit G State'!R24</f>
        <v>-0.40000000000000213</v>
      </c>
      <c r="R36" s="377"/>
      <c r="S36" s="377">
        <f>+'Exhibit F'!T31+'Exhibit G State'!T24</f>
        <v>0</v>
      </c>
      <c r="T36" s="377"/>
      <c r="U36" s="377">
        <f>+'Exhibit F'!V31+'Exhibit G State'!V24</f>
        <v>5.1000000000000014</v>
      </c>
      <c r="V36" s="377"/>
      <c r="W36" s="377">
        <f>+'Exhibit F'!X31+'Exhibit G State'!X24</f>
        <v>8.1999999999999993</v>
      </c>
      <c r="X36" s="377"/>
      <c r="Y36" s="377">
        <f>+'Exhibit F'!Z31+'Exhibit G State'!Z24</f>
        <v>8</v>
      </c>
      <c r="Z36" s="151"/>
      <c r="AA36" s="686"/>
      <c r="AB36" s="377">
        <f t="shared" si="7"/>
        <v>38</v>
      </c>
      <c r="AC36" s="151"/>
      <c r="AD36" s="1823"/>
      <c r="AE36" s="377">
        <f>+'Exhibit F'!AF31+'Exhibit G State'!AG24</f>
        <v>105.6</v>
      </c>
      <c r="AF36" s="151"/>
      <c r="AG36" s="151"/>
      <c r="AH36" s="467">
        <f t="shared" si="8"/>
        <v>-67.599999999999994</v>
      </c>
      <c r="AI36" s="169"/>
      <c r="AJ36" s="488">
        <f>ROUND(SUM(+AH36/ABS(AE36)),3)</f>
        <v>-0.64</v>
      </c>
    </row>
    <row r="37" spans="1:36" ht="15.5">
      <c r="A37" s="755" t="s">
        <v>1537</v>
      </c>
      <c r="B37" s="151"/>
      <c r="C37" s="377">
        <f>+'Exhibit F'!D32+'Exhibit G State'!D25</f>
        <v>0</v>
      </c>
      <c r="D37" s="377"/>
      <c r="E37" s="377">
        <f>+'Exhibit F'!F32+'Exhibit G State'!F25</f>
        <v>0</v>
      </c>
      <c r="F37" s="377"/>
      <c r="G37" s="377">
        <f>+'Exhibit F'!H32+'Exhibit G State'!H25</f>
        <v>0</v>
      </c>
      <c r="H37" s="377"/>
      <c r="I37" s="377">
        <f>+'Exhibit F'!J32+'Exhibit G State'!J25</f>
        <v>0</v>
      </c>
      <c r="J37" s="377"/>
      <c r="K37" s="377">
        <f>+'Exhibit F'!L32+'Exhibit G State'!L25</f>
        <v>0</v>
      </c>
      <c r="L37" s="151"/>
      <c r="M37" s="377">
        <f>+'Exhibit F'!N32+'Exhibit G State'!N25</f>
        <v>0</v>
      </c>
      <c r="N37" s="151"/>
      <c r="O37" s="377">
        <f>+'Exhibit F'!P32+'Exhibit G State'!P25</f>
        <v>0</v>
      </c>
      <c r="P37" s="151"/>
      <c r="Q37" s="377">
        <f>+'Exhibit F'!R32+'Exhibit G State'!R25</f>
        <v>0</v>
      </c>
      <c r="R37" s="377"/>
      <c r="S37" s="377">
        <f>+'Exhibit F'!T32+'Exhibit G State'!T25</f>
        <v>0.4</v>
      </c>
      <c r="T37" s="377"/>
      <c r="U37" s="377">
        <f>+'Exhibit F'!V32+'Exhibit G State'!V25</f>
        <v>0</v>
      </c>
      <c r="V37" s="377"/>
      <c r="W37" s="377">
        <f>+'Exhibit F'!X32+'Exhibit G State'!X25</f>
        <v>0</v>
      </c>
      <c r="X37" s="377"/>
      <c r="Y37" s="377">
        <f>+'Exhibit F'!Z32+'Exhibit G State'!Z25</f>
        <v>1.5999999999999999</v>
      </c>
      <c r="Z37" s="151"/>
      <c r="AA37" s="376"/>
      <c r="AB37" s="377">
        <f t="shared" ref="AB37" si="9">ROUND(SUM(C37:Y37),1)</f>
        <v>2</v>
      </c>
      <c r="AC37" s="151"/>
      <c r="AD37" s="1823"/>
      <c r="AE37" s="377">
        <f>+'Exhibit F'!AF32+'Exhibit G State'!AG25</f>
        <v>0</v>
      </c>
      <c r="AF37" s="151"/>
      <c r="AG37" s="151"/>
      <c r="AH37" s="467">
        <f t="shared" ref="AH37" si="10">ROUND(SUM(+AB37-AE37),1)</f>
        <v>2</v>
      </c>
      <c r="AI37" s="169"/>
      <c r="AJ37" s="978">
        <f>ROUND(IF(AE37=0,1,AH37/ABS(AE37)),3)</f>
        <v>1</v>
      </c>
    </row>
    <row r="38" spans="1:36" ht="15.5">
      <c r="A38" s="489" t="s">
        <v>997</v>
      </c>
      <c r="B38" s="151"/>
      <c r="C38" s="377">
        <f>+'Exhibit F'!D33+'Exhibit G State'!D26</f>
        <v>24.8</v>
      </c>
      <c r="D38" s="377"/>
      <c r="E38" s="377">
        <f>+'Exhibit F'!F33+'Exhibit G State'!F26</f>
        <v>21.499999999999996</v>
      </c>
      <c r="F38" s="377"/>
      <c r="G38" s="377">
        <f>+'Exhibit F'!H33+'Exhibit G State'!H26</f>
        <v>23.600000000000005</v>
      </c>
      <c r="H38" s="377"/>
      <c r="I38" s="377">
        <f>+'Exhibit F'!J33+'Exhibit G State'!J26</f>
        <v>29.099999999999991</v>
      </c>
      <c r="J38" s="377"/>
      <c r="K38" s="377">
        <f>+'Exhibit F'!L33+'Exhibit G State'!L26</f>
        <v>22.099999999999991</v>
      </c>
      <c r="L38" s="151"/>
      <c r="M38" s="377">
        <f>+'Exhibit F'!N33+'Exhibit G State'!N26</f>
        <v>26.300000000000015</v>
      </c>
      <c r="N38" s="151"/>
      <c r="O38" s="377">
        <f>+'Exhibit F'!P33+'Exhibit G State'!P26</f>
        <v>23.299999999999965</v>
      </c>
      <c r="P38" s="151"/>
      <c r="Q38" s="377">
        <f>+'Exhibit F'!R33+'Exhibit G State'!R26</f>
        <v>21.800000000000015</v>
      </c>
      <c r="R38" s="377"/>
      <c r="S38" s="377">
        <f>+'Exhibit F'!T33+'Exhibit G State'!T26</f>
        <v>23.800000000000022</v>
      </c>
      <c r="T38" s="377"/>
      <c r="U38" s="377">
        <f>+'Exhibit F'!V33+'Exhibit G State'!V26</f>
        <v>30.500000000000004</v>
      </c>
      <c r="V38" s="377"/>
      <c r="W38" s="377">
        <f>+'Exhibit F'!X33+'Exhibit G State'!X26</f>
        <v>14.699999999999985</v>
      </c>
      <c r="X38" s="377"/>
      <c r="Y38" s="377">
        <f>+'Exhibit F'!Z33+'Exhibit G State'!Z26</f>
        <v>20.500000000000004</v>
      </c>
      <c r="Z38" s="151"/>
      <c r="AA38" s="686"/>
      <c r="AB38" s="377">
        <f t="shared" si="7"/>
        <v>282</v>
      </c>
      <c r="AC38" s="151"/>
      <c r="AD38" s="1823"/>
      <c r="AE38" s="377">
        <f>+'Exhibit F'!AF33+'Exhibit G State'!AG26</f>
        <v>277.3</v>
      </c>
      <c r="AF38" s="151"/>
      <c r="AG38" s="151"/>
      <c r="AH38" s="467">
        <f t="shared" si="8"/>
        <v>4.7</v>
      </c>
      <c r="AI38" s="169"/>
      <c r="AJ38" s="488">
        <f>ROUND(SUM(+AH38/ABS(AE38)),3)</f>
        <v>1.7000000000000001E-2</v>
      </c>
    </row>
    <row r="39" spans="1:36" ht="15.5">
      <c r="A39" s="489" t="s">
        <v>998</v>
      </c>
      <c r="B39" s="151"/>
      <c r="C39" s="377">
        <f>+'Exhibit F'!D34+'Exhibit G State'!D27</f>
        <v>0.1</v>
      </c>
      <c r="D39" s="377"/>
      <c r="E39" s="377">
        <f>+'Exhibit F'!F34+'Exhibit G State'!F27</f>
        <v>0</v>
      </c>
      <c r="F39" s="377"/>
      <c r="G39" s="377">
        <f>+'Exhibit F'!H34+'Exhibit G State'!H27</f>
        <v>0.1</v>
      </c>
      <c r="H39" s="377"/>
      <c r="I39" s="377">
        <f>+'Exhibit F'!J34+'Exhibit G State'!J27</f>
        <v>0</v>
      </c>
      <c r="J39" s="377"/>
      <c r="K39" s="377">
        <f>+'Exhibit F'!L34+'Exhibit G State'!L27</f>
        <v>9.9999999999999978E-2</v>
      </c>
      <c r="L39" s="151"/>
      <c r="M39" s="377">
        <f>+'Exhibit F'!N34+'Exhibit G State'!N27</f>
        <v>0</v>
      </c>
      <c r="N39" s="151"/>
      <c r="O39" s="377">
        <f>+'Exhibit F'!P34+'Exhibit G State'!P27</f>
        <v>0.10000000000000006</v>
      </c>
      <c r="P39" s="151"/>
      <c r="Q39" s="377">
        <f>+'Exhibit F'!R34+'Exhibit G State'!R27</f>
        <v>0</v>
      </c>
      <c r="R39" s="377"/>
      <c r="S39" s="377">
        <f>+'Exhibit F'!T34+'Exhibit G State'!T27</f>
        <v>0.1</v>
      </c>
      <c r="T39" s="377"/>
      <c r="U39" s="377">
        <f>+'Exhibit F'!V34+'Exhibit G State'!V27</f>
        <v>0</v>
      </c>
      <c r="V39" s="377"/>
      <c r="W39" s="377">
        <f>+'Exhibit F'!X34+'Exhibit G State'!X27</f>
        <v>9.9999999999999978E-2</v>
      </c>
      <c r="X39" s="377"/>
      <c r="Y39" s="377">
        <f>+'Exhibit F'!Z34+'Exhibit G State'!Z27</f>
        <v>0</v>
      </c>
      <c r="Z39" s="151"/>
      <c r="AA39" s="686"/>
      <c r="AB39" s="377">
        <f t="shared" si="7"/>
        <v>0.6</v>
      </c>
      <c r="AC39" s="151"/>
      <c r="AD39" s="1823"/>
      <c r="AE39" s="377">
        <f>+'Exhibit F'!AF34+'Exhibit G State'!AG27</f>
        <v>1.8</v>
      </c>
      <c r="AF39" s="151"/>
      <c r="AG39" s="151"/>
      <c r="AH39" s="467">
        <f t="shared" si="8"/>
        <v>-1.2</v>
      </c>
      <c r="AI39" s="169"/>
      <c r="AJ39" s="978">
        <f>ROUND(IF(AE39=0,1,AH39/ABS(AE39)),3)</f>
        <v>-0.66700000000000004</v>
      </c>
    </row>
    <row r="40" spans="1:36" ht="15.5">
      <c r="A40" s="489" t="s">
        <v>1308</v>
      </c>
      <c r="B40" s="151"/>
      <c r="C40" s="377">
        <f>'Exhibit F'!D35+'Exhibit G'!D28</f>
        <v>-0.1</v>
      </c>
      <c r="D40" s="377"/>
      <c r="E40" s="377">
        <f>'Exhibit F'!F35+'Exhibit G'!F28</f>
        <v>0.1</v>
      </c>
      <c r="F40" s="377"/>
      <c r="G40" s="377">
        <f>'Exhibit F'!H35+'Exhibit G'!H28</f>
        <v>6.2</v>
      </c>
      <c r="H40" s="377"/>
      <c r="I40" s="377">
        <f>'Exhibit F'!J35+'Exhibit G'!J28</f>
        <v>0</v>
      </c>
      <c r="J40" s="377"/>
      <c r="K40" s="377">
        <f>'Exhibit F'!L35+'Exhibit G'!L28</f>
        <v>9.9999999999999645E-2</v>
      </c>
      <c r="L40" s="151"/>
      <c r="M40" s="377">
        <f>'Exhibit F'!N35+'Exhibit G'!N28</f>
        <v>6.3</v>
      </c>
      <c r="N40" s="151"/>
      <c r="O40" s="377">
        <f>'Exhibit F'!P35+'Exhibit G'!P28</f>
        <v>9.9999999999999645E-2</v>
      </c>
      <c r="P40" s="151"/>
      <c r="Q40" s="377">
        <f>'Exhibit F'!R35+'Exhibit G'!R28</f>
        <v>0</v>
      </c>
      <c r="R40" s="377"/>
      <c r="S40" s="377">
        <f>'Exhibit F'!T35+'Exhibit G'!T28</f>
        <v>6.2</v>
      </c>
      <c r="T40" s="377"/>
      <c r="U40" s="377">
        <f>'Exhibit F'!V35+'Exhibit G'!V28</f>
        <v>0</v>
      </c>
      <c r="V40" s="377"/>
      <c r="W40" s="377">
        <f>'Exhibit F'!X35+'Exhibit G'!X28</f>
        <v>0</v>
      </c>
      <c r="X40" s="377"/>
      <c r="Y40" s="377">
        <f>'Exhibit F'!Z35+'Exhibit G'!Z28</f>
        <v>5.8999999999999995</v>
      </c>
      <c r="Z40" s="151"/>
      <c r="AA40" s="686"/>
      <c r="AB40" s="377">
        <f>ROUND(SUM(C40:Y40),1)</f>
        <v>24.8</v>
      </c>
      <c r="AC40" s="151"/>
      <c r="AD40" s="1823"/>
      <c r="AE40" s="377">
        <f>+'Exhibit F'!AF35+'Exhibit G State'!AG28</f>
        <v>29.1</v>
      </c>
      <c r="AF40" s="151"/>
      <c r="AG40" s="151"/>
      <c r="AH40" s="467">
        <f>ROUND(SUM(+AB40-AE40),1)</f>
        <v>-4.3</v>
      </c>
      <c r="AI40" s="169"/>
      <c r="AJ40" s="978">
        <f>ROUND(IF(AE40=0,1,AH40/ABS(AE40)),3)</f>
        <v>-0.14799999999999999</v>
      </c>
    </row>
    <row r="41" spans="1:36" ht="15.5">
      <c r="A41" s="489" t="s">
        <v>1309</v>
      </c>
      <c r="B41" s="151"/>
      <c r="C41" s="377">
        <f>'Exhibit F'!D36</f>
        <v>6.4</v>
      </c>
      <c r="D41" s="377"/>
      <c r="E41" s="377">
        <f>'Exhibit F'!F36</f>
        <v>1</v>
      </c>
      <c r="F41" s="377"/>
      <c r="G41" s="377">
        <f>'Exhibit F'!H36</f>
        <v>-0.10000000000000053</v>
      </c>
      <c r="H41" s="377"/>
      <c r="I41" s="377">
        <f>'Exhibit F'!J36</f>
        <v>6.1</v>
      </c>
      <c r="J41" s="377"/>
      <c r="K41" s="377">
        <f>'Exhibit F'!L36</f>
        <v>0</v>
      </c>
      <c r="L41" s="151"/>
      <c r="M41" s="377">
        <f>'Exhibit F'!N36</f>
        <v>0</v>
      </c>
      <c r="N41" s="151"/>
      <c r="O41" s="377">
        <f>'Exhibit F'!P36</f>
        <v>6.1</v>
      </c>
      <c r="P41" s="151"/>
      <c r="Q41" s="377">
        <f>'Exhibit F'!R36</f>
        <v>0.10000000000000142</v>
      </c>
      <c r="R41" s="377"/>
      <c r="S41" s="377">
        <f>'Exhibit F'!T36</f>
        <v>0</v>
      </c>
      <c r="T41" s="377"/>
      <c r="U41" s="377">
        <f>'Exhibit F'!V36</f>
        <v>6.3000000000000007</v>
      </c>
      <c r="V41" s="377"/>
      <c r="W41" s="377">
        <f>'Exhibit F'!X36</f>
        <v>0.70000000000000284</v>
      </c>
      <c r="X41" s="377"/>
      <c r="Y41" s="377">
        <f>'Exhibit F'!Z36</f>
        <v>9.9999999999994316E-2</v>
      </c>
      <c r="Z41" s="151"/>
      <c r="AA41" s="686"/>
      <c r="AB41" s="377">
        <f t="shared" ref="AB41" si="11">ROUND(SUM(C41:Y41),1)</f>
        <v>26.7</v>
      </c>
      <c r="AC41" s="151"/>
      <c r="AD41" s="1823"/>
      <c r="AE41" s="377">
        <f>+'Exhibit F'!AF36</f>
        <v>28.5</v>
      </c>
      <c r="AF41" s="151"/>
      <c r="AG41" s="151"/>
      <c r="AH41" s="467">
        <f t="shared" ref="AH41" si="12">ROUND(SUM(+AB41-AE41),1)</f>
        <v>-1.8</v>
      </c>
      <c r="AI41" s="169"/>
      <c r="AJ41" s="978">
        <f>ROUND(IF(AE41=0,1,AH41/ABS(AE41)),3)</f>
        <v>-6.3E-2</v>
      </c>
    </row>
    <row r="42" spans="1:36" ht="15.5">
      <c r="A42" s="217" t="s">
        <v>992</v>
      </c>
      <c r="B42" s="151"/>
      <c r="C42" s="178">
        <f>ROUND(SUM(C32:C41),1)</f>
        <v>1503.4</v>
      </c>
      <c r="D42" s="151"/>
      <c r="E42" s="178">
        <f>ROUND(SUM(E32:E41),1)</f>
        <v>1504.2</v>
      </c>
      <c r="F42" s="151"/>
      <c r="G42" s="178">
        <f>ROUND(SUM(G32:G41),1)</f>
        <v>2005.8</v>
      </c>
      <c r="H42" s="151"/>
      <c r="I42" s="178">
        <f>ROUND(SUM(I32:I41),1)</f>
        <v>1588</v>
      </c>
      <c r="J42" s="151"/>
      <c r="K42" s="178">
        <f>ROUND(SUM(K32:K41),1)</f>
        <v>1536.1</v>
      </c>
      <c r="L42" s="151"/>
      <c r="M42" s="178">
        <f>ROUND(SUM(M32:M41),1)</f>
        <v>2012.8</v>
      </c>
      <c r="N42" s="151"/>
      <c r="O42" s="178">
        <f>ROUND(SUM(O32:O41),1)</f>
        <v>1604.9</v>
      </c>
      <c r="P42" s="151"/>
      <c r="Q42" s="178">
        <f>ROUND(SUM(Q32:Q41),1)</f>
        <v>1561.2</v>
      </c>
      <c r="R42" s="151"/>
      <c r="S42" s="178">
        <f>ROUND(SUM(S32:S41),1)</f>
        <v>1945.5</v>
      </c>
      <c r="T42" s="151"/>
      <c r="U42" s="178">
        <f>ROUND(SUM(U32:U41),1)</f>
        <v>1737.5</v>
      </c>
      <c r="V42" s="151"/>
      <c r="W42" s="178">
        <f>ROUND(SUM(W32:W41),1)</f>
        <v>1471.7</v>
      </c>
      <c r="X42" s="151"/>
      <c r="Y42" s="178">
        <f>ROUND(SUM(Y32:Y41),1)</f>
        <v>1737.3</v>
      </c>
      <c r="Z42" s="151"/>
      <c r="AA42" s="686"/>
      <c r="AB42" s="178">
        <f>ROUND(SUM(AB32:AB41),1)</f>
        <v>20208.400000000001</v>
      </c>
      <c r="AC42" s="151"/>
      <c r="AD42" s="1823"/>
      <c r="AE42" s="178">
        <f>ROUND(SUM(AE32:AE41),1)</f>
        <v>19014.599999999999</v>
      </c>
      <c r="AF42" s="151"/>
      <c r="AG42" s="151"/>
      <c r="AH42" s="178">
        <f>ROUND(SUM(AH32:AH41),1)</f>
        <v>1193.8</v>
      </c>
      <c r="AI42" s="548"/>
      <c r="AJ42" s="199">
        <f>ROUND(SUM(+AH42/ABS(AE42)),3)</f>
        <v>6.3E-2</v>
      </c>
    </row>
    <row r="43" spans="1:36" ht="15.5">
      <c r="A43" s="739" t="s">
        <v>1038</v>
      </c>
      <c r="B43" s="151"/>
      <c r="C43" s="151"/>
      <c r="D43" s="151"/>
      <c r="E43" s="151"/>
      <c r="F43" s="151"/>
      <c r="G43" s="151"/>
      <c r="H43" s="151"/>
      <c r="I43" s="151"/>
      <c r="J43" s="151"/>
      <c r="K43" s="151"/>
      <c r="L43" s="151"/>
      <c r="M43" s="151"/>
      <c r="N43" s="151"/>
      <c r="O43" s="151"/>
      <c r="P43" s="151"/>
      <c r="Q43" s="151"/>
      <c r="R43" s="151"/>
      <c r="S43" s="151"/>
      <c r="T43" s="151"/>
      <c r="U43" s="151"/>
      <c r="V43" s="151"/>
      <c r="W43" s="151"/>
      <c r="X43" s="151"/>
      <c r="Y43" s="151"/>
      <c r="Z43" s="151"/>
      <c r="AA43" s="686"/>
      <c r="AB43" s="151"/>
      <c r="AC43" s="151"/>
      <c r="AD43" s="1823"/>
      <c r="AE43" s="377"/>
      <c r="AF43" s="151"/>
      <c r="AG43" s="151"/>
      <c r="AH43" s="472"/>
      <c r="AI43" s="151"/>
      <c r="AJ43" s="472"/>
    </row>
    <row r="44" spans="1:36" ht="15.5">
      <c r="A44" s="489" t="s">
        <v>1000</v>
      </c>
      <c r="B44" s="151"/>
      <c r="C44" s="377">
        <f>+'Exhibit F'!D39+'Exhibit G State'!D31</f>
        <v>1205</v>
      </c>
      <c r="D44" s="377"/>
      <c r="E44" s="377">
        <f>+'Exhibit F'!F39+'Exhibit G State'!F31</f>
        <v>141.99999999999986</v>
      </c>
      <c r="F44" s="377"/>
      <c r="G44" s="377">
        <f>+'Exhibit F'!H39+'Exhibit G State'!H31</f>
        <v>1512.8</v>
      </c>
      <c r="H44" s="377"/>
      <c r="I44" s="377">
        <f>+'Exhibit F'!J39+'Exhibit G State'!J31</f>
        <v>327.20000000000005</v>
      </c>
      <c r="J44" s="377"/>
      <c r="K44" s="377">
        <f>+'Exhibit F'!L39+'Exhibit G State'!L31</f>
        <v>-66.599999999999937</v>
      </c>
      <c r="L44" s="377"/>
      <c r="M44" s="377">
        <f>+'Exhibit F'!N39+'Exhibit G State'!N31</f>
        <v>1516.3</v>
      </c>
      <c r="N44" s="151"/>
      <c r="O44" s="377">
        <f>+'Exhibit F'!P39+'Exhibit G State'!P31</f>
        <v>258.80000000000007</v>
      </c>
      <c r="P44" s="151"/>
      <c r="Q44" s="377">
        <f>+'Exhibit F'!R39+'Exhibit G State'!R31</f>
        <v>186.60000000000014</v>
      </c>
      <c r="R44" s="377"/>
      <c r="S44" s="377">
        <f>+'Exhibit F'!T39+'Exhibit G State'!T31</f>
        <v>1633.6999999999994</v>
      </c>
      <c r="T44" s="377"/>
      <c r="U44" s="377">
        <f>+'Exhibit F'!V39+'Exhibit G State'!V31</f>
        <v>385.79999999999973</v>
      </c>
      <c r="V44" s="377"/>
      <c r="W44" s="377">
        <f>+'Exhibit F'!X39+'Exhibit G State'!X31</f>
        <v>-210.70000000000027</v>
      </c>
      <c r="X44" s="377"/>
      <c r="Y44" s="377">
        <f>+'Exhibit F'!Z39+'Exhibit G State'!Z31</f>
        <v>2126.6000000000013</v>
      </c>
      <c r="Z44" s="151"/>
      <c r="AA44" s="686"/>
      <c r="AB44" s="377">
        <f t="shared" ref="AB44:AB49" si="13">ROUND(SUM(C44:Y44),1)</f>
        <v>9017.5</v>
      </c>
      <c r="AC44" s="151"/>
      <c r="AD44" s="1823"/>
      <c r="AE44" s="377">
        <f>+'Exhibit F'!AF39+'Exhibit G State'!AG31</f>
        <v>7235</v>
      </c>
      <c r="AF44" s="151"/>
      <c r="AG44" s="151"/>
      <c r="AH44" s="467">
        <f t="shared" ref="AH44:AH56" si="14">ROUND(SUM(+AB44-AE44),1)</f>
        <v>1782.5</v>
      </c>
      <c r="AI44" s="169"/>
      <c r="AJ44" s="488">
        <f t="shared" ref="AJ44:AJ50" si="15">ROUND(SUM(+AH44/ABS(AE44)),3)</f>
        <v>0.246</v>
      </c>
    </row>
    <row r="45" spans="1:36" ht="15.5">
      <c r="A45" s="489" t="s">
        <v>1001</v>
      </c>
      <c r="B45" s="151"/>
      <c r="C45" s="377">
        <f>+'Exhibit G State'!D32+'Exhibit F'!D40</f>
        <v>8.1999999999999993</v>
      </c>
      <c r="D45" s="377"/>
      <c r="E45" s="377">
        <f>+'Exhibit G State'!F32+'Exhibit F'!F40</f>
        <v>1.1999999999999997</v>
      </c>
      <c r="F45" s="377"/>
      <c r="G45" s="377">
        <f>+'Exhibit G State'!H32+'Exhibit F'!H40</f>
        <v>92.1</v>
      </c>
      <c r="H45" s="377"/>
      <c r="I45" s="377">
        <f>+'Exhibit G State'!J32+'Exhibit F'!J40</f>
        <v>3.1999999999999948</v>
      </c>
      <c r="J45" s="377"/>
      <c r="K45" s="377">
        <f>+'Exhibit G State'!L32+'Exhibit F'!L40</f>
        <v>1.6000000000000005</v>
      </c>
      <c r="L45" s="377"/>
      <c r="M45" s="377">
        <f>+'Exhibit G State'!N32+'Exhibit F'!N40</f>
        <v>82.800000000000011</v>
      </c>
      <c r="N45" s="151"/>
      <c r="O45" s="377">
        <f>+'Exhibit G State'!P32+'Exhibit F'!P40</f>
        <v>5.1999999999999957</v>
      </c>
      <c r="P45" s="151"/>
      <c r="Q45" s="377">
        <f>+'Exhibit G State'!R32+'Exhibit F'!R40</f>
        <v>34.699999999999996</v>
      </c>
      <c r="R45" s="377"/>
      <c r="S45" s="377">
        <f>+'Exhibit G State'!T32+'Exhibit F'!T40</f>
        <v>97.700000000000045</v>
      </c>
      <c r="T45" s="377"/>
      <c r="U45" s="377">
        <f>+'Exhibit G State'!V32+'Exhibit F'!V40</f>
        <v>-1.4000000000000199</v>
      </c>
      <c r="V45" s="377"/>
      <c r="W45" s="377">
        <f>+'Exhibit G State'!X32+'Exhibit F'!X40</f>
        <v>8.5999999999999872</v>
      </c>
      <c r="X45" s="377"/>
      <c r="Y45" s="377">
        <f>+'Exhibit G State'!Z32+'Exhibit F'!Z40</f>
        <v>180.6</v>
      </c>
      <c r="Z45" s="151"/>
      <c r="AA45" s="686"/>
      <c r="AB45" s="377">
        <f t="shared" si="13"/>
        <v>514.5</v>
      </c>
      <c r="AC45" s="151"/>
      <c r="AD45" s="1823"/>
      <c r="AE45" s="377">
        <f>+'Exhibit G State'!AG32+'Exhibit F'!AF40</f>
        <v>545.9</v>
      </c>
      <c r="AF45" s="151"/>
      <c r="AG45" s="151"/>
      <c r="AH45" s="467">
        <f t="shared" si="14"/>
        <v>-31.4</v>
      </c>
      <c r="AI45" s="169"/>
      <c r="AJ45" s="488">
        <f t="shared" si="15"/>
        <v>-5.8000000000000003E-2</v>
      </c>
    </row>
    <row r="46" spans="1:36" ht="15.5">
      <c r="A46" s="489" t="s">
        <v>1002</v>
      </c>
      <c r="B46" s="151"/>
      <c r="C46" s="377">
        <f>+'Exhibit F'!D41+'Exhibit G State'!D33</f>
        <v>109.7</v>
      </c>
      <c r="D46" s="377"/>
      <c r="E46" s="377">
        <f>+'Exhibit F'!F41+'Exhibit G State'!F33</f>
        <v>40.100000000000009</v>
      </c>
      <c r="F46" s="377"/>
      <c r="G46" s="377">
        <f>+'Exhibit F'!H41+'Exhibit G State'!H33</f>
        <v>537.50000000000011</v>
      </c>
      <c r="H46" s="377"/>
      <c r="I46" s="377">
        <f>+'Exhibit F'!J41+'Exhibit G State'!J33</f>
        <v>19.699999999999903</v>
      </c>
      <c r="J46" s="377"/>
      <c r="K46" s="377">
        <f>+'Exhibit F'!L41+'Exhibit G State'!L33</f>
        <v>19.599999999999994</v>
      </c>
      <c r="L46" s="377"/>
      <c r="M46" s="377">
        <f>+'Exhibit F'!N41+'Exhibit G State'!N33</f>
        <v>500.70000000000005</v>
      </c>
      <c r="N46" s="151"/>
      <c r="O46" s="377">
        <f>+'Exhibit F'!P41+'Exhibit G State'!P33</f>
        <v>3.899999999999892</v>
      </c>
      <c r="P46" s="151"/>
      <c r="Q46" s="377">
        <f>+'Exhibit F'!R41+'Exhibit G State'!R33</f>
        <v>-5.9999999999999005</v>
      </c>
      <c r="R46" s="377"/>
      <c r="S46" s="377">
        <f>+'Exhibit F'!T41+'Exhibit G State'!T33</f>
        <v>459.4</v>
      </c>
      <c r="T46" s="377"/>
      <c r="U46" s="377">
        <f>+'Exhibit F'!V41+'Exhibit G State'!V33</f>
        <v>10.199999999999932</v>
      </c>
      <c r="V46" s="377"/>
      <c r="W46" s="377">
        <f>+'Exhibit F'!X41+'Exhibit G State'!X33</f>
        <v>12.499999999999858</v>
      </c>
      <c r="X46" s="377"/>
      <c r="Y46" s="377">
        <f>+'Exhibit F'!Z41+'Exhibit G State'!Z33</f>
        <v>973.09999999999968</v>
      </c>
      <c r="Z46" s="151"/>
      <c r="AA46" s="686"/>
      <c r="AB46" s="377">
        <f t="shared" si="13"/>
        <v>2680.4</v>
      </c>
      <c r="AC46" s="151"/>
      <c r="AD46" s="1823"/>
      <c r="AE46" s="377">
        <f>+'Exhibit F'!AF41+'Exhibit G State'!AG33</f>
        <v>2452.4</v>
      </c>
      <c r="AF46" s="151"/>
      <c r="AG46" s="151"/>
      <c r="AH46" s="467">
        <f t="shared" si="14"/>
        <v>228</v>
      </c>
      <c r="AI46" s="169"/>
      <c r="AJ46" s="488">
        <f t="shared" si="15"/>
        <v>9.2999999999999999E-2</v>
      </c>
    </row>
    <row r="47" spans="1:36" ht="15.5">
      <c r="A47" s="489" t="s">
        <v>1003</v>
      </c>
      <c r="B47" s="151"/>
      <c r="C47" s="377">
        <f>+'Exhibit F'!D42+'Exhibit G State'!D34</f>
        <v>0</v>
      </c>
      <c r="D47" s="377"/>
      <c r="E47" s="377">
        <f>+'Exhibit F'!F42+'Exhibit G State'!F34</f>
        <v>0</v>
      </c>
      <c r="F47" s="377"/>
      <c r="G47" s="377">
        <f>+'Exhibit F'!H42+'Exhibit G State'!H34</f>
        <v>0</v>
      </c>
      <c r="H47" s="377"/>
      <c r="I47" s="377">
        <f>+'Exhibit F'!J42+'Exhibit G State'!J34</f>
        <v>-6.3</v>
      </c>
      <c r="J47" s="377"/>
      <c r="K47" s="377">
        <f>+ROUND('Exhibit F'!L42+'Exhibit G State'!L34,1)</f>
        <v>0</v>
      </c>
      <c r="L47" s="377"/>
      <c r="M47" s="377">
        <f>+ROUND('Exhibit F'!N42+'Exhibit G State'!N34,1)</f>
        <v>0.2</v>
      </c>
      <c r="N47" s="151"/>
      <c r="O47" s="377">
        <f>+ROUND('Exhibit F'!P42+'Exhibit G State'!P34,1)</f>
        <v>2</v>
      </c>
      <c r="P47" s="151"/>
      <c r="Q47" s="377">
        <f>+ROUND('Exhibit F'!R42+'Exhibit G State'!R34,1)</f>
        <v>0</v>
      </c>
      <c r="R47" s="377"/>
      <c r="S47" s="377">
        <f>+ROUND('Exhibit F'!T42+'Exhibit G State'!T34,1)</f>
        <v>0</v>
      </c>
      <c r="T47" s="377"/>
      <c r="U47" s="377">
        <f>+ROUND('Exhibit F'!V42+'Exhibit G State'!V34,1)</f>
        <v>-0.1</v>
      </c>
      <c r="V47" s="377"/>
      <c r="W47" s="377">
        <f>+ROUND('Exhibit F'!X42+'Exhibit G State'!X34,1)</f>
        <v>358.9</v>
      </c>
      <c r="X47" s="377"/>
      <c r="Y47" s="377">
        <f>+ROUND('Exhibit F'!Z42+'Exhibit G State'!Z34,1)</f>
        <v>0</v>
      </c>
      <c r="Z47" s="151"/>
      <c r="AA47" s="686"/>
      <c r="AB47" s="377">
        <f t="shared" si="13"/>
        <v>354.7</v>
      </c>
      <c r="AC47" s="151"/>
      <c r="AD47" s="1823"/>
      <c r="AE47" s="377">
        <f>+'Exhibit F'!AF42+'Exhibit G State'!AG34</f>
        <v>19.899999999999999</v>
      </c>
      <c r="AF47" s="151"/>
      <c r="AG47" s="151"/>
      <c r="AH47" s="467">
        <f t="shared" si="14"/>
        <v>334.8</v>
      </c>
      <c r="AI47" s="169"/>
      <c r="AJ47" s="1145">
        <f t="shared" si="15"/>
        <v>16.824000000000002</v>
      </c>
    </row>
    <row r="48" spans="1:36" ht="15.5">
      <c r="A48" s="489" t="s">
        <v>1446</v>
      </c>
      <c r="B48" s="151"/>
      <c r="C48" s="377">
        <f>+'Exhibit F'!D43+'Exhibit H'!B22</f>
        <v>181.2</v>
      </c>
      <c r="D48" s="377"/>
      <c r="E48" s="377">
        <f>+'Exhibit F'!F43+'Exhibit H'!D22</f>
        <v>-48.399999999999977</v>
      </c>
      <c r="F48" s="377"/>
      <c r="G48" s="377">
        <f>+'Exhibit F'!H43+'Exhibit H'!F22</f>
        <v>2780.4</v>
      </c>
      <c r="H48" s="377"/>
      <c r="I48" s="377">
        <f>+'Exhibit F'!J43+'Exhibit H'!H22</f>
        <v>-49.000000000000284</v>
      </c>
      <c r="J48" s="377"/>
      <c r="K48" s="377">
        <f>+'Exhibit F'!L43+'Exhibit H'!J22</f>
        <v>87.800000000000182</v>
      </c>
      <c r="L48" s="377"/>
      <c r="M48" s="377">
        <f>+'Exhibit F'!N43+'Exhibit H'!L22</f>
        <v>3361.1</v>
      </c>
      <c r="N48" s="151"/>
      <c r="O48" s="377">
        <f>+'Exhibit F'!P43+'Exhibit H'!N22</f>
        <v>-655.70000000000027</v>
      </c>
      <c r="P48" s="151"/>
      <c r="Q48" s="377">
        <f>+'Exhibit F'!R43+'Exhibit H'!P22</f>
        <v>30.200000000000728</v>
      </c>
      <c r="R48" s="377"/>
      <c r="S48" s="377">
        <f>+'Exhibit F'!T43+'Exhibit H'!R22</f>
        <v>4033.199999999998</v>
      </c>
      <c r="T48" s="377"/>
      <c r="U48" s="377">
        <f>+'Exhibit F'!V43+'Exhibit H'!T22</f>
        <v>569.40000000000146</v>
      </c>
      <c r="V48" s="377"/>
      <c r="W48" s="377">
        <f>+'Exhibit F'!X43+'Exhibit H'!V22</f>
        <v>108.39999999999964</v>
      </c>
      <c r="X48" s="377"/>
      <c r="Y48" s="377">
        <f>+'Exhibit F'!Z43+'Exhibit H'!X22</f>
        <v>4545.8</v>
      </c>
      <c r="Z48" s="151"/>
      <c r="AA48" s="686"/>
      <c r="AB48" s="377">
        <f t="shared" si="13"/>
        <v>14944.4</v>
      </c>
      <c r="AC48" s="151"/>
      <c r="AD48" s="1823"/>
      <c r="AE48" s="377">
        <f>+'Exhibit F'!AF43+'Exhibit H'!AD22</f>
        <v>16430.400000000001</v>
      </c>
      <c r="AF48" s="151"/>
      <c r="AG48" s="151"/>
      <c r="AH48" s="467">
        <f t="shared" ref="AH48" si="16">ROUND(SUM(+AB48-AE48),1)</f>
        <v>-1486</v>
      </c>
      <c r="AI48" s="169"/>
      <c r="AJ48" s="469">
        <f>ROUND(IF(AE48=0,1,AH48/ABS(AE48)),3)</f>
        <v>-0.09</v>
      </c>
    </row>
    <row r="49" spans="1:36" ht="15.5">
      <c r="A49" s="489" t="s">
        <v>1004</v>
      </c>
      <c r="B49" s="151"/>
      <c r="C49" s="377">
        <f>+'Exhibit F'!D44+'Exhibit G State'!D35</f>
        <v>37.200000000000003</v>
      </c>
      <c r="D49" s="377"/>
      <c r="E49" s="377">
        <f>+'Exhibit F'!F44+'Exhibit G State'!F35</f>
        <v>39.399999999999991</v>
      </c>
      <c r="F49" s="377"/>
      <c r="G49" s="377">
        <f>+'Exhibit F'!H44+'Exhibit G State'!H35</f>
        <v>41.900000000000006</v>
      </c>
      <c r="H49" s="377"/>
      <c r="I49" s="377">
        <f>+'Exhibit F'!J44+'Exhibit G State'!J35</f>
        <v>39.099999999999994</v>
      </c>
      <c r="J49" s="377"/>
      <c r="K49" s="377">
        <f>+'Exhibit F'!L44+'Exhibit G State'!L35</f>
        <v>41.300000000000011</v>
      </c>
      <c r="L49" s="377"/>
      <c r="M49" s="377">
        <f>+'Exhibit F'!N44+'Exhibit G State'!N35</f>
        <v>45.100000000000023</v>
      </c>
      <c r="N49" s="151"/>
      <c r="O49" s="377">
        <f>+'Exhibit F'!P44+'Exhibit G State'!P35</f>
        <v>38.699999999999989</v>
      </c>
      <c r="P49" s="151"/>
      <c r="Q49" s="377">
        <f>+'Exhibit F'!R44+'Exhibit G State'!R35</f>
        <v>39.5</v>
      </c>
      <c r="R49" s="377"/>
      <c r="S49" s="377">
        <f>+'Exhibit F'!T44+'Exhibit G State'!T35</f>
        <v>41.600000000000023</v>
      </c>
      <c r="T49" s="377"/>
      <c r="U49" s="377">
        <f>+'Exhibit F'!V44+'Exhibit G State'!V35</f>
        <v>37.500000000000028</v>
      </c>
      <c r="V49" s="377"/>
      <c r="W49" s="377">
        <f>+'Exhibit F'!X44+'Exhibit G State'!X35</f>
        <v>40.999999999999972</v>
      </c>
      <c r="X49" s="377"/>
      <c r="Y49" s="377">
        <f>+'Exhibit F'!Z44+'Exhibit G State'!Z35</f>
        <v>38</v>
      </c>
      <c r="Z49" s="151"/>
      <c r="AA49" s="686"/>
      <c r="AB49" s="377">
        <f t="shared" si="13"/>
        <v>480.3</v>
      </c>
      <c r="AC49" s="151"/>
      <c r="AD49" s="1823"/>
      <c r="AE49" s="377">
        <f>+'Exhibit F'!AF44+'Exhibit G State'!AG35</f>
        <v>454</v>
      </c>
      <c r="AF49" s="151"/>
      <c r="AG49" s="151"/>
      <c r="AH49" s="467">
        <f t="shared" si="14"/>
        <v>26.3</v>
      </c>
      <c r="AI49" s="169"/>
      <c r="AJ49" s="488">
        <f t="shared" si="15"/>
        <v>5.8000000000000003E-2</v>
      </c>
    </row>
    <row r="50" spans="1:36" ht="15.5">
      <c r="A50" s="217" t="s">
        <v>999</v>
      </c>
      <c r="B50" s="151"/>
      <c r="C50" s="178">
        <f>ROUND(SUM(C44:C49),1)</f>
        <v>1541.3</v>
      </c>
      <c r="D50" s="151"/>
      <c r="E50" s="178">
        <f>ROUND(SUM(E44:E49),1)</f>
        <v>174.3</v>
      </c>
      <c r="F50" s="151"/>
      <c r="G50" s="178">
        <f>ROUND(SUM(G44:G49),1)</f>
        <v>4964.7</v>
      </c>
      <c r="H50" s="151"/>
      <c r="I50" s="178">
        <f>ROUND(SUM(I44:I49),1)</f>
        <v>333.9</v>
      </c>
      <c r="J50" s="151"/>
      <c r="K50" s="178">
        <f>ROUND(SUM(K44:K49),1)</f>
        <v>83.7</v>
      </c>
      <c r="L50" s="151"/>
      <c r="M50" s="178">
        <f>ROUND(SUM(M44:M49),1)</f>
        <v>5506.2</v>
      </c>
      <c r="N50" s="151"/>
      <c r="O50" s="178">
        <f>ROUND(SUM(O44:O49),1)</f>
        <v>-347.1</v>
      </c>
      <c r="P50" s="151"/>
      <c r="Q50" s="178">
        <f>ROUND(SUM(Q44:Q49),1)</f>
        <v>285</v>
      </c>
      <c r="R50" s="151"/>
      <c r="S50" s="178">
        <f>ROUND(SUM(S44:S49),1)</f>
        <v>6265.6</v>
      </c>
      <c r="T50" s="151"/>
      <c r="U50" s="178">
        <f>ROUND(SUM(U44:U49),1)</f>
        <v>1001.4</v>
      </c>
      <c r="V50" s="151"/>
      <c r="W50" s="178">
        <f>ROUND(SUM(W44:W49),1)</f>
        <v>318.7</v>
      </c>
      <c r="X50" s="151"/>
      <c r="Y50" s="178">
        <f>ROUND(SUM(Y44:Y49),1)</f>
        <v>7864.1</v>
      </c>
      <c r="Z50" s="151"/>
      <c r="AA50" s="686"/>
      <c r="AB50" s="178">
        <f>ROUND(SUM(AB44:AB49),1)</f>
        <v>27991.8</v>
      </c>
      <c r="AC50" s="151"/>
      <c r="AD50" s="1823"/>
      <c r="AE50" s="178">
        <f>ROUND(SUM(AE44:AE49),1)</f>
        <v>27137.599999999999</v>
      </c>
      <c r="AF50" s="151"/>
      <c r="AG50" s="151"/>
      <c r="AH50" s="178">
        <f>ROUND(SUM(AH44:AH49),1)</f>
        <v>854.2</v>
      </c>
      <c r="AI50" s="548"/>
      <c r="AJ50" s="199">
        <f t="shared" si="15"/>
        <v>3.1E-2</v>
      </c>
    </row>
    <row r="51" spans="1:36" ht="15.5">
      <c r="A51" s="739" t="s">
        <v>1039</v>
      </c>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686"/>
      <c r="AB51" s="151"/>
      <c r="AC51" s="151"/>
      <c r="AD51" s="1823"/>
      <c r="AE51" s="377"/>
      <c r="AF51" s="151"/>
      <c r="AG51" s="151"/>
      <c r="AH51" s="472"/>
      <c r="AI51" s="151"/>
      <c r="AJ51" s="472"/>
    </row>
    <row r="52" spans="1:36" ht="15.5">
      <c r="A52" s="489" t="s">
        <v>1007</v>
      </c>
      <c r="B52" s="151"/>
      <c r="C52" s="377">
        <f>+'Exhibit F'!D47</f>
        <v>0</v>
      </c>
      <c r="D52" s="377"/>
      <c r="E52" s="377">
        <f>+'Exhibit F'!F47</f>
        <v>0</v>
      </c>
      <c r="F52" s="377"/>
      <c r="G52" s="377">
        <f>+'Exhibit F'!H47</f>
        <v>0</v>
      </c>
      <c r="H52" s="377"/>
      <c r="I52" s="377">
        <f>+'Exhibit F'!J47</f>
        <v>0</v>
      </c>
      <c r="J52" s="377"/>
      <c r="K52" s="377">
        <f>+'Exhibit F'!L47</f>
        <v>0</v>
      </c>
      <c r="L52" s="151"/>
      <c r="M52" s="377">
        <f>+'Exhibit F'!N47</f>
        <v>0</v>
      </c>
      <c r="N52" s="151"/>
      <c r="O52" s="377">
        <f>+'Exhibit F'!P47</f>
        <v>0</v>
      </c>
      <c r="P52" s="151"/>
      <c r="Q52" s="377">
        <f>+'Exhibit F'!R47</f>
        <v>0</v>
      </c>
      <c r="R52" s="377"/>
      <c r="S52" s="377">
        <f>+'Exhibit F'!T47</f>
        <v>0</v>
      </c>
      <c r="T52" s="377"/>
      <c r="U52" s="377">
        <f>+'Exhibit F'!V47</f>
        <v>0</v>
      </c>
      <c r="V52" s="377"/>
      <c r="W52" s="377">
        <f>+'Exhibit F'!X47</f>
        <v>0</v>
      </c>
      <c r="X52" s="377"/>
      <c r="Y52" s="377">
        <f>+'Exhibit F'!Z47</f>
        <v>0</v>
      </c>
      <c r="Z52" s="151"/>
      <c r="AA52" s="686"/>
      <c r="AB52" s="377">
        <f t="shared" ref="AB52:AB56" si="17">ROUND(SUM(C52:Y52),1)</f>
        <v>0</v>
      </c>
      <c r="AC52" s="151"/>
      <c r="AD52" s="1823"/>
      <c r="AE52" s="377">
        <f>+'Exhibit F'!AF47</f>
        <v>0</v>
      </c>
      <c r="AF52" s="151"/>
      <c r="AG52" s="151"/>
      <c r="AH52" s="467">
        <f t="shared" si="14"/>
        <v>0</v>
      </c>
      <c r="AI52" s="151"/>
      <c r="AJ52" s="469">
        <f>ROUND(IF(AE52=0,0,AH52/ABS(AE52)),3)</f>
        <v>0</v>
      </c>
    </row>
    <row r="53" spans="1:36" ht="15.5">
      <c r="A53" s="489" t="s">
        <v>1008</v>
      </c>
      <c r="B53" s="151"/>
      <c r="C53" s="377">
        <f>+'Exhibit F'!D48</f>
        <v>127.3</v>
      </c>
      <c r="D53" s="377"/>
      <c r="E53" s="377">
        <f>+'Exhibit F'!F48</f>
        <v>126.00000000000001</v>
      </c>
      <c r="F53" s="377"/>
      <c r="G53" s="377">
        <f>+'Exhibit F'!H48</f>
        <v>123.50000000000001</v>
      </c>
      <c r="H53" s="377"/>
      <c r="I53" s="377">
        <f>+'Exhibit F'!J48</f>
        <v>132.69999999999999</v>
      </c>
      <c r="J53" s="377"/>
      <c r="K53" s="377">
        <f>+'Exhibit F'!L48</f>
        <v>156.90000000000003</v>
      </c>
      <c r="L53" s="151"/>
      <c r="M53" s="377">
        <f>+'Exhibit F'!N48</f>
        <v>399.8</v>
      </c>
      <c r="N53" s="151"/>
      <c r="O53" s="377">
        <f>+'Exhibit F'!P48</f>
        <v>252.59999999999985</v>
      </c>
      <c r="P53" s="151"/>
      <c r="Q53" s="377">
        <f>+'Exhibit F'!R48</f>
        <v>257.39999999999986</v>
      </c>
      <c r="R53" s="377"/>
      <c r="S53" s="377">
        <f>+'Exhibit F'!T48</f>
        <v>136.00000000000028</v>
      </c>
      <c r="T53" s="377"/>
      <c r="U53" s="377">
        <f>+'Exhibit F'!V48</f>
        <v>67.999999999999773</v>
      </c>
      <c r="V53" s="377"/>
      <c r="W53" s="377">
        <f>+'Exhibit F'!X48</f>
        <v>243.10000000000008</v>
      </c>
      <c r="X53" s="377"/>
      <c r="Y53" s="377">
        <f>+'Exhibit F'!Z48</f>
        <v>161.89999999999964</v>
      </c>
      <c r="Z53" s="151"/>
      <c r="AA53" s="686"/>
      <c r="AB53" s="377">
        <f t="shared" si="17"/>
        <v>2185.1999999999998</v>
      </c>
      <c r="AC53" s="151"/>
      <c r="AD53" s="1823"/>
      <c r="AE53" s="377">
        <f>+'Exhibit F'!AF48</f>
        <v>1386.1000000000001</v>
      </c>
      <c r="AF53" s="151"/>
      <c r="AG53" s="151"/>
      <c r="AH53" s="467">
        <f t="shared" si="14"/>
        <v>799.1</v>
      </c>
      <c r="AI53" s="151"/>
      <c r="AJ53" s="488">
        <f t="shared" ref="AJ53:AJ58" si="18">ROUND(SUM(+AH53/ABS(AE53)),3)</f>
        <v>0.57699999999999996</v>
      </c>
    </row>
    <row r="54" spans="1:36" ht="15.5">
      <c r="A54" s="489" t="s">
        <v>1009</v>
      </c>
      <c r="B54" s="151"/>
      <c r="C54" s="377">
        <f>+'Exhibit F'!D49</f>
        <v>1.5</v>
      </c>
      <c r="D54" s="377"/>
      <c r="E54" s="377">
        <f>+'Exhibit F'!F49</f>
        <v>1.1000000000000001</v>
      </c>
      <c r="F54" s="377"/>
      <c r="G54" s="377">
        <f>+'Exhibit F'!H49</f>
        <v>0.60000000000000009</v>
      </c>
      <c r="H54" s="377"/>
      <c r="I54" s="377">
        <f>+'Exhibit F'!J49</f>
        <v>1.9</v>
      </c>
      <c r="J54" s="377"/>
      <c r="K54" s="377">
        <f>+'Exhibit F'!L49</f>
        <v>1.9999999999999996</v>
      </c>
      <c r="L54" s="151"/>
      <c r="M54" s="377">
        <f>+'Exhibit F'!N49</f>
        <v>1.9000000000000012</v>
      </c>
      <c r="N54" s="151"/>
      <c r="O54" s="377">
        <f>+'Exhibit F'!P49</f>
        <v>0.89999999999999991</v>
      </c>
      <c r="P54" s="151"/>
      <c r="Q54" s="377">
        <f>+'Exhibit F'!R49</f>
        <v>0.90000000000000036</v>
      </c>
      <c r="R54" s="377"/>
      <c r="S54" s="377">
        <f>+'Exhibit F'!T49</f>
        <v>0.79999999999999849</v>
      </c>
      <c r="T54" s="377"/>
      <c r="U54" s="377">
        <f>+'Exhibit F'!V49</f>
        <v>0.5</v>
      </c>
      <c r="V54" s="377"/>
      <c r="W54" s="377">
        <f>+'Exhibit F'!X49</f>
        <v>0.80000000000000071</v>
      </c>
      <c r="X54" s="377"/>
      <c r="Y54" s="377">
        <f>+'Exhibit F'!Z49</f>
        <v>9.9999999999999645E-2</v>
      </c>
      <c r="Z54" s="151"/>
      <c r="AA54" s="686"/>
      <c r="AB54" s="377">
        <f t="shared" si="17"/>
        <v>13</v>
      </c>
      <c r="AC54" s="151"/>
      <c r="AD54" s="1823"/>
      <c r="AE54" s="377">
        <f>+'Exhibit F'!AF49</f>
        <v>12.9</v>
      </c>
      <c r="AF54" s="151"/>
      <c r="AG54" s="151"/>
      <c r="AH54" s="467">
        <f t="shared" si="14"/>
        <v>0.1</v>
      </c>
      <c r="AI54" s="151"/>
      <c r="AJ54" s="488">
        <f t="shared" si="18"/>
        <v>8.0000000000000002E-3</v>
      </c>
    </row>
    <row r="55" spans="1:36" ht="15.5">
      <c r="A55" s="489" t="s">
        <v>1010</v>
      </c>
      <c r="B55" s="151"/>
      <c r="C55" s="377">
        <f>+'Exhibit F'!D50+'Exhibit H'!B25</f>
        <v>152.4</v>
      </c>
      <c r="D55" s="377"/>
      <c r="E55" s="377">
        <f>+'Exhibit F'!F50+'Exhibit H'!D25</f>
        <v>129.99999999999997</v>
      </c>
      <c r="F55" s="377"/>
      <c r="G55" s="377">
        <f>+'Exhibit F'!H50+'Exhibit H'!F25</f>
        <v>117.80000000000004</v>
      </c>
      <c r="H55" s="377"/>
      <c r="I55" s="377">
        <f>+'Exhibit F'!J50+'Exhibit H'!H25</f>
        <v>144.59999999999988</v>
      </c>
      <c r="J55" s="377"/>
      <c r="K55" s="377">
        <f>+'Exhibit F'!L50+'Exhibit H'!J25</f>
        <v>115.99999999999997</v>
      </c>
      <c r="L55" s="151"/>
      <c r="M55" s="377">
        <f>+'Exhibit F'!N50+'Exhibit H'!L25</f>
        <v>110.2000000000001</v>
      </c>
      <c r="N55" s="151"/>
      <c r="O55" s="377">
        <f>+'Exhibit F'!P50+'Exhibit H'!N25</f>
        <v>105.49999999999997</v>
      </c>
      <c r="P55" s="151"/>
      <c r="Q55" s="377">
        <f>+'Exhibit F'!R50+'Exhibit H'!P25</f>
        <v>81.200000000000017</v>
      </c>
      <c r="R55" s="377"/>
      <c r="S55" s="377">
        <f>+'Exhibit F'!T50+'Exhibit H'!R25</f>
        <v>76</v>
      </c>
      <c r="T55" s="377"/>
      <c r="U55" s="377">
        <f>+'Exhibit F'!V50+'Exhibit H'!T25</f>
        <v>66.399999999999864</v>
      </c>
      <c r="V55" s="377"/>
      <c r="W55" s="377">
        <f>+'Exhibit F'!X50+'Exhibit H'!V25</f>
        <v>72.799999999999983</v>
      </c>
      <c r="X55" s="377"/>
      <c r="Y55" s="377">
        <f>+'Exhibit F'!Z50+'Exhibit H'!X25</f>
        <v>41.799999999999812</v>
      </c>
      <c r="Z55" s="151"/>
      <c r="AA55" s="686"/>
      <c r="AB55" s="377">
        <f t="shared" si="17"/>
        <v>1214.7</v>
      </c>
      <c r="AC55" s="151"/>
      <c r="AD55" s="1823"/>
      <c r="AE55" s="377">
        <f>+'Exhibit F'!AF50+'Exhibit I State'!AG28+'Exhibit H'!AD25</f>
        <v>1520.4</v>
      </c>
      <c r="AF55" s="151"/>
      <c r="AG55" s="151"/>
      <c r="AH55" s="467">
        <f t="shared" si="14"/>
        <v>-305.7</v>
      </c>
      <c r="AI55" s="151"/>
      <c r="AJ55" s="488">
        <f t="shared" si="18"/>
        <v>-0.20100000000000001</v>
      </c>
    </row>
    <row r="56" spans="1:36" ht="15.5">
      <c r="A56" s="489" t="s">
        <v>1449</v>
      </c>
      <c r="B56" s="151"/>
      <c r="C56" s="377">
        <f>+'Exhibit F'!D51</f>
        <v>0</v>
      </c>
      <c r="D56" s="377"/>
      <c r="E56" s="377">
        <f>+'Exhibit F'!F51</f>
        <v>0.2</v>
      </c>
      <c r="F56" s="377"/>
      <c r="G56" s="377">
        <f>+'Exhibit F'!H51</f>
        <v>9.9999999999999978E-2</v>
      </c>
      <c r="H56" s="377"/>
      <c r="I56" s="377">
        <f>+'Exhibit F'!J51</f>
        <v>0.2</v>
      </c>
      <c r="J56" s="377"/>
      <c r="K56" s="377">
        <f>+'Exhibit F'!L51</f>
        <v>0.19999999999999996</v>
      </c>
      <c r="L56" s="151"/>
      <c r="M56" s="377">
        <f>+'Exhibit F'!N51</f>
        <v>0</v>
      </c>
      <c r="N56" s="151"/>
      <c r="O56" s="377">
        <f>+'Exhibit F'!P51</f>
        <v>0.2</v>
      </c>
      <c r="P56" s="151"/>
      <c r="Q56" s="377">
        <f>+'Exhibit F'!R51</f>
        <v>1.0000000000000002</v>
      </c>
      <c r="R56" s="377"/>
      <c r="S56" s="377">
        <f>+'Exhibit F'!T51</f>
        <v>0</v>
      </c>
      <c r="T56" s="377"/>
      <c r="U56" s="377">
        <f>+'Exhibit F'!V51</f>
        <v>0.10000000000000009</v>
      </c>
      <c r="V56" s="377"/>
      <c r="W56" s="377">
        <f>+'Exhibit F'!X51</f>
        <v>0</v>
      </c>
      <c r="X56" s="377"/>
      <c r="Y56" s="377">
        <f>+'Exhibit F'!Z51</f>
        <v>0</v>
      </c>
      <c r="Z56" s="151"/>
      <c r="AA56" s="686"/>
      <c r="AB56" s="377">
        <f t="shared" si="17"/>
        <v>2</v>
      </c>
      <c r="AC56" s="151"/>
      <c r="AD56" s="1823"/>
      <c r="AE56" s="377">
        <f>+'Exhibit F'!AF51</f>
        <v>1.5</v>
      </c>
      <c r="AF56" s="151"/>
      <c r="AG56" s="151"/>
      <c r="AH56" s="467">
        <f t="shared" si="14"/>
        <v>0.5</v>
      </c>
      <c r="AI56" s="151"/>
      <c r="AJ56" s="1145">
        <f>ROUND(IF(AE56=0,1,AH56/ABS(AE56)),3)</f>
        <v>0.33300000000000002</v>
      </c>
    </row>
    <row r="57" spans="1:36" ht="15.5">
      <c r="A57" s="754" t="s">
        <v>1254</v>
      </c>
      <c r="B57" s="151"/>
      <c r="C57" s="377">
        <f>+'Exhibit F'!D52+'Exhibit H'!B26</f>
        <v>0.4</v>
      </c>
      <c r="D57" s="377"/>
      <c r="E57" s="377">
        <f>+'Exhibit F'!F52+'Exhibit H'!D26</f>
        <v>0.19999999999999996</v>
      </c>
      <c r="F57" s="377"/>
      <c r="G57" s="377">
        <f>+'Exhibit F'!H52+'Exhibit H'!F26</f>
        <v>0.20000000000000007</v>
      </c>
      <c r="H57" s="377"/>
      <c r="I57" s="377">
        <f>+'Exhibit F'!J52+'Exhibit H'!H26</f>
        <v>0.39999999999999991</v>
      </c>
      <c r="J57" s="377"/>
      <c r="K57" s="377">
        <f>+'Exhibit F'!L52+'Exhibit H'!J26</f>
        <v>0.4</v>
      </c>
      <c r="L57" s="377"/>
      <c r="M57" s="377">
        <f>+'Exhibit F'!N52+'Exhibit H'!L26</f>
        <v>0.40000000000000024</v>
      </c>
      <c r="N57" s="377"/>
      <c r="O57" s="377">
        <f>+'Exhibit F'!P52+'Exhibit H'!N26</f>
        <v>0.59999999999999964</v>
      </c>
      <c r="P57" s="151"/>
      <c r="Q57" s="377">
        <f>+'Exhibit F'!R52+'Exhibit H'!P26</f>
        <v>0.40000000000000036</v>
      </c>
      <c r="R57" s="377"/>
      <c r="S57" s="377">
        <f>+'Exhibit F'!T52+'Exhibit H'!R26</f>
        <v>1</v>
      </c>
      <c r="T57" s="377"/>
      <c r="U57" s="377">
        <f>+'Exhibit F'!V52+'Exhibit H'!T26</f>
        <v>2.3999999999999986</v>
      </c>
      <c r="V57" s="377"/>
      <c r="W57" s="377">
        <f>+'Exhibit F'!X52+'Exhibit H'!V26</f>
        <v>0.19999999999999929</v>
      </c>
      <c r="X57" s="377"/>
      <c r="Y57" s="377">
        <f>+'Exhibit F'!Z52+'Exhibit H'!X26</f>
        <v>0.10000000000000053</v>
      </c>
      <c r="Z57" s="151"/>
      <c r="AA57" s="686"/>
      <c r="AB57" s="377">
        <f t="shared" ref="AB57" si="19">ROUND(SUM(C57:Y57),1)</f>
        <v>6.7</v>
      </c>
      <c r="AC57" s="151"/>
      <c r="AD57" s="1823"/>
      <c r="AE57" s="377">
        <f>+'Exhibit F'!AF52+'Exhibit H'!AD26</f>
        <v>12.8</v>
      </c>
      <c r="AF57" s="151"/>
      <c r="AG57" s="151"/>
      <c r="AH57" s="467">
        <f t="shared" ref="AH57" si="20">ROUND(SUM(+AB57-AE57),1)</f>
        <v>-6.1</v>
      </c>
      <c r="AI57" s="169"/>
      <c r="AJ57" s="469">
        <f>ROUND(IF(AE57=0,1,AH57/ABS(AE57)),3)</f>
        <v>-0.47699999999999998</v>
      </c>
    </row>
    <row r="58" spans="1:36" ht="15.5">
      <c r="A58" s="217" t="s">
        <v>1005</v>
      </c>
      <c r="B58" s="151"/>
      <c r="C58" s="178">
        <f>ROUND(SUM(C52:C57),1)</f>
        <v>281.60000000000002</v>
      </c>
      <c r="D58" s="151"/>
      <c r="E58" s="178">
        <f>ROUND(SUM(E52:E57),1)</f>
        <v>257.5</v>
      </c>
      <c r="F58" s="151"/>
      <c r="G58" s="178">
        <f>ROUND(SUM(G52:G57),1)</f>
        <v>242.2</v>
      </c>
      <c r="H58" s="151"/>
      <c r="I58" s="178">
        <f>ROUND(SUM(I52:I57),1)</f>
        <v>279.8</v>
      </c>
      <c r="J58" s="151"/>
      <c r="K58" s="178">
        <f>ROUND(SUM(K52:K57),1)</f>
        <v>275.5</v>
      </c>
      <c r="L58" s="151"/>
      <c r="M58" s="178">
        <f>ROUND(SUM(M52:M57),1)</f>
        <v>512.29999999999995</v>
      </c>
      <c r="N58" s="151"/>
      <c r="O58" s="178">
        <f>ROUND(SUM(O52:O57),1)</f>
        <v>359.8</v>
      </c>
      <c r="P58" s="151"/>
      <c r="Q58" s="178">
        <f>ROUND(SUM(Q52:Q57),1)</f>
        <v>340.9</v>
      </c>
      <c r="R58" s="151"/>
      <c r="S58" s="178">
        <f>ROUND(SUM(S52:S57),1)</f>
        <v>213.8</v>
      </c>
      <c r="T58" s="151"/>
      <c r="U58" s="178">
        <f>ROUND(SUM(U52:U57),1)</f>
        <v>137.4</v>
      </c>
      <c r="V58" s="151"/>
      <c r="W58" s="178">
        <f>ROUND(SUM(W52:W57),1)</f>
        <v>316.89999999999998</v>
      </c>
      <c r="X58" s="151"/>
      <c r="Y58" s="178">
        <f>ROUND(SUM(Y52:Y57),1)</f>
        <v>203.9</v>
      </c>
      <c r="Z58" s="151"/>
      <c r="AA58" s="686"/>
      <c r="AB58" s="178">
        <f>ROUND(SUM(AB52:AB57),1)</f>
        <v>3421.6</v>
      </c>
      <c r="AC58" s="151"/>
      <c r="AD58" s="1823"/>
      <c r="AE58" s="178">
        <f>ROUND(SUM(AE52:AE57),1)</f>
        <v>2933.7</v>
      </c>
      <c r="AF58" s="151"/>
      <c r="AG58" s="151"/>
      <c r="AH58" s="178">
        <f>ROUND(SUM(AH52:AH57),1)</f>
        <v>487.9</v>
      </c>
      <c r="AI58" s="548"/>
      <c r="AJ58" s="749">
        <f t="shared" si="18"/>
        <v>0.16600000000000001</v>
      </c>
    </row>
    <row r="59" spans="1:36" ht="15.5">
      <c r="A59" s="151"/>
      <c r="B59" s="151"/>
      <c r="C59" s="377"/>
      <c r="D59" s="377"/>
      <c r="E59" s="377"/>
      <c r="F59" s="377"/>
      <c r="G59" s="377"/>
      <c r="H59" s="377"/>
      <c r="I59" s="377"/>
      <c r="J59" s="377"/>
      <c r="K59" s="377"/>
      <c r="L59" s="377"/>
      <c r="M59" s="377"/>
      <c r="N59" s="377"/>
      <c r="O59" s="377"/>
      <c r="P59" s="377"/>
      <c r="Q59" s="377"/>
      <c r="R59" s="377"/>
      <c r="S59" s="377"/>
      <c r="T59" s="377"/>
      <c r="U59" s="377"/>
      <c r="V59" s="377"/>
      <c r="W59" s="377"/>
      <c r="X59" s="377"/>
      <c r="Y59" s="377"/>
      <c r="Z59" s="377"/>
      <c r="AA59" s="687"/>
      <c r="AB59" s="381"/>
      <c r="AC59" s="377"/>
      <c r="AD59" s="1826"/>
      <c r="AE59" s="377"/>
      <c r="AF59" s="377"/>
      <c r="AG59" s="377"/>
      <c r="AH59" s="377"/>
      <c r="AI59" s="151"/>
      <c r="AJ59" s="189"/>
    </row>
    <row r="60" spans="1:36" ht="15.5">
      <c r="A60" s="217" t="s">
        <v>979</v>
      </c>
      <c r="B60" s="20"/>
      <c r="C60" s="15">
        <f>ROUND(SUM(C58+C50+C42+C30),1)</f>
        <v>18047.900000000001</v>
      </c>
      <c r="D60" s="36"/>
      <c r="E60" s="15">
        <f>ROUND(SUM(E58+E50+E42+E30),1)</f>
        <v>4660.2</v>
      </c>
      <c r="F60" s="36"/>
      <c r="G60" s="15">
        <f>ROUND(SUM(G58+G50+G42+G30),1)</f>
        <v>11405.8</v>
      </c>
      <c r="H60" s="36"/>
      <c r="I60" s="15">
        <f>ROUND(SUM(I58+I50+I42+I30),1)</f>
        <v>5293.4</v>
      </c>
      <c r="J60" s="36"/>
      <c r="K60" s="15">
        <f>ROUND(SUM(K58+K50+K42+K30),1)</f>
        <v>5484.1</v>
      </c>
      <c r="L60" s="36"/>
      <c r="M60" s="15">
        <f>ROUND(SUM(M58+M50+M42+M30),1)</f>
        <v>12890.5</v>
      </c>
      <c r="N60" s="36"/>
      <c r="O60" s="15">
        <f>ROUND(SUM(O58+O50+O42+O30),1)</f>
        <v>3560.8</v>
      </c>
      <c r="P60" s="36"/>
      <c r="Q60" s="15">
        <f>ROUND(SUM(Q58+Q50+Q42+Q30),1)</f>
        <v>4902.3999999999996</v>
      </c>
      <c r="R60" s="36"/>
      <c r="S60" s="15">
        <f>ROUND(SUM(S58+S50+S42+S30),1)</f>
        <v>12706</v>
      </c>
      <c r="T60" s="36"/>
      <c r="U60" s="15">
        <f>ROUND(SUM(U58+U50+U42+U30),1)</f>
        <v>11148.7</v>
      </c>
      <c r="V60" s="36"/>
      <c r="W60" s="15">
        <f>ROUND(SUM(W58+W50+W42+W30),1)</f>
        <v>6254.7</v>
      </c>
      <c r="X60" s="39"/>
      <c r="Y60" s="15">
        <f>ROUND(SUM(Y58+Y50+Y42+Y30),1)</f>
        <v>14042.9</v>
      </c>
      <c r="Z60" s="39"/>
      <c r="AA60" s="30"/>
      <c r="AB60" s="1831">
        <f>ROUND(SUM(C60:Y60),1)</f>
        <v>110397.4</v>
      </c>
      <c r="AC60" s="36"/>
      <c r="AD60" s="37"/>
      <c r="AE60" s="1241">
        <f>ROUND(SUM(+AE30+AE42+AE50+AE58),1)</f>
        <v>119823.2</v>
      </c>
      <c r="AF60" s="36"/>
      <c r="AG60" s="1449"/>
      <c r="AH60" s="1241">
        <f>ROUND(+AB60-AE60,1)</f>
        <v>-9425.7999999999993</v>
      </c>
      <c r="AI60" s="467"/>
      <c r="AJ60" s="210">
        <f>ROUND(SUM(+AH60/ABS(AE60)),3)</f>
        <v>-7.9000000000000001E-2</v>
      </c>
    </row>
    <row r="61" spans="1:36" ht="15.5">
      <c r="A61" s="151"/>
      <c r="B61" s="151"/>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687"/>
      <c r="AB61" s="377"/>
      <c r="AC61" s="377"/>
      <c r="AD61" s="1826"/>
      <c r="AE61" s="377"/>
      <c r="AF61" s="377"/>
      <c r="AG61" s="377"/>
      <c r="AH61" s="377"/>
      <c r="AI61" s="151"/>
      <c r="AJ61" s="488"/>
    </row>
    <row r="62" spans="1:36" ht="15.5">
      <c r="A62" s="117" t="s">
        <v>916</v>
      </c>
      <c r="B62" s="151"/>
      <c r="C62" s="377"/>
      <c r="D62" s="377"/>
      <c r="E62" s="377"/>
      <c r="F62" s="377"/>
      <c r="G62" s="377"/>
      <c r="H62" s="377"/>
      <c r="I62" s="377"/>
      <c r="J62" s="377"/>
      <c r="K62" s="377"/>
      <c r="L62" s="377"/>
      <c r="M62" s="377"/>
      <c r="N62" s="377"/>
      <c r="O62" s="377"/>
      <c r="P62" s="377"/>
      <c r="Q62" s="377"/>
      <c r="R62" s="377"/>
      <c r="S62" s="377"/>
      <c r="T62" s="377"/>
      <c r="U62" s="377"/>
      <c r="V62" s="377"/>
      <c r="W62" s="377"/>
      <c r="X62" s="377"/>
      <c r="Y62" s="377"/>
      <c r="Z62" s="377"/>
      <c r="AA62" s="378"/>
      <c r="AB62" s="377"/>
      <c r="AC62" s="377"/>
      <c r="AD62" s="1826"/>
      <c r="AE62" s="377"/>
      <c r="AF62" s="377"/>
      <c r="AG62" s="377"/>
      <c r="AH62" s="377"/>
      <c r="AI62" s="151"/>
      <c r="AJ62" s="469"/>
    </row>
    <row r="63" spans="1:36" ht="15.5">
      <c r="A63" s="597" t="s">
        <v>1031</v>
      </c>
      <c r="B63" s="151"/>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8"/>
      <c r="AB63" s="377"/>
      <c r="AC63" s="377"/>
      <c r="AD63" s="1826"/>
      <c r="AE63" s="377"/>
      <c r="AF63" s="377"/>
      <c r="AG63" s="377"/>
      <c r="AH63" s="377"/>
      <c r="AI63" s="151"/>
      <c r="AJ63" s="469"/>
    </row>
    <row r="64" spans="1:36" ht="15.5">
      <c r="A64" s="597" t="s">
        <v>914</v>
      </c>
      <c r="B64" s="151"/>
      <c r="C64" s="377">
        <f>+'Exhibit F'!D59+'Exhibit G State'!D42</f>
        <v>1.9</v>
      </c>
      <c r="D64" s="377"/>
      <c r="E64" s="377">
        <f>+'Exhibit F'!F59+'Exhibit G State'!F42</f>
        <v>0.9</v>
      </c>
      <c r="F64" s="377"/>
      <c r="G64" s="377">
        <f>+'Exhibit F'!H59+'Exhibit G State'!H42</f>
        <v>0.99999999999999989</v>
      </c>
      <c r="H64" s="377"/>
      <c r="I64" s="377">
        <f>+'Exhibit F'!J59+'Exhibit G State'!J42</f>
        <v>0.80000000000000027</v>
      </c>
      <c r="J64" s="377"/>
      <c r="K64" s="377">
        <f>+'Exhibit F'!L59+'Exhibit G State'!L42</f>
        <v>11.3</v>
      </c>
      <c r="L64" s="377"/>
      <c r="M64" s="377">
        <f>+'Exhibit F'!N59+'Exhibit G State'!N42</f>
        <v>101</v>
      </c>
      <c r="N64" s="377"/>
      <c r="O64" s="377">
        <f>+'Exhibit F'!P59+'Exhibit G State'!P42</f>
        <v>31.1</v>
      </c>
      <c r="P64" s="377"/>
      <c r="Q64" s="377">
        <f>+'Exhibit F'!R59+'Exhibit G State'!R42</f>
        <v>131</v>
      </c>
      <c r="R64" s="377"/>
      <c r="S64" s="377">
        <f>+'Exhibit F'!T59+'Exhibit G State'!T42</f>
        <v>1.0999999999999996</v>
      </c>
      <c r="T64" s="377"/>
      <c r="U64" s="377">
        <f>+'Exhibit F'!V59+'Exhibit G State'!V42</f>
        <v>30.9</v>
      </c>
      <c r="V64" s="377"/>
      <c r="W64" s="377">
        <f>+'Exhibit F'!X59+'Exhibit G State'!X42</f>
        <v>11.500000000000023</v>
      </c>
      <c r="X64" s="377"/>
      <c r="Y64" s="377">
        <f>+'Exhibit F'!Z59+'Exhibit G State'!Z42</f>
        <v>409.29999999999995</v>
      </c>
      <c r="Z64" s="377"/>
      <c r="AA64" s="378"/>
      <c r="AB64" s="377">
        <f>ROUND(SUM(C64:Y64),1)</f>
        <v>731.8</v>
      </c>
      <c r="AC64" s="377"/>
      <c r="AD64" s="1826"/>
      <c r="AE64" s="377">
        <f>+'Exhibit F'!AF59+'Exhibit G State'!AG42</f>
        <v>585.19999999999993</v>
      </c>
      <c r="AF64" s="377"/>
      <c r="AG64" s="377"/>
      <c r="AH64" s="377">
        <f t="shared" ref="AH64:AH105" si="21">ROUND(SUM(AB64-AE64),1)</f>
        <v>146.6</v>
      </c>
      <c r="AI64" s="151"/>
      <c r="AJ64" s="488">
        <f>ROUND(SUM(AH64/ABS(AE64)),3)</f>
        <v>0.251</v>
      </c>
    </row>
    <row r="65" spans="1:36" ht="15.5">
      <c r="A65" s="597" t="s">
        <v>915</v>
      </c>
      <c r="B65" s="151"/>
      <c r="C65" s="377">
        <f>+'Exhibit F'!D60</f>
        <v>0.2</v>
      </c>
      <c r="D65" s="377"/>
      <c r="E65" s="377">
        <f>+'Exhibit F'!F60</f>
        <v>0.2</v>
      </c>
      <c r="F65" s="377"/>
      <c r="G65" s="377">
        <f>+'Exhibit F'!H60</f>
        <v>1.9999999999999998</v>
      </c>
      <c r="H65" s="377"/>
      <c r="I65" s="377">
        <f>+'Exhibit F'!J60</f>
        <v>10.000000000000002</v>
      </c>
      <c r="J65" s="377"/>
      <c r="K65" s="377">
        <f>+'Exhibit F'!L60</f>
        <v>9.9999999999998423E-2</v>
      </c>
      <c r="L65" s="377"/>
      <c r="M65" s="377">
        <f>+'Exhibit F'!N60</f>
        <v>34.899999999999991</v>
      </c>
      <c r="N65" s="377"/>
      <c r="O65" s="377">
        <f>+'Exhibit F'!P60</f>
        <v>1.1000000000000014</v>
      </c>
      <c r="P65" s="377"/>
      <c r="Q65" s="377">
        <f>+'Exhibit F'!R60</f>
        <v>0.20000000000000284</v>
      </c>
      <c r="R65" s="377"/>
      <c r="S65" s="377">
        <f>+'Exhibit F'!T60</f>
        <v>21.599999999999994</v>
      </c>
      <c r="T65" s="377"/>
      <c r="U65" s="377">
        <f>+'Exhibit F'!V60</f>
        <v>2.1000000000000085</v>
      </c>
      <c r="V65" s="377"/>
      <c r="W65" s="377">
        <f>+'Exhibit F'!X60</f>
        <v>0.39999999999999147</v>
      </c>
      <c r="X65" s="377"/>
      <c r="Y65" s="377">
        <f>+'Exhibit F'!Z60</f>
        <v>25.500000000000007</v>
      </c>
      <c r="Z65" s="377"/>
      <c r="AA65" s="378"/>
      <c r="AB65" s="377">
        <f>ROUND(SUM(C65:Y65),1)</f>
        <v>98.3</v>
      </c>
      <c r="AC65" s="377"/>
      <c r="AD65" s="1826"/>
      <c r="AE65" s="377">
        <f>+'Exhibit F'!AF60</f>
        <v>99.2</v>
      </c>
      <c r="AF65" s="377"/>
      <c r="AG65" s="377"/>
      <c r="AH65" s="377">
        <f t="shared" si="21"/>
        <v>-0.9</v>
      </c>
      <c r="AI65" s="151"/>
      <c r="AJ65" s="488">
        <f>ROUND(SUM(AH65/ABS(AE65)),3)</f>
        <v>-8.9999999999999993E-3</v>
      </c>
    </row>
    <row r="66" spans="1:36" ht="15.5">
      <c r="A66" s="597" t="s">
        <v>1032</v>
      </c>
      <c r="B66" s="151"/>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8"/>
      <c r="AB66" s="377"/>
      <c r="AC66" s="377"/>
      <c r="AD66" s="1826"/>
      <c r="AE66" s="377"/>
      <c r="AF66" s="377"/>
      <c r="AG66" s="377"/>
      <c r="AH66" s="377" t="s">
        <v>14</v>
      </c>
      <c r="AI66" s="151" t="s">
        <v>14</v>
      </c>
      <c r="AJ66" s="469" t="s">
        <v>14</v>
      </c>
    </row>
    <row r="67" spans="1:36" ht="15.5">
      <c r="A67" s="597" t="s">
        <v>919</v>
      </c>
      <c r="B67" s="151"/>
      <c r="C67" s="377">
        <f>+'Exhibit F'!D62+'Exhibit G State'!D44</f>
        <v>128.19999999999999</v>
      </c>
      <c r="D67" s="377"/>
      <c r="E67" s="377">
        <f>+'Exhibit F'!F62+'Exhibit G State'!F44</f>
        <v>-1.1999999999999886</v>
      </c>
      <c r="F67" s="377"/>
      <c r="G67" s="377">
        <f>+'Exhibit F'!H62+'Exhibit G State'!H44</f>
        <v>38.599999999999994</v>
      </c>
      <c r="H67" s="377"/>
      <c r="I67" s="377">
        <f>+'Exhibit F'!J62+'Exhibit G State'!J44</f>
        <v>92.200000000000017</v>
      </c>
      <c r="J67" s="377"/>
      <c r="K67" s="377">
        <f>+'Exhibit F'!L62+'Exhibit G State'!L44</f>
        <v>46.999999999999943</v>
      </c>
      <c r="L67" s="377"/>
      <c r="M67" s="377">
        <f>+'Exhibit F'!N62+'Exhibit G State'!N44</f>
        <v>83.200000000000045</v>
      </c>
      <c r="N67" s="377"/>
      <c r="O67" s="377">
        <f>+'Exhibit F'!P62+'Exhibit G State'!P44</f>
        <v>51.599999999999994</v>
      </c>
      <c r="P67" s="377"/>
      <c r="Q67" s="377">
        <f>+'Exhibit F'!R62+'Exhibit G State'!R44</f>
        <v>-23.999999999999972</v>
      </c>
      <c r="R67" s="377"/>
      <c r="S67" s="377">
        <f>+'Exhibit F'!T62+'Exhibit G State'!T44</f>
        <v>110.49999999999994</v>
      </c>
      <c r="T67" s="377"/>
      <c r="U67" s="377">
        <f>+'Exhibit F'!V62+'Exhibit G State'!V44</f>
        <v>110.5</v>
      </c>
      <c r="V67" s="377"/>
      <c r="W67" s="377">
        <f>+'Exhibit F'!X62+'Exhibit G State'!X44</f>
        <v>10.899999999999977</v>
      </c>
      <c r="X67" s="377"/>
      <c r="Y67" s="377">
        <f>+'Exhibit F'!Z62+'Exhibit G State'!Z44</f>
        <v>172.40000000000015</v>
      </c>
      <c r="Z67" s="377"/>
      <c r="AA67" s="378"/>
      <c r="AB67" s="377">
        <f>ROUND(SUM(C67:Y67),1)</f>
        <v>819.9</v>
      </c>
      <c r="AC67" s="377"/>
      <c r="AD67" s="1826"/>
      <c r="AE67" s="377">
        <f>+'Exhibit F'!AF62+'Exhibit G State'!AG44</f>
        <v>674</v>
      </c>
      <c r="AF67" s="377"/>
      <c r="AG67" s="377"/>
      <c r="AH67" s="377">
        <f t="shared" si="21"/>
        <v>145.9</v>
      </c>
      <c r="AI67" s="151"/>
      <c r="AJ67" s="488">
        <f>ROUND(SUM(AH67/ABS(AE67)),3)</f>
        <v>0.216</v>
      </c>
    </row>
    <row r="68" spans="1:36" ht="15.5">
      <c r="A68" s="597" t="s">
        <v>920</v>
      </c>
      <c r="B68" s="151"/>
      <c r="C68" s="377">
        <f>+'Exhibit F'!D63+'Exhibit G State'!D45</f>
        <v>536.9</v>
      </c>
      <c r="D68" s="377"/>
      <c r="E68" s="377">
        <f>+'Exhibit F'!F63+'Exhibit G State'!F45</f>
        <v>533.80000000000018</v>
      </c>
      <c r="F68" s="377"/>
      <c r="G68" s="377">
        <f>+'Exhibit F'!H63+'Exhibit G State'!H45</f>
        <v>564.19999999999982</v>
      </c>
      <c r="H68" s="377"/>
      <c r="I68" s="377">
        <f>+'Exhibit F'!J63+'Exhibit G State'!J45</f>
        <v>577.79999999999995</v>
      </c>
      <c r="J68" s="377"/>
      <c r="K68" s="377">
        <f>+'Exhibit F'!L63+'Exhibit G State'!L45</f>
        <v>542.30000000000018</v>
      </c>
      <c r="L68" s="377"/>
      <c r="M68" s="377">
        <f>+'Exhibit F'!N63+'Exhibit G State'!N45</f>
        <v>576.39999999999941</v>
      </c>
      <c r="N68" s="377"/>
      <c r="O68" s="377">
        <f>+'Exhibit F'!P63+'Exhibit G State'!P45</f>
        <v>538.10000000000014</v>
      </c>
      <c r="P68" s="377"/>
      <c r="Q68" s="377">
        <f>+'Exhibit F'!R63+'Exhibit G State'!R45</f>
        <v>533.69999999999925</v>
      </c>
      <c r="R68" s="377"/>
      <c r="S68" s="377">
        <f>+'Exhibit F'!T63+'Exhibit G State'!T45</f>
        <v>602.60000000000059</v>
      </c>
      <c r="T68" s="377"/>
      <c r="U68" s="377">
        <f>+'Exhibit F'!V63+'Exhibit G State'!V45</f>
        <v>564.20000000000005</v>
      </c>
      <c r="V68" s="377"/>
      <c r="W68" s="377">
        <f>+'Exhibit F'!X63+'Exhibit G State'!X45</f>
        <v>590.4</v>
      </c>
      <c r="X68" s="377"/>
      <c r="Y68" s="377">
        <f>+'Exhibit F'!Z63+'Exhibit G State'!Z45</f>
        <v>607.0000000000008</v>
      </c>
      <c r="Z68" s="377"/>
      <c r="AA68" s="378"/>
      <c r="AB68" s="377">
        <f>ROUND(SUM(C68:Y68),1)</f>
        <v>6767.4</v>
      </c>
      <c r="AC68" s="377"/>
      <c r="AD68" s="1826"/>
      <c r="AE68" s="377">
        <f>+'Exhibit F'!AF63+'Exhibit G State'!AG45+'Exhibit H'!AD33</f>
        <v>6361.5</v>
      </c>
      <c r="AF68" s="377"/>
      <c r="AG68" s="377"/>
      <c r="AH68" s="377">
        <f t="shared" si="21"/>
        <v>405.9</v>
      </c>
      <c r="AI68" s="151"/>
      <c r="AJ68" s="488">
        <f>ROUND(SUM(AH68/ABS(AE68)),3)</f>
        <v>6.4000000000000001E-2</v>
      </c>
    </row>
    <row r="69" spans="1:36" ht="15.5">
      <c r="A69" s="597" t="s">
        <v>921</v>
      </c>
      <c r="B69" s="151"/>
      <c r="C69" s="377">
        <f>+'Exhibit F'!D64+'Exhibit G State'!D46</f>
        <v>4.5999999999999996</v>
      </c>
      <c r="D69" s="377"/>
      <c r="E69" s="377">
        <f>+'Exhibit F'!F64+'Exhibit G State'!F46</f>
        <v>0</v>
      </c>
      <c r="F69" s="377"/>
      <c r="G69" s="377">
        <f>+'Exhibit F'!H64+'Exhibit G State'!H46</f>
        <v>0.30000000000000071</v>
      </c>
      <c r="H69" s="377"/>
      <c r="I69" s="377">
        <f>+'Exhibit F'!J64+'Exhibit G State'!J46</f>
        <v>0</v>
      </c>
      <c r="J69" s="377"/>
      <c r="K69" s="377">
        <f>+'Exhibit F'!L64+'Exhibit G State'!L46</f>
        <v>0.19999999999999929</v>
      </c>
      <c r="L69" s="377"/>
      <c r="M69" s="377">
        <f>+'Exhibit F'!N64+'Exhibit G State'!N46</f>
        <v>59.499999999999986</v>
      </c>
      <c r="N69" s="377"/>
      <c r="O69" s="377">
        <f>+'Exhibit F'!P64+'Exhibit G State'!P46</f>
        <v>-0.19999999999998863</v>
      </c>
      <c r="P69" s="377"/>
      <c r="Q69" s="377">
        <f>+'Exhibit F'!R64+'Exhibit G State'!R46</f>
        <v>-0.20000000000000284</v>
      </c>
      <c r="R69" s="377"/>
      <c r="S69" s="377">
        <f>+'Exhibit F'!T64+'Exhibit G State'!T46</f>
        <v>-0.40000000000000568</v>
      </c>
      <c r="T69" s="377"/>
      <c r="U69" s="377">
        <f>+'Exhibit F'!V64+'Exhibit G State'!V46</f>
        <v>0.20000000000000284</v>
      </c>
      <c r="V69" s="377"/>
      <c r="W69" s="377">
        <f>+'Exhibit F'!X64+'Exhibit G State'!X46</f>
        <v>-9.9999999999994316E-2</v>
      </c>
      <c r="X69" s="377"/>
      <c r="Y69" s="377">
        <f>+'Exhibit F'!Z64+'Exhibit G State'!Z46</f>
        <v>64.100000000000009</v>
      </c>
      <c r="Z69" s="377"/>
      <c r="AA69" s="378"/>
      <c r="AB69" s="377">
        <f>ROUND(SUM(C69:Y69),1)</f>
        <v>128</v>
      </c>
      <c r="AC69" s="377"/>
      <c r="AD69" s="1826"/>
      <c r="AE69" s="377">
        <f>+'Exhibit F'!AF64+'Exhibit G State'!AG46</f>
        <v>95.1</v>
      </c>
      <c r="AF69" s="377"/>
      <c r="AG69" s="377"/>
      <c r="AH69" s="377">
        <f t="shared" si="21"/>
        <v>32.9</v>
      </c>
      <c r="AI69" s="151"/>
      <c r="AJ69" s="978">
        <f>ROUND(IF(AE69=0,0,AH69/ABS(AE69)),3)</f>
        <v>0.34599999999999997</v>
      </c>
    </row>
    <row r="70" spans="1:36" ht="15.5">
      <c r="A70" s="597" t="s">
        <v>922</v>
      </c>
      <c r="B70" s="151"/>
      <c r="C70" s="377">
        <f>+'Exhibit F'!D65+'Exhibit G State'!D47</f>
        <v>0</v>
      </c>
      <c r="D70" s="377"/>
      <c r="E70" s="377">
        <f>+'Exhibit F'!F65+'Exhibit G State'!F47</f>
        <v>0</v>
      </c>
      <c r="F70" s="377"/>
      <c r="G70" s="377">
        <f>+'Exhibit F'!H65+'Exhibit G State'!H47</f>
        <v>0.2</v>
      </c>
      <c r="H70" s="377"/>
      <c r="I70" s="377">
        <f>+'Exhibit F'!J65+'Exhibit G State'!J47</f>
        <v>0</v>
      </c>
      <c r="J70" s="377"/>
      <c r="K70" s="377">
        <f>+'Exhibit F'!L65+'Exhibit G State'!L47</f>
        <v>0</v>
      </c>
      <c r="L70" s="377"/>
      <c r="M70" s="377">
        <f>+'Exhibit F'!N65+'Exhibit G State'!N47</f>
        <v>0.19999999999999998</v>
      </c>
      <c r="N70" s="377"/>
      <c r="O70" s="377">
        <f>+'Exhibit F'!P65+'Exhibit G State'!P47</f>
        <v>0.1</v>
      </c>
      <c r="P70" s="377"/>
      <c r="Q70" s="377">
        <f>+'Exhibit F'!R65+'Exhibit G State'!R47</f>
        <v>0</v>
      </c>
      <c r="R70" s="377"/>
      <c r="S70" s="377">
        <f>+'Exhibit F'!T65+'Exhibit G State'!T47</f>
        <v>0.10000000000000006</v>
      </c>
      <c r="T70" s="377"/>
      <c r="U70" s="377">
        <f>+'Exhibit F'!V65+'Exhibit G State'!V47</f>
        <v>0</v>
      </c>
      <c r="V70" s="377"/>
      <c r="W70" s="377">
        <f>+'Exhibit F'!X65+'Exhibit G State'!X47</f>
        <v>0.19999999999999996</v>
      </c>
      <c r="X70" s="377"/>
      <c r="Y70" s="377">
        <f>+'Exhibit F'!Z65+'Exhibit G State'!Z47</f>
        <v>0</v>
      </c>
      <c r="Z70" s="377"/>
      <c r="AA70" s="378"/>
      <c r="AB70" s="377">
        <f>ROUND(SUM(C70:Y70),1)</f>
        <v>0.8</v>
      </c>
      <c r="AC70" s="377"/>
      <c r="AD70" s="1826"/>
      <c r="AE70" s="377">
        <f>+'Exhibit F'!AF65+'Exhibit G State'!AG47</f>
        <v>-9.9999999999999978E-2</v>
      </c>
      <c r="AF70" s="377"/>
      <c r="AG70" s="377"/>
      <c r="AH70" s="377">
        <f t="shared" si="21"/>
        <v>0.9</v>
      </c>
      <c r="AI70" s="151"/>
      <c r="AJ70" s="469">
        <f>ROUND(IF(AE70=0,0,AH70/ABS(AE70)),3)</f>
        <v>9</v>
      </c>
    </row>
    <row r="71" spans="1:36" ht="15.5">
      <c r="A71" s="597" t="s">
        <v>1036</v>
      </c>
      <c r="B71" s="151"/>
      <c r="C71" s="377"/>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8"/>
      <c r="AB71" s="377"/>
      <c r="AC71" s="377"/>
      <c r="AD71" s="1826"/>
      <c r="AE71" s="377"/>
      <c r="AF71" s="377"/>
      <c r="AG71" s="377"/>
      <c r="AH71" s="377"/>
      <c r="AI71" s="151"/>
      <c r="AJ71" s="469"/>
    </row>
    <row r="72" spans="1:36" ht="15.5">
      <c r="A72" s="597" t="s">
        <v>923</v>
      </c>
      <c r="B72" s="151"/>
      <c r="C72" s="377">
        <f>+'Exhibit F'!D67+'Exhibit H'!B35</f>
        <v>5.4</v>
      </c>
      <c r="D72" s="377"/>
      <c r="E72" s="377">
        <f>+'Exhibit F'!F67+'Exhibit H'!D35</f>
        <v>5.6999999999999993</v>
      </c>
      <c r="F72" s="377"/>
      <c r="G72" s="377">
        <f>+'Exhibit F'!H67+'Exhibit H'!F35</f>
        <v>6.0000000000000018</v>
      </c>
      <c r="H72" s="377"/>
      <c r="I72" s="377">
        <f>+'Exhibit F'!J67+'Exhibit H'!H35</f>
        <v>5.1999999999999975</v>
      </c>
      <c r="J72" s="377"/>
      <c r="K72" s="377">
        <f>+'Exhibit F'!L67+'Exhibit H'!J35</f>
        <v>5.6000000000000032</v>
      </c>
      <c r="L72" s="377"/>
      <c r="M72" s="377">
        <f>+'Exhibit F'!N67+'Exhibit H'!L35</f>
        <v>6.3000000000000007</v>
      </c>
      <c r="N72" s="377"/>
      <c r="O72" s="377">
        <f>+'Exhibit F'!P67+'Exhibit H'!N35</f>
        <v>6.1999999999999975</v>
      </c>
      <c r="P72" s="377"/>
      <c r="Q72" s="377">
        <f>+'Exhibit F'!R67+'Exhibit H'!P35</f>
        <v>6.6000000000000103</v>
      </c>
      <c r="R72" s="377"/>
      <c r="S72" s="377">
        <f>+'Exhibit F'!T67+'Exhibit H'!R35</f>
        <v>4.7999999999999972</v>
      </c>
      <c r="T72" s="377"/>
      <c r="U72" s="377">
        <f>+'Exhibit F'!V67+'Exhibit H'!T35</f>
        <v>6.5999999999999925</v>
      </c>
      <c r="V72" s="377"/>
      <c r="W72" s="377">
        <f>+'Exhibit F'!X67+'Exhibit H'!V35</f>
        <v>5.7000000000000046</v>
      </c>
      <c r="X72" s="377"/>
      <c r="Y72" s="377">
        <f>+'Exhibit F'!Z67+'Exhibit H'!X35</f>
        <v>5.4999999999999929</v>
      </c>
      <c r="Z72" s="377"/>
      <c r="AA72" s="378"/>
      <c r="AB72" s="377">
        <f t="shared" ref="AB72:AB79" si="22">ROUND(SUM(C72:Y72),1)</f>
        <v>69.599999999999994</v>
      </c>
      <c r="AC72" s="377"/>
      <c r="AD72" s="1826"/>
      <c r="AE72" s="377">
        <f>+'Exhibit F'!AF67+'Exhibit H'!AD35</f>
        <v>70.3</v>
      </c>
      <c r="AF72" s="377"/>
      <c r="AG72" s="377"/>
      <c r="AH72" s="377">
        <f t="shared" si="21"/>
        <v>-0.7</v>
      </c>
      <c r="AI72" s="151"/>
      <c r="AJ72" s="488">
        <f>ROUND(SUM(AH72/ABS(AE72)),3)</f>
        <v>-0.01</v>
      </c>
    </row>
    <row r="73" spans="1:36" ht="15.5">
      <c r="A73" s="597" t="s">
        <v>1126</v>
      </c>
      <c r="B73" s="151"/>
      <c r="C73" s="377">
        <f>'Exhibit G State'!D49</f>
        <v>0</v>
      </c>
      <c r="D73" s="377" t="s">
        <v>14</v>
      </c>
      <c r="E73" s="377">
        <f>'Exhibit G State'!F49</f>
        <v>0.2</v>
      </c>
      <c r="F73" s="377"/>
      <c r="G73" s="377">
        <f>'Exhibit G State'!H49</f>
        <v>1.3</v>
      </c>
      <c r="H73" s="377"/>
      <c r="I73" s="377">
        <f>'Exhibit G State'!J49</f>
        <v>0.39999999999999986</v>
      </c>
      <c r="J73" s="377"/>
      <c r="K73" s="377">
        <f>'Exhibit G State'!L49</f>
        <v>0.20000000000000012</v>
      </c>
      <c r="L73" s="377"/>
      <c r="M73" s="377">
        <f>'Exhibit G State'!N49</f>
        <v>9.9999999999999978E-2</v>
      </c>
      <c r="N73" s="377"/>
      <c r="O73" s="377">
        <f>'Exhibit G State'!P49</f>
        <v>0</v>
      </c>
      <c r="P73" s="377"/>
      <c r="Q73" s="377">
        <f>'Exhibit G State'!R49</f>
        <v>9.9999999999999645E-2</v>
      </c>
      <c r="R73" s="377"/>
      <c r="S73" s="377">
        <f>'Exhibit G State'!T49</f>
        <v>0.10000000000000009</v>
      </c>
      <c r="T73" s="377"/>
      <c r="U73" s="377">
        <f>'Exhibit G State'!V49</f>
        <v>0</v>
      </c>
      <c r="V73" s="377"/>
      <c r="W73" s="377">
        <f>'Exhibit G State'!X49</f>
        <v>0</v>
      </c>
      <c r="X73" s="377"/>
      <c r="Y73" s="377">
        <f>'Exhibit G State'!Z49</f>
        <v>0</v>
      </c>
      <c r="Z73" s="377"/>
      <c r="AA73" s="687"/>
      <c r="AB73" s="377">
        <f t="shared" si="22"/>
        <v>2.4</v>
      </c>
      <c r="AC73" s="377"/>
      <c r="AD73" s="1826"/>
      <c r="AE73" s="377">
        <f>'Exhibit G State'!AG49</f>
        <v>2.5</v>
      </c>
      <c r="AF73" s="377"/>
      <c r="AG73" s="377"/>
      <c r="AH73" s="377">
        <f t="shared" si="21"/>
        <v>-0.1</v>
      </c>
      <c r="AI73" s="151"/>
      <c r="AJ73" s="469">
        <f>ROUND(IF(AE73=0,1,AH73/ABS(AE73)),3)</f>
        <v>-0.04</v>
      </c>
    </row>
    <row r="74" spans="1:36" ht="15.5">
      <c r="A74" s="597" t="s">
        <v>924</v>
      </c>
      <c r="B74" s="151"/>
      <c r="C74" s="377">
        <f>+'Exhibit F'!D69+'Exhibit G State'!D50+'Exhibit H'!B36</f>
        <v>47.099999999999994</v>
      </c>
      <c r="D74" s="377"/>
      <c r="E74" s="377">
        <f>+'Exhibit F'!F69+'Exhibit G State'!F50+'Exhibit H'!D36</f>
        <v>47.800000000000004</v>
      </c>
      <c r="F74" s="377"/>
      <c r="G74" s="377">
        <f>+'Exhibit F'!H69+'Exhibit G State'!H50+'Exhibit H'!F36</f>
        <v>128.69999999999999</v>
      </c>
      <c r="H74" s="377"/>
      <c r="I74" s="377">
        <f>+'Exhibit F'!J69+'Exhibit G State'!J50+'Exhibit H'!H36</f>
        <v>54.600000000000009</v>
      </c>
      <c r="J74" s="377"/>
      <c r="K74" s="377">
        <f>+'Exhibit F'!L69+'Exhibit G State'!L50+'Exhibit H'!J36</f>
        <v>60.899999999999991</v>
      </c>
      <c r="L74" s="377"/>
      <c r="M74" s="377">
        <f>+'Exhibit F'!N69+'Exhibit G State'!N50+'Exhibit H'!L36</f>
        <v>111.50000000000003</v>
      </c>
      <c r="N74" s="377"/>
      <c r="O74" s="377">
        <f>+'Exhibit F'!P69+'Exhibit G State'!P50+'Exhibit H'!N36</f>
        <v>58.300000000000026</v>
      </c>
      <c r="P74" s="377"/>
      <c r="Q74" s="377">
        <f>+'Exhibit F'!R69+'Exhibit G State'!R50+'Exhibit H'!P36</f>
        <v>70.199999999999918</v>
      </c>
      <c r="R74" s="377"/>
      <c r="S74" s="377">
        <f>+'Exhibit F'!T69+'Exhibit G State'!T50+'Exhibit H'!R36</f>
        <v>124.40000000000005</v>
      </c>
      <c r="T74" s="377"/>
      <c r="U74" s="377">
        <f>+'Exhibit F'!V69+'Exhibit G State'!V50+'Exhibit H'!T36</f>
        <v>89.000000000000071</v>
      </c>
      <c r="V74" s="377"/>
      <c r="W74" s="377">
        <f>+'Exhibit F'!X69+'Exhibit G State'!X50+'Exhibit H'!V36</f>
        <v>47.000000000000057</v>
      </c>
      <c r="X74" s="377"/>
      <c r="Y74" s="377">
        <f>+'Exhibit F'!Z69+'Exhibit G State'!Z50+'Exhibit H'!X36</f>
        <v>142.70000000000005</v>
      </c>
      <c r="Z74" s="377"/>
      <c r="AA74" s="378"/>
      <c r="AB74" s="377">
        <f t="shared" si="22"/>
        <v>982.2</v>
      </c>
      <c r="AC74" s="377"/>
      <c r="AD74" s="1826"/>
      <c r="AE74" s="377">
        <f>+'Exhibit F'!AF69+'Exhibit G State'!AG50+'Exhibit H'!AD36</f>
        <v>975.90000000000009</v>
      </c>
      <c r="AF74" s="377"/>
      <c r="AG74" s="377"/>
      <c r="AH74" s="377">
        <f t="shared" si="21"/>
        <v>6.3</v>
      </c>
      <c r="AI74" s="151"/>
      <c r="AJ74" s="488">
        <f>ROUND(SUM(AH74/AE74),3)</f>
        <v>6.0000000000000001E-3</v>
      </c>
    </row>
    <row r="75" spans="1:36" ht="15.5">
      <c r="A75" s="597" t="s">
        <v>925</v>
      </c>
      <c r="B75" s="151"/>
      <c r="C75" s="377">
        <f>+'Exhibit F'!D70+'Exhibit G State'!D51+'Exhibit H'!B37</f>
        <v>8.1</v>
      </c>
      <c r="D75" s="377"/>
      <c r="E75" s="377">
        <f>+'Exhibit F'!F70+'Exhibit G State'!F51+'Exhibit H'!D37</f>
        <v>32.799999999999997</v>
      </c>
      <c r="F75" s="377"/>
      <c r="G75" s="377">
        <f>+'Exhibit F'!H70+'Exhibit G State'!H51+'Exhibit H'!F37</f>
        <v>50.1</v>
      </c>
      <c r="H75" s="377"/>
      <c r="I75" s="377">
        <f>+'Exhibit F'!J70+'Exhibit G State'!J51+'Exhibit H'!H37</f>
        <v>-30.999999999999996</v>
      </c>
      <c r="J75" s="377"/>
      <c r="K75" s="377">
        <f>+'Exhibit F'!L70+'Exhibit G State'!L51+'Exhibit H'!J37</f>
        <v>46.700000000000017</v>
      </c>
      <c r="L75" s="377"/>
      <c r="M75" s="377">
        <f>+'Exhibit F'!N70+'Exhibit G State'!N51+'Exhibit H'!L37</f>
        <v>13.299999999999986</v>
      </c>
      <c r="N75" s="377"/>
      <c r="O75" s="377">
        <f>+'Exhibit F'!P70+'Exhibit G State'!P51+'Exhibit H'!N37</f>
        <v>19.7</v>
      </c>
      <c r="P75" s="377"/>
      <c r="Q75" s="377">
        <f>+'Exhibit F'!R70+'Exhibit G State'!R51+'Exhibit H'!P37</f>
        <v>25.70000000000001</v>
      </c>
      <c r="R75" s="377"/>
      <c r="S75" s="377">
        <f>+'Exhibit F'!T70+'Exhibit G State'!T51+'Exhibit H'!R37</f>
        <v>14.599999999999991</v>
      </c>
      <c r="T75" s="377"/>
      <c r="U75" s="377">
        <f>+'Exhibit F'!V70+'Exhibit G State'!V51+'Exhibit H'!T37</f>
        <v>25.399999999999991</v>
      </c>
      <c r="V75" s="377"/>
      <c r="W75" s="377">
        <f>+'Exhibit F'!X70+'Exhibit G State'!X51+'Exhibit H'!V37</f>
        <v>12.799999999999994</v>
      </c>
      <c r="X75" s="377"/>
      <c r="Y75" s="377">
        <f>+'Exhibit F'!Z70+'Exhibit G State'!Z51+'Exhibit H'!X37</f>
        <v>24.799999999999997</v>
      </c>
      <c r="Z75" s="377"/>
      <c r="AA75" s="378"/>
      <c r="AB75" s="377">
        <f t="shared" si="22"/>
        <v>243</v>
      </c>
      <c r="AC75" s="377"/>
      <c r="AD75" s="1826"/>
      <c r="AE75" s="377">
        <f>+'Exhibit F'!AF70+'Exhibit G State'!AG51+'Exhibit H'!AD37</f>
        <v>273.40000000000003</v>
      </c>
      <c r="AF75" s="377"/>
      <c r="AG75" s="377"/>
      <c r="AH75" s="377">
        <f t="shared" si="21"/>
        <v>-30.4</v>
      </c>
      <c r="AI75" s="151"/>
      <c r="AJ75" s="488">
        <f>ROUND(SUM(AH75/ABS(AE75)),3)</f>
        <v>-0.111</v>
      </c>
    </row>
    <row r="76" spans="1:36" ht="15.5">
      <c r="A76" s="597" t="s">
        <v>926</v>
      </c>
      <c r="B76" s="151"/>
      <c r="C76" s="377">
        <f>+'Exhibit F'!D71+'Exhibit G State'!D52+'Exhibit H'!B38</f>
        <v>0.7</v>
      </c>
      <c r="D76" s="377"/>
      <c r="E76" s="377">
        <f>+'Exhibit F'!F71+'Exhibit G State'!F52+'Exhibit H'!D38</f>
        <v>0.40000000000000008</v>
      </c>
      <c r="F76" s="377"/>
      <c r="G76" s="377">
        <f>+'Exhibit F'!H71+'Exhibit G State'!H52+'Exhibit H'!F38</f>
        <v>0.59999999999999976</v>
      </c>
      <c r="H76" s="377"/>
      <c r="I76" s="377">
        <f>+'Exhibit F'!J71+'Exhibit G State'!J52+'Exhibit H'!H38</f>
        <v>0.60000000000000009</v>
      </c>
      <c r="J76" s="377"/>
      <c r="K76" s="377">
        <f>+'Exhibit F'!L71+'Exhibit G State'!L52+'Exhibit H'!J38</f>
        <v>1.0999999999999996</v>
      </c>
      <c r="L76" s="377"/>
      <c r="M76" s="377">
        <f>+'Exhibit F'!N71+'Exhibit G State'!N52+'Exhibit H'!L38</f>
        <v>0.20000000000000029</v>
      </c>
      <c r="N76" s="377"/>
      <c r="O76" s="377">
        <f>+'Exhibit F'!P71+'Exhibit G State'!P52+'Exhibit H'!N38</f>
        <v>0.39999999999999997</v>
      </c>
      <c r="P76" s="377"/>
      <c r="Q76" s="377">
        <f>+'Exhibit F'!R71+'Exhibit G State'!R52+'Exhibit H'!P38</f>
        <v>9.9999999999999867E-2</v>
      </c>
      <c r="R76" s="377"/>
      <c r="S76" s="377">
        <f>+'Exhibit F'!T71+'Exhibit G State'!T52+'Exhibit H'!R38</f>
        <v>0.69999999999999973</v>
      </c>
      <c r="T76" s="377"/>
      <c r="U76" s="377">
        <f>+'Exhibit F'!V71+'Exhibit G State'!V52+'Exhibit H'!T38</f>
        <v>0.20000000000000012</v>
      </c>
      <c r="V76" s="377"/>
      <c r="W76" s="377">
        <f>+'Exhibit F'!X71+'Exhibit G State'!X52+'Exhibit H'!V38</f>
        <v>0.39999999999999947</v>
      </c>
      <c r="X76" s="377"/>
      <c r="Y76" s="377">
        <f>+'Exhibit F'!Z71+'Exhibit G State'!Z52+'Exhibit H'!X38</f>
        <v>1.1999999999999995</v>
      </c>
      <c r="Z76" s="377"/>
      <c r="AA76" s="378"/>
      <c r="AB76" s="377">
        <f t="shared" si="22"/>
        <v>6.6</v>
      </c>
      <c r="AC76" s="377"/>
      <c r="AD76" s="1826"/>
      <c r="AE76" s="377">
        <f>+'Exhibit F'!AF71+'Exhibit G State'!AG52+'Exhibit H'!AD38</f>
        <v>6.8</v>
      </c>
      <c r="AF76" s="377"/>
      <c r="AG76" s="377"/>
      <c r="AH76" s="377">
        <f t="shared" si="21"/>
        <v>-0.2</v>
      </c>
      <c r="AI76" s="151"/>
      <c r="AJ76" s="488">
        <f>ROUND(SUM(AH76/ABS(AE76)),3)</f>
        <v>-2.9000000000000001E-2</v>
      </c>
    </row>
    <row r="77" spans="1:36" ht="15.5">
      <c r="A77" s="597" t="s">
        <v>927</v>
      </c>
      <c r="B77" s="151"/>
      <c r="C77" s="377">
        <f>+'Exhibit F'!D72+'Exhibit G State'!D53+'Exhibit H'!B39</f>
        <v>34.4</v>
      </c>
      <c r="D77" s="377"/>
      <c r="E77" s="377">
        <f>+'Exhibit F'!F72+'Exhibit G State'!F53+'Exhibit H'!D39</f>
        <v>42.4</v>
      </c>
      <c r="F77" s="377"/>
      <c r="G77" s="377">
        <f>+'Exhibit F'!H72+'Exhibit G State'!H53+'Exhibit H'!F39</f>
        <v>59.3</v>
      </c>
      <c r="H77" s="377"/>
      <c r="I77" s="377">
        <f>+'Exhibit F'!J72+'Exhibit G State'!J53+'Exhibit H'!H39</f>
        <v>28.800000000000011</v>
      </c>
      <c r="J77" s="377"/>
      <c r="K77" s="377">
        <f>+'Exhibit F'!L72+'Exhibit G State'!L53+'Exhibit H'!J39</f>
        <v>50.5</v>
      </c>
      <c r="L77" s="377"/>
      <c r="M77" s="377">
        <f>+'Exhibit F'!N72+'Exhibit G State'!N53+'Exhibit H'!L39</f>
        <v>28</v>
      </c>
      <c r="N77" s="377"/>
      <c r="O77" s="377">
        <f>+'Exhibit F'!P72+'Exhibit G State'!P53+'Exhibit H'!N39</f>
        <v>61.800000000000026</v>
      </c>
      <c r="P77" s="377"/>
      <c r="Q77" s="377">
        <f>+'Exhibit F'!R72+'Exhibit G State'!R53+'Exhibit H'!P39</f>
        <v>54.799999999999983</v>
      </c>
      <c r="R77" s="377"/>
      <c r="S77" s="377">
        <f>+'Exhibit F'!T72+'Exhibit G State'!T53+'Exhibit H'!R39</f>
        <v>35.499999999999986</v>
      </c>
      <c r="T77" s="377"/>
      <c r="U77" s="377">
        <f>+'Exhibit F'!V72+'Exhibit G State'!V53+'Exhibit H'!T39</f>
        <v>31.500000000000028</v>
      </c>
      <c r="V77" s="377"/>
      <c r="W77" s="377">
        <f>+'Exhibit F'!X72+'Exhibit G State'!X53+'Exhibit H'!V39</f>
        <v>34.699999999999918</v>
      </c>
      <c r="X77" s="377"/>
      <c r="Y77" s="377">
        <f>+'Exhibit F'!Z72+'Exhibit G State'!Z53+'Exhibit H'!X39</f>
        <v>84.900000000000105</v>
      </c>
      <c r="Z77" s="377"/>
      <c r="AA77" s="378"/>
      <c r="AB77" s="377">
        <f t="shared" si="22"/>
        <v>546.6</v>
      </c>
      <c r="AC77" s="377"/>
      <c r="AD77" s="1826"/>
      <c r="AE77" s="377">
        <f>+'Exhibit F'!AF72+'Exhibit G State'!AG53+'Exhibit H'!AD39</f>
        <v>628.29999999999995</v>
      </c>
      <c r="AF77" s="377"/>
      <c r="AG77" s="377"/>
      <c r="AH77" s="377">
        <f t="shared" si="21"/>
        <v>-81.7</v>
      </c>
      <c r="AI77" s="151"/>
      <c r="AJ77" s="469">
        <f>ROUND(IF(AE77=0,0,AH77/ABS(AE77)),3)</f>
        <v>-0.13</v>
      </c>
    </row>
    <row r="78" spans="1:36" ht="15.5">
      <c r="A78" s="597" t="s">
        <v>928</v>
      </c>
      <c r="B78" s="151"/>
      <c r="C78" s="377">
        <f>+'Exhibit F'!D73+'Exhibit G State'!D54+'Exhibit H'!B40</f>
        <v>39</v>
      </c>
      <c r="D78" s="377"/>
      <c r="E78" s="377">
        <f>+'Exhibit F'!F73+'Exhibit G State'!F54+'Exhibit H'!D40</f>
        <v>80.900000000000006</v>
      </c>
      <c r="F78" s="377"/>
      <c r="G78" s="377">
        <f>+'Exhibit F'!H73+'Exhibit G State'!H54+'Exhibit H'!F40</f>
        <v>79.199999999999989</v>
      </c>
      <c r="H78" s="377"/>
      <c r="I78" s="377">
        <f>+'Exhibit F'!J73+'Exhibit G State'!J54+'Exhibit H'!H40</f>
        <v>111.89999999999999</v>
      </c>
      <c r="J78" s="377"/>
      <c r="K78" s="377">
        <f>+'Exhibit F'!L73+'Exhibit G State'!L54+'Exhibit H'!J40</f>
        <v>80.69999999999996</v>
      </c>
      <c r="L78" s="377"/>
      <c r="M78" s="377">
        <f>+'Exhibit F'!N73+'Exhibit G State'!N54+'Exhibit H'!L40</f>
        <v>146.40000000000003</v>
      </c>
      <c r="N78" s="377"/>
      <c r="O78" s="377">
        <f>+'Exhibit F'!P73+'Exhibit G State'!P54+'Exhibit H'!N40</f>
        <v>76.199999999999946</v>
      </c>
      <c r="P78" s="377"/>
      <c r="Q78" s="377">
        <f>+'Exhibit F'!R73+'Exhibit G State'!R54+'Exhibit H'!P40</f>
        <v>97.500000000000057</v>
      </c>
      <c r="R78" s="377"/>
      <c r="S78" s="377">
        <f>+'Exhibit F'!T73+'Exhibit G State'!T54+'Exhibit H'!R40</f>
        <v>63.100000000000023</v>
      </c>
      <c r="T78" s="377"/>
      <c r="U78" s="377">
        <f>+'Exhibit F'!V73+'Exhibit G State'!V54+'Exhibit H'!T40</f>
        <v>115.09999999999988</v>
      </c>
      <c r="V78" s="377"/>
      <c r="W78" s="377">
        <f>+'Exhibit F'!X73+'Exhibit G State'!X54+'Exhibit H'!V40</f>
        <v>114.5000000000001</v>
      </c>
      <c r="X78" s="377"/>
      <c r="Y78" s="377">
        <f>+'Exhibit F'!Z73+'Exhibit G State'!Z54+'Exhibit H'!X40</f>
        <v>84.800000000000068</v>
      </c>
      <c r="Z78" s="377"/>
      <c r="AA78" s="378"/>
      <c r="AB78" s="377">
        <f t="shared" si="22"/>
        <v>1089.3</v>
      </c>
      <c r="AC78" s="377"/>
      <c r="AD78" s="1826"/>
      <c r="AE78" s="377">
        <f>+'Exhibit F'!AF73+'Exhibit G State'!AG54+'Exhibit H'!AD40</f>
        <v>1070.6000000000001</v>
      </c>
      <c r="AF78" s="377"/>
      <c r="AG78" s="377"/>
      <c r="AH78" s="377">
        <f t="shared" si="21"/>
        <v>18.7</v>
      </c>
      <c r="AI78" s="151"/>
      <c r="AJ78" s="488">
        <f>ROUND(SUM(AH78/ABS(AE78)),3)</f>
        <v>1.7000000000000001E-2</v>
      </c>
    </row>
    <row r="79" spans="1:36" ht="15.5">
      <c r="A79" s="597" t="s">
        <v>917</v>
      </c>
      <c r="B79" s="151"/>
      <c r="C79" s="377">
        <f>+'Exhibit F'!D74+'Exhibit G State'!D55</f>
        <v>28.5</v>
      </c>
      <c r="D79" s="377"/>
      <c r="E79" s="377">
        <f>+'Exhibit F'!F74+'Exhibit G State'!F55</f>
        <v>16.299999999999997</v>
      </c>
      <c r="F79" s="377"/>
      <c r="G79" s="377">
        <f>+'Exhibit F'!H74+'Exhibit G State'!H55</f>
        <v>41.5</v>
      </c>
      <c r="H79" s="377"/>
      <c r="I79" s="377">
        <f>+'Exhibit F'!J74+'Exhibit G State'!J55</f>
        <v>31.499999999999993</v>
      </c>
      <c r="J79" s="377"/>
      <c r="K79" s="377">
        <f>+'Exhibit F'!L74+'Exhibit G State'!L55</f>
        <v>66.900000000000034</v>
      </c>
      <c r="L79" s="377"/>
      <c r="M79" s="377">
        <f>+'Exhibit F'!N74+'Exhibit G State'!N55</f>
        <v>32.799999999999983</v>
      </c>
      <c r="N79" s="377"/>
      <c r="O79" s="377">
        <f>+'Exhibit F'!P74+'Exhibit G State'!P55</f>
        <v>32.800000000000018</v>
      </c>
      <c r="P79" s="377"/>
      <c r="Q79" s="377">
        <f>+'Exhibit F'!R74+'Exhibit G State'!R55</f>
        <v>36.1</v>
      </c>
      <c r="R79" s="377"/>
      <c r="S79" s="377">
        <f>+'Exhibit F'!T74+'Exhibit G State'!T55</f>
        <v>71.700000000000017</v>
      </c>
      <c r="T79" s="377"/>
      <c r="U79" s="377">
        <f>+'Exhibit F'!V74+'Exhibit G State'!V55</f>
        <v>66.899999999999864</v>
      </c>
      <c r="V79" s="377"/>
      <c r="W79" s="377">
        <f>+'Exhibit F'!X74+'Exhibit G State'!X55</f>
        <v>27.400000000000055</v>
      </c>
      <c r="X79" s="377"/>
      <c r="Y79" s="377">
        <f>+'Exhibit F'!Z74+'Exhibit G State'!Z55</f>
        <v>38.999999999999964</v>
      </c>
      <c r="Z79" s="377"/>
      <c r="AA79" s="378"/>
      <c r="AB79" s="377">
        <f t="shared" si="22"/>
        <v>491.4</v>
      </c>
      <c r="AC79" s="377"/>
      <c r="AD79" s="1826"/>
      <c r="AE79" s="377">
        <f>+'Exhibit F'!AF74+'Exhibit G State'!AG55</f>
        <v>403.2</v>
      </c>
      <c r="AF79" s="377"/>
      <c r="AG79" s="377"/>
      <c r="AH79" s="377">
        <f t="shared" si="21"/>
        <v>88.2</v>
      </c>
      <c r="AI79" s="151"/>
      <c r="AJ79" s="488">
        <f>ROUND(SUM(AH79/ABS(AE79)),3)</f>
        <v>0.219</v>
      </c>
    </row>
    <row r="80" spans="1:36" ht="15.5">
      <c r="A80" s="597" t="s">
        <v>1033</v>
      </c>
      <c r="B80" s="151"/>
      <c r="C80" s="377"/>
      <c r="D80" s="377"/>
      <c r="E80" s="377"/>
      <c r="F80" s="377"/>
      <c r="G80" s="377"/>
      <c r="H80" s="377"/>
      <c r="I80" s="377"/>
      <c r="J80" s="377"/>
      <c r="K80" s="377"/>
      <c r="L80" s="377"/>
      <c r="M80" s="377"/>
      <c r="N80" s="377"/>
      <c r="O80" s="377"/>
      <c r="P80" s="377"/>
      <c r="Q80" s="377"/>
      <c r="R80" s="377"/>
      <c r="S80" s="377"/>
      <c r="T80" s="377"/>
      <c r="U80" s="377"/>
      <c r="V80" s="377"/>
      <c r="W80" s="377"/>
      <c r="X80" s="377"/>
      <c r="Y80" s="377"/>
      <c r="Z80" s="377"/>
      <c r="AA80" s="378"/>
      <c r="AB80" s="377"/>
      <c r="AC80" s="377"/>
      <c r="AD80" s="1826"/>
      <c r="AE80" s="377"/>
      <c r="AF80" s="377"/>
      <c r="AG80" s="377"/>
      <c r="AH80" s="377"/>
      <c r="AI80" s="151"/>
      <c r="AJ80" s="488" t="s">
        <v>14</v>
      </c>
    </row>
    <row r="81" spans="1:36" ht="15.5">
      <c r="A81" s="597" t="s">
        <v>929</v>
      </c>
      <c r="B81" s="151"/>
      <c r="C81" s="377">
        <f>+'Exhibit G State'!D57</f>
        <v>39.6</v>
      </c>
      <c r="D81" s="377"/>
      <c r="E81" s="377">
        <f>+'Exhibit G State'!F57+'Exhibit F'!F76</f>
        <v>11.5</v>
      </c>
      <c r="F81" s="377"/>
      <c r="G81" s="377">
        <f>+'Exhibit G State'!H57+'Exhibit F'!H76</f>
        <v>41.1</v>
      </c>
      <c r="H81" s="377"/>
      <c r="I81" s="377">
        <f>+'Exhibit G State'!J57+'Exhibit F'!J76</f>
        <v>35.70000000000001</v>
      </c>
      <c r="J81" s="377"/>
      <c r="K81" s="377">
        <f>+'Exhibit G State'!L57+'Exhibit F'!L76</f>
        <v>18.199999999999982</v>
      </c>
      <c r="L81" s="377"/>
      <c r="M81" s="377">
        <f>+'Exhibit G State'!N57+'Exhibit F'!N76</f>
        <v>42.800000000000026</v>
      </c>
      <c r="N81" s="377"/>
      <c r="O81" s="377">
        <f>+'Exhibit G State'!P57+'Exhibit F'!P76</f>
        <v>36.299999999999969</v>
      </c>
      <c r="P81" s="377"/>
      <c r="Q81" s="377">
        <f>+'Exhibit G State'!R57+'Exhibit F'!R76</f>
        <v>19.800000000000011</v>
      </c>
      <c r="R81" s="377"/>
      <c r="S81" s="377">
        <f>+'Exhibit G State'!T57+'Exhibit F'!T76</f>
        <v>41.5</v>
      </c>
      <c r="T81" s="377"/>
      <c r="U81" s="377">
        <f>+'Exhibit G State'!V57+'Exhibit F'!V76</f>
        <v>35.600000000000009</v>
      </c>
      <c r="V81" s="377"/>
      <c r="W81" s="377">
        <f>+'Exhibit G State'!X57+'Exhibit F'!X76</f>
        <v>13.399999999999977</v>
      </c>
      <c r="X81" s="377"/>
      <c r="Y81" s="377">
        <f>+'Exhibit G State'!Z57</f>
        <v>44.199999999999946</v>
      </c>
      <c r="Z81" s="377"/>
      <c r="AA81" s="378"/>
      <c r="AB81" s="377">
        <f t="shared" ref="AB81:AB86" si="23">ROUND(SUM(C81:Y81),1)</f>
        <v>379.7</v>
      </c>
      <c r="AC81" s="377"/>
      <c r="AD81" s="1826"/>
      <c r="AE81" s="377">
        <f>+'Exhibit G State'!AG57</f>
        <v>828.7</v>
      </c>
      <c r="AF81" s="377"/>
      <c r="AG81" s="377"/>
      <c r="AH81" s="377">
        <f t="shared" si="21"/>
        <v>-449</v>
      </c>
      <c r="AI81" s="151"/>
      <c r="AJ81" s="469">
        <f>ROUND(IF(AE81=0,1,AH81/ABS(AE81)),3)</f>
        <v>-0.54200000000000004</v>
      </c>
    </row>
    <row r="82" spans="1:36" ht="15.5">
      <c r="A82" s="597" t="s">
        <v>1480</v>
      </c>
      <c r="B82" s="151"/>
      <c r="C82" s="377">
        <f>+'Exhibit G State'!D58</f>
        <v>186.3</v>
      </c>
      <c r="D82" s="377"/>
      <c r="E82" s="377">
        <f>+'Exhibit G State'!F58</f>
        <v>189.59999999999997</v>
      </c>
      <c r="F82" s="377"/>
      <c r="G82" s="377">
        <f>+'Exhibit G State'!H58</f>
        <v>232.80000000000007</v>
      </c>
      <c r="H82" s="377"/>
      <c r="I82" s="377">
        <f>+'Exhibit G State'!J58</f>
        <v>191.69999999999993</v>
      </c>
      <c r="J82" s="377"/>
      <c r="K82" s="377">
        <f>+'Exhibit G State'!L58</f>
        <v>248.69999999999993</v>
      </c>
      <c r="L82" s="377"/>
      <c r="M82" s="377">
        <f>+'Exhibit G State'!N58</f>
        <v>176.50000000000011</v>
      </c>
      <c r="N82" s="377"/>
      <c r="O82" s="377">
        <f>+'Exhibit G State'!P58</f>
        <v>184.60000000000014</v>
      </c>
      <c r="P82" s="377"/>
      <c r="Q82" s="377">
        <f>+'Exhibit G State'!R58</f>
        <v>285.20000000000016</v>
      </c>
      <c r="R82" s="377"/>
      <c r="S82" s="377">
        <f>+'Exhibit G State'!T58</f>
        <v>179.19999999999993</v>
      </c>
      <c r="T82" s="377"/>
      <c r="U82" s="377">
        <f>+'Exhibit G State'!V58</f>
        <v>222.3000000000003</v>
      </c>
      <c r="V82" s="377"/>
      <c r="W82" s="377">
        <f>+'Exhibit G State'!X58</f>
        <v>201.39999999999975</v>
      </c>
      <c r="X82" s="377"/>
      <c r="Y82" s="377">
        <f>+'Exhibit G State'!Z58</f>
        <v>393.39999999999964</v>
      </c>
      <c r="Z82" s="377"/>
      <c r="AA82" s="378"/>
      <c r="AB82" s="377">
        <f t="shared" si="23"/>
        <v>2691.7</v>
      </c>
      <c r="AC82" s="377"/>
      <c r="AD82" s="1826"/>
      <c r="AE82" s="377">
        <f>+'Exhibit G State'!AG58</f>
        <v>2563</v>
      </c>
      <c r="AF82" s="377"/>
      <c r="AG82" s="377"/>
      <c r="AH82" s="377">
        <f t="shared" si="21"/>
        <v>128.69999999999999</v>
      </c>
      <c r="AI82" s="151"/>
      <c r="AJ82" s="469">
        <f t="shared" ref="AJ82" si="24">ROUND(IF(AE82=0,0,AH82/ABS(AE82)),3)</f>
        <v>0.05</v>
      </c>
    </row>
    <row r="83" spans="1:36" ht="15.5">
      <c r="A83" s="597" t="s">
        <v>1481</v>
      </c>
      <c r="B83" s="151"/>
      <c r="C83" s="377">
        <f>+'Exhibit G State'!D59+'Exhibit F'!D76</f>
        <v>43.6</v>
      </c>
      <c r="D83" s="377"/>
      <c r="E83" s="377">
        <f>+'Exhibit G State'!F59+'Exhibit F'!F76</f>
        <v>53.4</v>
      </c>
      <c r="F83" s="377"/>
      <c r="G83" s="377">
        <f>+'Exhibit G State'!H59+'Exhibit F'!H76</f>
        <v>38.599999999999987</v>
      </c>
      <c r="H83" s="377"/>
      <c r="I83" s="377">
        <f>+'Exhibit G State'!J59+'Exhibit F'!J76</f>
        <v>33.499999999999993</v>
      </c>
      <c r="J83" s="377"/>
      <c r="K83" s="377">
        <f>+'Exhibit G State'!L59+'Exhibit F'!L76</f>
        <v>53.599999999999987</v>
      </c>
      <c r="L83" s="377"/>
      <c r="M83" s="377">
        <f>+'Exhibit G State'!N59+'Exhibit F'!N76</f>
        <v>67.699999999999989</v>
      </c>
      <c r="N83" s="377"/>
      <c r="O83" s="377">
        <f>+'Exhibit G State'!P59+'Exhibit F'!P76</f>
        <v>67.100000000000023</v>
      </c>
      <c r="P83" s="377"/>
      <c r="Q83" s="377">
        <f>+'Exhibit G State'!R59+'Exhibit F'!R76</f>
        <v>92.000000000000028</v>
      </c>
      <c r="R83" s="377"/>
      <c r="S83" s="377">
        <f>+'Exhibit G State'!T59+'Exhibit F'!T76</f>
        <v>63.500000000000028</v>
      </c>
      <c r="T83" s="377"/>
      <c r="U83" s="377">
        <f>+'Exhibit G State'!V59+'Exhibit F'!V76</f>
        <v>81.299999999999955</v>
      </c>
      <c r="V83" s="377"/>
      <c r="W83" s="377">
        <f>+'Exhibit G State'!X59+'Exhibit F'!X76</f>
        <v>55.099999999999966</v>
      </c>
      <c r="X83" s="377"/>
      <c r="Y83" s="377">
        <f>+'Exhibit G State'!Z59+'Exhibit F'!Z76</f>
        <v>78.000000000000028</v>
      </c>
      <c r="Z83" s="377"/>
      <c r="AA83" s="378"/>
      <c r="AB83" s="377">
        <f t="shared" si="23"/>
        <v>727.4</v>
      </c>
      <c r="AC83" s="377"/>
      <c r="AD83" s="1826"/>
      <c r="AE83" s="377">
        <f>+'Exhibit G State'!AG59+'Exhibit F'!AF76</f>
        <v>359.1</v>
      </c>
      <c r="AF83" s="377"/>
      <c r="AG83" s="377"/>
      <c r="AH83" s="377">
        <f t="shared" si="21"/>
        <v>368.3</v>
      </c>
      <c r="AI83" s="151"/>
      <c r="AJ83" s="469">
        <f>ROUND(IF(AE83=0,1,AH83/ABS(AE83)),3)</f>
        <v>1.026</v>
      </c>
    </row>
    <row r="84" spans="1:36" ht="15.5">
      <c r="A84" s="597" t="s">
        <v>930</v>
      </c>
      <c r="B84" s="151"/>
      <c r="C84" s="377">
        <f>+'Exhibit G State'!D60</f>
        <v>73.400000000000006</v>
      </c>
      <c r="D84" s="377"/>
      <c r="E84" s="377">
        <f>+'Exhibit G State'!F60</f>
        <v>71.299999999999983</v>
      </c>
      <c r="F84" s="377"/>
      <c r="G84" s="377">
        <f>+'Exhibit G State'!H60</f>
        <v>90.9</v>
      </c>
      <c r="H84" s="377"/>
      <c r="I84" s="377">
        <f>+'Exhibit G State'!J60</f>
        <v>79.400000000000006</v>
      </c>
      <c r="J84" s="377"/>
      <c r="K84" s="377">
        <f>+'Exhibit G State'!L60</f>
        <v>98.799999999999983</v>
      </c>
      <c r="L84" s="377"/>
      <c r="M84" s="377">
        <f>+'Exhibit G State'!N60</f>
        <v>77.300000000000097</v>
      </c>
      <c r="N84" s="377"/>
      <c r="O84" s="377">
        <f>+'Exhibit G State'!P60</f>
        <v>77.400000000000006</v>
      </c>
      <c r="P84" s="377"/>
      <c r="Q84" s="377">
        <f>+'Exhibit G State'!R60</f>
        <v>95.4</v>
      </c>
      <c r="R84" s="377"/>
      <c r="S84" s="377">
        <f>+'Exhibit G State'!T60</f>
        <v>68.500000000000028</v>
      </c>
      <c r="T84" s="377"/>
      <c r="U84" s="377">
        <f>+'Exhibit G State'!V60</f>
        <v>88.500000000000028</v>
      </c>
      <c r="V84" s="377"/>
      <c r="W84" s="377">
        <f>+'Exhibit G State'!X60</f>
        <v>83.300000000000097</v>
      </c>
      <c r="X84" s="377"/>
      <c r="Y84" s="377">
        <f>+'Exhibit G State'!Z60</f>
        <v>108.59999999999997</v>
      </c>
      <c r="Z84" s="377"/>
      <c r="AA84" s="378"/>
      <c r="AB84" s="377">
        <f t="shared" si="23"/>
        <v>1012.8</v>
      </c>
      <c r="AC84" s="377"/>
      <c r="AD84" s="1826"/>
      <c r="AE84" s="377">
        <f>+'Exhibit G State'!AG60</f>
        <v>1005.4</v>
      </c>
      <c r="AF84" s="377"/>
      <c r="AG84" s="377"/>
      <c r="AH84" s="377">
        <f t="shared" si="21"/>
        <v>7.4</v>
      </c>
      <c r="AI84" s="151"/>
      <c r="AJ84" s="978">
        <f>ROUND(IF(AE84=0,1,AH84/ABS(AE84)),3)</f>
        <v>7.0000000000000001E-3</v>
      </c>
    </row>
    <row r="85" spans="1:36" ht="15.5">
      <c r="A85" s="597" t="s">
        <v>918</v>
      </c>
      <c r="B85" s="151"/>
      <c r="C85" s="377">
        <f>+'Exhibit F'!D77+'Exhibit H'!B41+'Exhibit G State'!D61</f>
        <v>11.4</v>
      </c>
      <c r="D85" s="377"/>
      <c r="E85" s="377">
        <f>+'Exhibit F'!F77+'Exhibit H'!D41+'Exhibit G State'!F61</f>
        <v>17.700000000000003</v>
      </c>
      <c r="F85" s="377"/>
      <c r="G85" s="377">
        <f>+'Exhibit F'!H77+'Exhibit H'!F41+'Exhibit G State'!H61</f>
        <v>35.700000000000003</v>
      </c>
      <c r="H85" s="377"/>
      <c r="I85" s="377">
        <f>+'Exhibit F'!J77+'Exhibit H'!H41+'Exhibit G State'!J61</f>
        <v>48.499999999999986</v>
      </c>
      <c r="J85" s="377"/>
      <c r="K85" s="377">
        <f>+'Exhibit F'!L77+'Exhibit H'!J41+'Exhibit G State'!L61</f>
        <v>70.699999999999989</v>
      </c>
      <c r="L85" s="377"/>
      <c r="M85" s="377">
        <f>+'Exhibit F'!N77+'Exhibit H'!L41+'Exhibit G State'!N61</f>
        <v>90.800000000000011</v>
      </c>
      <c r="N85" s="377"/>
      <c r="O85" s="377">
        <f>+'Exhibit F'!P77+'Exhibit H'!N41+'Exhibit G State'!P61</f>
        <v>117.80000000000004</v>
      </c>
      <c r="P85" s="377"/>
      <c r="Q85" s="377">
        <f>+'Exhibit F'!R77+'Exhibit H'!P41+'Exhibit G State'!R61</f>
        <v>151.89999999999995</v>
      </c>
      <c r="R85" s="377"/>
      <c r="S85" s="377">
        <f>+'Exhibit F'!T77+'Exhibit H'!R41+'Exhibit G State'!T61</f>
        <v>169.39999999999998</v>
      </c>
      <c r="T85" s="377"/>
      <c r="U85" s="377">
        <f>+'Exhibit F'!V77+'Exhibit H'!T41+'Exhibit G State'!V61</f>
        <v>202.50000000000006</v>
      </c>
      <c r="V85" s="377"/>
      <c r="W85" s="377">
        <f>+'Exhibit F'!X77+'Exhibit H'!V41+'Exhibit G State'!X61</f>
        <v>238.89999999999989</v>
      </c>
      <c r="X85" s="377"/>
      <c r="Y85" s="377">
        <f>+'Exhibit F'!Z77+'Exhibit H'!X41+'Exhibit G State'!Z61</f>
        <v>233.90000000000012</v>
      </c>
      <c r="Z85" s="377"/>
      <c r="AA85" s="378"/>
      <c r="AB85" s="377">
        <f t="shared" si="23"/>
        <v>1389.2</v>
      </c>
      <c r="AC85" s="377"/>
      <c r="AD85" s="1826"/>
      <c r="AE85" s="377">
        <f>+'Exhibit F'!AF77+'Exhibit H'!AD41+'Exhibit G State'!AG61</f>
        <v>53.3</v>
      </c>
      <c r="AF85" s="377"/>
      <c r="AG85" s="377"/>
      <c r="AH85" s="377">
        <f t="shared" si="21"/>
        <v>1335.9</v>
      </c>
      <c r="AI85" s="151"/>
      <c r="AJ85" s="1145">
        <f>ROUND(SUM(AH85/ABS(AE85)),3)</f>
        <v>25.064</v>
      </c>
    </row>
    <row r="86" spans="1:36" ht="15.5">
      <c r="A86" s="597" t="s">
        <v>935</v>
      </c>
      <c r="B86" s="151"/>
      <c r="C86" s="377">
        <f>+'Exhibit F'!D78+'Exhibit H'!B42+'Exhibit G State'!D62</f>
        <v>7.2</v>
      </c>
      <c r="D86" s="377"/>
      <c r="E86" s="377">
        <f>+'Exhibit F'!F78+'Exhibit H'!D42+'Exhibit G State'!F62</f>
        <v>1.8999999999999995</v>
      </c>
      <c r="F86" s="377"/>
      <c r="G86" s="377">
        <f>+'Exhibit F'!H78+'Exhibit H'!F42+'Exhibit G State'!H62</f>
        <v>6.1000000000000005</v>
      </c>
      <c r="H86" s="377"/>
      <c r="I86" s="377">
        <f>+'Exhibit F'!J78+'Exhibit H'!H42+'Exhibit G State'!J62</f>
        <v>3.4000000000000012</v>
      </c>
      <c r="J86" s="377"/>
      <c r="K86" s="377">
        <f>+'Exhibit F'!L78+'Exhibit H'!J42+'Exhibit G State'!L62</f>
        <v>76.499999999999986</v>
      </c>
      <c r="L86" s="377"/>
      <c r="M86" s="377">
        <f>+'Exhibit F'!N78+'Exhibit H'!L42+'Exhibit G State'!N62</f>
        <v>4.7000000000000028</v>
      </c>
      <c r="N86" s="377"/>
      <c r="O86" s="377">
        <f>+'Exhibit F'!P78+'Exhibit H'!N42+'Exhibit G State'!P62</f>
        <v>3.2000000000000028</v>
      </c>
      <c r="P86" s="377"/>
      <c r="Q86" s="377">
        <f>+'Exhibit F'!R78+'Exhibit H'!P42+'Exhibit G State'!R62</f>
        <v>5.099999999999997</v>
      </c>
      <c r="R86" s="377"/>
      <c r="S86" s="377">
        <f>+'Exhibit F'!T78+'Exhibit H'!R42+'Exhibit G State'!T62</f>
        <v>5.6</v>
      </c>
      <c r="T86" s="377"/>
      <c r="U86" s="377">
        <f>+'Exhibit F'!V78+'Exhibit H'!T42+'Exhibit G State'!V62</f>
        <v>2.6000000000000085</v>
      </c>
      <c r="V86" s="377"/>
      <c r="W86" s="377">
        <f>+'Exhibit F'!X78+'Exhibit H'!V42+'Exhibit G State'!X62</f>
        <v>111</v>
      </c>
      <c r="X86" s="377"/>
      <c r="Y86" s="377">
        <f>+'Exhibit F'!Z78+'Exhibit H'!X42+'Exhibit G State'!Z62</f>
        <v>1.4000000000000341</v>
      </c>
      <c r="Z86" s="377"/>
      <c r="AA86" s="378"/>
      <c r="AB86" s="377">
        <f t="shared" si="23"/>
        <v>228.7</v>
      </c>
      <c r="AC86" s="377"/>
      <c r="AD86" s="1826"/>
      <c r="AE86" s="377">
        <f>+'Exhibit F'!AF78+'Exhibit H'!AD42+'Exhibit G State'!AG62</f>
        <v>325.39999999999998</v>
      </c>
      <c r="AF86" s="377"/>
      <c r="AG86" s="377"/>
      <c r="AH86" s="377">
        <f>ROUND(SUM(AB86-AE86),1)</f>
        <v>-96.7</v>
      </c>
      <c r="AI86" s="151"/>
      <c r="AJ86" s="1145">
        <f>ROUND(SUM(AH86/ABS(AE86)),3)</f>
        <v>-0.29699999999999999</v>
      </c>
    </row>
    <row r="87" spans="1:36" ht="15.5">
      <c r="A87" s="597" t="s">
        <v>1034</v>
      </c>
      <c r="B87" s="151"/>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8"/>
      <c r="AB87" s="377"/>
      <c r="AC87" s="377"/>
      <c r="AD87" s="1826"/>
      <c r="AE87" s="377"/>
      <c r="AF87" s="377"/>
      <c r="AG87" s="377"/>
      <c r="AH87" s="377"/>
      <c r="AI87" s="151"/>
      <c r="AJ87" s="469"/>
    </row>
    <row r="88" spans="1:36" ht="15.5">
      <c r="A88" s="597" t="s">
        <v>931</v>
      </c>
      <c r="B88" s="151"/>
      <c r="C88" s="377">
        <f>+'Exhibit G State'!D64</f>
        <v>0</v>
      </c>
      <c r="D88" s="377"/>
      <c r="E88" s="377">
        <f>+'Exhibit G State'!F64</f>
        <v>0</v>
      </c>
      <c r="F88" s="377"/>
      <c r="G88" s="377">
        <f>+'Exhibit G State'!H64</f>
        <v>0</v>
      </c>
      <c r="H88" s="377"/>
      <c r="I88" s="377">
        <f>+'Exhibit G State'!J64</f>
        <v>0</v>
      </c>
      <c r="J88" s="377"/>
      <c r="K88" s="377">
        <f>+'Exhibit G State'!L64</f>
        <v>0</v>
      </c>
      <c r="L88" s="377"/>
      <c r="M88" s="377">
        <f>+'Exhibit G State'!N64</f>
        <v>0</v>
      </c>
      <c r="N88" s="377"/>
      <c r="O88" s="377">
        <f>+'Exhibit G State'!P64</f>
        <v>0</v>
      </c>
      <c r="P88" s="377"/>
      <c r="Q88" s="377">
        <f>+'Exhibit G State'!R64</f>
        <v>0</v>
      </c>
      <c r="R88" s="377"/>
      <c r="S88" s="377">
        <f>+'Exhibit G State'!T64</f>
        <v>0</v>
      </c>
      <c r="T88" s="377"/>
      <c r="U88" s="377">
        <f>+'Exhibit G State'!V64</f>
        <v>0</v>
      </c>
      <c r="V88" s="377"/>
      <c r="W88" s="377">
        <f>+'Exhibit G State'!X64</f>
        <v>0</v>
      </c>
      <c r="X88" s="377"/>
      <c r="Y88" s="377">
        <f>+'Exhibit G State'!Z64</f>
        <v>0</v>
      </c>
      <c r="Z88" s="377"/>
      <c r="AA88" s="378"/>
      <c r="AB88" s="377">
        <f t="shared" ref="AB88:AB92" si="25">ROUND(SUM(C88:Y88),1)</f>
        <v>0</v>
      </c>
      <c r="AC88" s="377"/>
      <c r="AD88" s="1826"/>
      <c r="AE88" s="377">
        <f>+'Exhibit G State'!AG64+'Exhibit H'!AD44+'Exhibit F'!AF80</f>
        <v>0</v>
      </c>
      <c r="AF88" s="377"/>
      <c r="AG88" s="377"/>
      <c r="AH88" s="377">
        <f t="shared" si="21"/>
        <v>0</v>
      </c>
      <c r="AI88" s="151"/>
      <c r="AJ88" s="469">
        <f>ROUND(IF(AE88=0,0,AH88/ABS(AE88)),3)</f>
        <v>0</v>
      </c>
    </row>
    <row r="89" spans="1:36" ht="15.5">
      <c r="A89" s="597" t="s">
        <v>932</v>
      </c>
      <c r="B89" s="151"/>
      <c r="C89" s="377">
        <f>+'Exhibit F'!D81+'Exhibit G State'!D65</f>
        <v>14.2</v>
      </c>
      <c r="D89" s="377"/>
      <c r="E89" s="377">
        <f>+'Exhibit F'!F81+'Exhibit G State'!F65</f>
        <v>0</v>
      </c>
      <c r="F89" s="377"/>
      <c r="G89" s="377">
        <f>+'Exhibit F'!H81+'Exhibit G State'!H65</f>
        <v>0</v>
      </c>
      <c r="H89" s="377"/>
      <c r="I89" s="377">
        <f>+'Exhibit F'!J81+'Exhibit G State'!J65</f>
        <v>12.7</v>
      </c>
      <c r="J89" s="377"/>
      <c r="K89" s="377">
        <f>+'Exhibit F'!L81+'Exhibit G State'!L65</f>
        <v>0</v>
      </c>
      <c r="L89" s="377"/>
      <c r="M89" s="377">
        <f>+'Exhibit F'!N81+'Exhibit G State'!N65</f>
        <v>0</v>
      </c>
      <c r="N89" s="377"/>
      <c r="O89" s="377">
        <f>+'Exhibit F'!P81+'Exhibit G State'!P65</f>
        <v>8.9</v>
      </c>
      <c r="P89" s="377"/>
      <c r="Q89" s="377">
        <f>+'Exhibit F'!R81+'Exhibit G State'!R65</f>
        <v>0</v>
      </c>
      <c r="R89" s="377"/>
      <c r="S89" s="377">
        <f>+'Exhibit F'!T81+'Exhibit G State'!T65</f>
        <v>0</v>
      </c>
      <c r="T89" s="377"/>
      <c r="U89" s="377">
        <f>+'Exhibit F'!V81+'Exhibit G State'!V65</f>
        <v>9.9999999999999645E-2</v>
      </c>
      <c r="V89" s="377"/>
      <c r="W89" s="377">
        <f>+'Exhibit F'!X81+'Exhibit G State'!X65</f>
        <v>0</v>
      </c>
      <c r="X89" s="377"/>
      <c r="Y89" s="377">
        <f>+'Exhibit F'!Z81+'Exhibit G State'!Z65</f>
        <v>0</v>
      </c>
      <c r="Z89" s="377"/>
      <c r="AA89" s="378"/>
      <c r="AB89" s="377">
        <f t="shared" si="25"/>
        <v>35.9</v>
      </c>
      <c r="AC89" s="377"/>
      <c r="AD89" s="1826"/>
      <c r="AE89" s="377">
        <f>+'Exhibit F'!AF81+'Exhibit G State'!AG65</f>
        <v>10.199999999999999</v>
      </c>
      <c r="AF89" s="377"/>
      <c r="AG89" s="377"/>
      <c r="AH89" s="377">
        <f t="shared" si="21"/>
        <v>25.7</v>
      </c>
      <c r="AI89" s="151"/>
      <c r="AJ89" s="488">
        <f>ROUND(IF(AE89=0,1,AH89/ABS(AE89)),3)</f>
        <v>2.52</v>
      </c>
    </row>
    <row r="90" spans="1:36" ht="15.5">
      <c r="A90" s="597" t="s">
        <v>933</v>
      </c>
      <c r="B90" s="151"/>
      <c r="C90" s="377">
        <f>+'Exhibit F'!D82+'Exhibit G State'!D66</f>
        <v>2.8</v>
      </c>
      <c r="D90" s="377"/>
      <c r="E90" s="377">
        <f>+'Exhibit F'!F82+'Exhibit G State'!F66</f>
        <v>3.7</v>
      </c>
      <c r="F90" s="377"/>
      <c r="G90" s="377">
        <f>+'Exhibit F'!H82+'Exhibit G State'!H66</f>
        <v>4</v>
      </c>
      <c r="H90" s="377"/>
      <c r="I90" s="377">
        <f>+'Exhibit F'!J82+'Exhibit G State'!J66</f>
        <v>27.5</v>
      </c>
      <c r="J90" s="377"/>
      <c r="K90" s="377">
        <f>+'Exhibit F'!L82+'Exhibit G State'!L66</f>
        <v>1.8000000000000016</v>
      </c>
      <c r="L90" s="377"/>
      <c r="M90" s="377">
        <f>+'Exhibit F'!N82+'Exhibit G State'!N66</f>
        <v>0</v>
      </c>
      <c r="N90" s="377"/>
      <c r="O90" s="377">
        <f>+'Exhibit F'!P82+'Exhibit G State'!P66</f>
        <v>13.400000000000002</v>
      </c>
      <c r="P90" s="377"/>
      <c r="Q90" s="377">
        <f>+'Exhibit F'!R82+'Exhibit G State'!R66</f>
        <v>0.29999999999999716</v>
      </c>
      <c r="R90" s="377"/>
      <c r="S90" s="377">
        <f>+'Exhibit F'!T82+'Exhibit G State'!T66</f>
        <v>0.70000000000000284</v>
      </c>
      <c r="T90" s="377"/>
      <c r="U90" s="377">
        <f>+'Exhibit F'!V82+'Exhibit G State'!V66</f>
        <v>7.2999999999999972</v>
      </c>
      <c r="V90" s="377"/>
      <c r="W90" s="377">
        <f>+'Exhibit F'!X82+'Exhibit G State'!X66</f>
        <v>0.10000000000000142</v>
      </c>
      <c r="X90" s="377"/>
      <c r="Y90" s="377">
        <f>+'Exhibit F'!Z82+'Exhibit G State'!Z66</f>
        <v>4.5</v>
      </c>
      <c r="Z90" s="377"/>
      <c r="AA90" s="378"/>
      <c r="AB90" s="377">
        <f t="shared" si="25"/>
        <v>66.099999999999994</v>
      </c>
      <c r="AC90" s="377"/>
      <c r="AD90" s="1826"/>
      <c r="AE90" s="377">
        <f>+'Exhibit F'!AF82+'Exhibit G State'!AG66</f>
        <v>103.5</v>
      </c>
      <c r="AF90" s="377"/>
      <c r="AG90" s="377"/>
      <c r="AH90" s="377">
        <f t="shared" si="21"/>
        <v>-37.4</v>
      </c>
      <c r="AI90" s="151"/>
      <c r="AJ90" s="1145">
        <f>ROUND(SUM(AH90/ABS(AE90)),3)</f>
        <v>-0.36099999999999999</v>
      </c>
    </row>
    <row r="91" spans="1:36" ht="15.5">
      <c r="A91" s="597" t="s">
        <v>934</v>
      </c>
      <c r="B91" s="151"/>
      <c r="C91" s="377">
        <f>+'Exhibit F'!D83+'Exhibit G State'!D67</f>
        <v>4.9000000000000004</v>
      </c>
      <c r="D91" s="377"/>
      <c r="E91" s="377">
        <f>+'Exhibit F'!F83+'Exhibit G State'!F67</f>
        <v>11.200000000000001</v>
      </c>
      <c r="F91" s="377"/>
      <c r="G91" s="377">
        <f>+'Exhibit F'!H83+'Exhibit G State'!H67</f>
        <v>3.9</v>
      </c>
      <c r="H91" s="377"/>
      <c r="I91" s="377">
        <f>+'Exhibit F'!J83+'Exhibit G State'!J67</f>
        <v>9.3999999999999986</v>
      </c>
      <c r="J91" s="377"/>
      <c r="K91" s="377">
        <f>+'Exhibit F'!L83+'Exhibit G State'!L67</f>
        <v>4.6000000000000014</v>
      </c>
      <c r="L91" s="377"/>
      <c r="M91" s="377">
        <f>+'Exhibit F'!N83+'Exhibit G State'!N67</f>
        <v>0.1000000000000032</v>
      </c>
      <c r="N91" s="377"/>
      <c r="O91" s="377">
        <f>+'Exhibit F'!P83+'Exhibit G State'!P67</f>
        <v>7.8999999999999968</v>
      </c>
      <c r="P91" s="377"/>
      <c r="Q91" s="377">
        <f>+'Exhibit F'!R83+'Exhibit G State'!R67</f>
        <v>0</v>
      </c>
      <c r="R91" s="377"/>
      <c r="S91" s="377">
        <f>+'Exhibit F'!T83+'Exhibit G State'!T67</f>
        <v>13</v>
      </c>
      <c r="T91" s="377"/>
      <c r="U91" s="377">
        <f>+'Exhibit F'!V83+'Exhibit G State'!V67</f>
        <v>4.8000000000000025</v>
      </c>
      <c r="V91" s="377"/>
      <c r="W91" s="377">
        <f>+'Exhibit F'!X83+'Exhibit G State'!X67</f>
        <v>6.7999999999999954</v>
      </c>
      <c r="X91" s="377"/>
      <c r="Y91" s="377">
        <f>+'Exhibit F'!Z83+'Exhibit G State'!Z67</f>
        <v>20.399999999999999</v>
      </c>
      <c r="Z91" s="377"/>
      <c r="AA91" s="378"/>
      <c r="AB91" s="377">
        <f t="shared" si="25"/>
        <v>87</v>
      </c>
      <c r="AC91" s="377"/>
      <c r="AD91" s="1826"/>
      <c r="AE91" s="377">
        <f>+'Exhibit F'!AF83+'Exhibit G State'!AG67</f>
        <v>94.2</v>
      </c>
      <c r="AF91" s="377"/>
      <c r="AG91" s="377"/>
      <c r="AH91" s="377">
        <f t="shared" si="21"/>
        <v>-7.2</v>
      </c>
      <c r="AI91" s="151"/>
      <c r="AJ91" s="1145">
        <f>ROUND(SUM(AH91/ABS(AE91)),3)</f>
        <v>-7.5999999999999998E-2</v>
      </c>
    </row>
    <row r="92" spans="1:36" ht="15.5">
      <c r="A92" s="597" t="s">
        <v>936</v>
      </c>
      <c r="B92" s="151"/>
      <c r="C92" s="377">
        <f>+'Exhibit F'!D84+'Exhibit H'!B45+'Exhibit G State'!D68</f>
        <v>33.4</v>
      </c>
      <c r="D92" s="377"/>
      <c r="E92" s="377">
        <f>+'Exhibit F'!F84+'Exhibit H'!D45+'Exhibit G State'!F68</f>
        <v>20.700000000000003</v>
      </c>
      <c r="F92" s="377"/>
      <c r="G92" s="377">
        <f>+'Exhibit F'!H84+'Exhibit H'!F45+'Exhibit G State'!H68</f>
        <v>21.400000000000006</v>
      </c>
      <c r="H92" s="377"/>
      <c r="I92" s="377">
        <f>+'Exhibit F'!J84+'Exhibit H'!H45+'Exhibit G State'!J68</f>
        <v>0.89999999999999147</v>
      </c>
      <c r="J92" s="377"/>
      <c r="K92" s="377">
        <f>+'Exhibit F'!L84+'Exhibit H'!J45+'Exhibit G State'!L68</f>
        <v>10.900000000000018</v>
      </c>
      <c r="L92" s="377"/>
      <c r="M92" s="377">
        <f>+'Exhibit F'!N84+'Exhibit H'!L45+'Exhibit G State'!N68</f>
        <v>-1.7000000000000184</v>
      </c>
      <c r="N92" s="377"/>
      <c r="O92" s="377">
        <f>+'Exhibit F'!P84+'Exhibit H'!N45+'Exhibit G State'!P68</f>
        <v>0.90000000000000857</v>
      </c>
      <c r="P92" s="377"/>
      <c r="Q92" s="377">
        <f>+'Exhibit F'!R84+'Exhibit H'!P45+'Exhibit G State'!R68</f>
        <v>67.69999999999996</v>
      </c>
      <c r="R92" s="377"/>
      <c r="S92" s="377">
        <f>+'Exhibit F'!T84+'Exhibit H'!R45+'Exhibit G State'!T68</f>
        <v>19.000000000000036</v>
      </c>
      <c r="T92" s="377"/>
      <c r="U92" s="377">
        <f>+'Exhibit F'!V84+'Exhibit H'!T45+'Exhibit G State'!V68</f>
        <v>22.000000000000011</v>
      </c>
      <c r="V92" s="377"/>
      <c r="W92" s="377">
        <f>+'Exhibit F'!X84+'Exhibit H'!V45+'Exhibit G State'!X68</f>
        <v>92.099999999999937</v>
      </c>
      <c r="X92" s="377"/>
      <c r="Y92" s="377">
        <f>+'Exhibit F'!Z84+'Exhibit H'!X45+'Exhibit G State'!Z68</f>
        <v>99.200000000000017</v>
      </c>
      <c r="Z92" s="377"/>
      <c r="AA92" s="378"/>
      <c r="AB92" s="377">
        <f t="shared" si="25"/>
        <v>386.5</v>
      </c>
      <c r="AC92" s="377"/>
      <c r="AD92" s="1826"/>
      <c r="AE92" s="377">
        <f>+'Exhibit F'!AF84+'Exhibit H'!AD45+'Exhibit G State'!AG68</f>
        <v>461.7</v>
      </c>
      <c r="AF92" s="377"/>
      <c r="AG92" s="377"/>
      <c r="AH92" s="377">
        <f t="shared" si="21"/>
        <v>-75.2</v>
      </c>
      <c r="AI92" s="151"/>
      <c r="AJ92" s="1145">
        <f>ROUND(SUM(AH92/ABS(AE92)),3)</f>
        <v>-0.16300000000000001</v>
      </c>
    </row>
    <row r="93" spans="1:36" ht="15.5">
      <c r="A93" s="597" t="s">
        <v>1035</v>
      </c>
      <c r="B93" s="151"/>
      <c r="C93" s="377"/>
      <c r="D93" s="377"/>
      <c r="E93" s="377"/>
      <c r="F93" s="377"/>
      <c r="G93" s="377"/>
      <c r="H93" s="377"/>
      <c r="I93" s="377"/>
      <c r="J93" s="377"/>
      <c r="K93" s="377"/>
      <c r="L93" s="377"/>
      <c r="M93" s="377"/>
      <c r="N93" s="377"/>
      <c r="O93" s="377"/>
      <c r="P93" s="377"/>
      <c r="Q93" s="377"/>
      <c r="R93" s="377"/>
      <c r="S93" s="377"/>
      <c r="T93" s="377"/>
      <c r="U93" s="377"/>
      <c r="V93" s="377"/>
      <c r="W93" s="377"/>
      <c r="X93" s="377"/>
      <c r="Y93" s="377"/>
      <c r="Z93" s="377"/>
      <c r="AA93" s="378"/>
      <c r="AB93" s="377"/>
      <c r="AC93" s="377"/>
      <c r="AD93" s="1826"/>
      <c r="AE93" s="377"/>
      <c r="AF93" s="377"/>
      <c r="AG93" s="377"/>
      <c r="AH93" s="377"/>
      <c r="AI93" s="151"/>
      <c r="AJ93" s="469"/>
    </row>
    <row r="94" spans="1:36" ht="15.5">
      <c r="A94" s="597" t="s">
        <v>937</v>
      </c>
      <c r="B94" s="151"/>
      <c r="C94" s="377">
        <f>+'Exhibit F'!D86+'Exhibit G State'!D70</f>
        <v>32.4</v>
      </c>
      <c r="D94" s="377"/>
      <c r="E94" s="377">
        <f>+'Exhibit F'!F86+'Exhibit G State'!F70</f>
        <v>9.1000000000000014</v>
      </c>
      <c r="F94" s="377"/>
      <c r="G94" s="377">
        <f>+'Exhibit F'!H86+'Exhibit G State'!H70</f>
        <v>20.299999999999997</v>
      </c>
      <c r="H94" s="377"/>
      <c r="I94" s="377">
        <f>+'Exhibit F'!J86+'Exhibit G State'!J70</f>
        <v>24.699999999999996</v>
      </c>
      <c r="J94" s="377"/>
      <c r="K94" s="377">
        <f>+'Exhibit F'!L86+'Exhibit G State'!L70</f>
        <v>9.2999999999999989</v>
      </c>
      <c r="L94" s="377"/>
      <c r="M94" s="377">
        <f>+'Exhibit F'!N86+'Exhibit G State'!N70</f>
        <v>23.900000000000013</v>
      </c>
      <c r="N94" s="377"/>
      <c r="O94" s="377">
        <f>+'Exhibit F'!P86+'Exhibit G State'!P70</f>
        <v>23.300000000000004</v>
      </c>
      <c r="P94" s="377"/>
      <c r="Q94" s="377">
        <f>+'Exhibit F'!R86+'Exhibit G State'!R70</f>
        <v>8.2999999999999829</v>
      </c>
      <c r="R94" s="377"/>
      <c r="S94" s="377">
        <f>+'Exhibit F'!T86+'Exhibit G State'!T70</f>
        <v>22.70000000000001</v>
      </c>
      <c r="T94" s="377"/>
      <c r="U94" s="377">
        <f>+'Exhibit F'!V86+'Exhibit G State'!V70</f>
        <v>8.1000000000000014</v>
      </c>
      <c r="V94" s="377"/>
      <c r="W94" s="377">
        <f>+'Exhibit F'!X86+'Exhibit G State'!X70</f>
        <v>16.499999999999993</v>
      </c>
      <c r="X94" s="377"/>
      <c r="Y94" s="377">
        <f>+'Exhibit F'!Z86+'Exhibit G State'!Z70</f>
        <v>18.600000000000016</v>
      </c>
      <c r="Z94" s="377"/>
      <c r="AA94" s="378"/>
      <c r="AB94" s="377">
        <f t="shared" ref="AB94:AB105" si="26">ROUND(SUM(C94:Y94),1)</f>
        <v>217.2</v>
      </c>
      <c r="AC94" s="377"/>
      <c r="AD94" s="1826"/>
      <c r="AE94" s="377">
        <f>+'Exhibit F'!AF86+'Exhibit G State'!AG70</f>
        <v>254.10000000000002</v>
      </c>
      <c r="AF94" s="377"/>
      <c r="AG94" s="377"/>
      <c r="AH94" s="377">
        <f t="shared" si="21"/>
        <v>-36.9</v>
      </c>
      <c r="AI94" s="151"/>
      <c r="AJ94" s="1145">
        <f>ROUND(SUM(AH94/ABS(AE94)),3)</f>
        <v>-0.14499999999999999</v>
      </c>
    </row>
    <row r="95" spans="1:36" ht="15.5">
      <c r="A95" s="597" t="s">
        <v>938</v>
      </c>
      <c r="B95" s="151"/>
      <c r="C95" s="377">
        <f>+'Exhibit G State'!D71+'Exhibit F'!D87</f>
        <v>6.8999999999999968</v>
      </c>
      <c r="D95" s="377"/>
      <c r="E95" s="377">
        <f>+'Exhibit G State'!F71+'Exhibit F'!F87</f>
        <v>0</v>
      </c>
      <c r="F95" s="377"/>
      <c r="G95" s="377">
        <f>+'Exhibit G State'!H71+'Exhibit F'!H87</f>
        <v>0.40000000000000568</v>
      </c>
      <c r="H95" s="377"/>
      <c r="I95" s="377">
        <f>+'Exhibit G State'!J71+'Exhibit F'!J87</f>
        <v>0</v>
      </c>
      <c r="J95" s="377"/>
      <c r="K95" s="377">
        <f>+'Exhibit G State'!L71+'Exhibit F'!L87</f>
        <v>9.9999999999997202E-2</v>
      </c>
      <c r="L95" s="377"/>
      <c r="M95" s="377">
        <f>+'Exhibit G State'!N71+'Exhibit F'!N87</f>
        <v>0.69999999999998863</v>
      </c>
      <c r="N95" s="377"/>
      <c r="O95" s="377">
        <f>+'Exhibit G State'!P71+'Exhibit F'!P87</f>
        <v>0.60000000000002252</v>
      </c>
      <c r="P95" s="377"/>
      <c r="Q95" s="377">
        <f>+'Exhibit G State'!R71+'Exhibit F'!R87</f>
        <v>0.1</v>
      </c>
      <c r="R95" s="377"/>
      <c r="S95" s="377">
        <f>+'Exhibit G State'!T71+'Exhibit F'!T87</f>
        <v>0</v>
      </c>
      <c r="T95" s="377"/>
      <c r="U95" s="377">
        <f>+'Exhibit G State'!V71+'Exhibit F'!V87</f>
        <v>0.1</v>
      </c>
      <c r="V95" s="377"/>
      <c r="W95" s="377">
        <f>+'Exhibit G State'!X71+'Exhibit F'!X87</f>
        <v>0.10000000000001136</v>
      </c>
      <c r="X95" s="377"/>
      <c r="Y95" s="377">
        <f>+'Exhibit G State'!Z71+'Exhibit F'!Z87</f>
        <v>0.20000000000000018</v>
      </c>
      <c r="Z95" s="377"/>
      <c r="AA95" s="378"/>
      <c r="AB95" s="377">
        <f t="shared" si="26"/>
        <v>9.1999999999999993</v>
      </c>
      <c r="AC95" s="377"/>
      <c r="AD95" s="1826"/>
      <c r="AE95" s="377">
        <f>+'Exhibit G State'!AG71+'Exhibit F'!AF87</f>
        <v>15.499999999999863</v>
      </c>
      <c r="AF95" s="377"/>
      <c r="AG95" s="377"/>
      <c r="AH95" s="377">
        <f t="shared" si="21"/>
        <v>-6.3</v>
      </c>
      <c r="AI95" s="151"/>
      <c r="AJ95" s="978">
        <f>ROUND(IF(AE95=0,1,AH95/ABS(AE95)),3)</f>
        <v>-0.40600000000000003</v>
      </c>
    </row>
    <row r="96" spans="1:36" ht="15.5">
      <c r="A96" s="597" t="s">
        <v>1257</v>
      </c>
      <c r="B96" s="151"/>
      <c r="C96" s="377">
        <f>'Exhibit G State'!D72</f>
        <v>0</v>
      </c>
      <c r="D96" s="377"/>
      <c r="E96" s="377">
        <f>'Exhibit G State'!F72</f>
        <v>0</v>
      </c>
      <c r="F96" s="377"/>
      <c r="G96" s="377">
        <f>'Exhibit G State'!H72</f>
        <v>0</v>
      </c>
      <c r="H96" s="377"/>
      <c r="I96" s="377">
        <f>'Exhibit G State'!J72</f>
        <v>0</v>
      </c>
      <c r="J96" s="377"/>
      <c r="K96" s="377">
        <f>'Exhibit G State'!L72</f>
        <v>0</v>
      </c>
      <c r="L96" s="377"/>
      <c r="M96" s="377">
        <f>'Exhibit G State'!N72</f>
        <v>0</v>
      </c>
      <c r="N96" s="377"/>
      <c r="O96" s="377">
        <f>'Exhibit G State'!P72</f>
        <v>0</v>
      </c>
      <c r="P96" s="377"/>
      <c r="Q96" s="377">
        <f>'Exhibit G State'!R72</f>
        <v>0</v>
      </c>
      <c r="R96" s="377"/>
      <c r="S96" s="377">
        <f>'Exhibit G State'!T72</f>
        <v>68</v>
      </c>
      <c r="T96" s="377"/>
      <c r="U96" s="377">
        <f>'Exhibit G State'!V72</f>
        <v>0</v>
      </c>
      <c r="V96" s="377"/>
      <c r="W96" s="377">
        <f>'Exhibit G State'!X72</f>
        <v>0</v>
      </c>
      <c r="X96" s="377"/>
      <c r="Y96" s="377">
        <f>'Exhibit G State'!Z72</f>
        <v>0</v>
      </c>
      <c r="Z96" s="377"/>
      <c r="AA96" s="378"/>
      <c r="AB96" s="377">
        <f t="shared" si="26"/>
        <v>68</v>
      </c>
      <c r="AC96" s="377"/>
      <c r="AD96" s="1826"/>
      <c r="AE96" s="377">
        <f>+'Exhibit G State'!AG72</f>
        <v>228</v>
      </c>
      <c r="AF96" s="377"/>
      <c r="AG96" s="377"/>
      <c r="AH96" s="377">
        <f t="shared" ref="AH96" si="27">ROUND(SUM(AB96-AE96),1)</f>
        <v>-160</v>
      </c>
      <c r="AI96" s="151"/>
      <c r="AJ96" s="469">
        <f>ROUND(IF(AE96=0,0,AH96/ABS(AE96)),3)</f>
        <v>-0.70199999999999996</v>
      </c>
    </row>
    <row r="97" spans="1:45" ht="15.5">
      <c r="A97" s="597" t="s">
        <v>939</v>
      </c>
      <c r="B97" s="151"/>
      <c r="C97" s="377">
        <f>+'Exhibit F'!D88+'Exhibit G State'!D73</f>
        <v>2.2999999999999998</v>
      </c>
      <c r="D97" s="377"/>
      <c r="E97" s="377">
        <f>+'Exhibit F'!F88+'Exhibit G State'!F73</f>
        <v>0.60000000000000009</v>
      </c>
      <c r="F97" s="377"/>
      <c r="G97" s="377">
        <f>+'Exhibit F'!H88+'Exhibit G State'!H73</f>
        <v>0</v>
      </c>
      <c r="H97" s="377"/>
      <c r="I97" s="377">
        <f>+'Exhibit F'!J88+'Exhibit G State'!J73</f>
        <v>0.30000000000000027</v>
      </c>
      <c r="J97" s="377"/>
      <c r="K97" s="377">
        <f>+'Exhibit F'!L88+'Exhibit G State'!L73</f>
        <v>0.5</v>
      </c>
      <c r="L97" s="377"/>
      <c r="M97" s="377">
        <f>+'Exhibit F'!N88+'Exhibit G State'!N73</f>
        <v>0.19999999999999973</v>
      </c>
      <c r="N97" s="377"/>
      <c r="O97" s="377">
        <f>+'Exhibit F'!P88+'Exhibit G State'!P73</f>
        <v>0.10000000000000009</v>
      </c>
      <c r="P97" s="377"/>
      <c r="Q97" s="377">
        <f>+'Exhibit F'!R88+'Exhibit G State'!R73</f>
        <v>0.40000000000000036</v>
      </c>
      <c r="R97" s="377"/>
      <c r="S97" s="377">
        <f>+'Exhibit F'!T88+'Exhibit G State'!T73</f>
        <v>35.200000000000003</v>
      </c>
      <c r="T97" s="377"/>
      <c r="U97" s="377">
        <f>+'Exhibit F'!V88+'Exhibit G State'!V73</f>
        <v>0.29999999999999716</v>
      </c>
      <c r="V97" s="377"/>
      <c r="W97" s="377">
        <f>+'Exhibit F'!X88+'Exhibit G State'!X73</f>
        <v>1.1000000000000014</v>
      </c>
      <c r="X97" s="377"/>
      <c r="Y97" s="377">
        <f>+'Exhibit F'!Z88+'Exhibit G State'!Z73</f>
        <v>1.3999999999999986</v>
      </c>
      <c r="Z97" s="377"/>
      <c r="AA97" s="378"/>
      <c r="AB97" s="377">
        <f t="shared" si="26"/>
        <v>42.4</v>
      </c>
      <c r="AC97" s="377"/>
      <c r="AD97" s="1826"/>
      <c r="AE97" s="377">
        <f>+'Exhibit F'!AF88+'Exhibit G State'!AG73</f>
        <v>19.100000000000001</v>
      </c>
      <c r="AF97" s="377"/>
      <c r="AG97" s="377"/>
      <c r="AH97" s="377">
        <f t="shared" si="21"/>
        <v>23.3</v>
      </c>
      <c r="AI97" s="151"/>
      <c r="AJ97" s="1145">
        <f t="shared" ref="AJ97:AJ104" si="28">ROUND(SUM(AH97/ABS(AE97)),3)</f>
        <v>1.22</v>
      </c>
    </row>
    <row r="98" spans="1:45" ht="15.5">
      <c r="A98" s="597" t="s">
        <v>940</v>
      </c>
      <c r="B98" s="151"/>
      <c r="C98" s="377">
        <f>+'Exhibit F'!D89+'Exhibit G State'!D74</f>
        <v>5.3</v>
      </c>
      <c r="D98" s="377"/>
      <c r="E98" s="377">
        <f>+'Exhibit F'!F89+'Exhibit G State'!F74</f>
        <v>6.3</v>
      </c>
      <c r="F98" s="377"/>
      <c r="G98" s="377">
        <f>+'Exhibit F'!H89+'Exhibit G State'!H74</f>
        <v>9.8000000000000007</v>
      </c>
      <c r="H98" s="377"/>
      <c r="I98" s="377">
        <f>+'Exhibit F'!J89+'Exhibit G State'!J74</f>
        <v>5.7</v>
      </c>
      <c r="J98" s="377"/>
      <c r="K98" s="377">
        <f>+'Exhibit F'!L89+'Exhibit G State'!L74</f>
        <v>6.8000000000000016</v>
      </c>
      <c r="L98" s="377"/>
      <c r="M98" s="377">
        <f>+'Exhibit F'!N89+'Exhibit G State'!N74</f>
        <v>8.100000000000005</v>
      </c>
      <c r="N98" s="377"/>
      <c r="O98" s="377">
        <f>+'Exhibit F'!P89+'Exhibit G State'!P74</f>
        <v>6.4000000000000021</v>
      </c>
      <c r="P98" s="377"/>
      <c r="Q98" s="377">
        <f>+'Exhibit F'!R89+'Exhibit G State'!R74</f>
        <v>9.2999999999999954</v>
      </c>
      <c r="R98" s="377"/>
      <c r="S98" s="377">
        <f>+'Exhibit F'!T89+'Exhibit G State'!T74</f>
        <v>6.1999999999999993</v>
      </c>
      <c r="T98" s="377"/>
      <c r="U98" s="377">
        <f>+'Exhibit F'!V89+'Exhibit G State'!V74</f>
        <v>7.6999999999999993</v>
      </c>
      <c r="V98" s="377"/>
      <c r="W98" s="377">
        <f>+'Exhibit F'!X89+'Exhibit G State'!X74</f>
        <v>6.5000000000000036</v>
      </c>
      <c r="X98" s="377"/>
      <c r="Y98" s="377">
        <f>+'Exhibit F'!Z89+'Exhibit G State'!Z74</f>
        <v>7.9999999999999911</v>
      </c>
      <c r="Z98" s="377"/>
      <c r="AA98" s="378"/>
      <c r="AB98" s="377">
        <f t="shared" si="26"/>
        <v>86.1</v>
      </c>
      <c r="AC98" s="377"/>
      <c r="AD98" s="1826"/>
      <c r="AE98" s="377">
        <f>+'Exhibit F'!AF89+'Exhibit G State'!AG74</f>
        <v>84.5</v>
      </c>
      <c r="AF98" s="377"/>
      <c r="AG98" s="377"/>
      <c r="AH98" s="377">
        <f t="shared" si="21"/>
        <v>1.6</v>
      </c>
      <c r="AI98" s="151"/>
      <c r="AJ98" s="488">
        <f t="shared" si="28"/>
        <v>1.9E-2</v>
      </c>
    </row>
    <row r="99" spans="1:45" ht="15.5">
      <c r="A99" s="597" t="s">
        <v>941</v>
      </c>
      <c r="B99" s="151"/>
      <c r="C99" s="377">
        <f>+'Exhibit F'!D90+'Exhibit H'!B47+'Exhibit G State'!D75</f>
        <v>268.2</v>
      </c>
      <c r="D99" s="377"/>
      <c r="E99" s="377">
        <f>+'Exhibit F'!F90+'Exhibit H'!D47+'Exhibit G State'!F75</f>
        <v>234.7</v>
      </c>
      <c r="F99" s="377"/>
      <c r="G99" s="377">
        <f>+'Exhibit F'!H90+'Exhibit H'!F47+'Exhibit G State'!H75</f>
        <v>243.80000000000007</v>
      </c>
      <c r="H99" s="377"/>
      <c r="I99" s="377">
        <f>+'Exhibit F'!J90+'Exhibit H'!H47+'Exhibit G State'!J75</f>
        <v>226.99999999999997</v>
      </c>
      <c r="J99" s="377"/>
      <c r="K99" s="377">
        <f>+'Exhibit F'!L90+'Exhibit H'!J47+'Exhibit G State'!L75</f>
        <v>163.90000000000009</v>
      </c>
      <c r="L99" s="377"/>
      <c r="M99" s="377">
        <f>+'Exhibit F'!N90+'Exhibit H'!L47+'Exhibit G State'!N75</f>
        <v>356.20000000000005</v>
      </c>
      <c r="N99" s="377"/>
      <c r="O99" s="377">
        <f>+'Exhibit F'!P90+'Exhibit H'!N47+'Exhibit G State'!P75</f>
        <v>237.5</v>
      </c>
      <c r="P99" s="377"/>
      <c r="Q99" s="377">
        <f>+'Exhibit F'!R90+'Exhibit H'!P47+'Exhibit G State'!R75</f>
        <v>247.7</v>
      </c>
      <c r="R99" s="377"/>
      <c r="S99" s="377">
        <f>+'Exhibit F'!T90+'Exhibit H'!R47+'Exhibit G State'!T75</f>
        <v>347.7</v>
      </c>
      <c r="T99" s="377"/>
      <c r="U99" s="377">
        <f>+'Exhibit F'!V90+'Exhibit H'!T47+'Exhibit G State'!V75</f>
        <v>241.30000000000013</v>
      </c>
      <c r="V99" s="377"/>
      <c r="W99" s="377">
        <f>+'Exhibit F'!X90+'Exhibit H'!V47+'Exhibit G State'!X75</f>
        <v>246.20000000000005</v>
      </c>
      <c r="X99" s="377"/>
      <c r="Y99" s="377">
        <f>+'Exhibit F'!Z90+'Exhibit H'!X47+'Exhibit G State'!Z75</f>
        <v>291.79999999999978</v>
      </c>
      <c r="Z99" s="377"/>
      <c r="AA99" s="378"/>
      <c r="AB99" s="377">
        <f t="shared" si="26"/>
        <v>3106</v>
      </c>
      <c r="AC99" s="377"/>
      <c r="AD99" s="1826"/>
      <c r="AE99" s="377">
        <f>+'Exhibit F'!AF90+'Exhibit H'!AD47+'Exhibit G State'!AG75</f>
        <v>2830.1</v>
      </c>
      <c r="AF99" s="377"/>
      <c r="AG99" s="377"/>
      <c r="AH99" s="377">
        <f t="shared" si="21"/>
        <v>275.89999999999998</v>
      </c>
      <c r="AI99" s="151"/>
      <c r="AJ99" s="488">
        <f t="shared" si="28"/>
        <v>9.7000000000000003E-2</v>
      </c>
    </row>
    <row r="100" spans="1:45" ht="15.5">
      <c r="A100" s="597" t="s">
        <v>942</v>
      </c>
      <c r="B100" s="151"/>
      <c r="C100" s="377">
        <f>+'Exhibit G State'!D76+'Exhibit F'!D91</f>
        <v>2.4</v>
      </c>
      <c r="D100" s="377"/>
      <c r="E100" s="377">
        <f>+'Exhibit G State'!F76+'Exhibit F'!F91</f>
        <v>2</v>
      </c>
      <c r="F100" s="377"/>
      <c r="G100" s="377">
        <f>+'Exhibit G State'!H76+'Exhibit F'!H91</f>
        <v>6.8999999999999995</v>
      </c>
      <c r="H100" s="377"/>
      <c r="I100" s="377">
        <f>+'Exhibit G State'!J76+'Exhibit F'!J91</f>
        <v>8.8000000000000007</v>
      </c>
      <c r="J100" s="377"/>
      <c r="K100" s="377">
        <f>+'Exhibit G State'!L76+'Exhibit F'!L91</f>
        <v>1.0000000000000004</v>
      </c>
      <c r="L100" s="377"/>
      <c r="M100" s="377">
        <f>+'Exhibit G State'!N76+'Exhibit F'!N91</f>
        <v>5.2000000000000011</v>
      </c>
      <c r="N100" s="377"/>
      <c r="O100" s="377">
        <f>+'Exhibit G State'!P76+'Exhibit F'!P91</f>
        <v>6.2999999999999954</v>
      </c>
      <c r="P100" s="377"/>
      <c r="Q100" s="377">
        <f>+'Exhibit G State'!R76+'Exhibit F'!R91</f>
        <v>0.10000000000000142</v>
      </c>
      <c r="R100" s="377"/>
      <c r="S100" s="377">
        <f>+'Exhibit G State'!T76+'Exhibit F'!T91</f>
        <v>3.7999999999999985</v>
      </c>
      <c r="T100" s="377"/>
      <c r="U100" s="377">
        <f>+'Exhibit G State'!V76+'Exhibit F'!V91</f>
        <v>5.5</v>
      </c>
      <c r="V100" s="377"/>
      <c r="W100" s="377">
        <f>+'Exhibit G State'!X76+'Exhibit F'!X91</f>
        <v>0.50000000000000178</v>
      </c>
      <c r="X100" s="377"/>
      <c r="Y100" s="377">
        <f>+'Exhibit G State'!Z76+'Exhibit F'!Z91</f>
        <v>4.5</v>
      </c>
      <c r="Z100" s="377"/>
      <c r="AA100" s="378"/>
      <c r="AB100" s="377">
        <f t="shared" si="26"/>
        <v>47</v>
      </c>
      <c r="AC100" s="377"/>
      <c r="AD100" s="1826"/>
      <c r="AE100" s="377">
        <f>+'Exhibit G State'!AG76+'Exhibit F'!AF91</f>
        <v>60.1</v>
      </c>
      <c r="AF100" s="377"/>
      <c r="AG100" s="377"/>
      <c r="AH100" s="377">
        <f t="shared" si="21"/>
        <v>-13.1</v>
      </c>
      <c r="AI100" s="151"/>
      <c r="AJ100" s="488">
        <f>ROUND(SUM(AH100/ABS(AE100)),3)</f>
        <v>-0.218</v>
      </c>
    </row>
    <row r="101" spans="1:45" ht="15.5">
      <c r="A101" s="597" t="s">
        <v>943</v>
      </c>
      <c r="B101" s="151"/>
      <c r="C101" s="377">
        <f>+'Exhibit F'!D92+'Exhibit G State'!D77</f>
        <v>7.5</v>
      </c>
      <c r="D101" s="377"/>
      <c r="E101" s="377">
        <f>+'Exhibit F'!F92+'Exhibit G State'!F77</f>
        <v>1.1999999999999993</v>
      </c>
      <c r="F101" s="377"/>
      <c r="G101" s="377">
        <f>+'Exhibit F'!H92+'Exhibit G State'!H77</f>
        <v>0.40000000000000036</v>
      </c>
      <c r="H101" s="377"/>
      <c r="I101" s="377">
        <f>+'Exhibit F'!J92+'Exhibit G State'!J77</f>
        <v>1</v>
      </c>
      <c r="J101" s="377"/>
      <c r="K101" s="377">
        <f>+'Exhibit F'!L92+'Exhibit G State'!L77</f>
        <v>93.899999999999991</v>
      </c>
      <c r="L101" s="377"/>
      <c r="M101" s="377">
        <f>+'Exhibit F'!N92+'Exhibit G State'!N77</f>
        <v>0.80000000000000282</v>
      </c>
      <c r="N101" s="377"/>
      <c r="O101" s="377">
        <f>+'Exhibit F'!P92+'Exhibit G State'!P77</f>
        <v>68.000000000000014</v>
      </c>
      <c r="P101" s="377"/>
      <c r="Q101" s="377">
        <f>+'Exhibit F'!R92+'Exhibit G State'!R77</f>
        <v>37.5</v>
      </c>
      <c r="R101" s="377"/>
      <c r="S101" s="377">
        <f>+'Exhibit F'!T92+'Exhibit G State'!T77</f>
        <v>0.80000000000001137</v>
      </c>
      <c r="T101" s="377"/>
      <c r="U101" s="377">
        <f>+'Exhibit F'!V92+'Exhibit G State'!V77</f>
        <v>15.699999999999994</v>
      </c>
      <c r="V101" s="377"/>
      <c r="W101" s="377">
        <f>+'Exhibit F'!X92+'Exhibit G State'!X77</f>
        <v>47.799999999999983</v>
      </c>
      <c r="X101" s="377"/>
      <c r="Y101" s="377">
        <f>+'Exhibit F'!Z92+'Exhibit G State'!Z77</f>
        <v>1.5000000000000071</v>
      </c>
      <c r="Z101" s="377"/>
      <c r="AA101" s="378"/>
      <c r="AB101" s="377">
        <f t="shared" si="26"/>
        <v>276.10000000000002</v>
      </c>
      <c r="AC101" s="377"/>
      <c r="AD101" s="1826"/>
      <c r="AE101" s="377">
        <f>+'Exhibit F'!AF92+'Exhibit G State'!AG77</f>
        <v>100.39999999999999</v>
      </c>
      <c r="AF101" s="377"/>
      <c r="AG101" s="377"/>
      <c r="AH101" s="377">
        <f t="shared" si="21"/>
        <v>175.7</v>
      </c>
      <c r="AI101" s="151"/>
      <c r="AJ101" s="1145">
        <f t="shared" si="28"/>
        <v>1.75</v>
      </c>
    </row>
    <row r="102" spans="1:45" ht="15.5">
      <c r="A102" s="597" t="s">
        <v>944</v>
      </c>
      <c r="B102" s="151"/>
      <c r="C102" s="377">
        <f>+'Exhibit F'!D93+'Exhibit G State'!D78</f>
        <v>1.9</v>
      </c>
      <c r="D102" s="377"/>
      <c r="E102" s="377">
        <f>+'Exhibit F'!F93+'Exhibit G State'!F78</f>
        <v>1.4</v>
      </c>
      <c r="F102" s="377"/>
      <c r="G102" s="377">
        <f>+'Exhibit F'!H93+'Exhibit G State'!H78</f>
        <v>1.7000000000000002</v>
      </c>
      <c r="H102" s="377"/>
      <c r="I102" s="377">
        <f>+'Exhibit F'!J93+'Exhibit G State'!J78</f>
        <v>1.4000000000000004</v>
      </c>
      <c r="J102" s="377"/>
      <c r="K102" s="377">
        <f>+'Exhibit F'!L93+'Exhibit G State'!L78</f>
        <v>-0.20000000000000018</v>
      </c>
      <c r="L102" s="377"/>
      <c r="M102" s="377">
        <f>+'Exhibit F'!N93+'Exhibit G State'!N78</f>
        <v>1.1999999999999993</v>
      </c>
      <c r="N102" s="377"/>
      <c r="O102" s="377">
        <f>+'Exhibit F'!P93+'Exhibit G State'!P78</f>
        <v>1.2999999999999989</v>
      </c>
      <c r="P102" s="377"/>
      <c r="Q102" s="377">
        <f>+'Exhibit F'!R93+'Exhibit G State'!R78</f>
        <v>1.3000000000000007</v>
      </c>
      <c r="R102" s="377"/>
      <c r="S102" s="377">
        <f>+'Exhibit F'!T93+'Exhibit G State'!T78</f>
        <v>1.8000000000000007</v>
      </c>
      <c r="T102" s="377"/>
      <c r="U102" s="377">
        <f>+'Exhibit F'!V93+'Exhibit G State'!V78</f>
        <v>19.300000000000004</v>
      </c>
      <c r="V102" s="377"/>
      <c r="W102" s="377">
        <f>+'Exhibit F'!X93+'Exhibit G State'!X78</f>
        <v>1.1000000000000014</v>
      </c>
      <c r="X102" s="377"/>
      <c r="Y102" s="377">
        <f>+'Exhibit F'!Z93+'Exhibit G State'!Z78</f>
        <v>1.5999999999999943</v>
      </c>
      <c r="Z102" s="377"/>
      <c r="AA102" s="378"/>
      <c r="AB102" s="377">
        <f t="shared" si="26"/>
        <v>33.799999999999997</v>
      </c>
      <c r="AC102" s="377"/>
      <c r="AD102" s="1826"/>
      <c r="AE102" s="377">
        <f>+'Exhibit F'!AF93+'Exhibit G State'!AG78</f>
        <v>24.2</v>
      </c>
      <c r="AF102" s="377"/>
      <c r="AG102" s="377"/>
      <c r="AH102" s="377">
        <f t="shared" si="21"/>
        <v>9.6</v>
      </c>
      <c r="AI102" s="151"/>
      <c r="AJ102" s="488">
        <f t="shared" si="28"/>
        <v>0.39700000000000002</v>
      </c>
    </row>
    <row r="103" spans="1:45" ht="15.5">
      <c r="A103" s="597" t="s">
        <v>945</v>
      </c>
      <c r="B103" s="151"/>
      <c r="C103" s="377">
        <f>+'Exhibit F'!D94+'Exhibit G State'!D79+'Exhibit H'!B48</f>
        <v>101.9</v>
      </c>
      <c r="D103" s="377"/>
      <c r="E103" s="377">
        <f>+'Exhibit F'!F94+'Exhibit G State'!F79+'Exhibit H'!D48</f>
        <v>66.399999999999991</v>
      </c>
      <c r="F103" s="377"/>
      <c r="G103" s="377">
        <f>+'Exhibit F'!H94+'Exhibit G State'!H79+'Exhibit H'!F48</f>
        <v>75.3</v>
      </c>
      <c r="H103" s="377"/>
      <c r="I103" s="377">
        <f>+'Exhibit F'!J94+'Exhibit G State'!J79+'Exhibit H'!H48</f>
        <v>49.10000000000003</v>
      </c>
      <c r="J103" s="377"/>
      <c r="K103" s="377">
        <f>+'Exhibit F'!L94+'Exhibit G State'!L79+'Exhibit H'!J48</f>
        <v>46.400000000000013</v>
      </c>
      <c r="L103" s="377"/>
      <c r="M103" s="377">
        <f>+'Exhibit F'!N94+'Exhibit G State'!N79+'Exhibit H'!L48</f>
        <v>83</v>
      </c>
      <c r="N103" s="377"/>
      <c r="O103" s="377">
        <f>+'Exhibit F'!P94+'Exhibit G State'!P79+'Exhibit H'!N48</f>
        <v>46.999999999999964</v>
      </c>
      <c r="P103" s="377"/>
      <c r="Q103" s="377">
        <f>+'Exhibit F'!R94+'Exhibit G State'!R79+'Exhibit H'!P48</f>
        <v>37.400000000000027</v>
      </c>
      <c r="R103" s="377"/>
      <c r="S103" s="377">
        <f>+'Exhibit F'!T94+'Exhibit G State'!T79+'Exhibit H'!R48</f>
        <v>77.399999999999977</v>
      </c>
      <c r="T103" s="377"/>
      <c r="U103" s="377">
        <f>+'Exhibit F'!V94+'Exhibit G State'!V79+'Exhibit H'!T48</f>
        <v>8.4000000000000412</v>
      </c>
      <c r="V103" s="377"/>
      <c r="W103" s="377">
        <f>+'Exhibit F'!X94+'Exhibit G State'!X79+'Exhibit H'!V48</f>
        <v>83.199999999999903</v>
      </c>
      <c r="X103" s="377"/>
      <c r="Y103" s="377">
        <f>+'Exhibit F'!Z94+'Exhibit G State'!Z79+'Exhibit H'!X48</f>
        <v>53.000000000000107</v>
      </c>
      <c r="Z103" s="377"/>
      <c r="AA103" s="378"/>
      <c r="AB103" s="377">
        <f t="shared" si="26"/>
        <v>728.5</v>
      </c>
      <c r="AC103" s="377"/>
      <c r="AD103" s="1826"/>
      <c r="AE103" s="377">
        <f>+'Exhibit F'!AF94+'Exhibit G State'!AG79+'Exhibit H'!AD48</f>
        <v>803.1</v>
      </c>
      <c r="AF103" s="377"/>
      <c r="AG103" s="377"/>
      <c r="AH103" s="377">
        <f t="shared" si="21"/>
        <v>-74.599999999999994</v>
      </c>
      <c r="AI103" s="151"/>
      <c r="AJ103" s="1145">
        <f t="shared" si="28"/>
        <v>-9.2999999999999999E-2</v>
      </c>
    </row>
    <row r="104" spans="1:45" ht="15.5">
      <c r="A104" s="597" t="s">
        <v>946</v>
      </c>
      <c r="B104" s="151"/>
      <c r="C104" s="377">
        <f>+'Exhibit F'!D95+'Exhibit G State'!D80+'Exhibit H'!B49</f>
        <v>0.70000000000000007</v>
      </c>
      <c r="D104" s="377"/>
      <c r="E104" s="377">
        <f>+'Exhibit F'!F95+'Exhibit G State'!F80+'Exhibit H'!D49</f>
        <v>1.4000000000000001</v>
      </c>
      <c r="F104" s="377"/>
      <c r="G104" s="377">
        <f>+'Exhibit F'!H95+'Exhibit G State'!H80+'Exhibit H'!F49</f>
        <v>2.0999999999999996</v>
      </c>
      <c r="H104" s="377"/>
      <c r="I104" s="377">
        <f>+'Exhibit F'!J95+'Exhibit G State'!J80+'Exhibit H'!H49</f>
        <v>2.2999999999999998</v>
      </c>
      <c r="J104" s="377"/>
      <c r="K104" s="377">
        <f>+'Exhibit F'!L95+'Exhibit G State'!L80+'Exhibit H'!J49</f>
        <v>1.4000000000000006</v>
      </c>
      <c r="L104" s="377"/>
      <c r="M104" s="377">
        <f>+'Exhibit F'!N95+'Exhibit G State'!N80+'Exhibit H'!L49</f>
        <v>0.99999999999999933</v>
      </c>
      <c r="N104" s="377"/>
      <c r="O104" s="377">
        <f>+'Exhibit F'!P95+'Exhibit G State'!P80+'Exhibit H'!N49</f>
        <v>1.2999999999999987</v>
      </c>
      <c r="P104" s="377"/>
      <c r="Q104" s="377">
        <f>+'Exhibit F'!R95+'Exhibit G State'!R80+'Exhibit H'!P49</f>
        <v>0.5</v>
      </c>
      <c r="R104" s="377"/>
      <c r="S104" s="377">
        <f>+'Exhibit F'!T95+'Exhibit G State'!T80+'Exhibit H'!R49</f>
        <v>1.6</v>
      </c>
      <c r="T104" s="377"/>
      <c r="U104" s="377">
        <f>+'Exhibit F'!V95+'Exhibit G State'!V80+'Exhibit H'!T49</f>
        <v>0.90000000000000036</v>
      </c>
      <c r="V104" s="377"/>
      <c r="W104" s="377">
        <f>+'Exhibit F'!X95+'Exhibit G State'!X80+'Exhibit H'!V49</f>
        <v>3.799999999999998</v>
      </c>
      <c r="X104" s="377"/>
      <c r="Y104" s="377">
        <f>+'Exhibit F'!Z95+'Exhibit G State'!Z80+'Exhibit H'!X49</f>
        <v>1.200000000000002</v>
      </c>
      <c r="Z104" s="377"/>
      <c r="AA104" s="378"/>
      <c r="AB104" s="377">
        <f t="shared" si="26"/>
        <v>18.2</v>
      </c>
      <c r="AC104" s="377"/>
      <c r="AD104" s="1826"/>
      <c r="AE104" s="377">
        <f>+'Exhibit F'!AF95+'Exhibit G State'!AG80+'Exhibit H'!AD49</f>
        <v>28.9</v>
      </c>
      <c r="AF104" s="377"/>
      <c r="AG104" s="377"/>
      <c r="AH104" s="377">
        <f t="shared" si="21"/>
        <v>-10.7</v>
      </c>
      <c r="AI104" s="151"/>
      <c r="AJ104" s="488">
        <f t="shared" si="28"/>
        <v>-0.37</v>
      </c>
    </row>
    <row r="105" spans="1:45" ht="15.5">
      <c r="A105" s="597" t="s">
        <v>947</v>
      </c>
      <c r="B105" s="151"/>
      <c r="C105" s="377">
        <f>+'Exhibit G State'!D81</f>
        <v>36.700000000000003</v>
      </c>
      <c r="D105" s="377"/>
      <c r="E105" s="377">
        <f>+'Exhibit G State'!F81</f>
        <v>-26.1</v>
      </c>
      <c r="F105" s="377"/>
      <c r="G105" s="377">
        <f>+'Exhibit G State'!H81</f>
        <v>54.100000000000009</v>
      </c>
      <c r="H105" s="377"/>
      <c r="I105" s="377">
        <f>+'Exhibit G State'!J81</f>
        <v>25.399999999999984</v>
      </c>
      <c r="J105" s="377"/>
      <c r="K105" s="377">
        <f>+'Exhibit G State'!L81</f>
        <v>98.200000000000031</v>
      </c>
      <c r="L105" s="377"/>
      <c r="M105" s="377">
        <f>+'Exhibit G State'!N81</f>
        <v>415.49999999999989</v>
      </c>
      <c r="N105" s="377"/>
      <c r="O105" s="377">
        <f>+'Exhibit G State'!P81</f>
        <v>96.700000000000045</v>
      </c>
      <c r="P105" s="377"/>
      <c r="Q105" s="377">
        <f>+'Exhibit G State'!R81</f>
        <v>71</v>
      </c>
      <c r="R105" s="377"/>
      <c r="S105" s="377">
        <f>+'Exhibit G State'!T81</f>
        <v>-25.600000000000023</v>
      </c>
      <c r="T105" s="377"/>
      <c r="U105" s="377">
        <f>+'Exhibit G State'!V81</f>
        <v>246.10000000000002</v>
      </c>
      <c r="V105" s="377"/>
      <c r="W105" s="377">
        <f>+'Exhibit G State'!X81</f>
        <v>293.89999999999998</v>
      </c>
      <c r="X105" s="377"/>
      <c r="Y105" s="377">
        <f>+'Exhibit G State'!Z81</f>
        <v>0.89999999999986358</v>
      </c>
      <c r="Z105" s="377"/>
      <c r="AA105" s="378"/>
      <c r="AB105" s="377">
        <f t="shared" si="26"/>
        <v>1286.8</v>
      </c>
      <c r="AC105" s="377"/>
      <c r="AD105" s="1826"/>
      <c r="AE105" s="377">
        <f>+'Exhibit G State'!AG81</f>
        <v>1244.2</v>
      </c>
      <c r="AF105" s="377"/>
      <c r="AG105" s="377"/>
      <c r="AH105" s="377">
        <f t="shared" si="21"/>
        <v>42.6</v>
      </c>
      <c r="AI105" s="151"/>
      <c r="AJ105" s="488">
        <f>ROUND(SUM(AH105/ABS(AE105)),3)</f>
        <v>3.4000000000000002E-2</v>
      </c>
    </row>
    <row r="106" spans="1:45" ht="15.5">
      <c r="A106" s="217" t="s">
        <v>980</v>
      </c>
      <c r="B106" s="138"/>
      <c r="C106" s="178">
        <f>ROUND(SUM(C64:C105),1)</f>
        <v>1718</v>
      </c>
      <c r="D106" s="751"/>
      <c r="E106" s="178">
        <f>ROUND(SUM(E64:E105),1)</f>
        <v>1438.2</v>
      </c>
      <c r="F106" s="751"/>
      <c r="G106" s="178">
        <f>ROUND(SUM(G64:G105),1)</f>
        <v>1862.3</v>
      </c>
      <c r="H106" s="42"/>
      <c r="I106" s="178">
        <f>ROUND(SUM(I64:I105),1)</f>
        <v>1671.2</v>
      </c>
      <c r="J106" s="42"/>
      <c r="K106" s="178">
        <f>ROUND(SUM(K64:K105),1)</f>
        <v>1918.6</v>
      </c>
      <c r="L106" s="42"/>
      <c r="M106" s="178">
        <f>ROUND(SUM(M64:M105),1)</f>
        <v>2547.8000000000002</v>
      </c>
      <c r="N106" s="42"/>
      <c r="O106" s="178">
        <f>ROUND(SUM(O64:O105),1)</f>
        <v>1883.2</v>
      </c>
      <c r="P106" s="42"/>
      <c r="Q106" s="178">
        <f>ROUND(SUM(Q64:Q105),1)</f>
        <v>2062.8000000000002</v>
      </c>
      <c r="R106" s="42"/>
      <c r="S106" s="178">
        <f>ROUND(SUM(S64:S105),1)</f>
        <v>2150.4</v>
      </c>
      <c r="T106" s="42"/>
      <c r="U106" s="178">
        <f>ROUND(SUM(U64:U105),1)</f>
        <v>2263</v>
      </c>
      <c r="V106" s="42"/>
      <c r="W106" s="178">
        <f>ROUND(SUM(W64:W105),1)</f>
        <v>2358.6</v>
      </c>
      <c r="X106" s="111"/>
      <c r="Y106" s="178">
        <f>ROUND(SUM(Y64:Y105),1)</f>
        <v>3027.5</v>
      </c>
      <c r="Z106" s="111"/>
      <c r="AA106" s="179"/>
      <c r="AB106" s="178">
        <f>ROUND(SUM(AB64:AB105),1)</f>
        <v>24901.599999999999</v>
      </c>
      <c r="AC106" s="42"/>
      <c r="AD106" s="44"/>
      <c r="AE106" s="178">
        <f>ROUND(SUM(AE64:AE105),1)</f>
        <v>22742.6</v>
      </c>
      <c r="AF106" s="42"/>
      <c r="AG106" s="1827"/>
      <c r="AH106" s="178">
        <f>ROUND(SUM(AH64:AH105),1)</f>
        <v>2159</v>
      </c>
      <c r="AI106" s="42"/>
      <c r="AJ106" s="749">
        <f>ROUND(SUM(+AH106/ABS(AE106)),3)</f>
        <v>9.5000000000000001E-2</v>
      </c>
    </row>
    <row r="107" spans="1:45" ht="15.5">
      <c r="A107" s="151"/>
      <c r="B107" s="151"/>
      <c r="C107" s="377"/>
      <c r="D107" s="377"/>
      <c r="E107" s="377"/>
      <c r="F107" s="377"/>
      <c r="G107" s="377"/>
      <c r="H107" s="377"/>
      <c r="I107" s="377"/>
      <c r="J107" s="377"/>
      <c r="K107" s="377"/>
      <c r="L107" s="377"/>
      <c r="M107" s="377"/>
      <c r="N107" s="377"/>
      <c r="O107" s="377"/>
      <c r="P107" s="377"/>
      <c r="Q107" s="377"/>
      <c r="R107" s="377"/>
      <c r="S107" s="377"/>
      <c r="T107" s="377"/>
      <c r="U107" s="377"/>
      <c r="V107" s="377"/>
      <c r="W107" s="377"/>
      <c r="X107" s="377"/>
      <c r="Y107" s="377"/>
      <c r="Z107" s="377"/>
      <c r="AA107" s="687"/>
      <c r="AB107" s="377"/>
      <c r="AC107" s="377"/>
      <c r="AD107" s="378"/>
      <c r="AE107" s="377"/>
      <c r="AF107" s="377"/>
      <c r="AG107" s="377"/>
      <c r="AH107" s="377"/>
      <c r="AI107" s="151"/>
      <c r="AJ107" s="488"/>
    </row>
    <row r="108" spans="1:45" ht="15.5">
      <c r="A108" s="151" t="s">
        <v>20</v>
      </c>
      <c r="B108" s="151"/>
      <c r="C108" s="379">
        <f>+'Exhibit F'!D98+'Exhibit G State'!D84+'Exhibit H'!B52</f>
        <v>0</v>
      </c>
      <c r="D108" s="377"/>
      <c r="E108" s="379">
        <f>+'Exhibit F'!F98+'Exhibit G State'!F84+'Exhibit H'!D52</f>
        <v>0.2</v>
      </c>
      <c r="F108" s="377"/>
      <c r="G108" s="379">
        <f>+'Exhibit F'!H98+'Exhibit G State'!H84+'Exhibit H'!F52</f>
        <v>11.900000000000002</v>
      </c>
      <c r="H108" s="377"/>
      <c r="I108" s="379">
        <f>+'Exhibit F'!J98+'Exhibit G State'!J84+'Exhibit H'!H52</f>
        <v>3.3999999999999995</v>
      </c>
      <c r="J108" s="377"/>
      <c r="K108" s="379">
        <f>+'Exhibit F'!L98+'Exhibit G State'!L84+'Exhibit H'!J52</f>
        <v>36.5</v>
      </c>
      <c r="L108" s="377"/>
      <c r="M108" s="379">
        <f>+'Exhibit F'!N98+'Exhibit G State'!N84+'Exhibit H'!L52</f>
        <v>0.2</v>
      </c>
      <c r="N108" s="377"/>
      <c r="O108" s="379">
        <f>+'Exhibit F'!P98+'Exhibit G State'!P84+'Exhibit H'!N52</f>
        <v>0</v>
      </c>
      <c r="P108" s="377"/>
      <c r="Q108" s="379">
        <f>+'Exhibit F'!R98+'Exhibit G State'!R84+'Exhibit H'!P52</f>
        <v>0.59999999999999964</v>
      </c>
      <c r="R108" s="377"/>
      <c r="S108" s="379">
        <f>+'Exhibit F'!T98+'Exhibit G State'!T84+'Exhibit H'!R52</f>
        <v>0.19999999999999962</v>
      </c>
      <c r="T108" s="377"/>
      <c r="U108" s="379">
        <f>+'Exhibit F'!V98+'Exhibit G State'!V84+'Exhibit H'!T52</f>
        <v>8.6000000000000014</v>
      </c>
      <c r="V108" s="377"/>
      <c r="W108" s="379">
        <f>+'Exhibit F'!X98+'Exhibit G State'!X84+'Exhibit H'!V52</f>
        <v>8.3000000000000025</v>
      </c>
      <c r="X108" s="377"/>
      <c r="Y108" s="379">
        <f>+'Exhibit F'!Z98+'Exhibit G State'!Z84+'Exhibit H'!X52</f>
        <v>2350.0000000000005</v>
      </c>
      <c r="Z108" s="377"/>
      <c r="AA108" s="378"/>
      <c r="AB108" s="379">
        <f>ROUND(SUM(C108:Y108),1)</f>
        <v>2419.9</v>
      </c>
      <c r="AC108" s="377"/>
      <c r="AD108" s="1826"/>
      <c r="AE108" s="379">
        <f>'Exhibit F'!AF98+'Exhibit G State'!AG84+'Exhibit H'!AD52</f>
        <v>4605.9000000000005</v>
      </c>
      <c r="AF108" s="377"/>
      <c r="AG108" s="377"/>
      <c r="AH108" s="379">
        <f>ROUND(SUM(AB108-AE108),1)</f>
        <v>-2186</v>
      </c>
      <c r="AI108" s="151"/>
      <c r="AJ108" s="1025">
        <f>ROUND(IF(AE108=0,1,AH108/ABS(AE108)),3)</f>
        <v>-0.47499999999999998</v>
      </c>
    </row>
    <row r="109" spans="1:45" ht="15.5">
      <c r="A109" s="151"/>
      <c r="B109" s="151"/>
      <c r="C109" s="377"/>
      <c r="D109" s="377"/>
      <c r="E109" s="377"/>
      <c r="F109" s="377"/>
      <c r="G109" s="377"/>
      <c r="H109" s="377"/>
      <c r="I109" s="377"/>
      <c r="J109" s="377"/>
      <c r="K109" s="377"/>
      <c r="L109" s="377"/>
      <c r="M109" s="377"/>
      <c r="N109" s="377"/>
      <c r="O109" s="377"/>
      <c r="P109" s="377"/>
      <c r="Q109" s="377"/>
      <c r="R109" s="377"/>
      <c r="S109" s="377"/>
      <c r="T109" s="377"/>
      <c r="U109" s="377"/>
      <c r="V109" s="377"/>
      <c r="W109" s="377"/>
      <c r="X109" s="377"/>
      <c r="Y109" s="377"/>
      <c r="Z109" s="377"/>
      <c r="AA109" s="378"/>
      <c r="AB109" s="377"/>
      <c r="AC109" s="377"/>
      <c r="AD109" s="1826"/>
      <c r="AE109" s="377"/>
      <c r="AF109" s="377"/>
      <c r="AG109" s="377"/>
      <c r="AH109" s="377"/>
      <c r="AI109" s="151"/>
      <c r="AJ109" s="1829"/>
    </row>
    <row r="110" spans="1:45" ht="15.5">
      <c r="A110" s="19" t="s">
        <v>147</v>
      </c>
      <c r="B110" s="20"/>
      <c r="C110" s="603">
        <f>ROUND(SUM(C108+C106+C60),1)</f>
        <v>19765.900000000001</v>
      </c>
      <c r="D110" s="42"/>
      <c r="E110" s="603">
        <f>ROUND(SUM(E108+E106+E60),1)</f>
        <v>6098.6</v>
      </c>
      <c r="F110" s="42"/>
      <c r="G110" s="603">
        <f>ROUND(SUM(G108+G106+G60),1)</f>
        <v>13280</v>
      </c>
      <c r="H110" s="42"/>
      <c r="I110" s="603">
        <f>ROUND(SUM(I108+I106+I60),1)</f>
        <v>6968</v>
      </c>
      <c r="J110" s="42"/>
      <c r="K110" s="603">
        <f>ROUND(SUM(K108+K106+K60),1)</f>
        <v>7439.2</v>
      </c>
      <c r="L110" s="42"/>
      <c r="M110" s="603">
        <f>ROUND(SUM(M108+M106+M60),1)</f>
        <v>15438.5</v>
      </c>
      <c r="N110" s="42"/>
      <c r="O110" s="603">
        <f>ROUND(SUM(O108+O106+O60),1)</f>
        <v>5444</v>
      </c>
      <c r="P110" s="42"/>
      <c r="Q110" s="603">
        <f>ROUND(SUM(Q108+Q106+Q60),1)</f>
        <v>6965.8</v>
      </c>
      <c r="R110" s="42"/>
      <c r="S110" s="603">
        <f>ROUND(SUM(S108+S106+S60),1)</f>
        <v>14856.6</v>
      </c>
      <c r="T110" s="42"/>
      <c r="U110" s="603">
        <f>ROUND(SUM(U108+U106+U60),1)</f>
        <v>13420.3</v>
      </c>
      <c r="V110" s="42"/>
      <c r="W110" s="603">
        <f>ROUND(SUM(W108+W106+W60),1)</f>
        <v>8621.6</v>
      </c>
      <c r="X110" s="111"/>
      <c r="Y110" s="603">
        <f>ROUND(SUM(Y108+Y106+Y60),1)</f>
        <v>19420.400000000001</v>
      </c>
      <c r="Z110" s="175"/>
      <c r="AA110" s="19"/>
      <c r="AB110" s="603">
        <f>ROUND(SUM(AB108+AB106+AB60),1)</f>
        <v>137718.9</v>
      </c>
      <c r="AC110" s="42"/>
      <c r="AD110" s="44"/>
      <c r="AE110" s="603">
        <f>ROUND(SUM(AE108+AE106+AE60),1)</f>
        <v>147171.70000000001</v>
      </c>
      <c r="AF110" s="42"/>
      <c r="AG110" s="1827"/>
      <c r="AH110" s="603">
        <f>ROUND(SUM(AH108+AH106+AH60),1)</f>
        <v>-9452.7999999999993</v>
      </c>
      <c r="AI110" s="42"/>
      <c r="AJ110" s="210">
        <f>ROUND(SUM(+AH110/ABS(AE110)),3)</f>
        <v>-6.4000000000000001E-2</v>
      </c>
      <c r="AK110" s="302"/>
      <c r="AL110" s="302"/>
      <c r="AM110" s="302"/>
      <c r="AN110" s="302"/>
      <c r="AO110" s="302"/>
      <c r="AP110" s="302"/>
      <c r="AQ110" s="302"/>
      <c r="AR110" s="302"/>
      <c r="AS110" s="302"/>
    </row>
    <row r="111" spans="1:45" ht="15.5">
      <c r="A111" s="111"/>
      <c r="B111" s="151"/>
      <c r="C111" s="35"/>
      <c r="D111" s="377"/>
      <c r="E111" s="35"/>
      <c r="F111" s="377"/>
      <c r="G111" s="35"/>
      <c r="H111" s="377"/>
      <c r="I111" s="35"/>
      <c r="J111" s="377"/>
      <c r="K111" s="35"/>
      <c r="L111" s="377"/>
      <c r="M111" s="35"/>
      <c r="N111" s="377"/>
      <c r="O111" s="35"/>
      <c r="P111" s="377"/>
      <c r="Q111" s="35"/>
      <c r="R111" s="377"/>
      <c r="S111" s="35"/>
      <c r="T111" s="377"/>
      <c r="U111" s="35"/>
      <c r="V111" s="377"/>
      <c r="W111" s="35"/>
      <c r="X111" s="377"/>
      <c r="Y111" s="35"/>
      <c r="Z111" s="377"/>
      <c r="AA111" s="378"/>
      <c r="AB111" s="35"/>
      <c r="AC111" s="377"/>
      <c r="AD111" s="1826"/>
      <c r="AE111" s="35"/>
      <c r="AF111" s="377"/>
      <c r="AG111" s="377"/>
      <c r="AH111" s="467"/>
      <c r="AI111" s="151"/>
      <c r="AJ111" s="472"/>
    </row>
    <row r="112" spans="1:45" ht="15.5">
      <c r="A112" s="111" t="s">
        <v>22</v>
      </c>
      <c r="B112" s="151"/>
      <c r="C112" s="377"/>
      <c r="D112" s="377"/>
      <c r="E112" s="377"/>
      <c r="F112" s="377"/>
      <c r="G112" s="377"/>
      <c r="H112" s="377"/>
      <c r="I112" s="377"/>
      <c r="J112" s="377"/>
      <c r="K112" s="377"/>
      <c r="L112" s="377"/>
      <c r="M112" s="377"/>
      <c r="N112" s="377"/>
      <c r="O112" s="377"/>
      <c r="P112" s="377"/>
      <c r="Q112" s="377"/>
      <c r="R112" s="377"/>
      <c r="S112" s="377"/>
      <c r="T112" s="377"/>
      <c r="U112" s="377"/>
      <c r="V112" s="377"/>
      <c r="W112" s="377"/>
      <c r="X112" s="377"/>
      <c r="Y112" s="377"/>
      <c r="Z112" s="377"/>
      <c r="AA112" s="378"/>
      <c r="AB112" s="377"/>
      <c r="AC112" s="377"/>
      <c r="AD112" s="1826"/>
      <c r="AE112" s="377"/>
      <c r="AF112" s="377"/>
      <c r="AG112" s="377"/>
      <c r="AH112" s="467"/>
      <c r="AI112" s="151"/>
      <c r="AJ112" s="472"/>
    </row>
    <row r="113" spans="1:38" ht="15.5">
      <c r="A113" s="151" t="s">
        <v>135</v>
      </c>
      <c r="B113" s="151"/>
      <c r="C113" s="377"/>
      <c r="D113" s="377"/>
      <c r="E113" s="377"/>
      <c r="F113" s="377"/>
      <c r="G113" s="377"/>
      <c r="H113" s="377"/>
      <c r="I113" s="377"/>
      <c r="J113" s="377"/>
      <c r="K113" s="377"/>
      <c r="L113" s="377"/>
      <c r="M113" s="377"/>
      <c r="N113" s="377"/>
      <c r="O113" s="377"/>
      <c r="P113" s="377"/>
      <c r="Q113" s="377"/>
      <c r="R113" s="377"/>
      <c r="S113" s="377"/>
      <c r="T113" s="377"/>
      <c r="U113" s="377"/>
      <c r="V113" s="377"/>
      <c r="W113" s="377"/>
      <c r="X113" s="377"/>
      <c r="Y113" s="377"/>
      <c r="Z113" s="377"/>
      <c r="AA113" s="378"/>
      <c r="AB113" s="377"/>
      <c r="AC113" s="377"/>
      <c r="AD113" s="1826"/>
      <c r="AE113" s="467"/>
      <c r="AF113" s="377"/>
      <c r="AG113" s="377"/>
      <c r="AH113" s="377"/>
      <c r="AI113" s="151"/>
      <c r="AJ113" s="488"/>
    </row>
    <row r="114" spans="1:38" ht="15.5">
      <c r="A114" s="1577" t="s">
        <v>24</v>
      </c>
      <c r="B114" s="151"/>
      <c r="C114" s="377">
        <f>+'Exhibit F'!D104+'Exhibit G State'!D90</f>
        <v>1436</v>
      </c>
      <c r="D114" s="377"/>
      <c r="E114" s="377">
        <f>+'Exhibit F'!F104+'Exhibit G State'!F90</f>
        <v>4347.1000000000004</v>
      </c>
      <c r="F114" s="377"/>
      <c r="G114" s="377">
        <f>+'Exhibit F'!H104+'Exhibit G State'!H90</f>
        <v>2612.4</v>
      </c>
      <c r="H114" s="377"/>
      <c r="I114" s="377">
        <f>+'Exhibit F'!J104+'Exhibit G State'!J90</f>
        <v>963.99999999999966</v>
      </c>
      <c r="J114" s="377"/>
      <c r="K114" s="377">
        <f>+'Exhibit F'!L104+'Exhibit G State'!L90</f>
        <v>753.4</v>
      </c>
      <c r="L114" s="377"/>
      <c r="M114" s="377">
        <f>+'Exhibit F'!N104+'Exhibit G State'!N90</f>
        <v>4933.1000000000004</v>
      </c>
      <c r="N114" s="377"/>
      <c r="O114" s="377">
        <f>+'Exhibit F'!P104+'Exhibit G State'!P90</f>
        <v>1415.900000000001</v>
      </c>
      <c r="P114" s="377"/>
      <c r="Q114" s="377">
        <f>+'Exhibit F'!R104+'Exhibit G State'!R90</f>
        <v>2403.3999999999996</v>
      </c>
      <c r="R114" s="377"/>
      <c r="S114" s="377">
        <f>+'Exhibit F'!T104+'Exhibit G State'!T90</f>
        <v>2666.3000000000011</v>
      </c>
      <c r="T114" s="377"/>
      <c r="U114" s="377">
        <f>+'Exhibit F'!V104+'Exhibit G State'!V90</f>
        <v>2996.4999999999991</v>
      </c>
      <c r="V114" s="377"/>
      <c r="W114" s="377">
        <f>+'Exhibit F'!X104+'Exhibit G State'!X90</f>
        <v>1853.4999999999982</v>
      </c>
      <c r="X114" s="377"/>
      <c r="Y114" s="377">
        <f>+'Exhibit F'!Z104+'Exhibit G State'!Z90</f>
        <v>10782.7</v>
      </c>
      <c r="Z114" s="377"/>
      <c r="AA114" s="378"/>
      <c r="AB114" s="467">
        <f>ROUND(SUM(C114:Y114),1)</f>
        <v>37164.300000000003</v>
      </c>
      <c r="AC114" s="377"/>
      <c r="AD114" s="1826"/>
      <c r="AE114" s="467">
        <f>+'Exhibit F'!AF104+'Exhibit G State'!AG90</f>
        <v>35088.5</v>
      </c>
      <c r="AF114" s="377"/>
      <c r="AG114" s="377"/>
      <c r="AH114" s="377">
        <f>ROUND(SUM(AB114-AE114),1)</f>
        <v>2075.8000000000002</v>
      </c>
      <c r="AI114" s="151"/>
      <c r="AJ114" s="488">
        <f>ROUND(SUM(AH114/ABS(AE114)),3)</f>
        <v>5.8999999999999997E-2</v>
      </c>
    </row>
    <row r="115" spans="1:38" ht="15.5">
      <c r="A115" s="1577" t="s">
        <v>25</v>
      </c>
      <c r="B115" s="151"/>
      <c r="C115" s="377">
        <f>+'Exhibit F'!D105+'Exhibit G State'!D91</f>
        <v>0.1</v>
      </c>
      <c r="D115" s="377"/>
      <c r="E115" s="377">
        <f>+'Exhibit F'!F105+'Exhibit G State'!F91</f>
        <v>0.2</v>
      </c>
      <c r="F115" s="377"/>
      <c r="G115" s="377">
        <f>+'Exhibit F'!H105+'Exhibit G State'!H91</f>
        <v>1.6</v>
      </c>
      <c r="H115" s="377"/>
      <c r="I115" s="377">
        <f>+'Exhibit F'!J105+'Exhibit G State'!J91</f>
        <v>0.10000000000000003</v>
      </c>
      <c r="J115" s="377"/>
      <c r="K115" s="377">
        <f>+'Exhibit F'!L105+'Exhibit G State'!L91</f>
        <v>0.29999999999999982</v>
      </c>
      <c r="L115" s="377"/>
      <c r="M115" s="377">
        <f>+'Exhibit F'!N105+'Exhibit G State'!N91</f>
        <v>0</v>
      </c>
      <c r="N115" s="377"/>
      <c r="O115" s="377">
        <f>+'Exhibit F'!P105+'Exhibit G State'!P91</f>
        <v>0.40000000000000013</v>
      </c>
      <c r="P115" s="377"/>
      <c r="Q115" s="377">
        <f>+'Exhibit F'!R105+'Exhibit G State'!R91</f>
        <v>3.1999999999999993</v>
      </c>
      <c r="R115" s="377"/>
      <c r="S115" s="377">
        <f>+'Exhibit F'!T105+'Exhibit G State'!T91</f>
        <v>0.50000000000000022</v>
      </c>
      <c r="T115" s="377"/>
      <c r="U115" s="377">
        <f>+'Exhibit F'!V105+'Exhibit G State'!V91</f>
        <v>0.29999999999999982</v>
      </c>
      <c r="V115" s="377"/>
      <c r="W115" s="377">
        <f>+'Exhibit F'!X105+'Exhibit G State'!X91</f>
        <v>0.2000000000000004</v>
      </c>
      <c r="X115" s="377"/>
      <c r="Y115" s="377">
        <f>+'Exhibit F'!Z105+'Exhibit G State'!Z91</f>
        <v>0.59999999999999987</v>
      </c>
      <c r="Z115" s="377"/>
      <c r="AA115" s="378"/>
      <c r="AB115" s="467">
        <f t="shared" ref="AB115:AB122" si="29">ROUND(SUM(C115:Y115),1)</f>
        <v>7.5</v>
      </c>
      <c r="AC115" s="377"/>
      <c r="AD115" s="1826"/>
      <c r="AE115" s="467">
        <f>+'Exhibit F'!AF105+'Exhibit G State'!AG91</f>
        <v>11.3</v>
      </c>
      <c r="AF115" s="377"/>
      <c r="AG115" s="377"/>
      <c r="AH115" s="377">
        <f t="shared" ref="AH115:AH122" si="30">ROUND(SUM(AB115-AE115),1)</f>
        <v>-3.8</v>
      </c>
      <c r="AI115" s="151"/>
      <c r="AJ115" s="1145">
        <f>ROUND(IF(AE115=0,1,AH115/ABS(AE115)),3)</f>
        <v>-0.33600000000000002</v>
      </c>
    </row>
    <row r="116" spans="1:38" ht="15.5">
      <c r="A116" s="1577" t="s">
        <v>26</v>
      </c>
      <c r="B116" s="151"/>
      <c r="C116" s="377">
        <f>+'Exhibit F'!D106+'Exhibit G State'!D92</f>
        <v>141.80000000000001</v>
      </c>
      <c r="D116" s="377"/>
      <c r="E116" s="377">
        <f>+'Exhibit F'!F106+'Exhibit G State'!F92</f>
        <v>71.999999999999986</v>
      </c>
      <c r="F116" s="377"/>
      <c r="G116" s="377">
        <f>+'Exhibit F'!H106+'Exhibit G State'!H92</f>
        <v>430.1</v>
      </c>
      <c r="H116" s="377"/>
      <c r="I116" s="377">
        <f>+'Exhibit F'!J106+'Exhibit G State'!J92</f>
        <v>47.999999999999964</v>
      </c>
      <c r="J116" s="377"/>
      <c r="K116" s="377">
        <f>+'Exhibit F'!L106+'Exhibit G State'!L92</f>
        <v>84.599999999999966</v>
      </c>
      <c r="L116" s="377"/>
      <c r="M116" s="377">
        <f>+'Exhibit F'!N106+'Exhibit G State'!N92</f>
        <v>136.10000000000008</v>
      </c>
      <c r="N116" s="377"/>
      <c r="O116" s="377">
        <f>+'Exhibit F'!P106+'Exhibit G State'!P92</f>
        <v>51.799999999999926</v>
      </c>
      <c r="P116" s="377"/>
      <c r="Q116" s="377">
        <f>+'Exhibit F'!R106+'Exhibit G State'!R92</f>
        <v>49.699999999999989</v>
      </c>
      <c r="R116" s="377"/>
      <c r="S116" s="377">
        <f>+'Exhibit F'!T106+'Exhibit G State'!T92</f>
        <v>208.80000000000013</v>
      </c>
      <c r="T116" s="377"/>
      <c r="U116" s="377">
        <f>+'Exhibit F'!V106+'Exhibit G State'!V92</f>
        <v>26.899999999999977</v>
      </c>
      <c r="V116" s="377"/>
      <c r="W116" s="377">
        <f>+'Exhibit F'!X106+'Exhibit G State'!X92</f>
        <v>58.400000000000091</v>
      </c>
      <c r="X116" s="377"/>
      <c r="Y116" s="377">
        <f>+'Exhibit F'!Z106+'Exhibit G State'!Z92</f>
        <v>115.49999999999972</v>
      </c>
      <c r="Z116" s="377"/>
      <c r="AA116" s="378"/>
      <c r="AB116" s="467">
        <f t="shared" si="29"/>
        <v>1423.7</v>
      </c>
      <c r="AC116" s="377"/>
      <c r="AD116" s="1826"/>
      <c r="AE116" s="467">
        <f>+'Exhibit F'!AF106+'Exhibit G State'!AG92</f>
        <v>1257</v>
      </c>
      <c r="AF116" s="377"/>
      <c r="AG116" s="377"/>
      <c r="AH116" s="377">
        <f t="shared" si="30"/>
        <v>166.7</v>
      </c>
      <c r="AI116" s="151"/>
      <c r="AJ116" s="488">
        <f>ROUND(SUM(AH116/ABS(AE116)),3)</f>
        <v>0.13300000000000001</v>
      </c>
    </row>
    <row r="117" spans="1:38" ht="15.5">
      <c r="A117" s="1577" t="s">
        <v>27</v>
      </c>
      <c r="B117" s="151"/>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8"/>
      <c r="AB117" s="467"/>
      <c r="AC117" s="377"/>
      <c r="AD117" s="1826"/>
      <c r="AE117" s="480"/>
      <c r="AF117" s="377"/>
      <c r="AG117" s="377"/>
      <c r="AH117" s="377" t="s">
        <v>14</v>
      </c>
      <c r="AI117" s="151"/>
      <c r="AJ117" s="488"/>
    </row>
    <row r="118" spans="1:38" ht="15.5">
      <c r="A118" s="1578" t="s">
        <v>28</v>
      </c>
      <c r="B118" s="151"/>
      <c r="C118" s="377">
        <f>+'Exhibit F'!D108+'Exhibit G State'!D94</f>
        <v>2492.5</v>
      </c>
      <c r="D118" s="377"/>
      <c r="E118" s="377">
        <f>+'Exhibit F'!F108+'Exhibit G State'!F94</f>
        <v>2394.3999999999996</v>
      </c>
      <c r="F118" s="377"/>
      <c r="G118" s="377">
        <f>+'Exhibit F'!H108+'Exhibit G State'!H94</f>
        <v>2389.6000000000004</v>
      </c>
      <c r="H118" s="377"/>
      <c r="I118" s="377">
        <f>+'Exhibit F'!J108+'Exhibit G State'!J94</f>
        <v>2008.3000000000002</v>
      </c>
      <c r="J118" s="377"/>
      <c r="K118" s="377">
        <f>+'Exhibit F'!L108+'Exhibit G State'!L94</f>
        <v>2386.9999999999995</v>
      </c>
      <c r="L118" s="377"/>
      <c r="M118" s="377">
        <f>+'Exhibit F'!N108+'Exhibit G State'!N94</f>
        <v>2120.3000000000011</v>
      </c>
      <c r="N118" s="377"/>
      <c r="O118" s="377">
        <f>+'Exhibit F'!P108+'Exhibit G State'!P94</f>
        <v>2805.1</v>
      </c>
      <c r="P118" s="377"/>
      <c r="Q118" s="377">
        <f>+'Exhibit F'!R108+'Exhibit G State'!R94</f>
        <v>2617.7999999999993</v>
      </c>
      <c r="R118" s="377"/>
      <c r="S118" s="377">
        <f>+'Exhibit F'!T108+'Exhibit G State'!T94</f>
        <v>2822.5000000000027</v>
      </c>
      <c r="T118" s="377"/>
      <c r="U118" s="377">
        <f>+'Exhibit F'!V108+'Exhibit G State'!V94</f>
        <v>2937.8999999999951</v>
      </c>
      <c r="V118" s="377"/>
      <c r="W118" s="377">
        <f>+'Exhibit F'!X108+'Exhibit G State'!X94</f>
        <v>932.49999999999818</v>
      </c>
      <c r="X118" s="377"/>
      <c r="Y118" s="377">
        <f>+'Exhibit F'!Z108+'Exhibit G State'!Z94</f>
        <v>1860.6000000000031</v>
      </c>
      <c r="Z118" s="377"/>
      <c r="AA118" s="378"/>
      <c r="AB118" s="467">
        <f t="shared" si="29"/>
        <v>27768.5</v>
      </c>
      <c r="AC118" s="377"/>
      <c r="AD118" s="1826"/>
      <c r="AE118" s="467">
        <f>+'Exhibit F'!AF108+'Exhibit G State'!AG94</f>
        <v>24598.799999999999</v>
      </c>
      <c r="AF118" s="377"/>
      <c r="AG118" s="377"/>
      <c r="AH118" s="377">
        <f t="shared" si="30"/>
        <v>3169.7</v>
      </c>
      <c r="AI118" s="151"/>
      <c r="AJ118" s="488">
        <f t="shared" ref="AJ118:AJ124" si="31">ROUND(SUM(AH118/ABS(AE118)),3)</f>
        <v>0.129</v>
      </c>
    </row>
    <row r="119" spans="1:38" ht="15.5">
      <c r="A119" s="1577" t="s">
        <v>29</v>
      </c>
      <c r="B119" s="151"/>
      <c r="C119" s="377">
        <f>+'Exhibit F'!D109+'Exhibit G State'!D95</f>
        <v>134.30000000000001</v>
      </c>
      <c r="D119" s="377"/>
      <c r="E119" s="377">
        <f>+'Exhibit F'!F109+'Exhibit G State'!F95</f>
        <v>200.6</v>
      </c>
      <c r="F119" s="377"/>
      <c r="G119" s="377">
        <f>+'Exhibit F'!H109+'Exhibit G State'!H95</f>
        <v>579</v>
      </c>
      <c r="H119" s="377"/>
      <c r="I119" s="377">
        <f>+'Exhibit F'!J109+'Exhibit G State'!J95</f>
        <v>147.29999999999995</v>
      </c>
      <c r="J119" s="377"/>
      <c r="K119" s="377">
        <f>+'Exhibit F'!L109+'Exhibit G State'!L95</f>
        <v>227.89999999999992</v>
      </c>
      <c r="L119" s="377"/>
      <c r="M119" s="377">
        <f>+'Exhibit F'!N109+'Exhibit G State'!N95</f>
        <v>468.90000000000015</v>
      </c>
      <c r="N119" s="377"/>
      <c r="O119" s="377">
        <f>+'Exhibit F'!P109+'Exhibit G State'!P95</f>
        <v>305.09999999999997</v>
      </c>
      <c r="P119" s="377"/>
      <c r="Q119" s="377">
        <f>+'Exhibit F'!R109+'Exhibit G State'!R95</f>
        <v>220.49999999999972</v>
      </c>
      <c r="R119" s="377"/>
      <c r="S119" s="377">
        <f>+'Exhibit F'!T109+'Exhibit G State'!T95</f>
        <v>541.60000000000025</v>
      </c>
      <c r="T119" s="377"/>
      <c r="U119" s="377">
        <f>+'Exhibit F'!V109+'Exhibit G State'!V95</f>
        <v>213.59999999999962</v>
      </c>
      <c r="V119" s="377"/>
      <c r="W119" s="377">
        <f>+'Exhibit F'!X109+'Exhibit G State'!X95</f>
        <v>208.30000000000018</v>
      </c>
      <c r="X119" s="377"/>
      <c r="Y119" s="377">
        <f>+'Exhibit F'!Z109+'Exhibit G State'!Z95</f>
        <v>1255.6000000000006</v>
      </c>
      <c r="Z119" s="377"/>
      <c r="AA119" s="378"/>
      <c r="AB119" s="467">
        <f t="shared" si="29"/>
        <v>4502.7</v>
      </c>
      <c r="AC119" s="1846"/>
      <c r="AD119" s="377"/>
      <c r="AE119" s="467">
        <f>+'Exhibit F'!AF109+'Exhibit G State'!AG95</f>
        <v>3843.8</v>
      </c>
      <c r="AF119" s="377"/>
      <c r="AG119" s="377"/>
      <c r="AH119" s="377">
        <f t="shared" si="30"/>
        <v>658.9</v>
      </c>
      <c r="AI119" s="151"/>
      <c r="AJ119" s="488">
        <f t="shared" si="31"/>
        <v>0.17100000000000001</v>
      </c>
    </row>
    <row r="120" spans="1:38" ht="15.5">
      <c r="A120" s="1577" t="s">
        <v>30</v>
      </c>
      <c r="B120" s="151"/>
      <c r="C120" s="377">
        <f>+'Exhibit F'!D110+'Exhibit G State'!D96</f>
        <v>23.5</v>
      </c>
      <c r="D120" s="377"/>
      <c r="E120" s="377">
        <f>+'Exhibit F'!F110+'Exhibit G State'!F96</f>
        <v>30</v>
      </c>
      <c r="F120" s="377"/>
      <c r="G120" s="377">
        <f>+'Exhibit F'!H110+'Exhibit G State'!H96</f>
        <v>21.4</v>
      </c>
      <c r="H120" s="377"/>
      <c r="I120" s="377">
        <f>+'Exhibit F'!J110+'Exhibit G State'!J96</f>
        <v>39.600000000000009</v>
      </c>
      <c r="J120" s="377"/>
      <c r="K120" s="377">
        <f>+'Exhibit F'!L110+'Exhibit G State'!L96</f>
        <v>39.499999999999993</v>
      </c>
      <c r="L120" s="377"/>
      <c r="M120" s="377">
        <f>+'Exhibit F'!N110+'Exhibit G State'!N96</f>
        <v>47.7</v>
      </c>
      <c r="N120" s="377"/>
      <c r="O120" s="377">
        <f>+'Exhibit F'!P110+'Exhibit G State'!P96</f>
        <v>38.5</v>
      </c>
      <c r="P120" s="377"/>
      <c r="Q120" s="377">
        <f>+'Exhibit F'!R110+'Exhibit G State'!R96</f>
        <v>42.300000000000004</v>
      </c>
      <c r="R120" s="377"/>
      <c r="S120" s="377">
        <f>+'Exhibit F'!T110+'Exhibit G State'!T96</f>
        <v>38.000000000000007</v>
      </c>
      <c r="T120" s="377"/>
      <c r="U120" s="377">
        <f>+'Exhibit F'!V110+'Exhibit G State'!V96</f>
        <v>51.099999999999987</v>
      </c>
      <c r="V120" s="377"/>
      <c r="W120" s="377">
        <f>+'Exhibit F'!X110+'Exhibit G State'!X96</f>
        <v>2.8999999999999773</v>
      </c>
      <c r="X120" s="377"/>
      <c r="Y120" s="377">
        <f>+'Exhibit F'!Z110+'Exhibit G State'!Z96</f>
        <v>131.19999999999993</v>
      </c>
      <c r="Z120" s="377"/>
      <c r="AA120" s="378"/>
      <c r="AB120" s="467">
        <f t="shared" si="29"/>
        <v>505.7</v>
      </c>
      <c r="AC120" s="1847"/>
      <c r="AD120" s="1826"/>
      <c r="AE120" s="467">
        <f>+'Exhibit F'!AF110+'Exhibit G State'!AG96</f>
        <v>496.9</v>
      </c>
      <c r="AF120" s="377"/>
      <c r="AG120" s="377"/>
      <c r="AH120" s="377">
        <f t="shared" si="30"/>
        <v>8.8000000000000007</v>
      </c>
      <c r="AI120" s="151"/>
      <c r="AJ120" s="488">
        <f t="shared" si="31"/>
        <v>1.7999999999999999E-2</v>
      </c>
    </row>
    <row r="121" spans="1:38" ht="15.5">
      <c r="A121" s="1577" t="s">
        <v>31</v>
      </c>
      <c r="B121" s="151"/>
      <c r="C121" s="377">
        <f>+'Exhibit F'!D111+'Exhibit G State'!D97</f>
        <v>102.1</v>
      </c>
      <c r="D121" s="377"/>
      <c r="E121" s="377">
        <f>+'Exhibit F'!F111+'Exhibit G State'!F97</f>
        <v>218.8</v>
      </c>
      <c r="F121" s="377"/>
      <c r="G121" s="377">
        <f>+'Exhibit F'!H111+'Exhibit G State'!H97</f>
        <v>303.70000000000005</v>
      </c>
      <c r="H121" s="377"/>
      <c r="I121" s="377">
        <f>+'Exhibit F'!J111+'Exhibit G State'!J97</f>
        <v>408.60000000000008</v>
      </c>
      <c r="J121" s="377"/>
      <c r="K121" s="377">
        <f>+'Exhibit F'!L111+'Exhibit G State'!L97</f>
        <v>396.79999999999995</v>
      </c>
      <c r="L121" s="377"/>
      <c r="M121" s="377">
        <f>+'Exhibit F'!N111+'Exhibit G State'!N97</f>
        <v>331.90000000000015</v>
      </c>
      <c r="N121" s="377"/>
      <c r="O121" s="377">
        <f>+'Exhibit F'!P111+'Exhibit G State'!P97</f>
        <v>240.89999999999972</v>
      </c>
      <c r="P121" s="377"/>
      <c r="Q121" s="377">
        <f>+'Exhibit F'!R111+'Exhibit G State'!R97</f>
        <v>198.2999999999999</v>
      </c>
      <c r="R121" s="377"/>
      <c r="S121" s="377">
        <f>+'Exhibit F'!T111+'Exhibit G State'!T97</f>
        <v>404.3</v>
      </c>
      <c r="T121" s="377"/>
      <c r="U121" s="377">
        <f>+'Exhibit F'!V111+'Exhibit G State'!V97</f>
        <v>201.10000000000048</v>
      </c>
      <c r="V121" s="377"/>
      <c r="W121" s="377">
        <f>+'Exhibit F'!X111+'Exhibit G State'!X97</f>
        <v>430.19999999999982</v>
      </c>
      <c r="X121" s="377"/>
      <c r="Y121" s="377">
        <f>+'Exhibit F'!Z111+'Exhibit G State'!Z97</f>
        <v>1784.1999999999987</v>
      </c>
      <c r="Z121" s="377"/>
      <c r="AA121" s="378"/>
      <c r="AB121" s="467">
        <f t="shared" si="29"/>
        <v>5020.8999999999996</v>
      </c>
      <c r="AC121" s="1847"/>
      <c r="AD121" s="1826"/>
      <c r="AE121" s="467">
        <f>+'Exhibit F'!AF111+'Exhibit G State'!AG97</f>
        <v>5065.7999999999993</v>
      </c>
      <c r="AF121" s="377"/>
      <c r="AG121" s="377"/>
      <c r="AH121" s="377">
        <f t="shared" si="30"/>
        <v>-44.9</v>
      </c>
      <c r="AI121" s="151"/>
      <c r="AJ121" s="488">
        <f t="shared" si="31"/>
        <v>-8.9999999999999993E-3</v>
      </c>
    </row>
    <row r="122" spans="1:38" ht="15.5">
      <c r="A122" s="1577" t="s">
        <v>32</v>
      </c>
      <c r="B122" s="151"/>
      <c r="C122" s="377">
        <f>+'Exhibit F'!D112+'Exhibit G State'!D98</f>
        <v>8.5</v>
      </c>
      <c r="D122" s="377"/>
      <c r="E122" s="377">
        <f>+'Exhibit F'!F112+'Exhibit G State'!F98</f>
        <v>11.8</v>
      </c>
      <c r="F122" s="377"/>
      <c r="G122" s="377">
        <f>+'Exhibit F'!H112+'Exhibit G State'!H98</f>
        <v>22.700000000000003</v>
      </c>
      <c r="H122" s="377"/>
      <c r="I122" s="377">
        <f>+'Exhibit F'!J112+'Exhibit G State'!J98</f>
        <v>138.10000000000002</v>
      </c>
      <c r="J122" s="377"/>
      <c r="K122" s="377">
        <f>+'Exhibit F'!L112+'Exhibit G State'!L98</f>
        <v>246.89999999999998</v>
      </c>
      <c r="L122" s="377"/>
      <c r="M122" s="377">
        <f>+'Exhibit F'!N112+'Exhibit G State'!N98</f>
        <v>18.599999999999966</v>
      </c>
      <c r="N122" s="377"/>
      <c r="O122" s="377">
        <f>+'Exhibit F'!P112+'Exhibit G State'!P98</f>
        <v>115.89999999999991</v>
      </c>
      <c r="P122" s="377"/>
      <c r="Q122" s="377">
        <f>+'Exhibit F'!R112+'Exhibit G State'!R98</f>
        <v>102.90000000000005</v>
      </c>
      <c r="R122" s="377"/>
      <c r="S122" s="377">
        <f>+'Exhibit F'!T112+'Exhibit G State'!T98</f>
        <v>58.900000000000048</v>
      </c>
      <c r="T122" s="377"/>
      <c r="U122" s="377">
        <f>+'Exhibit F'!V112+'Exhibit G State'!V98</f>
        <v>19.099999999999923</v>
      </c>
      <c r="V122" s="377"/>
      <c r="W122" s="377">
        <f>+'Exhibit F'!X112+'Exhibit G State'!X98</f>
        <v>114.8000000000001</v>
      </c>
      <c r="X122" s="377"/>
      <c r="Y122" s="377">
        <f>+'Exhibit F'!Z112+'Exhibit G State'!Z98</f>
        <v>56.299999999999983</v>
      </c>
      <c r="Z122" s="377"/>
      <c r="AA122" s="378"/>
      <c r="AB122" s="467">
        <f t="shared" si="29"/>
        <v>914.5</v>
      </c>
      <c r="AC122" s="1847"/>
      <c r="AD122" s="1826"/>
      <c r="AE122" s="467">
        <f>+'Exhibit F'!AF112+'Exhibit G State'!AG98</f>
        <v>849.9</v>
      </c>
      <c r="AF122" s="377"/>
      <c r="AG122" s="377"/>
      <c r="AH122" s="377">
        <f t="shared" si="30"/>
        <v>64.599999999999994</v>
      </c>
      <c r="AI122" s="151"/>
      <c r="AJ122" s="488">
        <f t="shared" si="31"/>
        <v>7.5999999999999998E-2</v>
      </c>
    </row>
    <row r="123" spans="1:38" ht="15.5">
      <c r="A123" s="1577" t="s">
        <v>33</v>
      </c>
      <c r="B123" s="151"/>
      <c r="C123" s="377">
        <f>+'Exhibit F'!D113+'Exhibit G State'!D99</f>
        <v>57.1</v>
      </c>
      <c r="D123" s="377"/>
      <c r="E123" s="377">
        <f>+'Exhibit F'!F113+'Exhibit G State'!F99</f>
        <v>593.6</v>
      </c>
      <c r="F123" s="377"/>
      <c r="G123" s="377">
        <f>+'Exhibit F'!H113+'Exhibit G State'!H99</f>
        <v>332.9</v>
      </c>
      <c r="H123" s="377"/>
      <c r="I123" s="377">
        <f>+'Exhibit F'!J113+'Exhibit G State'!J99</f>
        <v>357.80000000000013</v>
      </c>
      <c r="J123" s="377"/>
      <c r="K123" s="377">
        <f>+'Exhibit F'!L113+'Exhibit G State'!L99</f>
        <v>532.1999999999997</v>
      </c>
      <c r="L123" s="377"/>
      <c r="M123" s="377">
        <f>+'Exhibit F'!N113+'Exhibit G State'!N99</f>
        <v>335.00000000000028</v>
      </c>
      <c r="N123" s="377"/>
      <c r="O123" s="377">
        <f>+'Exhibit F'!P113+'Exhibit G State'!P99</f>
        <v>382.5999999999998</v>
      </c>
      <c r="P123" s="377"/>
      <c r="Q123" s="377">
        <f>+'Exhibit F'!R113+'Exhibit G State'!R99</f>
        <v>678.7000000000005</v>
      </c>
      <c r="R123" s="377"/>
      <c r="S123" s="377">
        <f>+'Exhibit F'!T113+'Exhibit G State'!T99</f>
        <v>1024.3999999999996</v>
      </c>
      <c r="T123" s="377"/>
      <c r="U123" s="377">
        <f>+'Exhibit F'!V113+'Exhibit G State'!V99</f>
        <v>78.099999999999568</v>
      </c>
      <c r="V123" s="377"/>
      <c r="W123" s="377">
        <f>+'Exhibit F'!X113+'Exhibit G State'!X99</f>
        <v>138.40000000000038</v>
      </c>
      <c r="X123" s="377"/>
      <c r="Y123" s="377">
        <f>+'Exhibit F'!Z113+'Exhibit G State'!Z99</f>
        <v>58.399999999999835</v>
      </c>
      <c r="Z123" s="377"/>
      <c r="AA123" s="378"/>
      <c r="AB123" s="377">
        <f>ROUND(SUM(C123:Y123),1)</f>
        <v>4569.2</v>
      </c>
      <c r="AC123" s="1847"/>
      <c r="AD123" s="1826"/>
      <c r="AE123" s="467">
        <f>+'Exhibit F'!AF113+'Exhibit G State'!AG99</f>
        <v>3786.1</v>
      </c>
      <c r="AF123" s="377"/>
      <c r="AG123" s="377"/>
      <c r="AH123" s="377">
        <f>ROUND(SUM(AB123-AE123),1)</f>
        <v>783.1</v>
      </c>
      <c r="AI123" s="151"/>
      <c r="AJ123" s="488">
        <f t="shared" si="31"/>
        <v>0.20699999999999999</v>
      </c>
    </row>
    <row r="124" spans="1:38" ht="15.5">
      <c r="A124" s="151" t="s">
        <v>34</v>
      </c>
      <c r="B124" s="151"/>
      <c r="C124" s="384">
        <f>ROUND(SUM(C114:C123),1)</f>
        <v>4395.8999999999996</v>
      </c>
      <c r="D124" s="381"/>
      <c r="E124" s="384">
        <f>ROUND(SUM(E114:E123),1)</f>
        <v>7868.5</v>
      </c>
      <c r="F124" s="381"/>
      <c r="G124" s="384">
        <f>ROUND(SUM(G114:G123),1)</f>
        <v>6693.4</v>
      </c>
      <c r="H124" s="381"/>
      <c r="I124" s="384">
        <f>ROUND(SUM(I114:I123),1)</f>
        <v>4111.8</v>
      </c>
      <c r="J124" s="381"/>
      <c r="K124" s="384">
        <f>ROUND(SUM(K114:K123),1)</f>
        <v>4668.6000000000004</v>
      </c>
      <c r="L124" s="381"/>
      <c r="M124" s="384">
        <f>ROUND(SUM(M114:M123),1)</f>
        <v>8391.6</v>
      </c>
      <c r="N124" s="381"/>
      <c r="O124" s="384">
        <f>ROUND(SUM(O114:O123),1)</f>
        <v>5356.2</v>
      </c>
      <c r="P124" s="381"/>
      <c r="Q124" s="384">
        <f>ROUND(SUM(Q114:Q123),1)</f>
        <v>6316.8</v>
      </c>
      <c r="R124" s="381"/>
      <c r="S124" s="384">
        <f>ROUND(SUM(S114:S123),1)</f>
        <v>7765.3</v>
      </c>
      <c r="T124" s="381"/>
      <c r="U124" s="384">
        <f>ROUND(SUM(U114:U123),1)</f>
        <v>6524.6</v>
      </c>
      <c r="V124" s="381"/>
      <c r="W124" s="384">
        <f>ROUND(SUM(W114:W123),1)</f>
        <v>3739.2</v>
      </c>
      <c r="X124" s="381"/>
      <c r="Y124" s="384">
        <f>ROUND(SUM(Y114:Y123),1)</f>
        <v>16045.1</v>
      </c>
      <c r="Z124" s="381"/>
      <c r="AA124" s="382"/>
      <c r="AB124" s="384">
        <f>ROUND(SUM(AB114:AB123),1)</f>
        <v>81877</v>
      </c>
      <c r="AC124" s="1848"/>
      <c r="AD124" s="1830"/>
      <c r="AE124" s="178">
        <f>ROUND(SUM(AE114:AE123),1)</f>
        <v>74998.100000000006</v>
      </c>
      <c r="AF124" s="381"/>
      <c r="AG124" s="381"/>
      <c r="AH124" s="178">
        <f>ROUND(SUM(AH114:AH123),1)</f>
        <v>6878.9</v>
      </c>
      <c r="AI124" s="369"/>
      <c r="AJ124" s="199">
        <f t="shared" si="31"/>
        <v>9.1999999999999998E-2</v>
      </c>
      <c r="AK124" s="302"/>
      <c r="AL124" s="302"/>
    </row>
    <row r="125" spans="1:38" ht="15.5">
      <c r="A125" s="151" t="s">
        <v>35</v>
      </c>
      <c r="B125" s="151"/>
      <c r="C125" s="377"/>
      <c r="D125" s="377"/>
      <c r="E125" s="377"/>
      <c r="F125" s="377"/>
      <c r="G125" s="377"/>
      <c r="H125" s="377"/>
      <c r="I125" s="377"/>
      <c r="J125" s="377"/>
      <c r="K125" s="377"/>
      <c r="L125" s="377"/>
      <c r="M125" s="377"/>
      <c r="N125" s="377"/>
      <c r="O125" s="377"/>
      <c r="P125" s="377"/>
      <c r="Q125" s="377"/>
      <c r="R125" s="377"/>
      <c r="S125" s="377"/>
      <c r="T125" s="377"/>
      <c r="U125" s="377"/>
      <c r="V125" s="377"/>
      <c r="W125" s="377"/>
      <c r="X125" s="377"/>
      <c r="Y125" s="377"/>
      <c r="Z125" s="377"/>
      <c r="AA125" s="378"/>
      <c r="AB125" s="377"/>
      <c r="AC125" s="377"/>
      <c r="AD125" s="1826"/>
      <c r="AE125" s="467"/>
      <c r="AF125" s="377"/>
      <c r="AG125" s="377"/>
      <c r="AH125" s="467"/>
      <c r="AI125" s="151"/>
      <c r="AJ125" s="472"/>
    </row>
    <row r="126" spans="1:38" ht="15.5">
      <c r="A126" s="151" t="s">
        <v>136</v>
      </c>
      <c r="B126" s="151"/>
      <c r="C126" s="377">
        <f>+'Exhibit F'!D116+'Exhibit G State'!D102</f>
        <v>1155.5</v>
      </c>
      <c r="D126" s="377"/>
      <c r="E126" s="377">
        <f>+'Exhibit F'!F116+'Exhibit G State'!F102</f>
        <v>1098.7</v>
      </c>
      <c r="F126" s="377"/>
      <c r="G126" s="377">
        <f>+'Exhibit F'!H116+'Exhibit G State'!H102</f>
        <v>1259.2000000000003</v>
      </c>
      <c r="H126" s="377"/>
      <c r="I126" s="377">
        <f>+'Exhibit F'!J116+'Exhibit G State'!J102</f>
        <v>1122.5999999999997</v>
      </c>
      <c r="J126" s="377"/>
      <c r="K126" s="377">
        <f>+'Exhibit F'!L116+'Exhibit G State'!L102</f>
        <v>1495.9999999999995</v>
      </c>
      <c r="L126" s="377"/>
      <c r="M126" s="377">
        <f>+'Exhibit F'!N116+'Exhibit G State'!N102</f>
        <v>1096.0999999999999</v>
      </c>
      <c r="N126" s="377"/>
      <c r="O126" s="377">
        <f>+'Exhibit F'!P116+'Exhibit G State'!P102</f>
        <v>1242.7000000000005</v>
      </c>
      <c r="P126" s="377"/>
      <c r="Q126" s="377">
        <f>+'Exhibit F'!R116+'Exhibit G State'!R102</f>
        <v>1199.5999999999999</v>
      </c>
      <c r="R126" s="377"/>
      <c r="S126" s="377">
        <f>+'Exhibit F'!T116+'Exhibit G State'!T102</f>
        <v>1337.1999999999998</v>
      </c>
      <c r="T126" s="377"/>
      <c r="U126" s="377">
        <f>+'Exhibit F'!V116+'Exhibit G State'!V102</f>
        <v>1147.9999999999995</v>
      </c>
      <c r="V126" s="377"/>
      <c r="W126" s="377">
        <f>+'Exhibit F'!X116+'Exhibit G State'!X102</f>
        <v>1096.8</v>
      </c>
      <c r="X126" s="377"/>
      <c r="Y126" s="377">
        <f>+'Exhibit F'!Z116+'Exhibit G State'!Z102</f>
        <v>1587.6000000000013</v>
      </c>
      <c r="Z126" s="377"/>
      <c r="AA126" s="378"/>
      <c r="AB126" s="377">
        <f>ROUND(SUM(C126:Y126),1)</f>
        <v>14840</v>
      </c>
      <c r="AC126" s="377"/>
      <c r="AD126" s="1826"/>
      <c r="AE126" s="467">
        <f>+'Exhibit F'!AF116+'Exhibit G State'!AG102</f>
        <v>13243.3</v>
      </c>
      <c r="AF126" s="377"/>
      <c r="AG126" s="377"/>
      <c r="AH126" s="377">
        <f>ROUND(SUM(AB126-AE126),1)</f>
        <v>1596.7</v>
      </c>
      <c r="AI126" s="151"/>
      <c r="AJ126" s="488">
        <f>ROUND(SUM(AH126/ABS(AE126)),3)</f>
        <v>0.121</v>
      </c>
    </row>
    <row r="127" spans="1:38" ht="15.5">
      <c r="A127" s="151" t="s">
        <v>137</v>
      </c>
      <c r="B127" s="151"/>
      <c r="C127" s="377">
        <f>+'Exhibit F'!D117+'Exhibit G State'!D103+'Exhibit H'!B58</f>
        <v>388.5</v>
      </c>
      <c r="D127" s="377"/>
      <c r="E127" s="377">
        <f>+'Exhibit F'!F117+'Exhibit G State'!F103+'Exhibit H'!D58</f>
        <v>458.4</v>
      </c>
      <c r="F127" s="377"/>
      <c r="G127" s="377">
        <f>+'Exhibit F'!H117+'Exhibit G State'!H103+'Exhibit H'!F58</f>
        <v>492.20000000000005</v>
      </c>
      <c r="H127" s="377"/>
      <c r="I127" s="377">
        <f>+'Exhibit F'!J117+'Exhibit G State'!J103+'Exhibit H'!H58</f>
        <v>370.50000000000011</v>
      </c>
      <c r="J127" s="377"/>
      <c r="K127" s="377">
        <f>+'Exhibit F'!L117+'Exhibit G State'!L103+'Exhibit H'!J58</f>
        <v>540.79999999999973</v>
      </c>
      <c r="L127" s="377"/>
      <c r="M127" s="377">
        <f>+'Exhibit F'!N117+'Exhibit G State'!N103+'Exhibit H'!L58</f>
        <v>498.7</v>
      </c>
      <c r="N127" s="377"/>
      <c r="O127" s="377">
        <f>+'Exhibit F'!P117+'Exhibit G State'!P103+'Exhibit H'!N58</f>
        <v>490.69999999999976</v>
      </c>
      <c r="P127" s="377"/>
      <c r="Q127" s="377">
        <f>+'Exhibit F'!R117+'Exhibit G State'!R103+'Exhibit H'!P58</f>
        <v>590.09999999999991</v>
      </c>
      <c r="R127" s="377"/>
      <c r="S127" s="377">
        <f>+'Exhibit F'!T117+'Exhibit G State'!T103+'Exhibit H'!R58</f>
        <v>484.20000000000022</v>
      </c>
      <c r="T127" s="377"/>
      <c r="U127" s="377">
        <f>+'Exhibit F'!V117+'Exhibit G State'!V103+'Exhibit H'!T58</f>
        <v>579.29999999999995</v>
      </c>
      <c r="V127" s="377"/>
      <c r="W127" s="377">
        <f>+'Exhibit F'!X117+'Exhibit G State'!X103+'Exhibit H'!V58</f>
        <v>659.90000000000055</v>
      </c>
      <c r="X127" s="377"/>
      <c r="Y127" s="377">
        <f>+'Exhibit F'!Z117+'Exhibit G State'!Z103+'Exhibit H'!X58</f>
        <v>795.79999999999973</v>
      </c>
      <c r="Z127" s="377"/>
      <c r="AA127" s="378"/>
      <c r="AB127" s="377">
        <f>ROUND(SUM(C127:Y127),1)</f>
        <v>6349.1</v>
      </c>
      <c r="AC127" s="377"/>
      <c r="AD127" s="1826"/>
      <c r="AE127" s="467">
        <f>+'Exhibit F'!AF117+'Exhibit G State'!AG103+'Exhibit H'!AD58</f>
        <v>6592.5999999999995</v>
      </c>
      <c r="AF127" s="377"/>
      <c r="AG127" s="377"/>
      <c r="AH127" s="377">
        <f>ROUND(SUM(AB127-AE127),1)</f>
        <v>-243.5</v>
      </c>
      <c r="AI127" s="151"/>
      <c r="AJ127" s="488">
        <f>ROUND(SUM(AH127/ABS(AE127)),3)</f>
        <v>-3.6999999999999998E-2</v>
      </c>
    </row>
    <row r="128" spans="1:38" ht="15.5">
      <c r="A128" s="151" t="s">
        <v>38</v>
      </c>
      <c r="B128" s="151"/>
      <c r="C128" s="377">
        <f>+'Exhibit F'!D118+'Exhibit G State'!D104</f>
        <v>847.40000000000009</v>
      </c>
      <c r="D128" s="377"/>
      <c r="E128" s="377">
        <f>+'Exhibit F'!F118+'Exhibit G State'!F104</f>
        <v>2060.1999999999998</v>
      </c>
      <c r="F128" s="377"/>
      <c r="G128" s="377">
        <f>+'Exhibit F'!H118+'Exhibit G State'!H104</f>
        <v>446.10000000000031</v>
      </c>
      <c r="H128" s="377"/>
      <c r="I128" s="377">
        <f>+'Exhibit F'!J118+'Exhibit G State'!J104</f>
        <v>556.49999999999966</v>
      </c>
      <c r="J128" s="377"/>
      <c r="K128" s="377">
        <f>+'Exhibit F'!L118+'Exhibit G State'!L104</f>
        <v>611.09999999999991</v>
      </c>
      <c r="L128" s="377"/>
      <c r="M128" s="377">
        <f>+'Exhibit F'!N118+'Exhibit G State'!N104</f>
        <v>518.70000000000073</v>
      </c>
      <c r="N128" s="377"/>
      <c r="O128" s="377">
        <f>+'Exhibit F'!P118+'Exhibit G State'!P104</f>
        <v>661.8000000000003</v>
      </c>
      <c r="P128" s="377"/>
      <c r="Q128" s="377">
        <f>+'Exhibit F'!R118+'Exhibit G State'!R104</f>
        <v>514.19999999999936</v>
      </c>
      <c r="R128" s="377"/>
      <c r="S128" s="377">
        <f>+'Exhibit F'!T118+'Exhibit G State'!T104</f>
        <v>654.80000000000018</v>
      </c>
      <c r="T128" s="377"/>
      <c r="U128" s="377">
        <f>+'Exhibit F'!V118+'Exhibit G State'!V104</f>
        <v>724.60000000000036</v>
      </c>
      <c r="V128" s="377"/>
      <c r="W128" s="377">
        <f>+'Exhibit F'!X118+'Exhibit G State'!X104</f>
        <v>594.19999999999982</v>
      </c>
      <c r="X128" s="377"/>
      <c r="Y128" s="377">
        <f>+'Exhibit F'!Z118+'Exhibit G State'!Z104</f>
        <v>2013.2999999999981</v>
      </c>
      <c r="Z128" s="377"/>
      <c r="AA128" s="378"/>
      <c r="AB128" s="377">
        <f>ROUND(SUM(C128:Y128),1)</f>
        <v>10202.9</v>
      </c>
      <c r="AC128" s="377"/>
      <c r="AD128" s="1826"/>
      <c r="AE128" s="467">
        <f>+'Exhibit F'!AF118+'Exhibit G State'!AG104</f>
        <v>10024.699999999999</v>
      </c>
      <c r="AF128" s="377"/>
      <c r="AG128" s="377"/>
      <c r="AH128" s="377">
        <f>ROUND(SUM(AB128-AE128),1)</f>
        <v>178.2</v>
      </c>
      <c r="AI128" s="151"/>
      <c r="AJ128" s="488">
        <f>ROUND(SUM(AH128/ABS(AE128)),3)</f>
        <v>1.7999999999999999E-2</v>
      </c>
    </row>
    <row r="129" spans="1:44" ht="15.5">
      <c r="A129" s="151" t="s">
        <v>39</v>
      </c>
      <c r="B129" s="151"/>
      <c r="C129" s="377"/>
      <c r="D129" s="377"/>
      <c r="E129" s="377"/>
      <c r="F129" s="377"/>
      <c r="G129" s="377"/>
      <c r="H129" s="377"/>
      <c r="I129" s="377"/>
      <c r="J129" s="377"/>
      <c r="K129" s="377"/>
      <c r="L129" s="377"/>
      <c r="M129" s="377"/>
      <c r="N129" s="377"/>
      <c r="O129" s="377"/>
      <c r="P129" s="377"/>
      <c r="Q129" s="377"/>
      <c r="R129" s="377"/>
      <c r="S129" s="377"/>
      <c r="T129" s="377"/>
      <c r="U129" s="377"/>
      <c r="V129" s="377"/>
      <c r="W129" s="377"/>
      <c r="X129" s="377"/>
      <c r="Y129" s="377"/>
      <c r="Z129" s="377"/>
      <c r="AA129" s="378"/>
      <c r="AB129" s="377"/>
      <c r="AC129" s="377"/>
      <c r="AD129" s="1826"/>
      <c r="AE129" s="377"/>
      <c r="AF129" s="377"/>
      <c r="AG129" s="377"/>
      <c r="AH129" s="377"/>
      <c r="AI129" s="151"/>
      <c r="AJ129" s="488"/>
    </row>
    <row r="130" spans="1:44" ht="15.5">
      <c r="A130" s="151" t="s">
        <v>40</v>
      </c>
      <c r="B130" s="151"/>
      <c r="C130" s="377">
        <f>+'Exhibit H'!B60</f>
        <v>115.8</v>
      </c>
      <c r="D130" s="377"/>
      <c r="E130" s="377">
        <f>+'Exhibit H'!D60</f>
        <v>29.500000000000014</v>
      </c>
      <c r="F130" s="377"/>
      <c r="G130" s="377">
        <f>+'Exhibit H'!F60</f>
        <v>46.7</v>
      </c>
      <c r="H130" s="377"/>
      <c r="I130" s="377">
        <f>+'Exhibit H'!H60</f>
        <v>8</v>
      </c>
      <c r="J130" s="377"/>
      <c r="K130" s="377">
        <f>+'Exhibit H'!J60</f>
        <v>164.3</v>
      </c>
      <c r="L130" s="377"/>
      <c r="M130" s="377">
        <f>+'Exhibit H'!L60</f>
        <v>1061.1000000000001</v>
      </c>
      <c r="N130" s="377"/>
      <c r="O130" s="377">
        <f>+'Exhibit H'!N60</f>
        <v>2.3999999999998636</v>
      </c>
      <c r="P130" s="377"/>
      <c r="Q130" s="377">
        <f>+'Exhibit H'!P60</f>
        <v>12.799999999999955</v>
      </c>
      <c r="R130" s="377"/>
      <c r="S130" s="377">
        <f>+'Exhibit H'!R60</f>
        <v>82.700000000000045</v>
      </c>
      <c r="T130" s="377"/>
      <c r="U130" s="377">
        <f>+'Exhibit H'!T60</f>
        <v>1.2999999999999545</v>
      </c>
      <c r="V130" s="377"/>
      <c r="W130" s="377">
        <f>+'Exhibit H'!V60</f>
        <v>389.10000000000014</v>
      </c>
      <c r="X130" s="377"/>
      <c r="Y130" s="377">
        <f>+'Exhibit H'!X60</f>
        <v>8567.2000000000007</v>
      </c>
      <c r="Z130" s="377"/>
      <c r="AA130" s="378"/>
      <c r="AB130" s="377">
        <f>ROUND(SUM(C130:Y130),1)</f>
        <v>10480.9</v>
      </c>
      <c r="AC130" s="377"/>
      <c r="AD130" s="1826"/>
      <c r="AE130" s="467">
        <f>+'Exhibit H'!AD60</f>
        <v>12544.9</v>
      </c>
      <c r="AF130" s="377"/>
      <c r="AG130" s="377"/>
      <c r="AH130" s="377">
        <f>ROUND(SUM(AB130-AE130),1)</f>
        <v>-2064</v>
      </c>
      <c r="AI130" s="151"/>
      <c r="AJ130" s="488">
        <f>ROUND(SUM(AH130/ABS(AE130)),3)</f>
        <v>-0.16500000000000001</v>
      </c>
    </row>
    <row r="131" spans="1:44" ht="15.5">
      <c r="A131" s="151" t="s">
        <v>138</v>
      </c>
      <c r="B131" s="151"/>
      <c r="C131" s="377">
        <f>'Exhibit G State'!D105</f>
        <v>0</v>
      </c>
      <c r="D131" s="377"/>
      <c r="E131" s="377">
        <f>'Exhibit G State'!F105</f>
        <v>0</v>
      </c>
      <c r="F131" s="377"/>
      <c r="G131" s="377">
        <f>'Exhibit G State'!H105</f>
        <v>0</v>
      </c>
      <c r="H131" s="377"/>
      <c r="I131" s="377">
        <f>'Exhibit G State'!J105</f>
        <v>0</v>
      </c>
      <c r="J131" s="377"/>
      <c r="K131" s="377">
        <f>'Exhibit G State'!L105</f>
        <v>0</v>
      </c>
      <c r="L131" s="377"/>
      <c r="M131" s="377">
        <f>'Exhibit G State'!N105</f>
        <v>0</v>
      </c>
      <c r="N131" s="377"/>
      <c r="O131" s="377">
        <f>'Exhibit G State'!P105</f>
        <v>0</v>
      </c>
      <c r="P131" s="377"/>
      <c r="Q131" s="377">
        <f>'Exhibit G State'!R105</f>
        <v>0</v>
      </c>
      <c r="R131" s="377"/>
      <c r="S131" s="377">
        <f>'Exhibit G State'!T105</f>
        <v>0</v>
      </c>
      <c r="T131" s="377"/>
      <c r="U131" s="377">
        <f>'Exhibit G State'!V105</f>
        <v>0</v>
      </c>
      <c r="V131" s="377"/>
      <c r="W131" s="377">
        <f>'Exhibit G State'!X105</f>
        <v>0</v>
      </c>
      <c r="X131" s="377"/>
      <c r="Y131" s="377">
        <f>'Exhibit G State'!Z105</f>
        <v>0</v>
      </c>
      <c r="Z131" s="377"/>
      <c r="AA131" s="687"/>
      <c r="AB131" s="377">
        <f>ROUND(SUM(C131:Y131),1)</f>
        <v>0</v>
      </c>
      <c r="AC131" s="377"/>
      <c r="AD131" s="1826"/>
      <c r="AE131" s="467">
        <f>+'Exhibit G'!AG107</f>
        <v>0</v>
      </c>
      <c r="AF131" s="377"/>
      <c r="AG131" s="377"/>
      <c r="AH131" s="377">
        <f>ROUND(SUM(AB131-AE131),1)</f>
        <v>0</v>
      </c>
      <c r="AI131" s="151"/>
      <c r="AJ131" s="469">
        <f>ROUND(IF(AE131=0,0,AH131/ABS(AE131)),3)</f>
        <v>0</v>
      </c>
    </row>
    <row r="132" spans="1:44" ht="16.5" customHeight="1">
      <c r="A132" s="151"/>
      <c r="B132" s="151"/>
      <c r="C132" s="1911"/>
      <c r="D132" s="377"/>
      <c r="E132" s="1911"/>
      <c r="F132" s="377"/>
      <c r="G132" s="1911"/>
      <c r="H132" s="377"/>
      <c r="I132" s="1911"/>
      <c r="J132" s="377"/>
      <c r="K132" s="1911"/>
      <c r="L132" s="377"/>
      <c r="M132" s="1911"/>
      <c r="N132" s="377"/>
      <c r="O132" s="1911"/>
      <c r="P132" s="377"/>
      <c r="Q132" s="1911"/>
      <c r="R132" s="377"/>
      <c r="S132" s="1911"/>
      <c r="T132" s="377"/>
      <c r="U132" s="1911"/>
      <c r="V132" s="377"/>
      <c r="W132" s="1911"/>
      <c r="X132" s="377"/>
      <c r="Y132" s="1911"/>
      <c r="Z132" s="377"/>
      <c r="AA132" s="378"/>
      <c r="AB132" s="1911"/>
      <c r="AC132" s="377"/>
      <c r="AD132" s="1826"/>
      <c r="AE132" s="1911"/>
      <c r="AF132" s="377"/>
      <c r="AG132" s="377"/>
      <c r="AH132" s="1911"/>
      <c r="AI132" s="151"/>
      <c r="AJ132" s="1912"/>
    </row>
    <row r="133" spans="1:44" ht="16.5" customHeight="1">
      <c r="A133" s="111" t="s">
        <v>56</v>
      </c>
      <c r="B133" s="151"/>
      <c r="C133" s="1579">
        <f>ROUND(SUM(C124:C131),1)</f>
        <v>6903.1</v>
      </c>
      <c r="D133" s="381"/>
      <c r="E133" s="1579">
        <f>ROUND(SUM(E124:E131),1)</f>
        <v>11515.3</v>
      </c>
      <c r="F133" s="381"/>
      <c r="G133" s="1579">
        <f>ROUND(SUM(G124:G131),1)</f>
        <v>8937.6</v>
      </c>
      <c r="H133" s="381"/>
      <c r="I133" s="1579">
        <f>ROUND(SUM(I124:I131),1)</f>
        <v>6169.4</v>
      </c>
      <c r="J133" s="381"/>
      <c r="K133" s="1579">
        <f>ROUND(SUM(K124:K131),1)</f>
        <v>7480.8</v>
      </c>
      <c r="L133" s="381"/>
      <c r="M133" s="1579">
        <f>ROUND(SUM(M124:M131),1)</f>
        <v>11566.2</v>
      </c>
      <c r="N133" s="381"/>
      <c r="O133" s="1579">
        <f>ROUND(SUM(O124:O131),1)</f>
        <v>7753.8</v>
      </c>
      <c r="P133" s="381"/>
      <c r="Q133" s="1579">
        <f>ROUND(SUM(Q124:Q131),1)</f>
        <v>8633.5</v>
      </c>
      <c r="R133" s="381"/>
      <c r="S133" s="1579">
        <f>ROUND(SUM(S124:S131),1)</f>
        <v>10324.200000000001</v>
      </c>
      <c r="T133" s="381"/>
      <c r="U133" s="1579">
        <f>ROUND(SUM(U124:U131),1)</f>
        <v>8977.7999999999993</v>
      </c>
      <c r="V133" s="381"/>
      <c r="W133" s="1579">
        <f>ROUND(SUM(W124:W131),1)</f>
        <v>6479.2</v>
      </c>
      <c r="X133" s="381"/>
      <c r="Y133" s="1579">
        <f>ROUND(SUM(Y124:Y131),1)</f>
        <v>29009</v>
      </c>
      <c r="Z133" s="381"/>
      <c r="AA133" s="382"/>
      <c r="AB133" s="1579">
        <f>ROUND(SUM(AB124:AB131),1)</f>
        <v>123749.9</v>
      </c>
      <c r="AC133" s="381"/>
      <c r="AD133" s="1830"/>
      <c r="AE133" s="603">
        <f>ROUND(SUM(AE124:AE132),1)</f>
        <v>117403.6</v>
      </c>
      <c r="AF133" s="381"/>
      <c r="AG133" s="381"/>
      <c r="AH133" s="603">
        <f>ROUND(SUM(AH124:AH132),1)</f>
        <v>6346.3</v>
      </c>
      <c r="AI133" s="369"/>
      <c r="AJ133" s="653">
        <f>ROUND(SUM(AH133/ABS(AE133)),3)</f>
        <v>5.3999999999999999E-2</v>
      </c>
      <c r="AK133" s="302"/>
      <c r="AL133" s="302"/>
      <c r="AM133" s="302"/>
      <c r="AN133" s="302"/>
      <c r="AO133" s="302"/>
      <c r="AP133" s="302"/>
      <c r="AQ133" s="302"/>
      <c r="AR133" s="302"/>
    </row>
    <row r="134" spans="1:44" ht="16.5" customHeight="1">
      <c r="A134" s="111"/>
      <c r="B134" s="151"/>
      <c r="C134" s="377"/>
      <c r="D134" s="377"/>
      <c r="E134" s="377"/>
      <c r="F134" s="377"/>
      <c r="G134" s="377"/>
      <c r="H134" s="377"/>
      <c r="I134" s="377"/>
      <c r="J134" s="377"/>
      <c r="K134" s="377"/>
      <c r="L134" s="377"/>
      <c r="M134" s="377"/>
      <c r="N134" s="377"/>
      <c r="O134" s="377"/>
      <c r="P134" s="377"/>
      <c r="Q134" s="377"/>
      <c r="R134" s="377"/>
      <c r="S134" s="377"/>
      <c r="T134" s="377"/>
      <c r="U134" s="377"/>
      <c r="V134" s="377"/>
      <c r="W134" s="377"/>
      <c r="X134" s="377"/>
      <c r="Y134" s="377"/>
      <c r="Z134" s="377"/>
      <c r="AA134" s="378"/>
      <c r="AB134" s="377"/>
      <c r="AC134" s="377"/>
      <c r="AD134" s="1826"/>
      <c r="AE134" s="377"/>
      <c r="AF134" s="377"/>
      <c r="AG134" s="377"/>
      <c r="AH134" s="467"/>
      <c r="AI134" s="151"/>
      <c r="AJ134" s="472"/>
    </row>
    <row r="135" spans="1:44" ht="16.5" customHeight="1">
      <c r="A135" s="111" t="s">
        <v>43</v>
      </c>
      <c r="B135" s="151"/>
      <c r="C135" s="377"/>
      <c r="D135" s="377"/>
      <c r="E135" s="377"/>
      <c r="F135" s="377"/>
      <c r="G135" s="377"/>
      <c r="H135" s="377"/>
      <c r="I135" s="377"/>
      <c r="J135" s="377"/>
      <c r="K135" s="377"/>
      <c r="L135" s="377"/>
      <c r="M135" s="377"/>
      <c r="N135" s="377"/>
      <c r="O135" s="377"/>
      <c r="P135" s="377"/>
      <c r="Q135" s="377"/>
      <c r="R135" s="377"/>
      <c r="S135" s="377"/>
      <c r="T135" s="377"/>
      <c r="U135" s="377"/>
      <c r="V135" s="377"/>
      <c r="W135" s="377"/>
      <c r="X135" s="377"/>
      <c r="Y135" s="377"/>
      <c r="Z135" s="377"/>
      <c r="AA135" s="378"/>
      <c r="AB135" s="377"/>
      <c r="AC135" s="377"/>
      <c r="AD135" s="1826"/>
      <c r="AE135" s="377"/>
      <c r="AF135" s="377"/>
      <c r="AG135" s="377"/>
      <c r="AH135" s="467"/>
      <c r="AI135" s="151"/>
      <c r="AJ135" s="472"/>
    </row>
    <row r="136" spans="1:44" ht="16.5" customHeight="1">
      <c r="A136" s="111" t="s">
        <v>44</v>
      </c>
      <c r="B136" s="151"/>
      <c r="C136" s="1579">
        <f>ROUND(SUM(C110-C133),1)</f>
        <v>12862.8</v>
      </c>
      <c r="D136" s="381"/>
      <c r="E136" s="1579">
        <f>ROUND(SUM(E110-E133),1)</f>
        <v>-5416.7</v>
      </c>
      <c r="F136" s="381"/>
      <c r="G136" s="1579">
        <f>ROUND(SUM(G110-G133),1)</f>
        <v>4342.3999999999996</v>
      </c>
      <c r="H136" s="381"/>
      <c r="I136" s="1579">
        <f>ROUND(SUM(I110-I133),1)</f>
        <v>798.6</v>
      </c>
      <c r="J136" s="381"/>
      <c r="K136" s="1579">
        <f>ROUND(SUM(K110-K133),1)</f>
        <v>-41.6</v>
      </c>
      <c r="L136" s="381"/>
      <c r="M136" s="1579">
        <f>ROUND(SUM(M110-M133),1)</f>
        <v>3872.3</v>
      </c>
      <c r="N136" s="381"/>
      <c r="O136" s="1579">
        <f>ROUND(SUM(O110-O133),1)</f>
        <v>-2309.8000000000002</v>
      </c>
      <c r="P136" s="381"/>
      <c r="Q136" s="1579">
        <f>ROUND(SUM(Q110-Q133),1)</f>
        <v>-1667.7</v>
      </c>
      <c r="R136" s="381"/>
      <c r="S136" s="1579">
        <f>ROUND(SUM(S110-S133),1)</f>
        <v>4532.3999999999996</v>
      </c>
      <c r="T136" s="381"/>
      <c r="U136" s="1579">
        <f>ROUND(SUM(U110-U133),1)</f>
        <v>4442.5</v>
      </c>
      <c r="V136" s="381"/>
      <c r="W136" s="1579">
        <f>ROUND(SUM(W110-W133),1)</f>
        <v>2142.4</v>
      </c>
      <c r="X136" s="381"/>
      <c r="Y136" s="1579">
        <f>ROUND(SUM(Y110-Y133),1)</f>
        <v>-9588.6</v>
      </c>
      <c r="Z136" s="381"/>
      <c r="AA136" s="382"/>
      <c r="AB136" s="1579">
        <f>ROUND(SUM(AB110-AB133),1)</f>
        <v>13969</v>
      </c>
      <c r="AC136" s="381"/>
      <c r="AD136" s="1830"/>
      <c r="AE136" s="1579">
        <f>ROUND(SUM(AE110-AE133),1)</f>
        <v>29768.1</v>
      </c>
      <c r="AF136" s="381"/>
      <c r="AG136" s="381"/>
      <c r="AH136" s="1836">
        <f>ROUND(SUM(AB136-AE136),1)</f>
        <v>-15799.1</v>
      </c>
      <c r="AI136" s="369"/>
      <c r="AJ136" s="1163">
        <f>ROUND(SUM(AH136/ABS(AE136)),3)</f>
        <v>-0.53100000000000003</v>
      </c>
      <c r="AK136" s="302"/>
      <c r="AL136" s="302"/>
    </row>
    <row r="137" spans="1:44" ht="16.5" customHeight="1">
      <c r="A137" s="472"/>
      <c r="B137" s="151"/>
      <c r="C137" s="35"/>
      <c r="D137" s="377"/>
      <c r="E137" s="35"/>
      <c r="F137" s="377"/>
      <c r="G137" s="35"/>
      <c r="H137" s="377"/>
      <c r="I137" s="35"/>
      <c r="J137" s="377"/>
      <c r="K137" s="35"/>
      <c r="L137" s="377"/>
      <c r="M137" s="35"/>
      <c r="N137" s="377"/>
      <c r="O137" s="35"/>
      <c r="P137" s="377"/>
      <c r="Q137" s="35"/>
      <c r="R137" s="377"/>
      <c r="S137" s="35"/>
      <c r="T137" s="377"/>
      <c r="U137" s="35"/>
      <c r="V137" s="377"/>
      <c r="W137" s="35"/>
      <c r="X137" s="377"/>
      <c r="Y137" s="35"/>
      <c r="Z137" s="253"/>
      <c r="AA137" s="378"/>
      <c r="AB137" s="35"/>
      <c r="AC137" s="377"/>
      <c r="AD137" s="1826"/>
      <c r="AE137" s="35"/>
      <c r="AF137" s="377"/>
      <c r="AG137" s="377"/>
      <c r="AH137" s="467"/>
      <c r="AI137" s="151"/>
      <c r="AJ137" s="472"/>
    </row>
    <row r="138" spans="1:44" ht="16.5" customHeight="1">
      <c r="A138" s="111" t="s">
        <v>45</v>
      </c>
      <c r="B138" s="151"/>
      <c r="C138" s="377"/>
      <c r="D138" s="377"/>
      <c r="E138" s="377"/>
      <c r="F138" s="385"/>
      <c r="G138" s="377"/>
      <c r="H138" s="385"/>
      <c r="I138" s="385"/>
      <c r="J138" s="385"/>
      <c r="K138" s="385"/>
      <c r="L138" s="385"/>
      <c r="M138" s="385"/>
      <c r="N138" s="385"/>
      <c r="O138" s="385"/>
      <c r="P138" s="385"/>
      <c r="Q138" s="385"/>
      <c r="R138" s="385"/>
      <c r="S138" s="385"/>
      <c r="T138" s="385"/>
      <c r="U138" s="385"/>
      <c r="V138" s="377"/>
      <c r="W138" s="385"/>
      <c r="X138" s="377"/>
      <c r="Y138" s="385"/>
      <c r="Z138" s="1580"/>
      <c r="AA138" s="378"/>
      <c r="AB138" s="377"/>
      <c r="AC138" s="1580"/>
      <c r="AD138" s="377"/>
      <c r="AE138" s="377"/>
      <c r="AF138" s="377"/>
      <c r="AG138" s="377"/>
      <c r="AH138" s="467"/>
      <c r="AI138" s="151"/>
      <c r="AJ138" s="472"/>
    </row>
    <row r="139" spans="1:44" ht="16.5" customHeight="1">
      <c r="A139" s="151" t="s">
        <v>1068</v>
      </c>
      <c r="B139" s="151"/>
      <c r="C139" s="1331">
        <f>+'Exhibit F'!D127+'Exhibit F'!D128+'Exhibit F'!D129+'Exhibit F'!D130+'Exhibit G State'!D113+'Exhibit H'!B68</f>
        <v>9446.5</v>
      </c>
      <c r="D139" s="377"/>
      <c r="E139" s="1331">
        <f>+'Exhibit F'!F127+'Exhibit F'!F128+'Exhibit F'!F129+'Exhibit F'!F130+'Exhibit G State'!F113+'Exhibit H'!D68</f>
        <v>2949.6999999999994</v>
      </c>
      <c r="F139" s="377"/>
      <c r="G139" s="1331">
        <f>+'Exhibit F'!H127+'Exhibit F'!H128+'Exhibit F'!H129+'Exhibit F'!H130+'Exhibit G State'!H113+'Exhibit H'!F68</f>
        <v>5884.0999999999995</v>
      </c>
      <c r="H139" s="377"/>
      <c r="I139" s="1331">
        <f>+'Exhibit F'!J127+'Exhibit F'!J128+'Exhibit F'!J129+'Exhibit F'!J130+'Exhibit G State'!J113+'Exhibit H'!H68</f>
        <v>2956.2</v>
      </c>
      <c r="J139" s="377"/>
      <c r="K139" s="1331">
        <f>+'Exhibit F'!L127+'Exhibit F'!L128+'Exhibit F'!L129+'Exhibit F'!L130+'Exhibit G State'!L113+'Exhibit H'!J68</f>
        <v>2391.0000000000005</v>
      </c>
      <c r="L139" s="377"/>
      <c r="M139" s="1331">
        <f>+'Exhibit F'!N127+'Exhibit F'!N128+'Exhibit F'!N129+'Exhibit F'!N130+'Exhibit G State'!N113+'Exhibit H'!L68</f>
        <v>6167.6000000000022</v>
      </c>
      <c r="N139" s="377"/>
      <c r="O139" s="1331">
        <f>+'Exhibit F'!P127+'Exhibit F'!P128+'Exhibit F'!P129+'Exhibit F'!P130+'Exhibit G State'!P113+'Exhibit H'!N68</f>
        <v>1704.9999999999991</v>
      </c>
      <c r="P139" s="377"/>
      <c r="Q139" s="1331">
        <f>+'Exhibit F'!R127+'Exhibit F'!R128+'Exhibit F'!R129+'Exhibit F'!R130+'Exhibit G State'!R113+'Exhibit H'!P68</f>
        <v>2645.1999999999985</v>
      </c>
      <c r="R139" s="1331"/>
      <c r="S139" s="1331">
        <f>+'Exhibit F'!T127+'Exhibit F'!T128+'Exhibit F'!T129+'Exhibit F'!T130+'Exhibit G State'!T113+'Exhibit H'!R68</f>
        <v>4969.0000000000027</v>
      </c>
      <c r="T139" s="1331"/>
      <c r="U139" s="1331">
        <f>+'Exhibit F'!V127+'Exhibit F'!V128+'Exhibit F'!V129+'Exhibit F'!V130+'Exhibit G State'!V113+'Exhibit H'!T68</f>
        <v>3014.7000000000016</v>
      </c>
      <c r="V139" s="1331"/>
      <c r="W139" s="1331">
        <f>+'Exhibit F'!X127+'Exhibit F'!X128+'Exhibit F'!X129+'Exhibit F'!X130+'Exhibit G State'!X113+'Exhibit H'!V68</f>
        <v>1567.0999999999997</v>
      </c>
      <c r="X139" s="1331"/>
      <c r="Y139" s="1331">
        <f>+'Exhibit F'!Z127+'Exhibit F'!Z128+'Exhibit F'!Z129+'Exhibit F'!Z130+'Exhibit G State'!Z113+'Exhibit H'!X68</f>
        <v>4058.5999999999931</v>
      </c>
      <c r="Z139" s="377"/>
      <c r="AA139" s="378"/>
      <c r="AB139" s="377">
        <f>ROUND(SUM(C139:Y139),1)</f>
        <v>47754.7</v>
      </c>
      <c r="AC139" s="377"/>
      <c r="AD139" s="378"/>
      <c r="AE139" s="377">
        <f>'Exhibit F'!AF127+'Exhibit F'!AF128+'Exhibit F'!AF129+'Exhibit F'!AF130+'Exhibit G State'!AG113+'Exhibit H'!AD68</f>
        <v>54681.599999999991</v>
      </c>
      <c r="AF139" s="377"/>
      <c r="AG139" s="377"/>
      <c r="AH139" s="377">
        <f>ROUND(SUM(AB139-AE139),1)</f>
        <v>-6926.9</v>
      </c>
      <c r="AI139" s="151"/>
      <c r="AJ139" s="488">
        <f>ROUND(SUM(AH139/ABS(AE139)),3)</f>
        <v>-0.127</v>
      </c>
    </row>
    <row r="140" spans="1:44" ht="16.5" customHeight="1">
      <c r="A140" s="151" t="s">
        <v>1069</v>
      </c>
      <c r="C140" s="1581">
        <f>+'Exhibit F'!D131+'Exhibit F'!D132+'Exhibit F'!D133+'Exhibit F'!D134+'Exhibit G State'!D114+'Exhibit H'!B69</f>
        <v>-8589</v>
      </c>
      <c r="D140" s="35"/>
      <c r="E140" s="1581">
        <f>+'Exhibit F'!F131+'Exhibit F'!F132+'Exhibit F'!F133+'Exhibit F'!F134+'Exhibit G State'!F114+'Exhibit H'!D69</f>
        <v>-2634.8999999999996</v>
      </c>
      <c r="F140" s="35"/>
      <c r="G140" s="1581">
        <f>+'Exhibit F'!H131+'Exhibit F'!H132+'Exhibit F'!H133+'Exhibit F'!H134+'Exhibit G State'!H114+'Exhibit H'!F69</f>
        <v>-5714.0999999999995</v>
      </c>
      <c r="H140" s="35"/>
      <c r="I140" s="1581">
        <f>+'Exhibit F'!J131+'Exhibit F'!J132+'Exhibit F'!J133+'Exhibit F'!J134+'Exhibit G State'!J114+'Exhibit H'!H69</f>
        <v>-3201.1000000000013</v>
      </c>
      <c r="J140" s="35"/>
      <c r="K140" s="1581">
        <f>+'Exhibit F'!L131+'Exhibit F'!L132+'Exhibit F'!L133+'Exhibit F'!L134+'Exhibit G State'!L114+'Exhibit H'!J69</f>
        <v>-2587.3000000000006</v>
      </c>
      <c r="L140" s="35"/>
      <c r="M140" s="1581">
        <f>+'Exhibit F'!N131+'Exhibit F'!N132+'Exhibit F'!N133+'Exhibit F'!N134+'Exhibit G State'!N114+'Exhibit H'!L69</f>
        <v>-5754.3999999999969</v>
      </c>
      <c r="N140" s="35"/>
      <c r="O140" s="1581">
        <f>+'Exhibit F'!P131+'Exhibit F'!P132+'Exhibit F'!P133+'Exhibit F'!P134+'Exhibit G State'!P114+'Exhibit H'!N69</f>
        <v>-2374.7000000000035</v>
      </c>
      <c r="P140" s="35"/>
      <c r="Q140" s="1581">
        <f>+'Exhibit F'!R131+'Exhibit F'!R132+'Exhibit F'!R133+'Exhibit F'!R134+'Exhibit G State'!R114+'Exhibit H'!P69</f>
        <v>-2631.599999999999</v>
      </c>
      <c r="R140" s="1331"/>
      <c r="S140" s="1581">
        <f>+'Exhibit F'!T131+'Exhibit F'!T132+'Exhibit F'!T133+'Exhibit F'!T134+'Exhibit G State'!T114+'Exhibit H'!R69</f>
        <v>-5070.5999999999922</v>
      </c>
      <c r="T140" s="1331"/>
      <c r="U140" s="1581">
        <f>+'Exhibit F'!V131+'Exhibit F'!V132+'Exhibit F'!V133+'Exhibit F'!V134+'Exhibit G State'!V114+'Exhibit H'!T69</f>
        <v>-3412.6000000000031</v>
      </c>
      <c r="V140" s="1331"/>
      <c r="W140" s="1581">
        <f>+'Exhibit F'!X131+'Exhibit F'!X132+'Exhibit F'!X133+'Exhibit F'!X134+'Exhibit G State'!X114+'Exhibit H'!V69</f>
        <v>-2064.3000000000034</v>
      </c>
      <c r="X140" s="1331"/>
      <c r="Y140" s="1581">
        <f>+'Exhibit F'!Z131+'Exhibit F'!Z132+'Exhibit F'!Z133+'Exhibit F'!Z134+'Exhibit G State'!Z114+'Exhibit H'!X69</f>
        <v>-5732.4999999999945</v>
      </c>
      <c r="Z140" s="35"/>
      <c r="AA140" s="386"/>
      <c r="AB140" s="379">
        <f>ROUND(SUM(C140:Y140),1)</f>
        <v>-49767.1</v>
      </c>
      <c r="AC140" s="35"/>
      <c r="AD140" s="386"/>
      <c r="AE140" s="379">
        <f>'Exhibit F'!AF131+'Exhibit F'!AF132+'Exhibit F'!AF133+'Exhibit F'!AF134+'Exhibit G State'!AG114+'Exhibit H'!AD69</f>
        <v>-58616.899999999994</v>
      </c>
      <c r="AF140" s="35"/>
      <c r="AG140" s="35"/>
      <c r="AH140" s="379">
        <f>ROUND(SUM(-AB140+AE140),1)</f>
        <v>-8849.7999999999993</v>
      </c>
      <c r="AI140" s="472"/>
      <c r="AJ140" s="1837">
        <f>ROUND(SUM(AH140/ABS(AE140)),3)</f>
        <v>-0.151</v>
      </c>
    </row>
    <row r="141" spans="1:44" ht="16.5" customHeight="1">
      <c r="A141" s="151"/>
      <c r="C141" s="377"/>
      <c r="D141" s="35"/>
      <c r="E141" s="377"/>
      <c r="F141" s="35"/>
      <c r="G141" s="377"/>
      <c r="H141" s="35"/>
      <c r="I141" s="377"/>
      <c r="J141" s="35"/>
      <c r="K141" s="377"/>
      <c r="L141" s="35"/>
      <c r="M141" s="377"/>
      <c r="N141" s="35"/>
      <c r="O141" s="377"/>
      <c r="P141" s="35"/>
      <c r="Q141" s="377"/>
      <c r="R141" s="35"/>
      <c r="S141" s="377"/>
      <c r="T141" s="35"/>
      <c r="U141" s="377"/>
      <c r="V141" s="35"/>
      <c r="W141" s="377"/>
      <c r="X141" s="35"/>
      <c r="Y141" s="377"/>
      <c r="Z141" s="35"/>
      <c r="AA141" s="386"/>
      <c r="AB141" s="377"/>
      <c r="AC141" s="35"/>
      <c r="AD141" s="386"/>
      <c r="AE141" s="377"/>
      <c r="AF141" s="35"/>
      <c r="AG141" s="35"/>
      <c r="AH141" s="377"/>
      <c r="AI141" s="472"/>
      <c r="AJ141" s="488"/>
    </row>
    <row r="142" spans="1:44" ht="16.5" customHeight="1">
      <c r="A142" s="111" t="s">
        <v>48</v>
      </c>
      <c r="C142" s="1579">
        <f>ROUND(SUM(C139:C140),1)</f>
        <v>857.5</v>
      </c>
      <c r="D142" s="387"/>
      <c r="E142" s="1579">
        <f>ROUND(SUM(E139:E140),1)</f>
        <v>314.8</v>
      </c>
      <c r="F142" s="387"/>
      <c r="G142" s="1579">
        <f>ROUND(SUM(G139:G140),1)</f>
        <v>170</v>
      </c>
      <c r="H142" s="387"/>
      <c r="I142" s="1579">
        <f>ROUND(SUM(I139:I140),1)</f>
        <v>-244.9</v>
      </c>
      <c r="J142" s="387"/>
      <c r="K142" s="1579">
        <f>ROUND(SUM(K139:K140),1)</f>
        <v>-196.3</v>
      </c>
      <c r="L142" s="387"/>
      <c r="M142" s="1579">
        <f>ROUND(SUM(M139:M140),1)</f>
        <v>413.2</v>
      </c>
      <c r="N142" s="387"/>
      <c r="O142" s="1579">
        <f>ROUND(SUM(O139:O140),1)</f>
        <v>-669.7</v>
      </c>
      <c r="P142" s="387"/>
      <c r="Q142" s="1579">
        <f>ROUND(SUM(Q139:Q140),1)</f>
        <v>13.6</v>
      </c>
      <c r="R142" s="387"/>
      <c r="S142" s="1579">
        <f>ROUND(SUM(S139:S140),1)</f>
        <v>-101.6</v>
      </c>
      <c r="T142" s="387"/>
      <c r="U142" s="1579">
        <f>ROUND(SUM(U139:U140),1)</f>
        <v>-397.9</v>
      </c>
      <c r="V142" s="387"/>
      <c r="W142" s="1579">
        <f>ROUND(SUM(W139:W140),1)</f>
        <v>-497.2</v>
      </c>
      <c r="X142" s="387"/>
      <c r="Y142" s="1579">
        <f>ROUND(SUM(Y139:Y140),1)</f>
        <v>-1673.9</v>
      </c>
      <c r="Z142" s="387"/>
      <c r="AA142" s="388"/>
      <c r="AB142" s="1579">
        <f>ROUND(SUM(AB139:AB140),1)</f>
        <v>-2012.4</v>
      </c>
      <c r="AC142" s="387"/>
      <c r="AD142" s="388"/>
      <c r="AE142" s="1579">
        <f>ROUND(SUM(AE139:AE140),1)</f>
        <v>-3935.3</v>
      </c>
      <c r="AF142" s="387"/>
      <c r="AG142" s="35"/>
      <c r="AH142" s="1579">
        <f>ROUND(SUM(AH139-AH140),1)</f>
        <v>1922.9</v>
      </c>
      <c r="AI142" s="111"/>
      <c r="AJ142" s="1163">
        <f>ROUND(SUM(AH142/ABS(AE142)),3)</f>
        <v>0.48899999999999999</v>
      </c>
      <c r="AK142" s="302"/>
      <c r="AL142" s="302"/>
    </row>
    <row r="143" spans="1:44" ht="16.5" customHeight="1">
      <c r="A143" s="472"/>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86"/>
      <c r="AB143" s="35"/>
      <c r="AC143" s="35"/>
      <c r="AD143" s="386"/>
      <c r="AE143" s="35"/>
      <c r="AF143" s="35"/>
      <c r="AH143" s="467"/>
      <c r="AI143" s="472"/>
      <c r="AJ143" s="472"/>
    </row>
    <row r="144" spans="1:44" ht="16.5" customHeight="1">
      <c r="A144" s="111" t="s">
        <v>43</v>
      </c>
      <c r="C144" s="377"/>
      <c r="D144" s="35"/>
      <c r="E144" s="377"/>
      <c r="F144" s="35"/>
      <c r="G144" s="377"/>
      <c r="H144" s="35"/>
      <c r="I144" s="377"/>
      <c r="J144" s="35"/>
      <c r="K144" s="377"/>
      <c r="L144" s="35"/>
      <c r="M144" s="377"/>
      <c r="N144" s="35"/>
      <c r="O144" s="377"/>
      <c r="P144" s="35"/>
      <c r="Q144" s="377"/>
      <c r="R144" s="35"/>
      <c r="S144" s="377"/>
      <c r="T144" s="35"/>
      <c r="U144" s="377"/>
      <c r="V144" s="35"/>
      <c r="W144" s="377"/>
      <c r="X144" s="35"/>
      <c r="Y144" s="377"/>
      <c r="Z144" s="35"/>
      <c r="AA144" s="386"/>
      <c r="AB144" s="377"/>
      <c r="AC144" s="35"/>
      <c r="AD144" s="386"/>
      <c r="AE144" s="377"/>
      <c r="AF144" s="35"/>
      <c r="AG144" s="173"/>
      <c r="AH144" s="467"/>
      <c r="AI144" s="472"/>
      <c r="AJ144" s="472"/>
    </row>
    <row r="145" spans="1:59" ht="16.5" customHeight="1">
      <c r="A145" s="111" t="s">
        <v>49</v>
      </c>
      <c r="C145" s="381"/>
      <c r="D145" s="387"/>
      <c r="E145" s="381"/>
      <c r="F145" s="387"/>
      <c r="G145" s="381"/>
      <c r="H145" s="387"/>
      <c r="I145" s="381"/>
      <c r="J145" s="387"/>
      <c r="K145" s="381"/>
      <c r="L145" s="387"/>
      <c r="M145" s="381"/>
      <c r="N145" s="387"/>
      <c r="O145" s="381"/>
      <c r="P145" s="387"/>
      <c r="Q145" s="381"/>
      <c r="R145" s="387"/>
      <c r="S145" s="381"/>
      <c r="T145" s="387"/>
      <c r="U145" s="381"/>
      <c r="V145" s="387"/>
      <c r="W145" s="381"/>
      <c r="X145" s="387"/>
      <c r="Y145" s="381"/>
      <c r="Z145" s="387"/>
      <c r="AA145" s="388"/>
      <c r="AB145" s="381"/>
      <c r="AC145" s="387"/>
      <c r="AD145" s="388"/>
      <c r="AE145" s="381"/>
      <c r="AF145" s="35"/>
      <c r="AG145" s="173"/>
      <c r="AH145" s="42"/>
      <c r="AI145" s="111"/>
      <c r="AJ145" s="111"/>
      <c r="AK145" s="302"/>
      <c r="AL145" s="302"/>
      <c r="AM145" s="302"/>
      <c r="AN145" s="302"/>
      <c r="AO145" s="302"/>
      <c r="AP145" s="302"/>
      <c r="AQ145" s="302"/>
      <c r="AR145" s="302"/>
      <c r="AS145" s="302"/>
      <c r="AT145" s="302"/>
      <c r="AU145" s="302"/>
      <c r="AV145" s="302"/>
      <c r="AW145" s="302"/>
      <c r="AX145" s="302"/>
      <c r="AY145" s="302"/>
      <c r="AZ145" s="302"/>
      <c r="BA145" s="302"/>
      <c r="BB145" s="302"/>
      <c r="BC145" s="302"/>
      <c r="BD145" s="302"/>
      <c r="BE145" s="302"/>
      <c r="BF145" s="302"/>
      <c r="BG145" s="302"/>
    </row>
    <row r="146" spans="1:59" ht="16.5" customHeight="1">
      <c r="A146" s="111" t="s">
        <v>50</v>
      </c>
      <c r="C146" s="389">
        <f>ROUND(SUM(C136+C142),1)</f>
        <v>13720.3</v>
      </c>
      <c r="D146" s="387"/>
      <c r="E146" s="389">
        <f>ROUND(SUM(E136+E142),1)</f>
        <v>-5101.8999999999996</v>
      </c>
      <c r="F146" s="387"/>
      <c r="G146" s="389">
        <f>ROUND(SUM(G136+G142),1)</f>
        <v>4512.3999999999996</v>
      </c>
      <c r="H146" s="387"/>
      <c r="I146" s="389">
        <f>ROUND(SUM(I136+I142),1)</f>
        <v>553.70000000000005</v>
      </c>
      <c r="J146" s="387"/>
      <c r="K146" s="389">
        <f>ROUND(SUM(K136+K142),1)</f>
        <v>-237.9</v>
      </c>
      <c r="L146" s="387"/>
      <c r="M146" s="389">
        <f>ROUND(SUM(M136+M142),1)</f>
        <v>4285.5</v>
      </c>
      <c r="N146" s="387"/>
      <c r="O146" s="389">
        <f>ROUND(SUM(O136+O142),1)</f>
        <v>-2979.5</v>
      </c>
      <c r="P146" s="387"/>
      <c r="Q146" s="389">
        <f>ROUND(SUM(Q136+Q142),1)</f>
        <v>-1654.1</v>
      </c>
      <c r="R146" s="387"/>
      <c r="S146" s="389">
        <f>ROUND(SUM(S136+S142),1)</f>
        <v>4430.8</v>
      </c>
      <c r="T146" s="387"/>
      <c r="U146" s="389">
        <f>ROUND(SUM(U136+U142),1)</f>
        <v>4044.6</v>
      </c>
      <c r="V146" s="387"/>
      <c r="W146" s="389">
        <f>ROUND(SUM(W136+W142),1)</f>
        <v>1645.2</v>
      </c>
      <c r="X146" s="387"/>
      <c r="Y146" s="389">
        <f>ROUND(SUM(Y136+Y142),1)</f>
        <v>-11262.5</v>
      </c>
      <c r="Z146" s="387"/>
      <c r="AA146" s="388"/>
      <c r="AB146" s="389">
        <f>ROUND(SUM(AB136+AB142),1)</f>
        <v>11956.6</v>
      </c>
      <c r="AC146" s="387"/>
      <c r="AD146" s="388"/>
      <c r="AE146" s="389">
        <f>ROUND(SUM(AE136+AE142),1)</f>
        <v>25832.799999999999</v>
      </c>
      <c r="AF146" s="35"/>
      <c r="AG146" s="173"/>
      <c r="AH146" s="1836">
        <f>ROUND(SUM(AB146-AE146),1)</f>
        <v>-13876.2</v>
      </c>
      <c r="AI146" s="111"/>
      <c r="AJ146" s="1163">
        <f>ROUND(SUM(AH146/ABS(AE146)),3)</f>
        <v>-0.53700000000000003</v>
      </c>
      <c r="AK146" s="302"/>
      <c r="AL146" s="302"/>
      <c r="AM146" s="302"/>
      <c r="AN146" s="302"/>
      <c r="AO146" s="302"/>
      <c r="AP146" s="302"/>
      <c r="AQ146" s="302"/>
      <c r="AR146" s="302"/>
      <c r="AS146" s="302"/>
      <c r="AT146" s="302"/>
      <c r="AU146" s="302"/>
      <c r="AV146" s="302"/>
      <c r="AW146" s="302"/>
      <c r="AX146" s="302"/>
      <c r="AY146" s="302"/>
      <c r="AZ146" s="302"/>
      <c r="BA146" s="302"/>
      <c r="BB146" s="302"/>
      <c r="BC146" s="302"/>
      <c r="BD146" s="302"/>
      <c r="BE146" s="302"/>
      <c r="BF146" s="302"/>
      <c r="BG146" s="302"/>
    </row>
    <row r="147" spans="1:59" ht="15.5">
      <c r="A147" s="111"/>
      <c r="C147" s="372"/>
      <c r="E147" s="372"/>
      <c r="G147" s="372"/>
      <c r="I147" s="372"/>
      <c r="K147" s="372"/>
      <c r="M147" s="372"/>
      <c r="O147" s="372"/>
      <c r="Q147" s="372"/>
      <c r="S147" s="372"/>
      <c r="U147" s="372"/>
      <c r="W147" s="372"/>
      <c r="Y147" s="372"/>
      <c r="AA147" s="390"/>
      <c r="AB147" s="372"/>
      <c r="AD147" s="390"/>
      <c r="AE147" s="2098"/>
      <c r="AF147" s="35"/>
      <c r="AG147" s="173"/>
      <c r="AH147" s="472"/>
      <c r="AI147" s="472"/>
      <c r="AJ147" s="472"/>
    </row>
    <row r="148" spans="1:59" ht="16" thickBot="1">
      <c r="A148" s="391" t="s">
        <v>139</v>
      </c>
      <c r="C148" s="392">
        <f>ROUND(SUM(C16+C146),1)</f>
        <v>54487.5</v>
      </c>
      <c r="D148" s="173"/>
      <c r="E148" s="392">
        <f>ROUND(SUM(E16+E146),1)</f>
        <v>49385.599999999999</v>
      </c>
      <c r="F148" s="173"/>
      <c r="G148" s="392">
        <f>ROUND(SUM(G16+G146),1)</f>
        <v>53898</v>
      </c>
      <c r="H148" s="173"/>
      <c r="I148" s="392">
        <f>ROUND(SUM(I16+I146),1)</f>
        <v>54451.7</v>
      </c>
      <c r="J148" s="393"/>
      <c r="K148" s="392">
        <f>ROUND(SUM(K16+K146),1)</f>
        <v>54213.8</v>
      </c>
      <c r="L148" s="393"/>
      <c r="M148" s="392">
        <f>ROUND(SUM(M16+M146),1)</f>
        <v>58499.3</v>
      </c>
      <c r="N148" s="393"/>
      <c r="O148" s="392">
        <f>ROUND(SUM(O16+O146),1)</f>
        <v>55519.8</v>
      </c>
      <c r="P148" s="393"/>
      <c r="Q148" s="392">
        <f>ROUND(SUM(Q16+Q146),1)</f>
        <v>53865.7</v>
      </c>
      <c r="R148" s="393"/>
      <c r="S148" s="392">
        <f>ROUND(SUM(S16+S146),1)</f>
        <v>58296.5</v>
      </c>
      <c r="T148" s="393"/>
      <c r="U148" s="392">
        <f>ROUND(SUM(U16+U146),1)</f>
        <v>62341.1</v>
      </c>
      <c r="V148" s="393"/>
      <c r="W148" s="392">
        <f>ROUND(SUM(W16+W146),1)</f>
        <v>63986.3</v>
      </c>
      <c r="X148" s="393"/>
      <c r="Y148" s="392">
        <f>ROUND(SUM(Y16+Y146),1)</f>
        <v>52723.8</v>
      </c>
      <c r="Z148" s="173"/>
      <c r="AA148" s="394"/>
      <c r="AB148" s="392">
        <f>ROUND(SUM(AB16+AB146),1)</f>
        <v>52723.8</v>
      </c>
      <c r="AC148" s="173"/>
      <c r="AD148" s="394"/>
      <c r="AE148" s="392">
        <f>ROUND(SUM(AE16+AE146),1)</f>
        <v>40767.199999999997</v>
      </c>
      <c r="AF148" s="35"/>
      <c r="AG148" s="173"/>
      <c r="AH148" s="392">
        <f>ROUND(SUM(AB148-AE148),1)</f>
        <v>11956.6</v>
      </c>
      <c r="AI148" s="111"/>
      <c r="AJ148" s="200">
        <f>ROUND(SUM(AH148/ABS(AE148)),3)</f>
        <v>0.29299999999999998</v>
      </c>
      <c r="AK148" s="302"/>
    </row>
    <row r="149" spans="1:59" ht="16" thickTop="1">
      <c r="A149" s="395"/>
      <c r="AH149" s="472"/>
      <c r="AI149" s="472"/>
      <c r="AJ149" s="472"/>
    </row>
    <row r="150" spans="1:59" ht="15.5">
      <c r="A150" s="489" t="s">
        <v>1059</v>
      </c>
      <c r="O150" s="141" t="s">
        <v>14</v>
      </c>
      <c r="AH150" s="472"/>
      <c r="AI150" s="472"/>
      <c r="AJ150" s="472"/>
    </row>
    <row r="151" spans="1:59" ht="15.5">
      <c r="A151" s="489" t="s">
        <v>1452</v>
      </c>
      <c r="AB151" s="141" t="s">
        <v>14</v>
      </c>
      <c r="AH151" s="472"/>
      <c r="AI151" s="472"/>
      <c r="AJ151" s="472"/>
    </row>
    <row r="152" spans="1:59" ht="15.5">
      <c r="A152" s="817" t="s">
        <v>1451</v>
      </c>
      <c r="AB152" s="141" t="s">
        <v>14</v>
      </c>
      <c r="AH152" s="472"/>
      <c r="AI152" s="472"/>
      <c r="AJ152" s="472"/>
    </row>
    <row r="153" spans="1:59" ht="16.5" customHeight="1">
      <c r="AH153" s="472"/>
      <c r="AI153" s="472"/>
      <c r="AJ153" s="472"/>
    </row>
    <row r="154" spans="1:59" ht="16.5" customHeight="1">
      <c r="AH154" s="472"/>
      <c r="AI154" s="472"/>
      <c r="AJ154" s="472"/>
    </row>
    <row r="155" spans="1:59" ht="16.5" customHeight="1">
      <c r="AH155" s="472"/>
      <c r="AI155" s="472"/>
      <c r="AJ155" s="472"/>
    </row>
    <row r="156" spans="1:59" ht="16.5" customHeight="1">
      <c r="AH156" s="472"/>
      <c r="AI156" s="472"/>
      <c r="AJ156" s="472"/>
    </row>
    <row r="157" spans="1:59" ht="16.5" customHeight="1">
      <c r="AH157" s="472"/>
      <c r="AI157" s="472"/>
      <c r="AJ157" s="472"/>
    </row>
    <row r="158" spans="1:59" ht="16.5" customHeight="1">
      <c r="AH158" s="472"/>
      <c r="AI158" s="472"/>
      <c r="AJ158" s="472"/>
    </row>
    <row r="159" spans="1:59" ht="16.5" customHeight="1">
      <c r="AH159" s="472"/>
      <c r="AI159" s="472"/>
      <c r="AJ159" s="472"/>
    </row>
    <row r="160" spans="1:59" ht="16.5" customHeight="1">
      <c r="AH160" s="472"/>
      <c r="AI160" s="472"/>
      <c r="AJ160" s="472"/>
    </row>
    <row r="161" spans="34:36" ht="16.5" customHeight="1">
      <c r="AH161" s="472"/>
      <c r="AI161" s="472"/>
      <c r="AJ161" s="472"/>
    </row>
    <row r="162" spans="34:36" ht="16.5" customHeight="1">
      <c r="AH162" s="472"/>
      <c r="AI162" s="472"/>
      <c r="AJ162" s="472"/>
    </row>
    <row r="163" spans="34:36" ht="16.5" customHeight="1">
      <c r="AH163" s="472"/>
      <c r="AI163" s="472"/>
      <c r="AJ163" s="472"/>
    </row>
    <row r="164" spans="34:36" ht="16.5" customHeight="1">
      <c r="AH164" s="472"/>
      <c r="AI164" s="472"/>
      <c r="AJ164" s="472"/>
    </row>
    <row r="165" spans="34:36" ht="16.5" customHeight="1">
      <c r="AH165" s="472"/>
      <c r="AI165" s="472"/>
      <c r="AJ165" s="472"/>
    </row>
    <row r="166" spans="34:36" ht="16.5" customHeight="1">
      <c r="AH166" s="472"/>
      <c r="AI166" s="472"/>
      <c r="AJ166" s="472"/>
    </row>
  </sheetData>
  <mergeCells count="2">
    <mergeCell ref="AC5:AJ5"/>
    <mergeCell ref="AB12:AJ12"/>
  </mergeCells>
  <printOptions horizontalCentered="1"/>
  <pageMargins left="0.25" right="0.25" top="0.5" bottom="0.25" header="0.47" footer="0.3"/>
  <pageSetup scale="38" firstPageNumber="19" orientation="landscape" useFirstPageNumber="1" r:id="rId1"/>
  <headerFooter scaleWithDoc="0" alignWithMargins="0">
    <oddFooter>&amp;C&amp;8&amp;P</oddFooter>
  </headerFooter>
  <rowBreaks count="1" manualBreakCount="1">
    <brk id="86" max="35" man="1"/>
  </rowBreaks>
  <ignoredErrors>
    <ignoredError sqref="AJ27:AJ32" unlockedFormula="1"/>
    <ignoredError sqref="AH35:AI35 AJ35 AJ95 AH96 AJ82 AH48 AJ48 AB37 AH37 AJ37 AJ33 AH24 AB26" formula="1"/>
    <ignoredError sqref="AJ87 AJ69 AJ71:AJ72 AJ74:AJ77 AJ115 AJ38 AJ36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7"/>
  <sheetViews>
    <sheetView showGridLines="0" zoomScale="80" workbookViewId="0"/>
  </sheetViews>
  <sheetFormatPr defaultColWidth="8.84375" defaultRowHeight="12.5"/>
  <cols>
    <col min="1" max="1" width="2.53515625" style="137" customWidth="1"/>
    <col min="2" max="2" width="48.53515625" style="137" customWidth="1"/>
    <col min="3" max="3" width="1.07421875" style="137" customWidth="1"/>
    <col min="4" max="4" width="12.4609375" style="137" bestFit="1" customWidth="1"/>
    <col min="5" max="5" width="1.84375" style="137" customWidth="1"/>
    <col min="6" max="6" width="12.84375" style="137" bestFit="1" customWidth="1"/>
    <col min="7" max="7" width="1.84375" style="137" customWidth="1"/>
    <col min="8" max="8" width="12.84375" style="137" bestFit="1" customWidth="1"/>
    <col min="9" max="9" width="1.84375" style="137" customWidth="1"/>
    <col min="10" max="10" width="13.84375" style="1449" customWidth="1"/>
    <col min="11" max="11" width="1.84375" style="137" customWidth="1"/>
    <col min="12" max="12" width="12.84375" style="137" bestFit="1" customWidth="1"/>
    <col min="13" max="13" width="1.84375" style="137" customWidth="1"/>
    <col min="14" max="14" width="13.84375" style="137" customWidth="1"/>
    <col min="15" max="15" width="1.84375" style="137" customWidth="1"/>
    <col min="16" max="16" width="12.84375" style="137" bestFit="1" customWidth="1"/>
    <col min="17" max="17" width="1.84375" style="137" customWidth="1"/>
    <col min="18" max="18" width="12.07421875" style="137" customWidth="1"/>
    <col min="19" max="19" width="1.84375" style="137" customWidth="1"/>
    <col min="20" max="20" width="14.84375" style="137" customWidth="1"/>
    <col min="21" max="21" width="1.84375" style="137" customWidth="1"/>
    <col min="22" max="22" width="12.07421875" style="137" customWidth="1"/>
    <col min="23" max="23" width="1.84375" style="137" customWidth="1"/>
    <col min="24" max="24" width="12.84375" style="137" customWidth="1"/>
    <col min="25" max="25" width="1.84375" style="137" customWidth="1"/>
    <col min="26" max="26" width="14.53515625" style="137" customWidth="1"/>
    <col min="27" max="27" width="1.53515625" style="137" customWidth="1"/>
    <col min="28" max="28" width="1.84375" style="137" customWidth="1"/>
    <col min="29" max="29" width="13.07421875" style="137" customWidth="1"/>
    <col min="30" max="30" width="1.4609375" style="137" customWidth="1"/>
    <col min="31" max="31" width="1.07421875" style="137" customWidth="1"/>
    <col min="32" max="32" width="15.07421875" style="137" customWidth="1"/>
    <col min="33" max="33" width="1" style="137" customWidth="1"/>
    <col min="34" max="34" width="1.07421875" style="137" customWidth="1"/>
    <col min="35" max="35" width="13.07421875" style="137" bestFit="1" customWidth="1"/>
    <col min="36" max="36" width="1" style="137" customWidth="1"/>
    <col min="37" max="37" width="13.84375" style="1450" bestFit="1" customWidth="1"/>
    <col min="38" max="38" width="10.07421875" style="137" customWidth="1"/>
    <col min="39" max="16384" width="8.84375" style="137"/>
  </cols>
  <sheetData>
    <row r="1" spans="1:37" ht="15.5">
      <c r="B1" s="489" t="s">
        <v>868</v>
      </c>
    </row>
    <row r="2" spans="1:37">
      <c r="A2" s="169"/>
      <c r="B2" s="169"/>
      <c r="C2" s="169"/>
      <c r="D2" s="169"/>
      <c r="E2" s="169"/>
      <c r="F2" s="169"/>
      <c r="G2" s="169"/>
      <c r="H2" s="169"/>
      <c r="I2" s="169"/>
      <c r="J2" s="758"/>
      <c r="K2" s="169"/>
      <c r="L2" s="169"/>
      <c r="M2" s="169"/>
      <c r="N2" s="169"/>
      <c r="O2" s="169"/>
      <c r="P2" s="169"/>
      <c r="Q2" s="169"/>
      <c r="R2" s="169"/>
      <c r="S2" s="169"/>
      <c r="T2" s="169"/>
      <c r="U2" s="169"/>
      <c r="V2" s="169"/>
      <c r="W2" s="169"/>
      <c r="X2" s="169"/>
      <c r="Y2" s="169"/>
      <c r="Z2" s="169"/>
      <c r="AA2" s="169"/>
      <c r="AB2" s="169"/>
      <c r="AC2" s="169"/>
      <c r="AD2" s="169"/>
      <c r="AE2" s="169"/>
      <c r="AF2" s="169"/>
      <c r="AG2" s="169"/>
    </row>
    <row r="3" spans="1:37" ht="18">
      <c r="A3" s="169"/>
      <c r="B3" s="170" t="s">
        <v>0</v>
      </c>
      <c r="C3" s="169"/>
      <c r="D3" s="169"/>
      <c r="E3" s="169"/>
      <c r="F3" s="103"/>
      <c r="G3" s="169"/>
      <c r="H3" s="169"/>
      <c r="I3" s="169"/>
      <c r="J3" s="758"/>
      <c r="K3" s="169"/>
      <c r="L3" s="169"/>
      <c r="M3" s="19"/>
      <c r="N3" s="138"/>
      <c r="O3" s="169"/>
      <c r="P3" s="169"/>
      <c r="Q3" s="169"/>
      <c r="R3" s="169"/>
      <c r="S3" s="169"/>
      <c r="T3" s="169"/>
      <c r="U3" s="169"/>
      <c r="V3" s="169"/>
      <c r="W3" s="169"/>
      <c r="X3" s="169"/>
      <c r="Y3" s="169"/>
      <c r="Z3" s="169"/>
      <c r="AA3" s="169"/>
      <c r="AB3" s="169"/>
      <c r="AC3" s="169"/>
      <c r="AD3" s="169"/>
      <c r="AE3" s="169"/>
      <c r="AF3" s="169"/>
      <c r="AG3" s="169"/>
      <c r="AK3" s="172" t="s">
        <v>144</v>
      </c>
    </row>
    <row r="4" spans="1:37" ht="18">
      <c r="A4" s="169"/>
      <c r="B4" s="171" t="s">
        <v>143</v>
      </c>
      <c r="C4" s="169"/>
      <c r="D4" s="169"/>
      <c r="E4" s="169"/>
      <c r="F4" s="103"/>
      <c r="G4" s="169"/>
      <c r="H4" s="169" t="s">
        <v>14</v>
      </c>
      <c r="I4" s="169"/>
      <c r="J4" s="758"/>
      <c r="K4" s="169"/>
      <c r="L4" s="169"/>
      <c r="M4" s="19"/>
      <c r="N4" s="138"/>
      <c r="O4" s="169"/>
      <c r="P4" s="169"/>
      <c r="Q4" s="169"/>
      <c r="R4" s="169"/>
      <c r="S4" s="169"/>
      <c r="T4" s="169"/>
      <c r="U4" s="169"/>
      <c r="V4" s="169"/>
      <c r="W4" s="169"/>
      <c r="X4" s="169"/>
      <c r="Y4" s="169"/>
      <c r="Z4" s="169"/>
      <c r="AA4" s="169"/>
      <c r="AB4" s="169"/>
      <c r="AC4" s="1451"/>
      <c r="AD4" s="1451"/>
      <c r="AE4" s="1451"/>
      <c r="AF4" s="1451"/>
      <c r="AG4" s="1451"/>
    </row>
    <row r="5" spans="1:37" ht="18">
      <c r="A5" s="169"/>
      <c r="B5" s="171" t="s">
        <v>145</v>
      </c>
      <c r="C5" s="169"/>
      <c r="D5" s="169"/>
      <c r="E5" s="169"/>
      <c r="F5" s="103"/>
      <c r="G5" s="169"/>
      <c r="H5" s="169"/>
      <c r="I5" s="169"/>
      <c r="J5" s="758"/>
      <c r="K5" s="169"/>
      <c r="L5" s="169"/>
      <c r="M5" s="19"/>
      <c r="N5" s="138"/>
      <c r="O5" s="169"/>
      <c r="P5" s="169"/>
      <c r="Q5" s="169"/>
      <c r="R5" s="169"/>
      <c r="S5" s="169"/>
      <c r="T5" s="169"/>
      <c r="U5" s="169"/>
      <c r="V5" s="169"/>
      <c r="W5" s="169"/>
      <c r="X5" s="169"/>
      <c r="Y5" s="169"/>
      <c r="Z5" s="169"/>
      <c r="AA5" s="169"/>
      <c r="AB5" s="169"/>
      <c r="AD5" s="1766"/>
      <c r="AE5" s="1766"/>
    </row>
    <row r="6" spans="1:37" ht="18" customHeight="1">
      <c r="A6" s="169"/>
      <c r="B6" s="974" t="str">
        <f>'Cashflow Governmental'!A6</f>
        <v xml:space="preserve">FISCAL YEAR 2022-2023   </v>
      </c>
      <c r="C6" s="169"/>
      <c r="D6" s="169"/>
      <c r="E6" s="169"/>
      <c r="F6" s="103"/>
      <c r="G6" s="169"/>
      <c r="H6" s="169"/>
      <c r="I6" s="169"/>
      <c r="J6" s="758"/>
      <c r="K6" s="169"/>
      <c r="L6" s="169"/>
      <c r="M6" s="19"/>
      <c r="N6" s="138"/>
      <c r="O6" s="169"/>
      <c r="P6" s="169"/>
      <c r="Q6" s="169"/>
      <c r="R6" s="169"/>
      <c r="S6" s="169"/>
      <c r="T6" s="169"/>
      <c r="U6" s="169"/>
      <c r="V6" s="169"/>
      <c r="W6" s="169"/>
      <c r="X6" s="169"/>
      <c r="Y6" s="169"/>
      <c r="Z6" s="169"/>
      <c r="AA6" s="169"/>
      <c r="AB6" s="169"/>
      <c r="AC6" s="169"/>
      <c r="AD6" s="169"/>
      <c r="AE6" s="169"/>
      <c r="AF6" s="169"/>
      <c r="AG6" s="169"/>
    </row>
    <row r="7" spans="1:37" ht="15" customHeight="1">
      <c r="A7" s="169"/>
      <c r="B7" s="171" t="s">
        <v>1247</v>
      </c>
      <c r="C7" s="169"/>
      <c r="D7" s="169"/>
      <c r="E7" s="169"/>
      <c r="F7" s="103"/>
      <c r="G7" s="169"/>
      <c r="H7" s="169"/>
      <c r="I7" s="169"/>
      <c r="J7" s="758"/>
      <c r="K7" s="169"/>
      <c r="L7" s="138"/>
      <c r="M7" s="19"/>
      <c r="N7" s="169"/>
      <c r="O7" s="169"/>
      <c r="P7" s="1748"/>
      <c r="Q7" s="169"/>
      <c r="R7" s="169"/>
      <c r="S7" s="169"/>
      <c r="T7" s="169"/>
      <c r="U7" s="169"/>
      <c r="V7" s="169"/>
      <c r="W7" s="169"/>
      <c r="X7" s="169"/>
      <c r="Y7" s="169"/>
      <c r="Z7" s="169"/>
      <c r="AA7" s="169"/>
      <c r="AB7" s="169"/>
      <c r="AC7" s="169"/>
      <c r="AD7" s="169"/>
      <c r="AE7" s="169"/>
      <c r="AF7" s="169"/>
      <c r="AG7" s="169"/>
    </row>
    <row r="8" spans="1:37" ht="15.5">
      <c r="A8" s="169"/>
      <c r="B8" s="169"/>
      <c r="C8" s="169"/>
      <c r="D8" s="169"/>
      <c r="E8" s="169"/>
      <c r="F8" s="103"/>
      <c r="G8" s="169"/>
      <c r="H8" s="169"/>
      <c r="I8" s="169"/>
      <c r="J8" s="758"/>
      <c r="K8" s="169"/>
      <c r="L8" s="169"/>
      <c r="M8" s="169"/>
      <c r="N8" s="169"/>
      <c r="O8" s="169"/>
      <c r="P8" s="169"/>
      <c r="Q8" s="169"/>
      <c r="R8" s="169"/>
      <c r="S8" s="169"/>
      <c r="T8" s="169"/>
      <c r="U8" s="169"/>
      <c r="V8" s="169"/>
      <c r="W8" s="169"/>
      <c r="X8" s="169"/>
      <c r="Y8" s="169"/>
      <c r="Z8" s="169"/>
      <c r="AA8" s="169"/>
      <c r="AB8" s="2317" t="str">
        <f>+'Cashflow Governmental'!AB12:AJ12</f>
        <v>12 Months Ended March 31</v>
      </c>
      <c r="AC8" s="2317"/>
      <c r="AD8" s="2317"/>
      <c r="AE8" s="2317"/>
      <c r="AF8" s="2317"/>
      <c r="AG8" s="2317"/>
      <c r="AH8" s="2317"/>
      <c r="AI8" s="2317"/>
      <c r="AJ8" s="2317"/>
      <c r="AK8" s="2317"/>
    </row>
    <row r="9" spans="1:37" ht="15" customHeight="1">
      <c r="A9" s="169"/>
      <c r="B9" s="20"/>
      <c r="C9" s="20"/>
      <c r="D9" s="1017" t="str">
        <f>'Cashflow Governmental'!C13</f>
        <v>2022</v>
      </c>
      <c r="E9" s="369"/>
      <c r="F9" s="369"/>
      <c r="G9" s="369"/>
      <c r="H9" s="369"/>
      <c r="I9" s="369"/>
      <c r="J9" s="369"/>
      <c r="K9" s="369"/>
      <c r="L9" s="369"/>
      <c r="M9" s="369"/>
      <c r="N9" s="369"/>
      <c r="O9" s="369"/>
      <c r="P9" s="369"/>
      <c r="Q9" s="369"/>
      <c r="R9" s="369"/>
      <c r="S9" s="369"/>
      <c r="T9" s="369"/>
      <c r="U9" s="369"/>
      <c r="V9" s="1017">
        <f>'Cashflow Governmental'!U13</f>
        <v>2023</v>
      </c>
      <c r="W9" s="369"/>
      <c r="X9" s="369"/>
      <c r="Y9" s="369"/>
      <c r="Z9" s="369"/>
      <c r="AA9" s="138"/>
      <c r="AB9" s="19"/>
      <c r="AC9" s="138"/>
      <c r="AD9" s="19"/>
      <c r="AE9" s="19"/>
      <c r="AF9" s="138"/>
      <c r="AG9" s="138"/>
      <c r="AH9" s="144"/>
      <c r="AI9" s="544" t="s">
        <v>7</v>
      </c>
      <c r="AJ9" s="138"/>
      <c r="AK9" s="545" t="s">
        <v>8</v>
      </c>
    </row>
    <row r="10" spans="1:37" ht="15" customHeight="1">
      <c r="A10" s="169"/>
      <c r="B10" s="20"/>
      <c r="C10" s="20"/>
      <c r="D10" s="132" t="s">
        <v>122</v>
      </c>
      <c r="E10" s="19"/>
      <c r="F10" s="1452" t="s">
        <v>123</v>
      </c>
      <c r="G10" s="19"/>
      <c r="H10" s="1452" t="s">
        <v>124</v>
      </c>
      <c r="I10" s="19"/>
      <c r="J10" s="55" t="s">
        <v>125</v>
      </c>
      <c r="K10" s="19"/>
      <c r="L10" s="545" t="s">
        <v>126</v>
      </c>
      <c r="M10" s="19"/>
      <c r="N10" s="545" t="s">
        <v>141</v>
      </c>
      <c r="O10" s="19"/>
      <c r="P10" s="545" t="s">
        <v>142</v>
      </c>
      <c r="Q10" s="19"/>
      <c r="R10" s="545" t="s">
        <v>129</v>
      </c>
      <c r="S10" s="19"/>
      <c r="T10" s="545" t="s">
        <v>130</v>
      </c>
      <c r="U10" s="19"/>
      <c r="V10" s="545" t="s">
        <v>131</v>
      </c>
      <c r="W10" s="19"/>
      <c r="X10" s="545" t="s">
        <v>132</v>
      </c>
      <c r="Y10" s="19"/>
      <c r="Z10" s="545" t="s">
        <v>182</v>
      </c>
      <c r="AA10" s="545"/>
      <c r="AB10" s="19"/>
      <c r="AC10" s="1767">
        <f>'Cashflow Governmental'!AB14</f>
        <v>2023</v>
      </c>
      <c r="AD10" s="19" t="s">
        <v>14</v>
      </c>
      <c r="AE10" s="19"/>
      <c r="AF10" s="1767">
        <f>'Cashflow Governmental'!AE14</f>
        <v>2022</v>
      </c>
      <c r="AG10" s="1453"/>
      <c r="AH10" s="144"/>
      <c r="AI10" s="546" t="s">
        <v>11</v>
      </c>
      <c r="AJ10" s="138"/>
      <c r="AK10" s="547" t="s">
        <v>12</v>
      </c>
    </row>
    <row r="11" spans="1:37" ht="5.25" customHeight="1">
      <c r="A11" s="169"/>
      <c r="B11" s="20"/>
      <c r="C11" s="20"/>
      <c r="D11" s="29" t="s">
        <v>14</v>
      </c>
      <c r="E11" s="20"/>
      <c r="F11" s="1454"/>
      <c r="G11" s="20"/>
      <c r="H11" s="29"/>
      <c r="I11" s="20"/>
      <c r="J11" s="61"/>
      <c r="K11" s="20"/>
      <c r="L11" s="29"/>
      <c r="M11" s="20"/>
      <c r="N11" s="29"/>
      <c r="O11" s="20"/>
      <c r="P11" s="29"/>
      <c r="Q11" s="20"/>
      <c r="R11" s="29"/>
      <c r="S11" s="20"/>
      <c r="T11" s="29"/>
      <c r="U11" s="20"/>
      <c r="V11" s="29"/>
      <c r="W11" s="20"/>
      <c r="X11" s="29"/>
      <c r="Y11" s="20"/>
      <c r="Z11" s="29"/>
      <c r="AA11" s="20"/>
      <c r="AB11" s="20"/>
      <c r="AC11" s="20"/>
      <c r="AD11" s="20"/>
      <c r="AE11" s="20"/>
      <c r="AF11" s="20"/>
      <c r="AG11" s="20"/>
      <c r="AH11" s="1455"/>
    </row>
    <row r="12" spans="1:37" ht="15" customHeight="1">
      <c r="A12" s="99"/>
      <c r="B12" s="23" t="s">
        <v>134</v>
      </c>
      <c r="C12" s="21"/>
      <c r="D12" s="216">
        <v>33052.699999999997</v>
      </c>
      <c r="E12" s="122"/>
      <c r="F12" s="65">
        <f>D143</f>
        <v>45693.4</v>
      </c>
      <c r="G12" s="122"/>
      <c r="H12" s="65">
        <f>F143</f>
        <v>40311.300000000003</v>
      </c>
      <c r="I12" s="122"/>
      <c r="J12" s="65">
        <f>H143</f>
        <v>43797.1</v>
      </c>
      <c r="K12" s="122"/>
      <c r="L12" s="65">
        <f>J143</f>
        <v>43698.6</v>
      </c>
      <c r="M12" s="122"/>
      <c r="N12" s="65">
        <f>L143</f>
        <v>42930.3</v>
      </c>
      <c r="O12" s="122"/>
      <c r="P12" s="65">
        <f>N143</f>
        <v>49993.3</v>
      </c>
      <c r="Q12" s="122"/>
      <c r="R12" s="65">
        <f>P143</f>
        <v>46849.1</v>
      </c>
      <c r="S12" s="65"/>
      <c r="T12" s="65">
        <f t="shared" ref="T12" si="0">R143</f>
        <v>45220.800000000003</v>
      </c>
      <c r="U12" s="65"/>
      <c r="V12" s="65">
        <f t="shared" ref="V12" si="1">T143</f>
        <v>49439.8</v>
      </c>
      <c r="W12" s="65"/>
      <c r="X12" s="65">
        <f t="shared" ref="X12" si="2">V143</f>
        <v>50086</v>
      </c>
      <c r="Y12" s="65"/>
      <c r="Z12" s="65">
        <f t="shared" ref="Z12" si="3">X143</f>
        <v>50420.9</v>
      </c>
      <c r="AA12" s="122"/>
      <c r="AB12" s="1456"/>
      <c r="AC12" s="65">
        <f>D12</f>
        <v>33052.699999999997</v>
      </c>
      <c r="AD12" s="122"/>
      <c r="AE12" s="1456"/>
      <c r="AF12" s="1878">
        <v>9160.7999999999993</v>
      </c>
      <c r="AG12" s="122"/>
      <c r="AH12" s="1457"/>
      <c r="AI12" s="65">
        <f>ROUND(SUM(+AC12-AF12),1)</f>
        <v>23891.9</v>
      </c>
      <c r="AJ12" s="1458"/>
      <c r="AK12" s="486">
        <f>ROUND(IF(AF12=0,0,AI12/ABS(AF12)),3)</f>
        <v>2.6080000000000001</v>
      </c>
    </row>
    <row r="13" spans="1:37" ht="15" customHeight="1">
      <c r="A13" s="99"/>
      <c r="B13" s="21"/>
      <c r="C13" s="21"/>
      <c r="D13" s="21"/>
      <c r="E13" s="21"/>
      <c r="F13" s="119"/>
      <c r="G13" s="21"/>
      <c r="H13" s="119"/>
      <c r="I13" s="21"/>
      <c r="J13" s="36"/>
      <c r="K13" s="21"/>
      <c r="L13" s="119"/>
      <c r="M13" s="21"/>
      <c r="N13" s="20"/>
      <c r="O13" s="21"/>
      <c r="P13" s="20"/>
      <c r="Q13" s="21"/>
      <c r="R13" s="20"/>
      <c r="S13" s="21"/>
      <c r="T13" s="20"/>
      <c r="U13" s="21"/>
      <c r="V13" s="20"/>
      <c r="W13" s="21"/>
      <c r="X13" s="20"/>
      <c r="Y13" s="21"/>
      <c r="Z13" s="20"/>
      <c r="AA13" s="20"/>
      <c r="AB13" s="30"/>
      <c r="AC13" s="20"/>
      <c r="AD13" s="21"/>
      <c r="AE13" s="30"/>
      <c r="AF13" s="20"/>
      <c r="AG13" s="20"/>
      <c r="AH13" s="1455"/>
      <c r="AI13" s="169"/>
      <c r="AJ13" s="169"/>
      <c r="AK13" s="567"/>
    </row>
    <row r="14" spans="1:37" ht="15" customHeight="1">
      <c r="A14" s="99"/>
      <c r="B14" s="19" t="s">
        <v>13</v>
      </c>
      <c r="C14" s="21"/>
      <c r="D14" s="21"/>
      <c r="E14" s="21"/>
      <c r="F14" s="20"/>
      <c r="G14" s="21"/>
      <c r="H14" s="20"/>
      <c r="I14" s="21"/>
      <c r="J14" s="36"/>
      <c r="K14" s="21"/>
      <c r="L14" s="20"/>
      <c r="M14" s="21"/>
      <c r="N14" s="20"/>
      <c r="O14" s="21"/>
      <c r="P14" s="20"/>
      <c r="Q14" s="21"/>
      <c r="R14" s="20"/>
      <c r="S14" s="21"/>
      <c r="T14" s="20"/>
      <c r="U14" s="21"/>
      <c r="V14" s="20"/>
      <c r="W14" s="21"/>
      <c r="X14" s="20"/>
      <c r="Y14" s="21"/>
      <c r="Z14" s="20"/>
      <c r="AA14" s="20"/>
      <c r="AB14" s="30"/>
      <c r="AC14" s="20"/>
      <c r="AD14" s="21"/>
      <c r="AE14" s="30"/>
      <c r="AF14" s="20"/>
      <c r="AG14" s="20"/>
      <c r="AH14" s="1455"/>
      <c r="AI14" s="169"/>
      <c r="AJ14" s="169"/>
      <c r="AK14" s="567"/>
    </row>
    <row r="15" spans="1:37" ht="15" customHeight="1">
      <c r="A15" s="99"/>
      <c r="B15" s="117" t="s">
        <v>978</v>
      </c>
      <c r="C15" s="21"/>
      <c r="D15" s="21"/>
      <c r="E15" s="21"/>
      <c r="F15" s="20"/>
      <c r="G15" s="21"/>
      <c r="H15" s="20"/>
      <c r="I15" s="21"/>
      <c r="J15" s="36"/>
      <c r="K15" s="21"/>
      <c r="L15" s="20"/>
      <c r="M15" s="21"/>
      <c r="N15" s="20"/>
      <c r="O15" s="21"/>
      <c r="P15" s="20"/>
      <c r="Q15" s="21"/>
      <c r="R15" s="20"/>
      <c r="S15" s="21"/>
      <c r="T15" s="20"/>
      <c r="U15" s="21"/>
      <c r="V15" s="20"/>
      <c r="W15" s="21"/>
      <c r="X15" s="20"/>
      <c r="Y15" s="21"/>
      <c r="Z15" s="20"/>
      <c r="AA15" s="20"/>
      <c r="AB15" s="30"/>
      <c r="AC15" s="20"/>
      <c r="AD15" s="21"/>
      <c r="AE15" s="30"/>
      <c r="AF15" s="20"/>
      <c r="AG15" s="20"/>
      <c r="AH15" s="1455"/>
      <c r="AI15" s="169"/>
      <c r="AJ15" s="169"/>
      <c r="AK15" s="567"/>
    </row>
    <row r="16" spans="1:37" ht="15" customHeight="1">
      <c r="A16" s="99"/>
      <c r="B16" s="739" t="s">
        <v>1040</v>
      </c>
      <c r="C16" s="21"/>
      <c r="D16" s="21"/>
      <c r="E16" s="21"/>
      <c r="F16" s="20"/>
      <c r="G16" s="21"/>
      <c r="H16" s="20"/>
      <c r="I16" s="21"/>
      <c r="J16" s="36"/>
      <c r="K16" s="21"/>
      <c r="L16" s="20"/>
      <c r="M16" s="21"/>
      <c r="N16" s="20"/>
      <c r="O16" s="21"/>
      <c r="P16" s="20"/>
      <c r="Q16" s="21"/>
      <c r="R16" s="20"/>
      <c r="S16" s="21"/>
      <c r="T16" s="20"/>
      <c r="U16" s="21"/>
      <c r="V16" s="20"/>
      <c r="W16" s="21"/>
      <c r="X16" s="20"/>
      <c r="Y16" s="21"/>
      <c r="Z16" s="20"/>
      <c r="AA16" s="20"/>
      <c r="AB16" s="30"/>
      <c r="AC16" s="20"/>
      <c r="AD16" s="21"/>
      <c r="AE16" s="30"/>
      <c r="AF16" s="20"/>
      <c r="AG16" s="20"/>
      <c r="AH16" s="1455"/>
      <c r="AI16" s="169"/>
      <c r="AJ16" s="169"/>
      <c r="AK16" s="567"/>
    </row>
    <row r="17" spans="1:38" ht="15" customHeight="1">
      <c r="A17" s="99"/>
      <c r="B17" s="489" t="s">
        <v>984</v>
      </c>
      <c r="C17" s="21"/>
      <c r="D17" s="919">
        <v>3733.2</v>
      </c>
      <c r="E17" s="980"/>
      <c r="F17" s="919">
        <v>3632</v>
      </c>
      <c r="G17" s="980"/>
      <c r="H17" s="919">
        <v>4010.5999999999995</v>
      </c>
      <c r="I17" s="942"/>
      <c r="J17" s="919">
        <v>3513.9000000000024</v>
      </c>
      <c r="K17" s="919"/>
      <c r="L17" s="919">
        <v>3959.7000000000016</v>
      </c>
      <c r="M17" s="1011"/>
      <c r="N17" s="919">
        <v>3486.399999999996</v>
      </c>
      <c r="O17" s="1011"/>
      <c r="P17" s="919">
        <v>3447.2000000000016</v>
      </c>
      <c r="Q17" s="1011"/>
      <c r="R17" s="919">
        <v>4016.3</v>
      </c>
      <c r="S17" s="919">
        <f t="shared" ref="S17" si="4">$AC17-$D17-$F17-$H17-$J17-$L17-$N17-$P17</f>
        <v>26693.7</v>
      </c>
      <c r="T17" s="919">
        <v>4986.3999999999969</v>
      </c>
      <c r="U17" s="919">
        <f t="shared" ref="U17" si="5">$AC17-$D17-$F17-$H17-$J17-$L17-$N17-$P17-$R17</f>
        <v>22677.4</v>
      </c>
      <c r="V17" s="919">
        <v>5601.0000000000045</v>
      </c>
      <c r="W17" s="919"/>
      <c r="X17" s="919">
        <v>5691.4000000000005</v>
      </c>
      <c r="Y17" s="919"/>
      <c r="Z17" s="919">
        <f>$AC17-$D17-$F17-$H17-$J17-$L17-$N17-$P17-$R17-$T17-$V17-$X17</f>
        <v>6398.5999999999995</v>
      </c>
      <c r="AA17" s="496"/>
      <c r="AB17" s="940"/>
      <c r="AC17" s="919">
        <v>52476.7</v>
      </c>
      <c r="AD17" s="467"/>
      <c r="AE17" s="940" t="s">
        <v>14</v>
      </c>
      <c r="AF17" s="919">
        <v>53327.700000000004</v>
      </c>
      <c r="AG17" s="20"/>
      <c r="AH17" s="1455"/>
      <c r="AI17" s="467">
        <f>ROUND(SUM(+AC17-AF17),1)</f>
        <v>-851</v>
      </c>
      <c r="AJ17" s="169"/>
      <c r="AK17" s="469">
        <f t="shared" ref="AK17:AK21" si="6">ROUND(IF(AF17=0,0,AI17/ABS(AF17)),3)</f>
        <v>-1.6E-2</v>
      </c>
      <c r="AL17" s="137" t="s">
        <v>14</v>
      </c>
    </row>
    <row r="18" spans="1:38" ht="15" customHeight="1">
      <c r="A18" s="99"/>
      <c r="B18" s="489" t="s">
        <v>1237</v>
      </c>
      <c r="C18" s="21"/>
      <c r="D18" s="919">
        <v>10927.5</v>
      </c>
      <c r="E18" s="954"/>
      <c r="F18" s="919">
        <v>152.80000000000109</v>
      </c>
      <c r="G18" s="954"/>
      <c r="H18" s="919">
        <v>1846.2999999999993</v>
      </c>
      <c r="I18" s="499"/>
      <c r="J18" s="919">
        <v>131.5</v>
      </c>
      <c r="K18" s="1011"/>
      <c r="L18" s="919">
        <v>134.29999999999927</v>
      </c>
      <c r="M18" s="1011"/>
      <c r="N18" s="919">
        <v>1985.3000000000011</v>
      </c>
      <c r="O18" s="1011"/>
      <c r="P18" s="919">
        <v>157.09999999999854</v>
      </c>
      <c r="Q18" s="1011"/>
      <c r="R18" s="919">
        <v>97.800000000001091</v>
      </c>
      <c r="S18" s="919">
        <f t="shared" ref="S18:S21" si="7">$AC18-$D18-$F18-$H18-$J18-$L18-$N18-$P18</f>
        <v>3093.2999999999993</v>
      </c>
      <c r="T18" s="919">
        <v>248.10000000000036</v>
      </c>
      <c r="U18" s="1011"/>
      <c r="V18" s="919">
        <v>2520.2000000000007</v>
      </c>
      <c r="W18" s="919"/>
      <c r="X18" s="919">
        <v>101.19999999999709</v>
      </c>
      <c r="Y18" s="1011"/>
      <c r="Z18" s="919">
        <f t="shared" ref="Z18:Z25" si="8">$AC18-$D18-$F18-$H18-$J18-$L18-$N18-$P18-$R18-$T18-$V18-$X18</f>
        <v>126</v>
      </c>
      <c r="AA18" s="496"/>
      <c r="AB18" s="940"/>
      <c r="AC18" s="919">
        <v>18428.099999999999</v>
      </c>
      <c r="AD18" s="467"/>
      <c r="AE18" s="940" t="s">
        <v>14</v>
      </c>
      <c r="AF18" s="919">
        <v>21665.9</v>
      </c>
      <c r="AG18" s="20"/>
      <c r="AH18" s="1455"/>
      <c r="AI18" s="467">
        <f>ROUND(SUM(+AC18-AF18),1)</f>
        <v>-3237.8</v>
      </c>
      <c r="AJ18" s="169"/>
      <c r="AK18" s="978">
        <f t="shared" si="6"/>
        <v>-0.14899999999999999</v>
      </c>
      <c r="AL18" s="137" t="s">
        <v>14</v>
      </c>
    </row>
    <row r="19" spans="1:38" ht="15" customHeight="1">
      <c r="A19" s="99"/>
      <c r="B19" s="489" t="s">
        <v>985</v>
      </c>
      <c r="C19" s="21"/>
      <c r="D19" s="919">
        <v>3269.8</v>
      </c>
      <c r="E19" s="954"/>
      <c r="F19" s="919">
        <v>174.89999999999964</v>
      </c>
      <c r="G19" s="954"/>
      <c r="H19" s="919">
        <v>103.80000000000018</v>
      </c>
      <c r="I19" s="499"/>
      <c r="J19" s="919">
        <v>67.5</v>
      </c>
      <c r="K19" s="1011"/>
      <c r="L19" s="919">
        <v>85.5</v>
      </c>
      <c r="M19" s="1011"/>
      <c r="N19" s="919">
        <v>114.09999999999991</v>
      </c>
      <c r="O19" s="1011"/>
      <c r="P19" s="919">
        <v>1124.9999999999995</v>
      </c>
      <c r="Q19" s="1011"/>
      <c r="R19" s="919">
        <v>87.500000000000909</v>
      </c>
      <c r="S19" s="919">
        <f t="shared" si="7"/>
        <v>509.70000000000073</v>
      </c>
      <c r="T19" s="919">
        <v>36.399999999999636</v>
      </c>
      <c r="U19" s="1011"/>
      <c r="V19" s="919">
        <v>28.300000000000182</v>
      </c>
      <c r="W19" s="919"/>
      <c r="X19" s="919">
        <v>104.49999999999909</v>
      </c>
      <c r="Y19" s="1011"/>
      <c r="Z19" s="919">
        <f t="shared" si="8"/>
        <v>253.00000000000091</v>
      </c>
      <c r="AA19" s="496"/>
      <c r="AB19" s="940"/>
      <c r="AC19" s="919">
        <v>5450.3</v>
      </c>
      <c r="AD19" s="467"/>
      <c r="AE19" s="940" t="s">
        <v>14</v>
      </c>
      <c r="AF19" s="919">
        <v>4631.1000000000004</v>
      </c>
      <c r="AG19" s="20"/>
      <c r="AH19" s="1455"/>
      <c r="AI19" s="467">
        <f>ROUND(SUM(+AC19-AF19),1)</f>
        <v>819.2</v>
      </c>
      <c r="AJ19" s="169"/>
      <c r="AK19" s="469">
        <f t="shared" si="6"/>
        <v>0.17699999999999999</v>
      </c>
      <c r="AL19" s="137" t="s">
        <v>14</v>
      </c>
    </row>
    <row r="20" spans="1:38" ht="15" customHeight="1">
      <c r="A20" s="99"/>
      <c r="B20" s="754" t="s">
        <v>986</v>
      </c>
      <c r="C20" s="21"/>
      <c r="D20" s="919">
        <v>-502</v>
      </c>
      <c r="E20" s="954"/>
      <c r="F20" s="919">
        <v>-39.100000000000023</v>
      </c>
      <c r="G20" s="954"/>
      <c r="H20" s="919">
        <v>-50.399999999999977</v>
      </c>
      <c r="I20" s="499"/>
      <c r="J20" s="919">
        <v>-20.799999999999955</v>
      </c>
      <c r="K20" s="1011"/>
      <c r="L20" s="919">
        <v>-44</v>
      </c>
      <c r="M20" s="1011"/>
      <c r="N20" s="919">
        <v>-90.200000000000045</v>
      </c>
      <c r="O20" s="1011"/>
      <c r="P20" s="919">
        <v>-937.09999999999991</v>
      </c>
      <c r="Q20" s="1011"/>
      <c r="R20" s="919">
        <v>-157.5</v>
      </c>
      <c r="S20" s="919">
        <f t="shared" si="7"/>
        <v>-324.5</v>
      </c>
      <c r="T20" s="919">
        <v>-21.300000000000182</v>
      </c>
      <c r="U20" s="1011"/>
      <c r="V20" s="919">
        <v>11.300000000000182</v>
      </c>
      <c r="W20" s="919"/>
      <c r="X20" s="919">
        <v>-79.900000000000091</v>
      </c>
      <c r="Y20" s="1011"/>
      <c r="Z20" s="919">
        <f t="shared" si="8"/>
        <v>-77.099999999999909</v>
      </c>
      <c r="AA20" s="496"/>
      <c r="AB20" s="940"/>
      <c r="AC20" s="919">
        <v>-2008.1</v>
      </c>
      <c r="AD20" s="467"/>
      <c r="AE20" s="940" t="s">
        <v>14</v>
      </c>
      <c r="AF20" s="919">
        <v>-1122.3</v>
      </c>
      <c r="AG20" s="20"/>
      <c r="AH20" s="1455"/>
      <c r="AI20" s="467">
        <f>-ROUND(SUM(+AC20-AF20),1)</f>
        <v>885.8</v>
      </c>
      <c r="AJ20" s="169"/>
      <c r="AK20" s="469">
        <f t="shared" si="6"/>
        <v>0.78900000000000003</v>
      </c>
      <c r="AL20" s="137" t="s">
        <v>14</v>
      </c>
    </row>
    <row r="21" spans="1:38" ht="15" customHeight="1">
      <c r="A21" s="99"/>
      <c r="B21" s="754" t="s">
        <v>1236</v>
      </c>
      <c r="C21" s="21"/>
      <c r="D21" s="919">
        <v>220.6</v>
      </c>
      <c r="E21" s="954"/>
      <c r="F21" s="919">
        <v>161.79999999999998</v>
      </c>
      <c r="G21" s="954"/>
      <c r="H21" s="919">
        <v>110.10000000000005</v>
      </c>
      <c r="I21" s="499"/>
      <c r="J21" s="919">
        <v>128.20000000000007</v>
      </c>
      <c r="K21" s="1011"/>
      <c r="L21" s="919">
        <v>113.69999999999996</v>
      </c>
      <c r="M21" s="1011"/>
      <c r="N21" s="919">
        <v>124.59999999999997</v>
      </c>
      <c r="O21" s="1011"/>
      <c r="P21" s="919">
        <v>119.50000000000003</v>
      </c>
      <c r="Q21" s="1011"/>
      <c r="R21" s="919">
        <v>136.50000000000003</v>
      </c>
      <c r="S21" s="919">
        <f t="shared" si="7"/>
        <v>813.59999999999991</v>
      </c>
      <c r="T21" s="919">
        <v>142.6</v>
      </c>
      <c r="U21" s="1011"/>
      <c r="V21" s="919">
        <v>133.60000000000028</v>
      </c>
      <c r="W21" s="919"/>
      <c r="X21" s="919">
        <v>207.49999999999974</v>
      </c>
      <c r="Y21" s="1011"/>
      <c r="Z21" s="919">
        <f t="shared" si="8"/>
        <v>193.39999999999989</v>
      </c>
      <c r="AA21" s="496"/>
      <c r="AB21" s="940"/>
      <c r="AC21" s="919">
        <v>1792.1</v>
      </c>
      <c r="AD21" s="467"/>
      <c r="AE21" s="940" t="s">
        <v>14</v>
      </c>
      <c r="AF21" s="919">
        <v>1494.1</v>
      </c>
      <c r="AG21" s="20"/>
      <c r="AH21" s="1455"/>
      <c r="AI21" s="467">
        <f>ROUND(SUM(+AC21-AF21),1)</f>
        <v>298</v>
      </c>
      <c r="AJ21" s="169"/>
      <c r="AK21" s="469">
        <f t="shared" si="6"/>
        <v>0.19900000000000001</v>
      </c>
      <c r="AL21" s="137" t="s">
        <v>14</v>
      </c>
    </row>
    <row r="22" spans="1:38" ht="15" customHeight="1">
      <c r="A22" s="99"/>
      <c r="B22" s="490" t="s">
        <v>987</v>
      </c>
      <c r="C22" s="21"/>
      <c r="D22" s="1459">
        <f>ROUND(SUM(D17:D21),1)</f>
        <v>17649.099999999999</v>
      </c>
      <c r="E22" s="499"/>
      <c r="F22" s="1459">
        <f>ROUND(SUM(F17:F21),1)</f>
        <v>4082.4</v>
      </c>
      <c r="G22" s="499"/>
      <c r="H22" s="1459">
        <f>ROUND(SUM(H17:H21),1)</f>
        <v>6020.4</v>
      </c>
      <c r="I22" s="499"/>
      <c r="J22" s="1459">
        <f>ROUND(SUM(J17:J21),1)</f>
        <v>3820.3</v>
      </c>
      <c r="K22" s="21"/>
      <c r="L22" s="178">
        <f>ROUND(SUM(L17:L21),1)</f>
        <v>4249.2</v>
      </c>
      <c r="M22" s="21"/>
      <c r="N22" s="178">
        <f>ROUND(SUM(N17:N21),1)</f>
        <v>5620.2</v>
      </c>
      <c r="O22" s="36"/>
      <c r="P22" s="178">
        <f>ROUND(SUM(P17:P21),1)</f>
        <v>3911.7</v>
      </c>
      <c r="Q22" s="36"/>
      <c r="R22" s="178">
        <f>ROUND(SUM(R17:R21),1)</f>
        <v>4180.6000000000004</v>
      </c>
      <c r="S22" s="42"/>
      <c r="T22" s="178">
        <f t="shared" ref="T22" si="9">ROUND(SUM(T17:T21),1)</f>
        <v>5392.2</v>
      </c>
      <c r="U22" s="36"/>
      <c r="V22" s="178">
        <f>ROUND(SUM(V17:V21),1)</f>
        <v>8294.4</v>
      </c>
      <c r="W22" s="36"/>
      <c r="X22" s="178">
        <f>ROUND(SUM(X17:X21),1)</f>
        <v>6024.7</v>
      </c>
      <c r="Y22" s="36"/>
      <c r="Z22" s="178">
        <f>ROUND(SUM(Z17:Z21),1)</f>
        <v>6893.9</v>
      </c>
      <c r="AA22" s="20"/>
      <c r="AB22" s="30"/>
      <c r="AC22" s="1257">
        <f>ROUND(SUM(AC17:AC21),1)</f>
        <v>76139.100000000006</v>
      </c>
      <c r="AD22" s="21"/>
      <c r="AE22" s="1768" t="s">
        <v>14</v>
      </c>
      <c r="AF22" s="178">
        <f>ROUND(SUM(AF17:AF21),1)</f>
        <v>79996.5</v>
      </c>
      <c r="AG22" s="20"/>
      <c r="AH22" s="1455"/>
      <c r="AI22" s="178">
        <f>ROUND(SUM(AC22-AF22),1)</f>
        <v>-3857.4</v>
      </c>
      <c r="AJ22" s="169"/>
      <c r="AK22" s="749">
        <f>ROUND(SUM(+AI22/AF22),3)</f>
        <v>-4.8000000000000001E-2</v>
      </c>
      <c r="AL22" s="137" t="s">
        <v>14</v>
      </c>
    </row>
    <row r="23" spans="1:38" ht="15" customHeight="1">
      <c r="A23" s="99"/>
      <c r="B23" s="754" t="s">
        <v>989</v>
      </c>
      <c r="C23" s="21"/>
      <c r="D23" s="919">
        <v>0</v>
      </c>
      <c r="E23" s="954"/>
      <c r="F23" s="919">
        <v>0</v>
      </c>
      <c r="G23" s="954"/>
      <c r="H23" s="919">
        <v>0</v>
      </c>
      <c r="I23" s="499"/>
      <c r="J23" s="919">
        <v>0</v>
      </c>
      <c r="K23" s="1011"/>
      <c r="L23" s="919">
        <v>0</v>
      </c>
      <c r="M23" s="1011"/>
      <c r="N23" s="919">
        <v>0</v>
      </c>
      <c r="O23" s="1011"/>
      <c r="P23" s="919">
        <v>-1.1000000000000001</v>
      </c>
      <c r="Q23" s="1011"/>
      <c r="R23" s="919">
        <v>0</v>
      </c>
      <c r="S23" s="1011"/>
      <c r="T23" s="919">
        <v>-17.5</v>
      </c>
      <c r="U23" s="1011"/>
      <c r="V23" s="919">
        <v>-1711</v>
      </c>
      <c r="W23" s="1011"/>
      <c r="X23" s="919">
        <v>0</v>
      </c>
      <c r="Y23" s="1011"/>
      <c r="Z23" s="919">
        <f t="shared" si="8"/>
        <v>-51.600000000000136</v>
      </c>
      <c r="AA23" s="496"/>
      <c r="AB23" s="940"/>
      <c r="AC23" s="919">
        <v>-1781.2</v>
      </c>
      <c r="AD23" s="467"/>
      <c r="AE23" s="940" t="s">
        <v>14</v>
      </c>
      <c r="AF23" s="919">
        <v>-1904.2</v>
      </c>
      <c r="AG23" s="20"/>
      <c r="AH23" s="1455"/>
      <c r="AI23" s="467">
        <f>-ROUND(SUM(+AC23-AF23),1)</f>
        <v>-123</v>
      </c>
      <c r="AJ23" s="169"/>
      <c r="AK23" s="469">
        <f>ROUND(IF(AF23=0,0,AI23/ABS(AF23)),3)</f>
        <v>-6.5000000000000002E-2</v>
      </c>
    </row>
    <row r="24" spans="1:38" ht="15" customHeight="1">
      <c r="A24" s="99"/>
      <c r="B24" s="754" t="s">
        <v>990</v>
      </c>
      <c r="C24" s="21"/>
      <c r="D24" s="919">
        <v>-7360.8</v>
      </c>
      <c r="E24" s="954"/>
      <c r="F24" s="919">
        <v>-1362.0999999999995</v>
      </c>
      <c r="G24" s="954"/>
      <c r="H24" s="919">
        <v>-2096.6000000000013</v>
      </c>
      <c r="I24" s="499"/>
      <c r="J24" s="919">
        <v>-1545.7999999999984</v>
      </c>
      <c r="K24" s="1011"/>
      <c r="L24" s="919">
        <v>-1794.4000000000005</v>
      </c>
      <c r="M24" s="1011"/>
      <c r="N24" s="919">
        <v>-2429.6000000000004</v>
      </c>
      <c r="O24" s="1011"/>
      <c r="P24" s="919">
        <v>-971.60000000000309</v>
      </c>
      <c r="Q24" s="1011"/>
      <c r="R24" s="919">
        <v>-1357.6999999999971</v>
      </c>
      <c r="S24" s="1011"/>
      <c r="T24" s="919">
        <v>-2140.4999999999982</v>
      </c>
      <c r="U24" s="1011"/>
      <c r="V24" s="919">
        <v>-4136.2</v>
      </c>
      <c r="W24" s="1011"/>
      <c r="X24" s="919">
        <v>-2073.6999999999998</v>
      </c>
      <c r="Y24" s="1011"/>
      <c r="Z24" s="919">
        <f t="shared" si="8"/>
        <v>-2118.7999999999993</v>
      </c>
      <c r="AA24" s="496"/>
      <c r="AB24" s="940"/>
      <c r="AC24" s="919">
        <v>-29387.8</v>
      </c>
      <c r="AD24" s="467"/>
      <c r="AE24" s="940" t="s">
        <v>14</v>
      </c>
      <c r="AF24" s="919">
        <v>-35368.699999999997</v>
      </c>
      <c r="AG24" s="20"/>
      <c r="AH24" s="1455"/>
      <c r="AI24" s="467">
        <f>-ROUND(SUM(+AC24-AF24),1)</f>
        <v>-5980.9</v>
      </c>
      <c r="AJ24" s="169"/>
      <c r="AK24" s="469">
        <f>ROUND(IF(AF24=0,0,AI24/ABS(AF24)),3)</f>
        <v>-0.16900000000000001</v>
      </c>
    </row>
    <row r="25" spans="1:38" ht="15" customHeight="1">
      <c r="A25" s="99"/>
      <c r="B25" s="489" t="s">
        <v>1238</v>
      </c>
      <c r="C25" s="21"/>
      <c r="D25" s="919">
        <v>-2927.5</v>
      </c>
      <c r="E25" s="954"/>
      <c r="F25" s="919">
        <v>-1358.1999999999998</v>
      </c>
      <c r="G25" s="954"/>
      <c r="H25" s="919">
        <v>-1827.3000000000002</v>
      </c>
      <c r="I25" s="499"/>
      <c r="J25" s="919">
        <v>-728.60000000000036</v>
      </c>
      <c r="K25" s="1011"/>
      <c r="L25" s="919">
        <v>-660.39999999999964</v>
      </c>
      <c r="M25" s="1011"/>
      <c r="N25" s="919">
        <v>-761</v>
      </c>
      <c r="O25" s="1011"/>
      <c r="P25" s="919">
        <v>-1968.5</v>
      </c>
      <c r="Q25" s="1011"/>
      <c r="R25" s="919">
        <v>-1465.2999999999993</v>
      </c>
      <c r="S25" s="1011"/>
      <c r="T25" s="919">
        <v>-1111.1000000000013</v>
      </c>
      <c r="U25" s="1011"/>
      <c r="V25" s="919">
        <v>-22</v>
      </c>
      <c r="W25" s="1011"/>
      <c r="X25" s="919">
        <v>-1877.3000000000002</v>
      </c>
      <c r="Y25" s="1011"/>
      <c r="Z25" s="919">
        <f t="shared" si="8"/>
        <v>-2656.2999999999993</v>
      </c>
      <c r="AA25" s="496"/>
      <c r="AB25" s="940"/>
      <c r="AC25" s="919">
        <v>-17363.5</v>
      </c>
      <c r="AD25" s="467"/>
      <c r="AE25" s="940" t="s">
        <v>14</v>
      </c>
      <c r="AF25" s="919">
        <v>-9259.2000000000007</v>
      </c>
      <c r="AG25" s="20"/>
      <c r="AH25" s="1455"/>
      <c r="AI25" s="467">
        <f>-ROUND(SUM(+AC25-AF25),1)</f>
        <v>8104.3</v>
      </c>
      <c r="AJ25" s="169"/>
      <c r="AK25" s="469">
        <f>ROUND(IF(AF25=0,0,AI25/ABS(AF25)),3)</f>
        <v>0.875</v>
      </c>
    </row>
    <row r="26" spans="1:38" ht="15" customHeight="1">
      <c r="A26" s="99"/>
      <c r="B26" s="217" t="s">
        <v>988</v>
      </c>
      <c r="C26" s="20"/>
      <c r="D26" s="1150">
        <f>ROUND(SUM(D22:D25),1)</f>
        <v>7360.8</v>
      </c>
      <c r="E26" s="467"/>
      <c r="F26" s="1150">
        <f>ROUND(SUM(F22+F23+F24+F25),1)</f>
        <v>1362.1</v>
      </c>
      <c r="G26" s="467"/>
      <c r="H26" s="1150">
        <f>ROUND(SUM(H22+H23+H24+H25),1)</f>
        <v>2096.5</v>
      </c>
      <c r="I26" s="467"/>
      <c r="J26" s="1150">
        <f>ROUND(SUM(J22+J23+J24+J25),1)</f>
        <v>1545.9</v>
      </c>
      <c r="K26" s="36"/>
      <c r="L26" s="178">
        <f>ROUND(SUM(L22+L23+L24+L25),1)</f>
        <v>1794.4</v>
      </c>
      <c r="M26" s="36"/>
      <c r="N26" s="178">
        <f>ROUND(SUM(N22+N23+N24+N25),1)</f>
        <v>2429.6</v>
      </c>
      <c r="O26" s="36"/>
      <c r="P26" s="178">
        <f>ROUND(SUM(P22+P23+P24+P25),1)</f>
        <v>970.5</v>
      </c>
      <c r="Q26" s="36"/>
      <c r="R26" s="178">
        <f>ROUND(SUM(R22+R23+R24+R25),1)</f>
        <v>1357.6</v>
      </c>
      <c r="S26" s="42"/>
      <c r="T26" s="178">
        <f t="shared" ref="T26" si="10">ROUND(SUM(T22+T23+T24+T25),1)</f>
        <v>2123.1</v>
      </c>
      <c r="U26" s="36"/>
      <c r="V26" s="178">
        <f>ROUND(SUM(V22+V23+V24+V25),1)</f>
        <v>2425.1999999999998</v>
      </c>
      <c r="W26" s="36"/>
      <c r="X26" s="178">
        <f>ROUND(SUM(X22+X23+X24+X25),1)</f>
        <v>2073.6999999999998</v>
      </c>
      <c r="Y26" s="36"/>
      <c r="Z26" s="178">
        <f>ROUND(SUM(Z22+Z23+Z24+Z25),1)</f>
        <v>2067.1999999999998</v>
      </c>
      <c r="AA26" s="39"/>
      <c r="AB26" s="30"/>
      <c r="AC26" s="1257">
        <f>ROUND(SUM(AC22+AC23+AC24+AC25),1)</f>
        <v>27606.6</v>
      </c>
      <c r="AD26" s="36"/>
      <c r="AE26" s="939" t="s">
        <v>14</v>
      </c>
      <c r="AF26" s="178">
        <f>ROUND(SUM(AF22+AF23+AF24+AF25),1)</f>
        <v>33464.400000000001</v>
      </c>
      <c r="AG26" s="36"/>
      <c r="AH26" s="1460"/>
      <c r="AI26" s="178">
        <f>ROUND(SUM(AI22-AI23-AI24-AI25),1)</f>
        <v>-5857.8</v>
      </c>
      <c r="AJ26" s="467"/>
      <c r="AK26" s="749">
        <f>ROUND(SUM(+AI26/AF26),3)</f>
        <v>-0.17499999999999999</v>
      </c>
    </row>
    <row r="27" spans="1:38" ht="15" customHeight="1">
      <c r="A27" s="99"/>
      <c r="B27" s="739" t="s">
        <v>1037</v>
      </c>
      <c r="C27" s="20"/>
      <c r="D27" s="42"/>
      <c r="E27" s="467"/>
      <c r="F27" s="42"/>
      <c r="G27" s="467"/>
      <c r="H27" s="42"/>
      <c r="I27" s="467"/>
      <c r="J27" s="42"/>
      <c r="K27" s="36"/>
      <c r="L27" s="42"/>
      <c r="M27" s="36"/>
      <c r="N27" s="42"/>
      <c r="O27" s="36"/>
      <c r="P27" s="42"/>
      <c r="Q27" s="36"/>
      <c r="R27" s="42"/>
      <c r="S27" s="36"/>
      <c r="T27" s="42"/>
      <c r="U27" s="36"/>
      <c r="V27" s="42"/>
      <c r="W27" s="36"/>
      <c r="X27" s="42"/>
      <c r="Y27" s="36"/>
      <c r="Z27" s="42"/>
      <c r="AA27" s="39"/>
      <c r="AB27" s="30"/>
      <c r="AC27" s="42"/>
      <c r="AD27" s="36"/>
      <c r="AE27" s="939" t="s">
        <v>14</v>
      </c>
      <c r="AF27" s="42"/>
      <c r="AG27" s="36"/>
      <c r="AH27" s="1460"/>
      <c r="AI27" s="42"/>
      <c r="AJ27" s="467"/>
      <c r="AK27" s="189"/>
    </row>
    <row r="28" spans="1:38" ht="15" customHeight="1">
      <c r="A28" s="99"/>
      <c r="B28" s="489" t="s">
        <v>993</v>
      </c>
      <c r="C28" s="20"/>
      <c r="D28" s="919">
        <v>312</v>
      </c>
      <c r="E28" s="954"/>
      <c r="F28" s="919">
        <v>328</v>
      </c>
      <c r="G28" s="954"/>
      <c r="H28" s="919">
        <v>439</v>
      </c>
      <c r="I28" s="467"/>
      <c r="J28" s="919">
        <v>345.59999999999991</v>
      </c>
      <c r="K28" s="1011"/>
      <c r="L28" s="919">
        <v>335.10000000000014</v>
      </c>
      <c r="M28" s="1011"/>
      <c r="N28" s="919">
        <v>442.60000000000014</v>
      </c>
      <c r="O28" s="1011"/>
      <c r="P28" s="919">
        <v>699.79999999999973</v>
      </c>
      <c r="Q28" s="1011"/>
      <c r="R28" s="919">
        <v>685.5</v>
      </c>
      <c r="S28" s="1011"/>
      <c r="T28" s="919">
        <v>859.59999999999991</v>
      </c>
      <c r="U28" s="1011"/>
      <c r="V28" s="919">
        <v>756.60000000000036</v>
      </c>
      <c r="W28" s="1011"/>
      <c r="X28" s="919">
        <v>653</v>
      </c>
      <c r="Y28" s="1011"/>
      <c r="Z28" s="919">
        <f t="shared" ref="Z28:Z36" si="11">$AC28-$D28-$F28-$H28-$J28-$L28-$N28-$P28-$R28-$T28-$V28-$X28</f>
        <v>806.19999999999891</v>
      </c>
      <c r="AA28" s="496"/>
      <c r="AB28" s="940"/>
      <c r="AC28" s="919">
        <v>6663</v>
      </c>
      <c r="AD28" s="467"/>
      <c r="AE28" s="940" t="s">
        <v>14</v>
      </c>
      <c r="AF28" s="919">
        <v>4122.2</v>
      </c>
      <c r="AG28" s="36"/>
      <c r="AH28" s="1460"/>
      <c r="AI28" s="467">
        <f t="shared" ref="AI28:AI34" si="12">ROUND(SUM(+AC28-AF28),1)</f>
        <v>2540.8000000000002</v>
      </c>
      <c r="AJ28" s="467"/>
      <c r="AK28" s="469">
        <f t="shared" ref="AK28:AK36" si="13">ROUND(IF(AF28=0,0,AI28/ABS(AF28)),3)</f>
        <v>0.61599999999999999</v>
      </c>
    </row>
    <row r="29" spans="1:38" ht="15" customHeight="1">
      <c r="A29" s="99"/>
      <c r="B29" s="489" t="s">
        <v>994</v>
      </c>
      <c r="C29" s="20"/>
      <c r="D29" s="919">
        <v>0</v>
      </c>
      <c r="E29" s="954"/>
      <c r="F29" s="919">
        <v>0</v>
      </c>
      <c r="G29" s="954"/>
      <c r="H29" s="919">
        <v>0</v>
      </c>
      <c r="I29" s="467"/>
      <c r="J29" s="919">
        <v>0</v>
      </c>
      <c r="K29" s="1011"/>
      <c r="L29" s="919">
        <v>0</v>
      </c>
      <c r="M29" s="1011"/>
      <c r="N29" s="919">
        <v>0</v>
      </c>
      <c r="O29" s="1011"/>
      <c r="P29" s="919">
        <v>0</v>
      </c>
      <c r="Q29" s="1011"/>
      <c r="R29" s="919">
        <v>0</v>
      </c>
      <c r="S29" s="1011"/>
      <c r="T29" s="919">
        <v>0</v>
      </c>
      <c r="U29" s="1011"/>
      <c r="V29" s="919">
        <v>0</v>
      </c>
      <c r="W29" s="1011"/>
      <c r="X29" s="919">
        <v>0</v>
      </c>
      <c r="Y29" s="1011"/>
      <c r="Z29" s="919">
        <f t="shared" si="11"/>
        <v>0</v>
      </c>
      <c r="AA29" s="496"/>
      <c r="AB29" s="940"/>
      <c r="AC29" s="919">
        <v>0</v>
      </c>
      <c r="AD29" s="467"/>
      <c r="AE29" s="940" t="s">
        <v>14</v>
      </c>
      <c r="AF29" s="919">
        <v>0</v>
      </c>
      <c r="AG29" s="36"/>
      <c r="AH29" s="1460"/>
      <c r="AI29" s="467">
        <f t="shared" si="12"/>
        <v>0</v>
      </c>
      <c r="AJ29" s="467"/>
      <c r="AK29" s="469">
        <f t="shared" si="13"/>
        <v>0</v>
      </c>
    </row>
    <row r="30" spans="1:38" ht="15" customHeight="1">
      <c r="A30" s="99"/>
      <c r="B30" s="489" t="s">
        <v>995</v>
      </c>
      <c r="C30" s="20"/>
      <c r="D30" s="919">
        <v>27</v>
      </c>
      <c r="E30" s="954"/>
      <c r="F30" s="919">
        <v>23.5</v>
      </c>
      <c r="G30" s="954"/>
      <c r="H30" s="919">
        <v>26.099999999999994</v>
      </c>
      <c r="I30" s="467"/>
      <c r="J30" s="919">
        <v>24.400000000000006</v>
      </c>
      <c r="K30" s="1011"/>
      <c r="L30" s="919">
        <v>25.599999999999994</v>
      </c>
      <c r="M30" s="1011"/>
      <c r="N30" s="919">
        <v>26.900000000000006</v>
      </c>
      <c r="O30" s="1011"/>
      <c r="P30" s="919">
        <v>25.099999999999994</v>
      </c>
      <c r="Q30" s="1011"/>
      <c r="R30" s="919">
        <v>23.100000000000023</v>
      </c>
      <c r="S30" s="1011"/>
      <c r="T30" s="919">
        <v>20.599999999999994</v>
      </c>
      <c r="U30" s="1011"/>
      <c r="V30" s="919">
        <v>22.399999999999977</v>
      </c>
      <c r="W30" s="1011"/>
      <c r="X30" s="919">
        <v>16.699999999999989</v>
      </c>
      <c r="Y30" s="1011"/>
      <c r="Z30" s="919">
        <f t="shared" si="11"/>
        <v>4.4000000000000341</v>
      </c>
      <c r="AA30" s="496"/>
      <c r="AB30" s="940"/>
      <c r="AC30" s="919">
        <v>265.8</v>
      </c>
      <c r="AD30" s="467"/>
      <c r="AE30" s="940" t="s">
        <v>14</v>
      </c>
      <c r="AF30" s="919">
        <v>292.7</v>
      </c>
      <c r="AG30" s="36"/>
      <c r="AH30" s="1460"/>
      <c r="AI30" s="467">
        <f t="shared" si="12"/>
        <v>-26.9</v>
      </c>
      <c r="AJ30" s="467"/>
      <c r="AK30" s="469">
        <f t="shared" si="13"/>
        <v>-9.1999999999999998E-2</v>
      </c>
    </row>
    <row r="31" spans="1:38" ht="15" customHeight="1">
      <c r="A31" s="99"/>
      <c r="B31" s="489" t="s">
        <v>996</v>
      </c>
      <c r="C31" s="20"/>
      <c r="D31" s="919">
        <v>0</v>
      </c>
      <c r="E31" s="954"/>
      <c r="F31" s="919">
        <v>0</v>
      </c>
      <c r="G31" s="954"/>
      <c r="H31" s="919">
        <v>0</v>
      </c>
      <c r="I31" s="467"/>
      <c r="J31" s="919">
        <v>0</v>
      </c>
      <c r="K31" s="1011"/>
      <c r="L31" s="919">
        <v>0</v>
      </c>
      <c r="M31" s="1011"/>
      <c r="N31" s="919">
        <v>0</v>
      </c>
      <c r="O31" s="1011"/>
      <c r="P31" s="919">
        <v>0</v>
      </c>
      <c r="Q31" s="1011"/>
      <c r="R31" s="919">
        <v>0</v>
      </c>
      <c r="S31" s="1011"/>
      <c r="T31" s="919">
        <v>0</v>
      </c>
      <c r="U31" s="1011"/>
      <c r="V31" s="919">
        <v>0</v>
      </c>
      <c r="W31" s="1011"/>
      <c r="X31" s="919">
        <v>0</v>
      </c>
      <c r="Y31" s="1011"/>
      <c r="Z31" s="919">
        <f t="shared" si="11"/>
        <v>0</v>
      </c>
      <c r="AA31" s="496"/>
      <c r="AB31" s="940"/>
      <c r="AC31" s="919">
        <v>0</v>
      </c>
      <c r="AD31" s="467"/>
      <c r="AE31" s="940" t="s">
        <v>14</v>
      </c>
      <c r="AF31" s="919">
        <v>0</v>
      </c>
      <c r="AG31" s="36"/>
      <c r="AH31" s="1460"/>
      <c r="AI31" s="467">
        <f t="shared" si="12"/>
        <v>0</v>
      </c>
      <c r="AJ31" s="467"/>
      <c r="AK31" s="469">
        <f t="shared" si="13"/>
        <v>0</v>
      </c>
    </row>
    <row r="32" spans="1:38" ht="15" customHeight="1">
      <c r="A32" s="99"/>
      <c r="B32" s="755" t="s">
        <v>1537</v>
      </c>
      <c r="C32" s="20"/>
      <c r="D32" s="919">
        <v>0</v>
      </c>
      <c r="E32" s="954"/>
      <c r="F32" s="919">
        <v>0</v>
      </c>
      <c r="G32" s="954"/>
      <c r="H32" s="919">
        <v>0</v>
      </c>
      <c r="I32" s="467"/>
      <c r="J32" s="919">
        <v>0</v>
      </c>
      <c r="K32" s="1011"/>
      <c r="L32" s="919">
        <v>0</v>
      </c>
      <c r="M32" s="1011"/>
      <c r="N32" s="919">
        <v>0</v>
      </c>
      <c r="O32" s="1011"/>
      <c r="P32" s="919">
        <v>0</v>
      </c>
      <c r="Q32" s="1011"/>
      <c r="R32" s="919">
        <v>0</v>
      </c>
      <c r="S32" s="1011"/>
      <c r="T32" s="919">
        <v>0.3</v>
      </c>
      <c r="U32" s="1011"/>
      <c r="V32" s="919">
        <v>0</v>
      </c>
      <c r="W32" s="1011"/>
      <c r="X32" s="919">
        <v>0</v>
      </c>
      <c r="Y32" s="1011"/>
      <c r="Z32" s="919">
        <f t="shared" si="11"/>
        <v>1.7</v>
      </c>
      <c r="AA32" s="496"/>
      <c r="AB32" s="940"/>
      <c r="AC32" s="919">
        <v>2</v>
      </c>
      <c r="AD32" s="467"/>
      <c r="AE32" s="940" t="s">
        <v>14</v>
      </c>
      <c r="AF32" s="919">
        <v>0</v>
      </c>
      <c r="AG32" s="36"/>
      <c r="AH32" s="1460"/>
      <c r="AI32" s="467">
        <f t="shared" ref="AI32" si="14">ROUND(SUM(+AC32-AF32),1)</f>
        <v>2</v>
      </c>
      <c r="AJ32" s="467"/>
      <c r="AK32" s="469">
        <f>ROUND(IF(AF32=0,1,AI32/ABS(AF32)),3)</f>
        <v>1</v>
      </c>
    </row>
    <row r="33" spans="1:41" ht="15" customHeight="1">
      <c r="A33" s="99"/>
      <c r="B33" s="489" t="s">
        <v>997</v>
      </c>
      <c r="C33" s="20"/>
      <c r="D33" s="919">
        <v>24.8</v>
      </c>
      <c r="E33" s="954"/>
      <c r="F33" s="919">
        <v>21.499999999999996</v>
      </c>
      <c r="G33" s="954"/>
      <c r="H33" s="919">
        <v>23.600000000000005</v>
      </c>
      <c r="I33" s="467"/>
      <c r="J33" s="919">
        <v>29.099999999999991</v>
      </c>
      <c r="K33" s="1011"/>
      <c r="L33" s="919">
        <v>22.099999999999991</v>
      </c>
      <c r="M33" s="1011"/>
      <c r="N33" s="919">
        <v>26.300000000000015</v>
      </c>
      <c r="O33" s="1011"/>
      <c r="P33" s="919">
        <v>23.299999999999965</v>
      </c>
      <c r="Q33" s="1011"/>
      <c r="R33" s="919">
        <v>21.800000000000015</v>
      </c>
      <c r="S33" s="1011"/>
      <c r="T33" s="919">
        <v>23.800000000000022</v>
      </c>
      <c r="U33" s="1011"/>
      <c r="V33" s="919">
        <v>30.500000000000004</v>
      </c>
      <c r="W33" s="1011"/>
      <c r="X33" s="919">
        <v>14.699999999999985</v>
      </c>
      <c r="Y33" s="1011"/>
      <c r="Z33" s="919">
        <f t="shared" si="11"/>
        <v>20.500000000000004</v>
      </c>
      <c r="AA33" s="496"/>
      <c r="AB33" s="940"/>
      <c r="AC33" s="919">
        <v>282</v>
      </c>
      <c r="AD33" s="467"/>
      <c r="AE33" s="940" t="s">
        <v>14</v>
      </c>
      <c r="AF33" s="919">
        <v>277.3</v>
      </c>
      <c r="AG33" s="36"/>
      <c r="AH33" s="1460"/>
      <c r="AI33" s="467">
        <f t="shared" si="12"/>
        <v>4.7</v>
      </c>
      <c r="AJ33" s="467"/>
      <c r="AK33" s="469">
        <f t="shared" si="13"/>
        <v>1.7000000000000001E-2</v>
      </c>
    </row>
    <row r="34" spans="1:41" ht="15" customHeight="1">
      <c r="A34" s="99"/>
      <c r="B34" s="489" t="s">
        <v>998</v>
      </c>
      <c r="C34" s="20"/>
      <c r="D34" s="919">
        <v>0</v>
      </c>
      <c r="E34" s="954"/>
      <c r="F34" s="919">
        <v>0</v>
      </c>
      <c r="G34" s="954"/>
      <c r="H34" s="919">
        <v>0</v>
      </c>
      <c r="I34" s="467"/>
      <c r="J34" s="919">
        <v>0</v>
      </c>
      <c r="K34" s="1011"/>
      <c r="L34" s="919">
        <v>0</v>
      </c>
      <c r="M34" s="1011"/>
      <c r="N34" s="919">
        <v>0</v>
      </c>
      <c r="O34" s="1011"/>
      <c r="P34" s="919">
        <v>0</v>
      </c>
      <c r="Q34" s="1011"/>
      <c r="R34" s="919">
        <v>0</v>
      </c>
      <c r="S34" s="1011"/>
      <c r="T34" s="919">
        <v>0</v>
      </c>
      <c r="U34" s="1011"/>
      <c r="V34" s="919">
        <v>0</v>
      </c>
      <c r="W34" s="1011"/>
      <c r="X34" s="919">
        <v>0</v>
      </c>
      <c r="Y34" s="1011"/>
      <c r="Z34" s="919">
        <f t="shared" si="11"/>
        <v>0</v>
      </c>
      <c r="AA34" s="496"/>
      <c r="AB34" s="940"/>
      <c r="AC34" s="919">
        <v>0</v>
      </c>
      <c r="AD34" s="467"/>
      <c r="AE34" s="940" t="s">
        <v>14</v>
      </c>
      <c r="AF34" s="919">
        <v>0</v>
      </c>
      <c r="AG34" s="36"/>
      <c r="AH34" s="1460"/>
      <c r="AI34" s="467">
        <f t="shared" si="12"/>
        <v>0</v>
      </c>
      <c r="AJ34" s="467"/>
      <c r="AK34" s="469">
        <f t="shared" si="13"/>
        <v>0</v>
      </c>
    </row>
    <row r="35" spans="1:41" ht="15" customHeight="1">
      <c r="A35" s="99"/>
      <c r="B35" s="489" t="s">
        <v>1308</v>
      </c>
      <c r="C35" s="20"/>
      <c r="D35" s="919">
        <v>0</v>
      </c>
      <c r="E35" s="954"/>
      <c r="F35" s="919">
        <v>0</v>
      </c>
      <c r="G35" s="954"/>
      <c r="H35" s="919">
        <v>0</v>
      </c>
      <c r="I35" s="467"/>
      <c r="J35" s="919">
        <v>0</v>
      </c>
      <c r="K35" s="1011"/>
      <c r="L35" s="919">
        <v>0</v>
      </c>
      <c r="M35" s="1011"/>
      <c r="N35" s="919">
        <v>0</v>
      </c>
      <c r="O35" s="1011"/>
      <c r="P35" s="919">
        <v>0</v>
      </c>
      <c r="Q35" s="1011"/>
      <c r="R35" s="919">
        <v>0</v>
      </c>
      <c r="S35" s="1011"/>
      <c r="T35" s="919">
        <v>0</v>
      </c>
      <c r="U35" s="1011"/>
      <c r="V35" s="919">
        <v>0</v>
      </c>
      <c r="W35" s="1011"/>
      <c r="X35" s="919">
        <v>0</v>
      </c>
      <c r="Y35" s="1011"/>
      <c r="Z35" s="919">
        <f t="shared" si="11"/>
        <v>0</v>
      </c>
      <c r="AA35" s="496"/>
      <c r="AB35" s="719"/>
      <c r="AC35" s="919">
        <v>0</v>
      </c>
      <c r="AD35" s="467"/>
      <c r="AE35" s="719" t="s">
        <v>14</v>
      </c>
      <c r="AF35" s="919">
        <v>0</v>
      </c>
      <c r="AG35" s="36"/>
      <c r="AH35" s="1460"/>
      <c r="AI35" s="467">
        <f>ROUND(SUM(+AC35-AF35),1)</f>
        <v>0</v>
      </c>
      <c r="AJ35" s="467"/>
      <c r="AK35" s="469">
        <f>ROUND(IF(AF35=0,0,AI35/ABS(AF35)),3)</f>
        <v>0</v>
      </c>
    </row>
    <row r="36" spans="1:41" ht="15" customHeight="1">
      <c r="A36" s="99"/>
      <c r="B36" s="489" t="s">
        <v>1309</v>
      </c>
      <c r="C36" s="20"/>
      <c r="D36" s="919">
        <v>6.4</v>
      </c>
      <c r="E36" s="954"/>
      <c r="F36" s="919">
        <v>1</v>
      </c>
      <c r="G36" s="954"/>
      <c r="H36" s="919">
        <v>-0.10000000000000053</v>
      </c>
      <c r="I36" s="467"/>
      <c r="J36" s="919">
        <v>6.1</v>
      </c>
      <c r="K36" s="1011"/>
      <c r="L36" s="919">
        <v>0</v>
      </c>
      <c r="M36" s="1011"/>
      <c r="N36" s="919">
        <v>0</v>
      </c>
      <c r="O36" s="1011"/>
      <c r="P36" s="919">
        <v>6.1</v>
      </c>
      <c r="Q36" s="1011"/>
      <c r="R36" s="919">
        <v>0.10000000000000142</v>
      </c>
      <c r="S36" s="1011"/>
      <c r="T36" s="919">
        <v>0</v>
      </c>
      <c r="U36" s="1011"/>
      <c r="V36" s="919">
        <v>6.3000000000000007</v>
      </c>
      <c r="W36" s="1011"/>
      <c r="X36" s="919">
        <v>0.70000000000000284</v>
      </c>
      <c r="Y36" s="1011"/>
      <c r="Z36" s="919">
        <f t="shared" si="11"/>
        <v>9.9999999999994316E-2</v>
      </c>
      <c r="AA36" s="496"/>
      <c r="AB36" s="940"/>
      <c r="AC36" s="919">
        <v>26.7</v>
      </c>
      <c r="AD36" s="467"/>
      <c r="AE36" s="940" t="s">
        <v>14</v>
      </c>
      <c r="AF36" s="919">
        <v>28.5</v>
      </c>
      <c r="AG36" s="36"/>
      <c r="AH36" s="1460"/>
      <c r="AI36" s="467">
        <f t="shared" ref="AI36" si="15">ROUND(SUM(+AC36-AF36),1)</f>
        <v>-1.8</v>
      </c>
      <c r="AJ36" s="467"/>
      <c r="AK36" s="469">
        <f t="shared" si="13"/>
        <v>-6.3E-2</v>
      </c>
    </row>
    <row r="37" spans="1:41" s="144" customFormat="1" ht="15" customHeight="1">
      <c r="A37" s="750"/>
      <c r="B37" s="217" t="s">
        <v>992</v>
      </c>
      <c r="C37" s="138"/>
      <c r="D37" s="1150">
        <f>ROUND(SUM(D28:D36),1)</f>
        <v>370.2</v>
      </c>
      <c r="E37" s="42"/>
      <c r="F37" s="1150">
        <f>ROUND(SUM(F28:F36),1)</f>
        <v>374</v>
      </c>
      <c r="G37" s="42"/>
      <c r="H37" s="1150">
        <f>ROUND(SUM(H28:H36),1)</f>
        <v>488.6</v>
      </c>
      <c r="I37" s="42"/>
      <c r="J37" s="1150">
        <f>ROUND(SUM(J28:J36),1)</f>
        <v>405.2</v>
      </c>
      <c r="K37" s="42"/>
      <c r="L37" s="178">
        <f>ROUND(SUM(L28:L36),1)</f>
        <v>382.8</v>
      </c>
      <c r="M37" s="42"/>
      <c r="N37" s="178">
        <f>ROUND(SUM(N28:N36),1)</f>
        <v>495.8</v>
      </c>
      <c r="O37" s="42"/>
      <c r="P37" s="178">
        <f>ROUND(SUM(P28:P36),1)</f>
        <v>754.3</v>
      </c>
      <c r="Q37" s="42"/>
      <c r="R37" s="178">
        <f>ROUND(SUM(R28:R36),1)</f>
        <v>730.5</v>
      </c>
      <c r="S37" s="42"/>
      <c r="T37" s="178">
        <f t="shared" ref="T37" si="16">ROUND(SUM(T28:T36),1)</f>
        <v>904.3</v>
      </c>
      <c r="U37" s="42"/>
      <c r="V37" s="178">
        <f>ROUND(SUM(V28:V36),1)</f>
        <v>815.8</v>
      </c>
      <c r="W37" s="42"/>
      <c r="X37" s="178">
        <f>ROUND(SUM(X28:X36),1)</f>
        <v>685.1</v>
      </c>
      <c r="Y37" s="42"/>
      <c r="Z37" s="178">
        <f>ROUND(SUM(Z28:Z36),1)</f>
        <v>832.9</v>
      </c>
      <c r="AA37" s="111"/>
      <c r="AB37" s="179"/>
      <c r="AC37" s="1257">
        <f>ROUND(SUM(AC28:AC36),1)</f>
        <v>7239.5</v>
      </c>
      <c r="AD37" s="42"/>
      <c r="AE37" s="44"/>
      <c r="AF37" s="178">
        <f>ROUND(SUM(AF28:AF36),1)</f>
        <v>4720.7</v>
      </c>
      <c r="AG37" s="42"/>
      <c r="AH37" s="1461"/>
      <c r="AI37" s="178">
        <f>ROUND(SUM(AI28:AI36),1)</f>
        <v>2518.8000000000002</v>
      </c>
      <c r="AJ37" s="42"/>
      <c r="AK37" s="749">
        <f>ROUND(SUM(+AI37/AF37),3)</f>
        <v>0.53400000000000003</v>
      </c>
      <c r="AL37" s="137"/>
      <c r="AO37" s="137"/>
    </row>
    <row r="38" spans="1:41" s="144" customFormat="1" ht="15" customHeight="1">
      <c r="A38" s="750"/>
      <c r="B38" s="739" t="s">
        <v>1038</v>
      </c>
      <c r="C38" s="138"/>
      <c r="D38" s="42"/>
      <c r="E38" s="42"/>
      <c r="F38" s="42"/>
      <c r="G38" s="42"/>
      <c r="H38" s="42"/>
      <c r="I38" s="42"/>
      <c r="J38" s="467"/>
      <c r="K38" s="42"/>
      <c r="L38" s="42"/>
      <c r="M38" s="42"/>
      <c r="N38" s="42"/>
      <c r="O38" s="42"/>
      <c r="P38" s="42"/>
      <c r="Q38" s="42"/>
      <c r="R38" s="42"/>
      <c r="S38" s="42"/>
      <c r="T38" s="42"/>
      <c r="U38" s="42"/>
      <c r="V38" s="42"/>
      <c r="W38" s="42"/>
      <c r="X38" s="42"/>
      <c r="Y38" s="42"/>
      <c r="Z38" s="42"/>
      <c r="AA38" s="111"/>
      <c r="AB38" s="179"/>
      <c r="AC38" s="42"/>
      <c r="AD38" s="42"/>
      <c r="AE38" s="44" t="s">
        <v>14</v>
      </c>
      <c r="AF38" s="42"/>
      <c r="AG38" s="42"/>
      <c r="AH38" s="1461"/>
      <c r="AI38" s="42"/>
      <c r="AJ38" s="42"/>
      <c r="AK38" s="189"/>
      <c r="AL38" s="137"/>
      <c r="AO38" s="137"/>
    </row>
    <row r="39" spans="1:41" s="144" customFormat="1" ht="15" customHeight="1">
      <c r="A39" s="750"/>
      <c r="B39" s="489" t="s">
        <v>1000</v>
      </c>
      <c r="C39" s="138"/>
      <c r="D39" s="919">
        <v>976.1</v>
      </c>
      <c r="E39" s="954"/>
      <c r="F39" s="919">
        <v>97.999999999999886</v>
      </c>
      <c r="G39" s="954"/>
      <c r="H39" s="919">
        <v>1260</v>
      </c>
      <c r="I39" s="42"/>
      <c r="J39" s="919">
        <v>270.80000000000007</v>
      </c>
      <c r="K39" s="1011"/>
      <c r="L39" s="919">
        <v>-95.599999999999909</v>
      </c>
      <c r="M39" s="1011"/>
      <c r="N39" s="919">
        <v>1234.5</v>
      </c>
      <c r="O39" s="1011"/>
      <c r="P39" s="919">
        <v>208.5</v>
      </c>
      <c r="Q39" s="1011"/>
      <c r="R39" s="919">
        <v>152.80000000000018</v>
      </c>
      <c r="S39" s="1011"/>
      <c r="T39" s="919">
        <v>1343.9999999999995</v>
      </c>
      <c r="U39" s="1011"/>
      <c r="V39" s="919">
        <v>298.19999999999982</v>
      </c>
      <c r="W39" s="1011"/>
      <c r="X39" s="919">
        <v>-228.60000000000036</v>
      </c>
      <c r="Y39" s="1011"/>
      <c r="Z39" s="919">
        <f t="shared" ref="Z39:Z44" si="17">$AC39-$D39-$F39-$H39-$J39-$L39-$N39-$P39-$R39-$T39-$V39-$X39</f>
        <v>1772.6000000000008</v>
      </c>
      <c r="AA39" s="496"/>
      <c r="AB39" s="940"/>
      <c r="AC39" s="919">
        <v>7291.3</v>
      </c>
      <c r="AD39" s="467"/>
      <c r="AE39" s="940" t="s">
        <v>14</v>
      </c>
      <c r="AF39" s="919">
        <v>5817.9</v>
      </c>
      <c r="AG39" s="42"/>
      <c r="AH39" s="1461"/>
      <c r="AI39" s="467">
        <f t="shared" ref="AI39:AI44" si="18">ROUND(SUM(+AC39-AF39),1)</f>
        <v>1473.4</v>
      </c>
      <c r="AJ39" s="42"/>
      <c r="AK39" s="469">
        <f t="shared" ref="AK39:AK42" si="19">ROUND(IF(AF39=0,0,AI39/ABS(AF39)),3)</f>
        <v>0.253</v>
      </c>
      <c r="AL39" s="137"/>
      <c r="AM39" s="137"/>
      <c r="AO39" s="137"/>
    </row>
    <row r="40" spans="1:41" s="144" customFormat="1" ht="15" customHeight="1">
      <c r="A40" s="750"/>
      <c r="B40" s="489" t="s">
        <v>1001</v>
      </c>
      <c r="C40" s="138"/>
      <c r="D40" s="919">
        <v>1.6</v>
      </c>
      <c r="E40" s="954"/>
      <c r="F40" s="919">
        <v>0.69999999999999973</v>
      </c>
      <c r="G40" s="954"/>
      <c r="H40" s="919">
        <v>73.7</v>
      </c>
      <c r="I40" s="42"/>
      <c r="J40" s="919">
        <v>2.2999999999999945</v>
      </c>
      <c r="K40" s="1011"/>
      <c r="L40" s="919">
        <v>1.2000000000000002</v>
      </c>
      <c r="M40" s="1011"/>
      <c r="N40" s="919">
        <v>66.500000000000014</v>
      </c>
      <c r="O40" s="1011"/>
      <c r="P40" s="919">
        <v>3.5999999999999943</v>
      </c>
      <c r="Q40" s="1011"/>
      <c r="R40" s="919">
        <v>26.5</v>
      </c>
      <c r="S40" s="1011"/>
      <c r="T40" s="919">
        <v>81.000000000000043</v>
      </c>
      <c r="U40" s="1011"/>
      <c r="V40" s="919">
        <v>-1.1000000000000227</v>
      </c>
      <c r="W40" s="1011"/>
      <c r="X40" s="919">
        <v>4.3999999999999773</v>
      </c>
      <c r="Y40" s="1011"/>
      <c r="Z40" s="919">
        <f t="shared" si="17"/>
        <v>147.30000000000001</v>
      </c>
      <c r="AA40" s="496"/>
      <c r="AB40" s="940"/>
      <c r="AC40" s="919">
        <v>407.7</v>
      </c>
      <c r="AD40" s="467"/>
      <c r="AE40" s="940" t="s">
        <v>14</v>
      </c>
      <c r="AF40" s="919">
        <v>434.5</v>
      </c>
      <c r="AG40" s="42"/>
      <c r="AH40" s="1461"/>
      <c r="AI40" s="467">
        <f t="shared" si="18"/>
        <v>-26.8</v>
      </c>
      <c r="AJ40" s="42"/>
      <c r="AK40" s="978">
        <f t="shared" si="19"/>
        <v>-6.2E-2</v>
      </c>
      <c r="AL40" s="137"/>
      <c r="AM40" s="137"/>
      <c r="AO40" s="137"/>
    </row>
    <row r="41" spans="1:41" s="144" customFormat="1" ht="15" customHeight="1">
      <c r="A41" s="750"/>
      <c r="B41" s="489" t="s">
        <v>1002</v>
      </c>
      <c r="C41" s="138"/>
      <c r="D41" s="919">
        <v>91.5</v>
      </c>
      <c r="E41" s="954"/>
      <c r="F41" s="919">
        <v>36.800000000000011</v>
      </c>
      <c r="G41" s="954"/>
      <c r="H41" s="919">
        <v>479.90000000000009</v>
      </c>
      <c r="I41" s="42"/>
      <c r="J41" s="919">
        <v>18.799999999999898</v>
      </c>
      <c r="K41" s="1011"/>
      <c r="L41" s="919">
        <v>16.199999999999989</v>
      </c>
      <c r="M41" s="1011"/>
      <c r="N41" s="919">
        <v>445.30000000000007</v>
      </c>
      <c r="O41" s="1011"/>
      <c r="P41" s="919">
        <v>3.0999999999999091</v>
      </c>
      <c r="Q41" s="1011"/>
      <c r="R41" s="919">
        <v>24.400000000000091</v>
      </c>
      <c r="S41" s="1011"/>
      <c r="T41" s="919">
        <v>394.9</v>
      </c>
      <c r="U41" s="1011"/>
      <c r="V41" s="919">
        <v>-13.900000000000091</v>
      </c>
      <c r="W41" s="1011"/>
      <c r="X41" s="919">
        <v>11.399999999999864</v>
      </c>
      <c r="Y41" s="1011"/>
      <c r="Z41" s="919">
        <f t="shared" si="17"/>
        <v>872.1999999999997</v>
      </c>
      <c r="AA41" s="496"/>
      <c r="AB41" s="940"/>
      <c r="AC41" s="919">
        <v>2380.6</v>
      </c>
      <c r="AD41" s="467"/>
      <c r="AE41" s="940" t="s">
        <v>14</v>
      </c>
      <c r="AF41" s="919">
        <v>2213.5</v>
      </c>
      <c r="AG41" s="42"/>
      <c r="AH41" s="1461"/>
      <c r="AI41" s="467">
        <f t="shared" si="18"/>
        <v>167.1</v>
      </c>
      <c r="AJ41" s="42"/>
      <c r="AK41" s="469">
        <f t="shared" si="19"/>
        <v>7.4999999999999997E-2</v>
      </c>
      <c r="AL41" s="137"/>
      <c r="AM41" s="137"/>
      <c r="AO41" s="137"/>
    </row>
    <row r="42" spans="1:41" s="144" customFormat="1" ht="15" customHeight="1">
      <c r="A42" s="750"/>
      <c r="B42" s="489" t="s">
        <v>1003</v>
      </c>
      <c r="C42" s="138"/>
      <c r="D42" s="919">
        <v>0</v>
      </c>
      <c r="E42" s="954"/>
      <c r="F42" s="919">
        <v>0</v>
      </c>
      <c r="G42" s="954"/>
      <c r="H42" s="919">
        <v>0</v>
      </c>
      <c r="I42" s="42"/>
      <c r="J42" s="919">
        <v>-5.7</v>
      </c>
      <c r="K42" s="1011"/>
      <c r="L42" s="919">
        <v>-9.9999999999999645E-2</v>
      </c>
      <c r="M42" s="1011"/>
      <c r="N42" s="919">
        <v>0.20000000000000018</v>
      </c>
      <c r="O42" s="1011"/>
      <c r="P42" s="919">
        <v>2.2999999999999998</v>
      </c>
      <c r="Q42" s="1011"/>
      <c r="R42" s="919">
        <v>0</v>
      </c>
      <c r="S42" s="1011"/>
      <c r="T42" s="919">
        <v>0</v>
      </c>
      <c r="U42" s="1011"/>
      <c r="V42" s="919">
        <v>0</v>
      </c>
      <c r="W42" s="1011"/>
      <c r="X42" s="919">
        <v>307.3</v>
      </c>
      <c r="Y42" s="1011"/>
      <c r="Z42" s="919">
        <f t="shared" si="17"/>
        <v>0</v>
      </c>
      <c r="AA42" s="496"/>
      <c r="AB42" s="940"/>
      <c r="AC42" s="919">
        <v>304</v>
      </c>
      <c r="AD42" s="467"/>
      <c r="AE42" s="940" t="s">
        <v>14</v>
      </c>
      <c r="AF42" s="919">
        <v>16.2</v>
      </c>
      <c r="AG42" s="42"/>
      <c r="AH42" s="1461"/>
      <c r="AI42" s="467">
        <f t="shared" si="18"/>
        <v>287.8</v>
      </c>
      <c r="AJ42" s="42"/>
      <c r="AK42" s="978">
        <f t="shared" si="19"/>
        <v>17.765000000000001</v>
      </c>
      <c r="AL42" s="137"/>
      <c r="AM42" s="137"/>
      <c r="AO42" s="137"/>
    </row>
    <row r="43" spans="1:41" s="144" customFormat="1" ht="15" customHeight="1">
      <c r="A43" s="750"/>
      <c r="B43" s="489" t="s">
        <v>1446</v>
      </c>
      <c r="C43" s="138"/>
      <c r="D43" s="919">
        <v>90.6</v>
      </c>
      <c r="E43" s="954"/>
      <c r="F43" s="919">
        <v>-24.199999999999989</v>
      </c>
      <c r="G43" s="954"/>
      <c r="H43" s="919">
        <v>1390.2</v>
      </c>
      <c r="I43" s="42"/>
      <c r="J43" s="919">
        <v>-24.500000000000142</v>
      </c>
      <c r="K43" s="1011"/>
      <c r="L43" s="919">
        <v>43.900000000000176</v>
      </c>
      <c r="M43" s="1011"/>
      <c r="N43" s="919">
        <v>1680.5</v>
      </c>
      <c r="O43" s="1011"/>
      <c r="P43" s="919">
        <v>-327.80000000000018</v>
      </c>
      <c r="Q43" s="1011"/>
      <c r="R43" s="919">
        <v>15.100000000000364</v>
      </c>
      <c r="S43" s="1011"/>
      <c r="T43" s="919">
        <v>2016.599999999999</v>
      </c>
      <c r="U43" s="1011"/>
      <c r="V43" s="919">
        <v>284.70000000000073</v>
      </c>
      <c r="W43" s="1011"/>
      <c r="X43" s="919">
        <v>54.199999999999818</v>
      </c>
      <c r="Y43" s="1011"/>
      <c r="Z43" s="919">
        <f t="shared" si="17"/>
        <v>2272.9</v>
      </c>
      <c r="AA43" s="496"/>
      <c r="AB43" s="719"/>
      <c r="AC43" s="919">
        <v>7472.2000000000007</v>
      </c>
      <c r="AD43" s="467"/>
      <c r="AE43" s="940" t="s">
        <v>14</v>
      </c>
      <c r="AF43" s="919">
        <v>8215.2000000000007</v>
      </c>
      <c r="AG43" s="42"/>
      <c r="AH43" s="1461"/>
      <c r="AI43" s="467">
        <f t="shared" si="18"/>
        <v>-743</v>
      </c>
      <c r="AJ43" s="42"/>
      <c r="AK43" s="978">
        <f>ROUND(IF(AF43=0,1,AI43/ABS(AF43)),3)</f>
        <v>-0.09</v>
      </c>
      <c r="AL43" s="137"/>
      <c r="AM43" s="137"/>
      <c r="AO43" s="137"/>
    </row>
    <row r="44" spans="1:41" s="144" customFormat="1" ht="15" customHeight="1">
      <c r="A44" s="750"/>
      <c r="B44" s="489" t="s">
        <v>1004</v>
      </c>
      <c r="C44" s="138"/>
      <c r="D44" s="919">
        <v>0</v>
      </c>
      <c r="E44" s="954"/>
      <c r="F44" s="919">
        <v>0</v>
      </c>
      <c r="G44" s="954"/>
      <c r="H44" s="919">
        <v>0</v>
      </c>
      <c r="I44" s="42"/>
      <c r="J44" s="919">
        <v>0</v>
      </c>
      <c r="K44" s="1011"/>
      <c r="L44" s="919">
        <v>0</v>
      </c>
      <c r="M44" s="1011"/>
      <c r="N44" s="919">
        <v>0</v>
      </c>
      <c r="O44" s="1011"/>
      <c r="P44" s="919">
        <v>0</v>
      </c>
      <c r="Q44" s="1011"/>
      <c r="R44" s="919">
        <v>0</v>
      </c>
      <c r="S44" s="1011"/>
      <c r="T44" s="919">
        <v>0</v>
      </c>
      <c r="U44" s="1011"/>
      <c r="V44" s="919">
        <v>0</v>
      </c>
      <c r="W44" s="1011"/>
      <c r="X44" s="919">
        <v>0</v>
      </c>
      <c r="Y44" s="1011"/>
      <c r="Z44" s="919">
        <f t="shared" si="17"/>
        <v>0</v>
      </c>
      <c r="AA44" s="496"/>
      <c r="AB44" s="940"/>
      <c r="AC44" s="919">
        <v>0</v>
      </c>
      <c r="AD44" s="467"/>
      <c r="AE44" s="940" t="s">
        <v>14</v>
      </c>
      <c r="AF44" s="919">
        <v>0</v>
      </c>
      <c r="AG44" s="42"/>
      <c r="AH44" s="1461"/>
      <c r="AI44" s="467">
        <f t="shared" si="18"/>
        <v>0</v>
      </c>
      <c r="AJ44" s="42"/>
      <c r="AK44" s="978">
        <f>ROUND(IF(AF44=0,0,AI44/ABS(AF44)),3)</f>
        <v>0</v>
      </c>
      <c r="AL44" s="137"/>
      <c r="AM44" s="137"/>
      <c r="AO44" s="137"/>
    </row>
    <row r="45" spans="1:41" s="144" customFormat="1" ht="15" customHeight="1">
      <c r="A45" s="750"/>
      <c r="B45" s="217" t="s">
        <v>999</v>
      </c>
      <c r="C45" s="138"/>
      <c r="D45" s="1150">
        <f>ROUND(SUM(D39:D44),1)</f>
        <v>1159.8</v>
      </c>
      <c r="E45" s="42"/>
      <c r="F45" s="1150">
        <f>ROUND(SUM(F39:F44),1)</f>
        <v>111.3</v>
      </c>
      <c r="G45" s="42"/>
      <c r="H45" s="1150">
        <f>ROUND(SUM(H39:H44),1)</f>
        <v>3203.8</v>
      </c>
      <c r="I45" s="42"/>
      <c r="J45" s="1150">
        <f>ROUND(SUM(J39:J44),1)</f>
        <v>261.7</v>
      </c>
      <c r="K45" s="42"/>
      <c r="L45" s="178">
        <f>ROUND(SUM(L39:L44),1)</f>
        <v>-34.4</v>
      </c>
      <c r="M45" s="42"/>
      <c r="N45" s="178">
        <f>ROUND(SUM(N39:N44),1)</f>
        <v>3427</v>
      </c>
      <c r="O45" s="42"/>
      <c r="P45" s="178">
        <f>ROUND(SUM(P39:P44),1)</f>
        <v>-110.3</v>
      </c>
      <c r="Q45" s="42"/>
      <c r="R45" s="178">
        <f>ROUND(SUM(R39:R44),1)</f>
        <v>218.8</v>
      </c>
      <c r="S45" s="42"/>
      <c r="T45" s="178">
        <f t="shared" ref="T45" si="20">ROUND(SUM(T39:T44),1)</f>
        <v>3836.5</v>
      </c>
      <c r="U45" s="42"/>
      <c r="V45" s="178">
        <f>ROUND(SUM(V39:V44),1)</f>
        <v>567.9</v>
      </c>
      <c r="W45" s="42"/>
      <c r="X45" s="178">
        <f>ROUND(SUM(X39:X44),1)</f>
        <v>148.69999999999999</v>
      </c>
      <c r="Y45" s="42"/>
      <c r="Z45" s="178">
        <f>ROUND(SUM(Z39:Z44),1)</f>
        <v>5065</v>
      </c>
      <c r="AA45" s="111"/>
      <c r="AB45" s="179"/>
      <c r="AC45" s="1257">
        <f>ROUND(SUM(AC39:AC44),1)</f>
        <v>17855.8</v>
      </c>
      <c r="AD45" s="42"/>
      <c r="AE45" s="44"/>
      <c r="AF45" s="178">
        <f>ROUND(SUM(AF39:AF44),1)</f>
        <v>16697.3</v>
      </c>
      <c r="AG45" s="42"/>
      <c r="AH45" s="1461"/>
      <c r="AI45" s="178">
        <f>ROUND(SUM(AI39:AI44),1)</f>
        <v>1158.5</v>
      </c>
      <c r="AJ45" s="42"/>
      <c r="AK45" s="749">
        <f>ROUND(SUM(+AI45/AF45),3)</f>
        <v>6.9000000000000006E-2</v>
      </c>
      <c r="AL45" s="137"/>
      <c r="AM45" s="137"/>
      <c r="AO45" s="137"/>
    </row>
    <row r="46" spans="1:41" s="144" customFormat="1" ht="15" customHeight="1">
      <c r="A46" s="750"/>
      <c r="B46" s="739" t="s">
        <v>1039</v>
      </c>
      <c r="C46" s="138"/>
      <c r="D46" s="42"/>
      <c r="E46" s="42"/>
      <c r="F46" s="42"/>
      <c r="G46" s="42"/>
      <c r="H46" s="42"/>
      <c r="I46" s="42"/>
      <c r="J46" s="42"/>
      <c r="K46" s="42"/>
      <c r="L46" s="42"/>
      <c r="M46" s="42"/>
      <c r="N46" s="42"/>
      <c r="O46" s="42"/>
      <c r="P46" s="42"/>
      <c r="Q46" s="42"/>
      <c r="R46" s="42"/>
      <c r="S46" s="42"/>
      <c r="T46" s="42"/>
      <c r="U46" s="42"/>
      <c r="V46" s="42"/>
      <c r="W46" s="42"/>
      <c r="X46" s="42"/>
      <c r="Y46" s="42"/>
      <c r="Z46" s="42"/>
      <c r="AA46" s="111"/>
      <c r="AB46" s="179"/>
      <c r="AC46" s="42"/>
      <c r="AD46" s="42"/>
      <c r="AE46" s="44"/>
      <c r="AF46" s="42"/>
      <c r="AG46" s="42"/>
      <c r="AH46" s="1461"/>
      <c r="AI46" s="42"/>
      <c r="AJ46" s="42"/>
      <c r="AK46" s="189"/>
      <c r="AL46" s="137"/>
      <c r="AM46" s="137"/>
      <c r="AO46" s="137"/>
    </row>
    <row r="47" spans="1:41" s="144" customFormat="1" ht="15" customHeight="1">
      <c r="A47" s="750"/>
      <c r="B47" s="489" t="s">
        <v>1007</v>
      </c>
      <c r="C47" s="138"/>
      <c r="D47" s="919">
        <v>0</v>
      </c>
      <c r="E47" s="954"/>
      <c r="F47" s="919">
        <v>0</v>
      </c>
      <c r="G47" s="954"/>
      <c r="H47" s="919">
        <v>0</v>
      </c>
      <c r="I47" s="42"/>
      <c r="J47" s="919">
        <v>0</v>
      </c>
      <c r="K47" s="1011"/>
      <c r="L47" s="919">
        <v>0</v>
      </c>
      <c r="M47" s="1011"/>
      <c r="N47" s="919">
        <v>0</v>
      </c>
      <c r="O47" s="1011"/>
      <c r="P47" s="919">
        <v>0</v>
      </c>
      <c r="Q47" s="1011"/>
      <c r="R47" s="919">
        <v>0</v>
      </c>
      <c r="S47" s="1011"/>
      <c r="T47" s="919">
        <v>0</v>
      </c>
      <c r="U47" s="1011"/>
      <c r="V47" s="919">
        <v>0</v>
      </c>
      <c r="W47" s="1011"/>
      <c r="X47" s="919">
        <v>0</v>
      </c>
      <c r="Y47" s="1011"/>
      <c r="Z47" s="919">
        <f t="shared" ref="Z47:Z52" si="21">$AC47-$D47-$F47-$H47-$J47-$L47-$N47-$P47-$R47-$T47-$V47-$X47</f>
        <v>0</v>
      </c>
      <c r="AA47" s="496"/>
      <c r="AB47" s="940"/>
      <c r="AC47" s="919">
        <v>0</v>
      </c>
      <c r="AD47" s="467"/>
      <c r="AE47" s="940" t="s">
        <v>14</v>
      </c>
      <c r="AF47" s="919">
        <v>0</v>
      </c>
      <c r="AG47" s="42"/>
      <c r="AH47" s="1461"/>
      <c r="AI47" s="467">
        <f t="shared" ref="AI47:AI51" si="22">ROUND(SUM(+AC47-AF47),1)</f>
        <v>0</v>
      </c>
      <c r="AJ47" s="42"/>
      <c r="AK47" s="469">
        <f t="shared" ref="AK47:AK50" si="23">ROUND(IF(AF47=0,0,AI47/ABS(AF47)),3)</f>
        <v>0</v>
      </c>
      <c r="AL47" s="137"/>
      <c r="AM47" s="137"/>
      <c r="AO47" s="137"/>
    </row>
    <row r="48" spans="1:41" s="144" customFormat="1" ht="15" customHeight="1">
      <c r="A48" s="750"/>
      <c r="B48" s="489" t="s">
        <v>1008</v>
      </c>
      <c r="C48" s="138"/>
      <c r="D48" s="919">
        <v>127.3</v>
      </c>
      <c r="E48" s="954"/>
      <c r="F48" s="919">
        <v>126.00000000000001</v>
      </c>
      <c r="G48" s="954"/>
      <c r="H48" s="919">
        <v>123.50000000000001</v>
      </c>
      <c r="I48" s="42"/>
      <c r="J48" s="919">
        <v>132.69999999999999</v>
      </c>
      <c r="K48" s="1011"/>
      <c r="L48" s="919">
        <v>156.90000000000003</v>
      </c>
      <c r="M48" s="1011"/>
      <c r="N48" s="919">
        <v>399.8</v>
      </c>
      <c r="O48" s="1011"/>
      <c r="P48" s="919">
        <v>252.59999999999985</v>
      </c>
      <c r="Q48" s="1011"/>
      <c r="R48" s="919">
        <v>257.39999999999986</v>
      </c>
      <c r="S48" s="1011"/>
      <c r="T48" s="919">
        <v>136.00000000000028</v>
      </c>
      <c r="U48" s="1011"/>
      <c r="V48" s="919">
        <v>67.999999999999773</v>
      </c>
      <c r="W48" s="1011"/>
      <c r="X48" s="919">
        <v>243.10000000000008</v>
      </c>
      <c r="Y48" s="1011"/>
      <c r="Z48" s="919">
        <f>$AC48-$D48-$F48-$H48-$J48-$L48-$N48-$P48-$R48-$T48-$V48-$X48</f>
        <v>161.89999999999964</v>
      </c>
      <c r="AA48" s="496"/>
      <c r="AB48" s="940"/>
      <c r="AC48" s="919">
        <v>2185.1999999999998</v>
      </c>
      <c r="AD48" s="467"/>
      <c r="AE48" s="940" t="s">
        <v>14</v>
      </c>
      <c r="AF48" s="919">
        <v>1386.1000000000001</v>
      </c>
      <c r="AG48" s="42"/>
      <c r="AH48" s="1461"/>
      <c r="AI48" s="467">
        <f t="shared" si="22"/>
        <v>799.1</v>
      </c>
      <c r="AJ48" s="42"/>
      <c r="AK48" s="469">
        <f t="shared" si="23"/>
        <v>0.57699999999999996</v>
      </c>
      <c r="AL48" s="137"/>
      <c r="AM48" s="137"/>
      <c r="AO48" s="137"/>
    </row>
    <row r="49" spans="1:41" s="144" customFormat="1" ht="15" customHeight="1">
      <c r="A49" s="750"/>
      <c r="B49" s="489" t="s">
        <v>1009</v>
      </c>
      <c r="C49" s="138"/>
      <c r="D49" s="919">
        <v>1.5</v>
      </c>
      <c r="E49" s="954"/>
      <c r="F49" s="919">
        <v>1.1000000000000001</v>
      </c>
      <c r="G49" s="954"/>
      <c r="H49" s="919">
        <v>0.60000000000000009</v>
      </c>
      <c r="I49" s="42"/>
      <c r="J49" s="919">
        <v>1.9</v>
      </c>
      <c r="K49" s="1011"/>
      <c r="L49" s="919">
        <v>1.9999999999999996</v>
      </c>
      <c r="M49" s="1011"/>
      <c r="N49" s="919">
        <v>1.9000000000000012</v>
      </c>
      <c r="O49" s="1011"/>
      <c r="P49" s="919">
        <v>0.89999999999999991</v>
      </c>
      <c r="Q49" s="1011"/>
      <c r="R49" s="919">
        <v>0.90000000000000036</v>
      </c>
      <c r="S49" s="1011"/>
      <c r="T49" s="919">
        <v>0.79999999999999849</v>
      </c>
      <c r="U49" s="1011"/>
      <c r="V49" s="919">
        <v>0.5</v>
      </c>
      <c r="W49" s="1011"/>
      <c r="X49" s="919">
        <v>0.80000000000000071</v>
      </c>
      <c r="Y49" s="1011"/>
      <c r="Z49" s="919">
        <f t="shared" si="21"/>
        <v>9.9999999999999645E-2</v>
      </c>
      <c r="AA49" s="496"/>
      <c r="AB49" s="940"/>
      <c r="AC49" s="919">
        <v>13</v>
      </c>
      <c r="AD49" s="467"/>
      <c r="AE49" s="940" t="s">
        <v>14</v>
      </c>
      <c r="AF49" s="919">
        <v>12.9</v>
      </c>
      <c r="AG49" s="42"/>
      <c r="AH49" s="1461"/>
      <c r="AI49" s="467">
        <f t="shared" si="22"/>
        <v>0.1</v>
      </c>
      <c r="AJ49" s="42"/>
      <c r="AK49" s="469">
        <f t="shared" si="23"/>
        <v>8.0000000000000002E-3</v>
      </c>
      <c r="AL49" s="137"/>
      <c r="AM49" s="137"/>
      <c r="AO49" s="137"/>
    </row>
    <row r="50" spans="1:41" s="144" customFormat="1" ht="15" customHeight="1">
      <c r="A50" s="750"/>
      <c r="B50" s="489" t="s">
        <v>1010</v>
      </c>
      <c r="C50" s="138"/>
      <c r="D50" s="919">
        <v>0</v>
      </c>
      <c r="E50" s="954"/>
      <c r="F50" s="919">
        <v>0</v>
      </c>
      <c r="G50" s="954"/>
      <c r="H50" s="919">
        <v>0</v>
      </c>
      <c r="I50" s="42"/>
      <c r="J50" s="919">
        <v>0</v>
      </c>
      <c r="K50" s="1011"/>
      <c r="L50" s="919">
        <v>0</v>
      </c>
      <c r="M50" s="1011"/>
      <c r="N50" s="919">
        <v>0</v>
      </c>
      <c r="O50" s="1011"/>
      <c r="P50" s="919">
        <v>0</v>
      </c>
      <c r="Q50" s="1011"/>
      <c r="R50" s="919">
        <v>0</v>
      </c>
      <c r="S50" s="1011"/>
      <c r="T50" s="919">
        <v>0</v>
      </c>
      <c r="U50" s="1011"/>
      <c r="V50" s="919">
        <v>0</v>
      </c>
      <c r="W50" s="1011"/>
      <c r="X50" s="919">
        <v>0</v>
      </c>
      <c r="Y50" s="1011"/>
      <c r="Z50" s="919">
        <f t="shared" si="21"/>
        <v>0</v>
      </c>
      <c r="AA50" s="496"/>
      <c r="AB50" s="940"/>
      <c r="AC50" s="919">
        <v>0</v>
      </c>
      <c r="AD50" s="467">
        <f>'Exhibit F'!AF1215</f>
        <v>0</v>
      </c>
      <c r="AE50" s="940" t="s">
        <v>14</v>
      </c>
      <c r="AF50" s="919">
        <v>0</v>
      </c>
      <c r="AG50" s="42"/>
      <c r="AH50" s="1461"/>
      <c r="AI50" s="467">
        <f t="shared" si="22"/>
        <v>0</v>
      </c>
      <c r="AJ50" s="42"/>
      <c r="AK50" s="469">
        <f t="shared" si="23"/>
        <v>0</v>
      </c>
      <c r="AL50" s="137"/>
      <c r="AM50" s="137"/>
      <c r="AO50" s="137"/>
    </row>
    <row r="51" spans="1:41" s="144" customFormat="1" ht="15" customHeight="1">
      <c r="A51" s="750"/>
      <c r="B51" s="489" t="s">
        <v>1449</v>
      </c>
      <c r="C51" s="138"/>
      <c r="D51" s="919">
        <v>0</v>
      </c>
      <c r="E51" s="954"/>
      <c r="F51" s="919">
        <v>0.2</v>
      </c>
      <c r="G51" s="954"/>
      <c r="H51" s="919">
        <v>9.9999999999999978E-2</v>
      </c>
      <c r="I51" s="42"/>
      <c r="J51" s="919">
        <v>0.2</v>
      </c>
      <c r="K51" s="1011"/>
      <c r="L51" s="919">
        <v>0.19999999999999996</v>
      </c>
      <c r="M51" s="1011"/>
      <c r="N51" s="919">
        <v>0</v>
      </c>
      <c r="O51" s="1011"/>
      <c r="P51" s="919">
        <v>0.2</v>
      </c>
      <c r="Q51" s="1011"/>
      <c r="R51" s="919">
        <v>1.0000000000000002</v>
      </c>
      <c r="S51" s="1011"/>
      <c r="T51" s="919">
        <v>0</v>
      </c>
      <c r="U51" s="1011"/>
      <c r="V51" s="919">
        <v>0.10000000000000009</v>
      </c>
      <c r="W51" s="1011"/>
      <c r="X51" s="919">
        <v>0</v>
      </c>
      <c r="Y51" s="1011"/>
      <c r="Z51" s="919">
        <f t="shared" si="21"/>
        <v>0</v>
      </c>
      <c r="AA51" s="496"/>
      <c r="AB51" s="940"/>
      <c r="AC51" s="919">
        <v>2</v>
      </c>
      <c r="AD51" s="467"/>
      <c r="AE51" s="940" t="s">
        <v>14</v>
      </c>
      <c r="AF51" s="919">
        <v>1.5</v>
      </c>
      <c r="AG51" s="42"/>
      <c r="AH51" s="1461"/>
      <c r="AI51" s="467">
        <f t="shared" si="22"/>
        <v>0.5</v>
      </c>
      <c r="AJ51" s="42"/>
      <c r="AK51" s="469">
        <f>ROUND(IF(AF51=0,1,AI51/ABS(AF51)),3)</f>
        <v>0.33300000000000002</v>
      </c>
      <c r="AL51" s="137"/>
      <c r="AM51" s="137"/>
      <c r="AO51" s="137"/>
    </row>
    <row r="52" spans="1:41" s="144" customFormat="1" ht="15" customHeight="1">
      <c r="A52" s="750"/>
      <c r="B52" s="754" t="s">
        <v>1254</v>
      </c>
      <c r="C52" s="21"/>
      <c r="D52" s="919">
        <v>0.2</v>
      </c>
      <c r="E52" s="954"/>
      <c r="F52" s="919">
        <v>9.9999999999999978E-2</v>
      </c>
      <c r="G52" s="954"/>
      <c r="H52" s="919">
        <v>0.10000000000000003</v>
      </c>
      <c r="I52" s="499"/>
      <c r="J52" s="919">
        <v>0.19999999999999996</v>
      </c>
      <c r="K52" s="1011"/>
      <c r="L52" s="919">
        <v>0.2</v>
      </c>
      <c r="M52" s="1011"/>
      <c r="N52" s="919">
        <v>0.20000000000000012</v>
      </c>
      <c r="O52" s="1011"/>
      <c r="P52" s="919">
        <v>0.29999999999999982</v>
      </c>
      <c r="Q52" s="1011"/>
      <c r="R52" s="919">
        <v>0.20000000000000018</v>
      </c>
      <c r="S52" s="1011"/>
      <c r="T52" s="919">
        <v>0.5</v>
      </c>
      <c r="U52" s="1011"/>
      <c r="V52" s="919">
        <v>1.1999999999999993</v>
      </c>
      <c r="W52" s="1011"/>
      <c r="X52" s="919">
        <v>9.9999999999999645E-2</v>
      </c>
      <c r="Y52" s="1011"/>
      <c r="Z52" s="919">
        <f t="shared" si="21"/>
        <v>0.10000000000000053</v>
      </c>
      <c r="AA52" s="496"/>
      <c r="AB52" s="940"/>
      <c r="AC52" s="919">
        <v>3.4</v>
      </c>
      <c r="AD52" s="467"/>
      <c r="AE52" s="940" t="s">
        <v>14</v>
      </c>
      <c r="AF52" s="919">
        <v>6.4</v>
      </c>
      <c r="AG52" s="20"/>
      <c r="AH52" s="1455"/>
      <c r="AI52" s="467">
        <f>ROUND(SUM(+AC52-AF52),1)</f>
        <v>-3</v>
      </c>
      <c r="AJ52" s="169"/>
      <c r="AK52" s="469">
        <f>ROUND(IF(AF52=0,1,AI52/ABS(AF52)),3)</f>
        <v>-0.46899999999999997</v>
      </c>
      <c r="AL52" s="137"/>
      <c r="AM52" s="137"/>
      <c r="AO52" s="137"/>
    </row>
    <row r="53" spans="1:41" s="144" customFormat="1" ht="15" customHeight="1">
      <c r="A53" s="750"/>
      <c r="B53" s="217" t="s">
        <v>1005</v>
      </c>
      <c r="C53" s="138"/>
      <c r="D53" s="1150">
        <f>ROUND(SUM(D47:D52),1)</f>
        <v>129</v>
      </c>
      <c r="E53" s="42"/>
      <c r="F53" s="1150">
        <f>ROUND(SUM(F47:F52),1)</f>
        <v>127.4</v>
      </c>
      <c r="G53" s="42"/>
      <c r="H53" s="1150">
        <f>ROUND(SUM(H47:H52),1)</f>
        <v>124.3</v>
      </c>
      <c r="I53" s="42"/>
      <c r="J53" s="1150">
        <f>ROUND(SUM(J47:J52),1)</f>
        <v>135</v>
      </c>
      <c r="K53" s="42"/>
      <c r="L53" s="178">
        <f>ROUND(SUM(L47:L52),1)</f>
        <v>159.30000000000001</v>
      </c>
      <c r="M53" s="42"/>
      <c r="N53" s="178">
        <f>ROUND(SUM(N47:N52),1)</f>
        <v>401.9</v>
      </c>
      <c r="O53" s="42"/>
      <c r="P53" s="178">
        <f>ROUND(SUM(P47:P52),1)</f>
        <v>254</v>
      </c>
      <c r="Q53" s="42"/>
      <c r="R53" s="178">
        <f>ROUND(SUM(R47:R52),1)</f>
        <v>259.5</v>
      </c>
      <c r="S53" s="42"/>
      <c r="T53" s="178">
        <f t="shared" ref="T53" si="24">ROUND(SUM(T47:T52),1)</f>
        <v>137.30000000000001</v>
      </c>
      <c r="U53" s="42"/>
      <c r="V53" s="178">
        <f>ROUND(SUM(V47:V52),1)</f>
        <v>69.8</v>
      </c>
      <c r="W53" s="42"/>
      <c r="X53" s="178">
        <f>ROUND(SUM(X47:X52),1)</f>
        <v>244</v>
      </c>
      <c r="Y53" s="42"/>
      <c r="Z53" s="178">
        <f>ROUND(SUM(Z47:Z52),1)</f>
        <v>162.1</v>
      </c>
      <c r="AA53" s="111"/>
      <c r="AB53" s="179"/>
      <c r="AC53" s="1257">
        <f>ROUND(SUM(AC47:AC52),1)</f>
        <v>2203.6</v>
      </c>
      <c r="AD53" s="42"/>
      <c r="AE53" s="44"/>
      <c r="AF53" s="178">
        <f>ROUND(SUM(AF47:AF52),1)</f>
        <v>1406.9</v>
      </c>
      <c r="AG53" s="42"/>
      <c r="AH53" s="1461"/>
      <c r="AI53" s="178">
        <f>ROUND(SUM(AI47:AI52),1)</f>
        <v>796.7</v>
      </c>
      <c r="AJ53" s="42"/>
      <c r="AK53" s="749">
        <f>ROUND(SUM(+AI53/AF53),3)</f>
        <v>0.56599999999999995</v>
      </c>
      <c r="AL53" s="137"/>
      <c r="AM53" s="137"/>
      <c r="AO53" s="137"/>
    </row>
    <row r="54" spans="1:41" s="144" customFormat="1" ht="15" customHeight="1">
      <c r="A54" s="750"/>
      <c r="B54" s="217"/>
      <c r="C54" s="138"/>
      <c r="D54" s="42"/>
      <c r="E54" s="42"/>
      <c r="F54" s="42"/>
      <c r="G54" s="42"/>
      <c r="H54" s="42"/>
      <c r="I54" s="42"/>
      <c r="J54" s="42"/>
      <c r="K54" s="42"/>
      <c r="L54" s="42"/>
      <c r="M54" s="42"/>
      <c r="N54" s="42"/>
      <c r="O54" s="42"/>
      <c r="P54" s="42"/>
      <c r="Q54" s="42"/>
      <c r="R54" s="42"/>
      <c r="S54" s="42"/>
      <c r="T54" s="42"/>
      <c r="U54" s="42"/>
      <c r="V54" s="42"/>
      <c r="W54" s="42"/>
      <c r="X54" s="42"/>
      <c r="Y54" s="42"/>
      <c r="Z54" s="42"/>
      <c r="AA54" s="111"/>
      <c r="AB54" s="179"/>
      <c r="AC54" s="42"/>
      <c r="AD54" s="42"/>
      <c r="AE54" s="44"/>
      <c r="AF54" s="42"/>
      <c r="AG54" s="42"/>
      <c r="AH54" s="1461"/>
      <c r="AI54" s="42"/>
      <c r="AJ54" s="42"/>
      <c r="AK54" s="189"/>
      <c r="AL54" s="137"/>
      <c r="AM54" s="137"/>
      <c r="AO54" s="137"/>
    </row>
    <row r="55" spans="1:41" ht="15" customHeight="1">
      <c r="A55" s="99"/>
      <c r="B55" s="217" t="s">
        <v>1006</v>
      </c>
      <c r="C55" s="20"/>
      <c r="D55" s="1462">
        <f>ROUND(SUM(D26+D37+D45+D53),1)</f>
        <v>9019.7999999999993</v>
      </c>
      <c r="E55" s="467"/>
      <c r="F55" s="1462">
        <f>ROUND(SUM(F26+F37+F45+F53),1)</f>
        <v>1974.8</v>
      </c>
      <c r="G55" s="467"/>
      <c r="H55" s="1462">
        <f>ROUND(SUM(H26+H37+H45+H53),1)</f>
        <v>5913.2</v>
      </c>
      <c r="I55" s="467"/>
      <c r="J55" s="1462">
        <f>ROUND(SUM(J26+J37+J45+J53),1)</f>
        <v>2347.8000000000002</v>
      </c>
      <c r="K55" s="36"/>
      <c r="L55" s="1241">
        <f>ROUND(SUM(L26+L37+L45+L53),1)</f>
        <v>2302.1</v>
      </c>
      <c r="M55" s="36"/>
      <c r="N55" s="1241">
        <f>ROUND(SUM(N26+N37+N45+N53),1)</f>
        <v>6754.3</v>
      </c>
      <c r="O55" s="36"/>
      <c r="P55" s="1241">
        <f>ROUND(SUM(P26+P37+P45+P53),1)</f>
        <v>1868.5</v>
      </c>
      <c r="Q55" s="36"/>
      <c r="R55" s="1241">
        <f>ROUND(SUM(R26+R37+R45+R53),1)</f>
        <v>2566.4</v>
      </c>
      <c r="S55" s="1253"/>
      <c r="T55" s="1241">
        <f t="shared" ref="T55" si="25">ROUND(SUM(T26+T37+T45+T53),1)</f>
        <v>7001.2</v>
      </c>
      <c r="U55" s="36"/>
      <c r="V55" s="1241">
        <f>ROUND(SUM(V26+V37+V45+V53),1)</f>
        <v>3878.7</v>
      </c>
      <c r="W55" s="36"/>
      <c r="X55" s="1241">
        <f>ROUND(SUM(X26+X37+X45+X53),1)</f>
        <v>3151.5</v>
      </c>
      <c r="Y55" s="36"/>
      <c r="Z55" s="1241">
        <f>ROUND(SUM(Z26+Z37+Z45+Z53),1)</f>
        <v>8127.2</v>
      </c>
      <c r="AA55" s="39"/>
      <c r="AB55" s="30"/>
      <c r="AC55" s="1769">
        <f>ROUND(SUM(AC26+AC37+AC45+AC53),1)</f>
        <v>54905.5</v>
      </c>
      <c r="AD55" s="36"/>
      <c r="AE55" s="37"/>
      <c r="AF55" s="1241">
        <f>ROUND(SUM(AF26+AF37+AF45+AF53),1)</f>
        <v>56289.3</v>
      </c>
      <c r="AG55" s="36"/>
      <c r="AH55" s="1460"/>
      <c r="AI55" s="1241">
        <f>ROUND(SUM(AI26+AI37+AI45+AI53),1)</f>
        <v>-1383.8</v>
      </c>
      <c r="AJ55" s="467"/>
      <c r="AK55" s="210">
        <f>ROUND(SUM(+AI55/AF55),3)</f>
        <v>-2.5000000000000001E-2</v>
      </c>
    </row>
    <row r="56" spans="1:41" ht="8.25" customHeight="1">
      <c r="A56" s="99"/>
      <c r="B56" s="499"/>
      <c r="C56" s="20"/>
      <c r="D56" s="467"/>
      <c r="E56" s="467"/>
      <c r="F56" s="467"/>
      <c r="G56" s="467"/>
      <c r="H56" s="467"/>
      <c r="I56" s="467"/>
      <c r="J56" s="467"/>
      <c r="K56" s="36"/>
      <c r="L56" s="36"/>
      <c r="M56" s="36"/>
      <c r="N56" s="36"/>
      <c r="O56" s="36"/>
      <c r="P56" s="36"/>
      <c r="Q56" s="36"/>
      <c r="R56" s="36"/>
      <c r="S56" s="36"/>
      <c r="T56" s="36"/>
      <c r="U56" s="36"/>
      <c r="V56" s="36"/>
      <c r="W56" s="36"/>
      <c r="X56" s="36"/>
      <c r="Y56" s="36"/>
      <c r="Z56" s="36"/>
      <c r="AA56" s="39"/>
      <c r="AB56" s="30"/>
      <c r="AC56" s="467"/>
      <c r="AD56" s="36"/>
      <c r="AE56" s="37"/>
      <c r="AF56" s="36"/>
      <c r="AG56" s="36"/>
      <c r="AH56" s="1460"/>
      <c r="AI56" s="467"/>
      <c r="AJ56" s="467"/>
      <c r="AK56" s="488"/>
    </row>
    <row r="57" spans="1:41" ht="15" customHeight="1">
      <c r="A57" s="99"/>
      <c r="B57" s="117" t="s">
        <v>916</v>
      </c>
      <c r="C57" s="648"/>
      <c r="D57" s="467"/>
      <c r="E57" s="1463"/>
      <c r="F57" s="467"/>
      <c r="G57" s="1463"/>
      <c r="H57" s="467"/>
      <c r="I57" s="467"/>
      <c r="J57" s="467"/>
      <c r="K57" s="36"/>
      <c r="L57" s="36"/>
      <c r="M57" s="36"/>
      <c r="N57" s="36"/>
      <c r="O57" s="36"/>
      <c r="P57" s="36"/>
      <c r="Q57" s="36"/>
      <c r="R57" s="36"/>
      <c r="S57" s="36"/>
      <c r="T57" s="36"/>
      <c r="U57" s="36"/>
      <c r="V57" s="36"/>
      <c r="W57" s="36"/>
      <c r="X57" s="36"/>
      <c r="Y57" s="36"/>
      <c r="Z57" s="36"/>
      <c r="AA57" s="39"/>
      <c r="AB57" s="30"/>
      <c r="AC57" s="467"/>
      <c r="AD57" s="36"/>
      <c r="AE57" s="37"/>
      <c r="AF57" s="36"/>
      <c r="AG57" s="36"/>
      <c r="AH57" s="1460"/>
      <c r="AI57" s="467"/>
      <c r="AJ57" s="467"/>
      <c r="AK57" s="488"/>
    </row>
    <row r="58" spans="1:41" ht="15" customHeight="1">
      <c r="A58" s="99"/>
      <c r="B58" s="597" t="s">
        <v>1031</v>
      </c>
      <c r="C58" s="648"/>
      <c r="D58" s="467"/>
      <c r="E58" s="1463"/>
      <c r="F58" s="467"/>
      <c r="G58" s="1463"/>
      <c r="H58" s="467"/>
      <c r="I58" s="467"/>
      <c r="J58" s="467"/>
      <c r="K58" s="36"/>
      <c r="L58" s="36"/>
      <c r="M58" s="36"/>
      <c r="N58" s="36"/>
      <c r="O58" s="36"/>
      <c r="P58" s="36"/>
      <c r="Q58" s="36"/>
      <c r="R58" s="36"/>
      <c r="S58" s="36"/>
      <c r="T58" s="36"/>
      <c r="U58" s="36"/>
      <c r="V58" s="36"/>
      <c r="W58" s="36"/>
      <c r="X58" s="36"/>
      <c r="Y58" s="36"/>
      <c r="Z58" s="36"/>
      <c r="AA58" s="39"/>
      <c r="AB58" s="1254"/>
      <c r="AC58" s="467"/>
      <c r="AD58" s="36"/>
      <c r="AE58" s="37"/>
      <c r="AF58" s="467"/>
      <c r="AG58" s="36"/>
      <c r="AH58" s="1460"/>
      <c r="AI58" s="467"/>
      <c r="AJ58" s="467"/>
      <c r="AK58" s="488"/>
    </row>
    <row r="59" spans="1:41" ht="15" customHeight="1">
      <c r="A59" s="99"/>
      <c r="B59" s="597" t="s">
        <v>914</v>
      </c>
      <c r="C59" s="597"/>
      <c r="D59" s="919">
        <v>1</v>
      </c>
      <c r="E59" s="1463"/>
      <c r="F59" s="919">
        <v>0</v>
      </c>
      <c r="G59" s="1463"/>
      <c r="H59" s="919">
        <v>0</v>
      </c>
      <c r="I59" s="467"/>
      <c r="J59" s="919">
        <v>-9.9999999999999978E-2</v>
      </c>
      <c r="K59" s="1011"/>
      <c r="L59" s="919">
        <v>10</v>
      </c>
      <c r="M59" s="1011"/>
      <c r="N59" s="919">
        <v>100</v>
      </c>
      <c r="O59" s="1011"/>
      <c r="P59" s="919">
        <v>30</v>
      </c>
      <c r="Q59" s="1011"/>
      <c r="R59" s="919">
        <v>130</v>
      </c>
      <c r="S59" s="1011"/>
      <c r="T59" s="919">
        <v>0</v>
      </c>
      <c r="U59" s="1011"/>
      <c r="V59" s="919">
        <v>30</v>
      </c>
      <c r="W59" s="1011"/>
      <c r="X59" s="919">
        <v>10.100000000000023</v>
      </c>
      <c r="Y59" s="1011"/>
      <c r="Z59" s="919">
        <f t="shared" ref="Z59:Z95" si="26">$AC59-$D59-$F59-$H59-$J59-$L59-$N59-$P59-$R59-$T59-$V59-$X59</f>
        <v>403.4</v>
      </c>
      <c r="AA59" s="496"/>
      <c r="AB59" s="940"/>
      <c r="AC59" s="919">
        <v>714.4</v>
      </c>
      <c r="AD59" s="467"/>
      <c r="AE59" s="940" t="s">
        <v>14</v>
      </c>
      <c r="AF59" s="919">
        <v>568.4</v>
      </c>
      <c r="AG59" s="493"/>
      <c r="AH59" s="1464"/>
      <c r="AI59" s="467">
        <f>ROUND(SUM(+AC59-AF59),1)</f>
        <v>146</v>
      </c>
      <c r="AJ59" s="467"/>
      <c r="AK59" s="469">
        <f>ROUND(IF(AF59=0,1,AI59/ABS(AF59)),3)</f>
        <v>0.25700000000000001</v>
      </c>
    </row>
    <row r="60" spans="1:41" ht="15" customHeight="1">
      <c r="A60" s="99"/>
      <c r="B60" s="597" t="s">
        <v>915</v>
      </c>
      <c r="C60" s="597"/>
      <c r="D60" s="919">
        <v>0.2</v>
      </c>
      <c r="E60" s="1463"/>
      <c r="F60" s="919">
        <v>0.2</v>
      </c>
      <c r="G60" s="1463"/>
      <c r="H60" s="919">
        <v>1.9999999999999998</v>
      </c>
      <c r="I60" s="467"/>
      <c r="J60" s="919">
        <v>10.000000000000002</v>
      </c>
      <c r="K60" s="1011"/>
      <c r="L60" s="919">
        <v>9.9999999999998423E-2</v>
      </c>
      <c r="M60" s="1011"/>
      <c r="N60" s="919">
        <v>34.899999999999991</v>
      </c>
      <c r="O60" s="1011"/>
      <c r="P60" s="919">
        <v>1.1000000000000014</v>
      </c>
      <c r="Q60" s="1011"/>
      <c r="R60" s="919">
        <v>0.20000000000000284</v>
      </c>
      <c r="S60" s="1011"/>
      <c r="T60" s="919">
        <v>21.599999999999994</v>
      </c>
      <c r="U60" s="1011"/>
      <c r="V60" s="919">
        <v>2.1000000000000085</v>
      </c>
      <c r="W60" s="1011"/>
      <c r="X60" s="919">
        <v>0.39999999999999147</v>
      </c>
      <c r="Y60" s="1011"/>
      <c r="Z60" s="919">
        <f t="shared" si="26"/>
        <v>25.500000000000007</v>
      </c>
      <c r="AA60" s="496"/>
      <c r="AB60" s="940"/>
      <c r="AC60" s="919">
        <v>98.3</v>
      </c>
      <c r="AD60" s="467"/>
      <c r="AE60" s="940" t="s">
        <v>14</v>
      </c>
      <c r="AF60" s="919">
        <v>99.2</v>
      </c>
      <c r="AG60" s="36"/>
      <c r="AH60" s="1460"/>
      <c r="AI60" s="467">
        <f>ROUND(SUM(+AC60-AF60),1)</f>
        <v>-0.9</v>
      </c>
      <c r="AJ60" s="467"/>
      <c r="AK60" s="469">
        <f>ROUND(IF(AF60=0,0,AI60/ABS(AF60)),3)</f>
        <v>-8.9999999999999993E-3</v>
      </c>
    </row>
    <row r="61" spans="1:41" ht="15" customHeight="1">
      <c r="A61" s="99"/>
      <c r="B61" s="597" t="s">
        <v>1032</v>
      </c>
      <c r="C61" s="597"/>
      <c r="D61" s="919" t="s">
        <v>14</v>
      </c>
      <c r="E61" s="1463"/>
      <c r="F61" s="919"/>
      <c r="G61" s="1463"/>
      <c r="H61" s="919"/>
      <c r="I61" s="467"/>
      <c r="J61" s="919"/>
      <c r="K61" s="36"/>
      <c r="L61" s="919"/>
      <c r="M61" s="36"/>
      <c r="N61" s="919" t="s">
        <v>14</v>
      </c>
      <c r="O61" s="36"/>
      <c r="P61" s="919" t="s">
        <v>14</v>
      </c>
      <c r="Q61" s="36"/>
      <c r="R61" s="919" t="s">
        <v>14</v>
      </c>
      <c r="S61" s="36"/>
      <c r="T61" s="919"/>
      <c r="U61" s="36"/>
      <c r="V61" s="919"/>
      <c r="W61" s="36"/>
      <c r="X61" s="919"/>
      <c r="Y61" s="36"/>
      <c r="Z61" s="919"/>
      <c r="AA61" s="39"/>
      <c r="AB61" s="1254"/>
      <c r="AC61" s="1449"/>
      <c r="AD61" s="36"/>
      <c r="AE61" s="752"/>
      <c r="AF61" s="1449"/>
      <c r="AG61" s="36"/>
      <c r="AH61" s="1460"/>
      <c r="AI61" s="467"/>
      <c r="AJ61" s="467"/>
      <c r="AK61" s="488"/>
    </row>
    <row r="62" spans="1:41" ht="15" customHeight="1">
      <c r="A62" s="99"/>
      <c r="B62" s="597" t="s">
        <v>919</v>
      </c>
      <c r="C62" s="597"/>
      <c r="D62" s="919">
        <v>0</v>
      </c>
      <c r="E62" s="1463"/>
      <c r="F62" s="919">
        <v>0</v>
      </c>
      <c r="G62" s="1463"/>
      <c r="H62" s="919">
        <v>0</v>
      </c>
      <c r="I62" s="467"/>
      <c r="J62" s="919">
        <v>0</v>
      </c>
      <c r="K62" s="1011"/>
      <c r="L62" s="919">
        <v>0</v>
      </c>
      <c r="M62" s="1011"/>
      <c r="N62" s="919">
        <v>0</v>
      </c>
      <c r="O62" s="1011"/>
      <c r="P62" s="919">
        <v>0</v>
      </c>
      <c r="Q62" s="1011"/>
      <c r="R62" s="919">
        <v>0</v>
      </c>
      <c r="S62" s="1011"/>
      <c r="T62" s="919">
        <v>0</v>
      </c>
      <c r="U62" s="1011"/>
      <c r="V62" s="919">
        <v>0</v>
      </c>
      <c r="W62" s="1011"/>
      <c r="X62" s="919">
        <v>0</v>
      </c>
      <c r="Y62" s="1011"/>
      <c r="Z62" s="919">
        <f t="shared" si="26"/>
        <v>0</v>
      </c>
      <c r="AA62" s="496"/>
      <c r="AB62" s="940"/>
      <c r="AC62" s="919">
        <v>0</v>
      </c>
      <c r="AD62" s="467"/>
      <c r="AE62" s="940" t="s">
        <v>14</v>
      </c>
      <c r="AF62" s="919">
        <v>0</v>
      </c>
      <c r="AG62" s="493"/>
      <c r="AH62" s="1464"/>
      <c r="AI62" s="467">
        <f>ROUND(SUM(+AC62-AF62),1)</f>
        <v>0</v>
      </c>
      <c r="AJ62" s="467"/>
      <c r="AK62" s="469">
        <f>ROUND(IF(AF62=0,0,AI62/ABS(AF62)),3)</f>
        <v>0</v>
      </c>
    </row>
    <row r="63" spans="1:41" ht="15" customHeight="1">
      <c r="A63" s="99"/>
      <c r="B63" s="597" t="s">
        <v>920</v>
      </c>
      <c r="C63" s="597"/>
      <c r="D63" s="919">
        <v>1.6</v>
      </c>
      <c r="E63" s="1463"/>
      <c r="F63" s="919">
        <v>3.1999999999999997</v>
      </c>
      <c r="G63" s="1463"/>
      <c r="H63" s="919">
        <v>0</v>
      </c>
      <c r="I63" s="467"/>
      <c r="J63" s="919">
        <v>3.7000000000000006</v>
      </c>
      <c r="K63" s="1011"/>
      <c r="L63" s="919">
        <v>8.5</v>
      </c>
      <c r="M63" s="1011"/>
      <c r="N63" s="919">
        <v>1.6999999999999975</v>
      </c>
      <c r="O63" s="1011"/>
      <c r="P63" s="919">
        <v>2.3000000000000007</v>
      </c>
      <c r="Q63" s="1011"/>
      <c r="R63" s="919">
        <v>1.8999999999999986</v>
      </c>
      <c r="S63" s="1011"/>
      <c r="T63" s="919">
        <v>4.2000000000000046</v>
      </c>
      <c r="U63" s="1011"/>
      <c r="V63" s="919">
        <v>3.6999999999999993</v>
      </c>
      <c r="W63" s="1011"/>
      <c r="X63" s="919">
        <v>3.9000000000000039</v>
      </c>
      <c r="Y63" s="1011"/>
      <c r="Z63" s="919">
        <f t="shared" si="26"/>
        <v>9.3999999999999897</v>
      </c>
      <c r="AA63" s="496"/>
      <c r="AB63" s="940"/>
      <c r="AC63" s="919">
        <v>44.1</v>
      </c>
      <c r="AD63" s="467"/>
      <c r="AE63" s="940" t="s">
        <v>14</v>
      </c>
      <c r="AF63" s="919">
        <v>40.1</v>
      </c>
      <c r="AG63" s="493"/>
      <c r="AH63" s="1464"/>
      <c r="AI63" s="467">
        <f>ROUND(SUM(+AC63-AF63),1)</f>
        <v>4</v>
      </c>
      <c r="AJ63" s="467"/>
      <c r="AK63" s="469">
        <f>ROUND(IF(AF63=0,1,AI63/ABS(AF63)),3)</f>
        <v>0.1</v>
      </c>
    </row>
    <row r="64" spans="1:41" ht="15" customHeight="1">
      <c r="A64" s="99"/>
      <c r="B64" s="597" t="s">
        <v>921</v>
      </c>
      <c r="C64" s="597"/>
      <c r="D64" s="919">
        <v>0</v>
      </c>
      <c r="E64" s="1463"/>
      <c r="F64" s="919">
        <v>0</v>
      </c>
      <c r="G64" s="1463"/>
      <c r="H64" s="919">
        <v>0</v>
      </c>
      <c r="I64" s="467"/>
      <c r="J64" s="919">
        <v>0</v>
      </c>
      <c r="K64" s="1011"/>
      <c r="L64" s="919">
        <v>0</v>
      </c>
      <c r="M64" s="1011"/>
      <c r="N64" s="919">
        <v>0</v>
      </c>
      <c r="O64" s="1011"/>
      <c r="P64" s="919">
        <v>0</v>
      </c>
      <c r="Q64" s="1011"/>
      <c r="R64" s="919">
        <v>0</v>
      </c>
      <c r="S64" s="1011"/>
      <c r="T64" s="919">
        <v>0</v>
      </c>
      <c r="U64" s="1011"/>
      <c r="V64" s="919">
        <v>0</v>
      </c>
      <c r="W64" s="1011"/>
      <c r="X64" s="919">
        <v>0</v>
      </c>
      <c r="Y64" s="1011"/>
      <c r="Z64" s="919">
        <f t="shared" si="26"/>
        <v>0</v>
      </c>
      <c r="AA64" s="496"/>
      <c r="AB64" s="940"/>
      <c r="AC64" s="919">
        <v>0</v>
      </c>
      <c r="AD64" s="467"/>
      <c r="AE64" s="940" t="s">
        <v>14</v>
      </c>
      <c r="AF64" s="919">
        <v>0</v>
      </c>
      <c r="AG64" s="493"/>
      <c r="AH64" s="1464"/>
      <c r="AI64" s="467">
        <f>ROUND(SUM(+AC64-AF64),1)</f>
        <v>0</v>
      </c>
      <c r="AJ64" s="467"/>
      <c r="AK64" s="469">
        <f>ROUND(IF(AF64=0,0,AI64/ABS(AF64)),3)</f>
        <v>0</v>
      </c>
    </row>
    <row r="65" spans="1:39" ht="15.5">
      <c r="A65" s="99"/>
      <c r="B65" s="597" t="s">
        <v>922</v>
      </c>
      <c r="C65" s="597"/>
      <c r="D65" s="919">
        <v>0</v>
      </c>
      <c r="E65" s="1463"/>
      <c r="F65" s="919">
        <v>0</v>
      </c>
      <c r="G65" s="1463"/>
      <c r="H65" s="919">
        <v>0.1</v>
      </c>
      <c r="I65" s="467"/>
      <c r="J65" s="919">
        <v>0</v>
      </c>
      <c r="K65" s="1011"/>
      <c r="L65" s="919">
        <v>0</v>
      </c>
      <c r="M65" s="1011"/>
      <c r="N65" s="919">
        <v>0.19999999999999998</v>
      </c>
      <c r="O65" s="1011"/>
      <c r="P65" s="919">
        <v>0</v>
      </c>
      <c r="Q65" s="1011"/>
      <c r="R65" s="919">
        <v>0</v>
      </c>
      <c r="S65" s="1011"/>
      <c r="T65" s="919">
        <v>0.10000000000000006</v>
      </c>
      <c r="U65" s="1011"/>
      <c r="V65" s="919">
        <v>0</v>
      </c>
      <c r="W65" s="1011"/>
      <c r="X65" s="919">
        <v>9.9999999999999978E-2</v>
      </c>
      <c r="Y65" s="1011"/>
      <c r="Z65" s="919">
        <f t="shared" si="26"/>
        <v>0</v>
      </c>
      <c r="AA65" s="496"/>
      <c r="AB65" s="940"/>
      <c r="AC65" s="919">
        <v>0.5</v>
      </c>
      <c r="AD65" s="467"/>
      <c r="AE65" s="940" t="s">
        <v>14</v>
      </c>
      <c r="AF65" s="919">
        <v>0.6</v>
      </c>
      <c r="AG65" s="493"/>
      <c r="AH65" s="1464"/>
      <c r="AI65" s="467">
        <f>ROUND(SUM(+AC65-AF65),1)</f>
        <v>-0.1</v>
      </c>
      <c r="AJ65" s="467"/>
      <c r="AK65" s="469">
        <f>ROUND(IF(AF65=0,0,AI65/ABS(AF65)),3)</f>
        <v>-0.16700000000000001</v>
      </c>
    </row>
    <row r="66" spans="1:39" ht="15" customHeight="1">
      <c r="A66" s="99"/>
      <c r="B66" s="597" t="s">
        <v>1036</v>
      </c>
      <c r="C66" s="597"/>
      <c r="D66" s="919" t="s">
        <v>14</v>
      </c>
      <c r="E66" s="1463"/>
      <c r="F66" s="919"/>
      <c r="G66" s="1463"/>
      <c r="H66" s="919"/>
      <c r="I66" s="467"/>
      <c r="J66" s="919"/>
      <c r="K66" s="36"/>
      <c r="L66" s="919"/>
      <c r="M66" s="36"/>
      <c r="N66" s="919" t="s">
        <v>14</v>
      </c>
      <c r="O66" s="36"/>
      <c r="P66" s="919" t="s">
        <v>14</v>
      </c>
      <c r="Q66" s="36"/>
      <c r="R66" s="919" t="s">
        <v>14</v>
      </c>
      <c r="S66" s="36"/>
      <c r="T66" s="919"/>
      <c r="U66" s="36"/>
      <c r="V66" s="919"/>
      <c r="W66" s="36"/>
      <c r="X66" s="919"/>
      <c r="Y66" s="36"/>
      <c r="Z66" s="919"/>
      <c r="AA66" s="39"/>
      <c r="AB66" s="1254"/>
      <c r="AC66" s="1449"/>
      <c r="AD66" s="36"/>
      <c r="AE66" s="752"/>
      <c r="AF66" s="1449"/>
      <c r="AG66" s="36"/>
      <c r="AH66" s="1460"/>
      <c r="AI66" s="467"/>
      <c r="AJ66" s="467"/>
      <c r="AK66" s="488"/>
    </row>
    <row r="67" spans="1:39" ht="15" customHeight="1">
      <c r="A67" s="99"/>
      <c r="B67" s="597" t="s">
        <v>923</v>
      </c>
      <c r="C67" s="597"/>
      <c r="D67" s="919">
        <v>5.4</v>
      </c>
      <c r="E67" s="1463"/>
      <c r="F67" s="919">
        <v>5.6999999999999993</v>
      </c>
      <c r="G67" s="1463"/>
      <c r="H67" s="919">
        <v>6.0000000000000018</v>
      </c>
      <c r="I67" s="467"/>
      <c r="J67" s="919">
        <v>5.1999999999999975</v>
      </c>
      <c r="K67" s="1011"/>
      <c r="L67" s="919">
        <v>5.6000000000000032</v>
      </c>
      <c r="M67" s="1011"/>
      <c r="N67" s="919">
        <v>6.3000000000000007</v>
      </c>
      <c r="O67" s="1011"/>
      <c r="P67" s="919">
        <v>6.1999999999999975</v>
      </c>
      <c r="Q67" s="1011"/>
      <c r="R67" s="919">
        <v>6.6000000000000103</v>
      </c>
      <c r="S67" s="1011"/>
      <c r="T67" s="919">
        <v>4.7999999999999972</v>
      </c>
      <c r="U67" s="1011"/>
      <c r="V67" s="919">
        <v>6.5999999999999925</v>
      </c>
      <c r="W67" s="1011"/>
      <c r="X67" s="919">
        <v>5.7000000000000046</v>
      </c>
      <c r="Y67" s="1011"/>
      <c r="Z67" s="919">
        <f t="shared" si="26"/>
        <v>5.4999999999999929</v>
      </c>
      <c r="AA67" s="496"/>
      <c r="AB67" s="940"/>
      <c r="AC67" s="919">
        <v>69.599999999999994</v>
      </c>
      <c r="AD67" s="467"/>
      <c r="AE67" s="940" t="s">
        <v>14</v>
      </c>
      <c r="AF67" s="919">
        <v>70.3</v>
      </c>
      <c r="AG67" s="36"/>
      <c r="AH67" s="1460"/>
      <c r="AI67" s="467">
        <f t="shared" ref="AI67:AI76" si="27">ROUND(SUM(+AC67-AF67),1)</f>
        <v>-0.7</v>
      </c>
      <c r="AJ67" s="467"/>
      <c r="AK67" s="469">
        <f>ROUND(IF(AF67=0,0,AI67/ABS(AF67)),3)</f>
        <v>-0.01</v>
      </c>
    </row>
    <row r="68" spans="1:39" ht="15" customHeight="1">
      <c r="A68" s="99"/>
      <c r="B68" s="597" t="s">
        <v>1126</v>
      </c>
      <c r="C68" s="597"/>
      <c r="D68" s="919">
        <v>0</v>
      </c>
      <c r="E68" s="1463"/>
      <c r="F68" s="919">
        <v>0</v>
      </c>
      <c r="G68" s="1463"/>
      <c r="H68" s="919">
        <v>0</v>
      </c>
      <c r="I68" s="467"/>
      <c r="J68" s="919">
        <v>0</v>
      </c>
      <c r="K68" s="1011"/>
      <c r="L68" s="919">
        <v>0</v>
      </c>
      <c r="M68" s="1011"/>
      <c r="N68" s="919">
        <v>0</v>
      </c>
      <c r="O68" s="1011"/>
      <c r="P68" s="919">
        <v>0</v>
      </c>
      <c r="Q68" s="1011"/>
      <c r="R68" s="919">
        <v>0</v>
      </c>
      <c r="S68" s="1011"/>
      <c r="T68" s="919">
        <v>0</v>
      </c>
      <c r="U68" s="1011"/>
      <c r="V68" s="919">
        <v>0</v>
      </c>
      <c r="W68" s="1011"/>
      <c r="X68" s="919">
        <v>0</v>
      </c>
      <c r="Y68" s="1011"/>
      <c r="Z68" s="919">
        <f t="shared" si="26"/>
        <v>0</v>
      </c>
      <c r="AA68" s="496"/>
      <c r="AB68" s="719"/>
      <c r="AC68" s="919">
        <v>0</v>
      </c>
      <c r="AD68" s="467"/>
      <c r="AE68" s="719" t="s">
        <v>14</v>
      </c>
      <c r="AF68" s="919">
        <v>0</v>
      </c>
      <c r="AG68" s="36"/>
      <c r="AH68" s="1460"/>
      <c r="AI68" s="467">
        <f>ROUND(SUM(+AC68-AF68),1)</f>
        <v>0</v>
      </c>
      <c r="AJ68" s="467"/>
      <c r="AK68" s="469">
        <f>ROUND(IF(AF68=0,0,AI68/ABS(AF68)),3)</f>
        <v>0</v>
      </c>
    </row>
    <row r="69" spans="1:39" ht="15" customHeight="1">
      <c r="A69" s="99"/>
      <c r="B69" s="597" t="s">
        <v>924</v>
      </c>
      <c r="C69" s="597"/>
      <c r="D69" s="919">
        <v>14.2</v>
      </c>
      <c r="E69" s="1463"/>
      <c r="F69" s="919">
        <v>11.5</v>
      </c>
      <c r="G69" s="1463"/>
      <c r="H69" s="919">
        <v>35.900000000000006</v>
      </c>
      <c r="I69" s="467"/>
      <c r="J69" s="919">
        <v>0.79999999999999361</v>
      </c>
      <c r="K69" s="1011"/>
      <c r="L69" s="919">
        <v>19.500000000000004</v>
      </c>
      <c r="M69" s="1011"/>
      <c r="N69" s="919">
        <v>41.5</v>
      </c>
      <c r="O69" s="1011"/>
      <c r="P69" s="919">
        <v>-9.1000000000000085</v>
      </c>
      <c r="Q69" s="1011"/>
      <c r="R69" s="919">
        <v>24.899999999999991</v>
      </c>
      <c r="S69" s="1011"/>
      <c r="T69" s="919">
        <v>43.300000000000026</v>
      </c>
      <c r="U69" s="1011"/>
      <c r="V69" s="919">
        <v>16.600000000000009</v>
      </c>
      <c r="W69" s="1011"/>
      <c r="X69" s="919">
        <v>11.800000000000011</v>
      </c>
      <c r="Y69" s="1011"/>
      <c r="Z69" s="919">
        <f t="shared" si="26"/>
        <v>40.600000000000009</v>
      </c>
      <c r="AA69" s="496"/>
      <c r="AB69" s="940"/>
      <c r="AC69" s="919">
        <v>251.5</v>
      </c>
      <c r="AD69" s="467"/>
      <c r="AE69" s="940" t="s">
        <v>14</v>
      </c>
      <c r="AF69" s="919">
        <v>254.7</v>
      </c>
      <c r="AG69" s="493"/>
      <c r="AH69" s="1464"/>
      <c r="AI69" s="467">
        <f t="shared" si="27"/>
        <v>-3.2</v>
      </c>
      <c r="AJ69" s="467"/>
      <c r="AK69" s="469">
        <f>ROUND(IF(AF69=0,0,AI69/ABS(AF69)),3)</f>
        <v>-1.2999999999999999E-2</v>
      </c>
    </row>
    <row r="70" spans="1:39" ht="15" customHeight="1">
      <c r="A70" s="99"/>
      <c r="B70" s="597" t="s">
        <v>925</v>
      </c>
      <c r="C70" s="597"/>
      <c r="D70" s="919">
        <v>3.1</v>
      </c>
      <c r="E70" s="1463"/>
      <c r="F70" s="919">
        <v>28.099999999999998</v>
      </c>
      <c r="G70" s="1463"/>
      <c r="H70" s="919">
        <v>45.1</v>
      </c>
      <c r="I70" s="467"/>
      <c r="J70" s="919">
        <v>-35.699999999999996</v>
      </c>
      <c r="K70" s="1011"/>
      <c r="L70" s="919">
        <v>41.100000000000016</v>
      </c>
      <c r="M70" s="1011"/>
      <c r="N70" s="919">
        <v>9.0999999999999872</v>
      </c>
      <c r="O70" s="1011"/>
      <c r="P70" s="919">
        <v>13.799999999999997</v>
      </c>
      <c r="Q70" s="1011"/>
      <c r="R70" s="919">
        <v>20.800000000000011</v>
      </c>
      <c r="S70" s="1011"/>
      <c r="T70" s="919">
        <v>10.599999999999994</v>
      </c>
      <c r="U70" s="1011"/>
      <c r="V70" s="919">
        <v>21.399999999999991</v>
      </c>
      <c r="W70" s="1011"/>
      <c r="X70" s="919">
        <v>8.1999999999999886</v>
      </c>
      <c r="Y70" s="1011"/>
      <c r="Z70" s="919">
        <f t="shared" si="26"/>
        <v>20.900000000000006</v>
      </c>
      <c r="AA70" s="496"/>
      <c r="AB70" s="940"/>
      <c r="AC70" s="919">
        <v>186.5</v>
      </c>
      <c r="AD70" s="467"/>
      <c r="AE70" s="940" t="s">
        <v>14</v>
      </c>
      <c r="AF70" s="919">
        <v>210.20000000000002</v>
      </c>
      <c r="AG70" s="493"/>
      <c r="AH70" s="1464"/>
      <c r="AI70" s="467">
        <f t="shared" si="27"/>
        <v>-23.7</v>
      </c>
      <c r="AJ70" s="467"/>
      <c r="AK70" s="978">
        <f>ROUND(IF(AF70=0,0,AI70/ABS(AF70)),3)</f>
        <v>-0.113</v>
      </c>
    </row>
    <row r="71" spans="1:39" ht="15" customHeight="1">
      <c r="A71" s="99"/>
      <c r="B71" s="597" t="s">
        <v>926</v>
      </c>
      <c r="C71" s="597"/>
      <c r="D71" s="919">
        <v>0</v>
      </c>
      <c r="E71" s="1463"/>
      <c r="F71" s="919">
        <v>0.2</v>
      </c>
      <c r="G71" s="1463"/>
      <c r="H71" s="919">
        <v>9.9999999999999978E-2</v>
      </c>
      <c r="I71" s="467"/>
      <c r="J71" s="919">
        <v>0.2</v>
      </c>
      <c r="K71" s="1011"/>
      <c r="L71" s="919">
        <v>9.9999999999999978E-2</v>
      </c>
      <c r="M71" s="1011"/>
      <c r="N71" s="919">
        <v>9.9999999999999978E-2</v>
      </c>
      <c r="O71" s="1011"/>
      <c r="P71" s="919">
        <v>0.10000000000000014</v>
      </c>
      <c r="Q71" s="1011"/>
      <c r="R71" s="919">
        <v>9.9999999999999867E-2</v>
      </c>
      <c r="S71" s="1011"/>
      <c r="T71" s="919">
        <v>0</v>
      </c>
      <c r="U71" s="1011"/>
      <c r="V71" s="919">
        <v>0.20000000000000012</v>
      </c>
      <c r="W71" s="1011"/>
      <c r="X71" s="919">
        <v>0</v>
      </c>
      <c r="Y71" s="1011"/>
      <c r="Z71" s="919">
        <f t="shared" si="26"/>
        <v>0.19999999999999996</v>
      </c>
      <c r="AA71" s="496"/>
      <c r="AB71" s="940"/>
      <c r="AC71" s="919">
        <v>1.3</v>
      </c>
      <c r="AD71" s="467"/>
      <c r="AE71" s="940" t="s">
        <v>14</v>
      </c>
      <c r="AF71" s="919">
        <v>1.3</v>
      </c>
      <c r="AG71" s="493"/>
      <c r="AH71" s="1464"/>
      <c r="AI71" s="467">
        <f t="shared" si="27"/>
        <v>0</v>
      </c>
      <c r="AJ71" s="467"/>
      <c r="AK71" s="469">
        <f>ROUND(IF(AF71=0,0,AI71/ABS(AF71)),3)</f>
        <v>0</v>
      </c>
    </row>
    <row r="72" spans="1:39" ht="15" customHeight="1">
      <c r="A72" s="99"/>
      <c r="B72" s="597" t="s">
        <v>927</v>
      </c>
      <c r="C72" s="597"/>
      <c r="D72" s="919">
        <v>17.7</v>
      </c>
      <c r="E72" s="1463"/>
      <c r="F72" s="919">
        <v>26.099999999999998</v>
      </c>
      <c r="G72" s="1463"/>
      <c r="H72" s="919">
        <v>34.799999999999997</v>
      </c>
      <c r="I72" s="467"/>
      <c r="J72" s="919">
        <v>13.600000000000009</v>
      </c>
      <c r="K72" s="1011"/>
      <c r="L72" s="919">
        <v>36.200000000000003</v>
      </c>
      <c r="M72" s="1011"/>
      <c r="N72" s="919">
        <v>12.900000000000006</v>
      </c>
      <c r="O72" s="1011"/>
      <c r="P72" s="919">
        <v>4</v>
      </c>
      <c r="Q72" s="1011"/>
      <c r="R72" s="919">
        <v>34.000000000000014</v>
      </c>
      <c r="S72" s="1011"/>
      <c r="T72" s="919">
        <v>13.799999999999983</v>
      </c>
      <c r="U72" s="1011"/>
      <c r="V72" s="919">
        <v>16.100000000000009</v>
      </c>
      <c r="W72" s="1011"/>
      <c r="X72" s="919">
        <v>14.899999999999963</v>
      </c>
      <c r="Y72" s="1011"/>
      <c r="Z72" s="919">
        <f t="shared" si="26"/>
        <v>55.400000000000048</v>
      </c>
      <c r="AA72" s="496"/>
      <c r="AB72" s="940"/>
      <c r="AC72" s="919">
        <v>279.5</v>
      </c>
      <c r="AD72" s="467"/>
      <c r="AE72" s="940" t="s">
        <v>14</v>
      </c>
      <c r="AF72" s="919">
        <v>306</v>
      </c>
      <c r="AG72" s="493"/>
      <c r="AH72" s="1464"/>
      <c r="AI72" s="467">
        <f t="shared" si="27"/>
        <v>-26.5</v>
      </c>
      <c r="AJ72" s="467"/>
      <c r="AK72" s="978">
        <f>ROUND(IF(AF72=0,1,AI72/ABS(AF72)),3)</f>
        <v>-8.6999999999999994E-2</v>
      </c>
    </row>
    <row r="73" spans="1:39" ht="15" customHeight="1">
      <c r="A73" s="99"/>
      <c r="B73" s="597" t="s">
        <v>928</v>
      </c>
      <c r="C73" s="597"/>
      <c r="D73" s="919">
        <v>0</v>
      </c>
      <c r="E73" s="1463"/>
      <c r="F73" s="919">
        <v>3.4</v>
      </c>
      <c r="G73" s="1463"/>
      <c r="H73" s="919">
        <v>1.6</v>
      </c>
      <c r="I73" s="467"/>
      <c r="J73" s="919">
        <v>4.3000000000000007</v>
      </c>
      <c r="K73" s="1011"/>
      <c r="L73" s="919">
        <v>1.5000000000000004</v>
      </c>
      <c r="M73" s="1011"/>
      <c r="N73" s="919">
        <v>1.6999999999999988</v>
      </c>
      <c r="O73" s="1011"/>
      <c r="P73" s="919">
        <v>1.8000000000000007</v>
      </c>
      <c r="Q73" s="1011"/>
      <c r="R73" s="919">
        <v>2.8999999999999986</v>
      </c>
      <c r="S73" s="1011"/>
      <c r="T73" s="919">
        <v>1.5</v>
      </c>
      <c r="U73" s="1011"/>
      <c r="V73" s="919">
        <v>3</v>
      </c>
      <c r="W73" s="1011"/>
      <c r="X73" s="919">
        <v>1.2000000000000028</v>
      </c>
      <c r="Y73" s="1011"/>
      <c r="Z73" s="919">
        <f t="shared" si="26"/>
        <v>2.4999999999999964</v>
      </c>
      <c r="AA73" s="2173"/>
      <c r="AB73" s="467"/>
      <c r="AC73" s="919">
        <v>25.4</v>
      </c>
      <c r="AD73" s="467"/>
      <c r="AE73" s="940" t="s">
        <v>14</v>
      </c>
      <c r="AF73" s="919">
        <v>25.4</v>
      </c>
      <c r="AG73" s="493"/>
      <c r="AH73" s="1464"/>
      <c r="AI73" s="467">
        <f t="shared" si="27"/>
        <v>0</v>
      </c>
      <c r="AJ73" s="467"/>
      <c r="AK73" s="978">
        <f>ROUND(IF(AF73=0,1,AI73/ABS(AF73)),3)</f>
        <v>0</v>
      </c>
    </row>
    <row r="74" spans="1:39" ht="15" customHeight="1">
      <c r="A74" s="99"/>
      <c r="B74" s="597" t="s">
        <v>917</v>
      </c>
      <c r="C74" s="597"/>
      <c r="D74" s="919">
        <v>24.1</v>
      </c>
      <c r="E74" s="1463"/>
      <c r="F74" s="919">
        <v>7.5999999999999979</v>
      </c>
      <c r="G74" s="1463"/>
      <c r="H74" s="919">
        <v>38.6</v>
      </c>
      <c r="I74" s="467"/>
      <c r="J74" s="919">
        <v>21.699999999999996</v>
      </c>
      <c r="K74" s="1011"/>
      <c r="L74" s="919">
        <v>58.800000000000033</v>
      </c>
      <c r="M74" s="1011"/>
      <c r="N74" s="919">
        <v>27.399999999999984</v>
      </c>
      <c r="O74" s="1011"/>
      <c r="P74" s="919">
        <v>26.900000000000006</v>
      </c>
      <c r="Q74" s="1011"/>
      <c r="R74" s="919">
        <v>29.70000000000001</v>
      </c>
      <c r="S74" s="1011"/>
      <c r="T74" s="919">
        <v>43.800000000000018</v>
      </c>
      <c r="U74" s="1011"/>
      <c r="V74" s="919">
        <v>60.099999999999874</v>
      </c>
      <c r="W74" s="1011"/>
      <c r="X74" s="919">
        <v>9.7000000000000526</v>
      </c>
      <c r="Y74" s="1011"/>
      <c r="Z74" s="919">
        <f t="shared" si="26"/>
        <v>27.099999999999966</v>
      </c>
      <c r="AA74" s="2173"/>
      <c r="AB74" s="467"/>
      <c r="AC74" s="919">
        <v>375.5</v>
      </c>
      <c r="AD74" s="2175"/>
      <c r="AE74" s="467" t="s">
        <v>14</v>
      </c>
      <c r="AF74" s="919">
        <v>307.2</v>
      </c>
      <c r="AG74" s="493"/>
      <c r="AH74" s="1464"/>
      <c r="AI74" s="467">
        <f t="shared" si="27"/>
        <v>68.3</v>
      </c>
      <c r="AJ74" s="467"/>
      <c r="AK74" s="978">
        <f>ROUND(IF(AF74=0,0,AI74/ABS(AF74)),3)</f>
        <v>0.222</v>
      </c>
    </row>
    <row r="75" spans="1:39" s="169" customFormat="1" ht="15" customHeight="1">
      <c r="A75" s="99"/>
      <c r="B75" s="597" t="s">
        <v>1033</v>
      </c>
      <c r="C75" s="21"/>
      <c r="D75" s="919" t="s">
        <v>14</v>
      </c>
      <c r="E75" s="467"/>
      <c r="F75" s="919"/>
      <c r="G75" s="467"/>
      <c r="H75" s="919"/>
      <c r="I75" s="467"/>
      <c r="J75" s="919"/>
      <c r="K75" s="36"/>
      <c r="L75" s="919"/>
      <c r="M75" s="36"/>
      <c r="N75" s="919" t="s">
        <v>14</v>
      </c>
      <c r="O75" s="36"/>
      <c r="P75" s="919" t="s">
        <v>14</v>
      </c>
      <c r="Q75" s="36"/>
      <c r="R75" s="919" t="s">
        <v>14</v>
      </c>
      <c r="S75" s="36"/>
      <c r="T75" s="919"/>
      <c r="U75" s="36"/>
      <c r="V75" s="919"/>
      <c r="W75" s="36"/>
      <c r="X75" s="919"/>
      <c r="Y75" s="36"/>
      <c r="Z75" s="919"/>
      <c r="AA75" s="2174"/>
      <c r="AB75" s="36"/>
      <c r="AC75" s="36"/>
      <c r="AD75" s="2176"/>
      <c r="AE75" s="36"/>
      <c r="AF75" s="36"/>
      <c r="AG75" s="493"/>
      <c r="AH75" s="1464"/>
      <c r="AI75" s="36"/>
      <c r="AJ75" s="467"/>
      <c r="AK75" s="467"/>
      <c r="AL75" s="488"/>
      <c r="AM75" s="567"/>
    </row>
    <row r="76" spans="1:39" s="169" customFormat="1" ht="15" customHeight="1">
      <c r="A76" s="99"/>
      <c r="B76" s="597" t="s">
        <v>1472</v>
      </c>
      <c r="C76" s="21"/>
      <c r="D76" s="919">
        <v>5</v>
      </c>
      <c r="E76" s="467"/>
      <c r="F76" s="919">
        <v>0</v>
      </c>
      <c r="G76" s="467"/>
      <c r="H76" s="919">
        <v>0</v>
      </c>
      <c r="I76" s="467"/>
      <c r="J76" s="919">
        <v>0</v>
      </c>
      <c r="K76" s="1011"/>
      <c r="L76" s="919">
        <v>0</v>
      </c>
      <c r="M76" s="1011"/>
      <c r="N76" s="919">
        <v>0</v>
      </c>
      <c r="O76" s="1011"/>
      <c r="P76" s="919">
        <v>0</v>
      </c>
      <c r="Q76" s="1011"/>
      <c r="R76" s="919">
        <v>0</v>
      </c>
      <c r="S76" s="1011"/>
      <c r="T76" s="919">
        <v>0</v>
      </c>
      <c r="U76" s="1011"/>
      <c r="V76" s="919">
        <v>0</v>
      </c>
      <c r="W76" s="1011"/>
      <c r="X76" s="919">
        <v>0</v>
      </c>
      <c r="Y76" s="1011"/>
      <c r="Z76" s="919">
        <f t="shared" si="26"/>
        <v>0</v>
      </c>
      <c r="AA76" s="2173"/>
      <c r="AB76" s="467"/>
      <c r="AC76" s="493">
        <v>5</v>
      </c>
      <c r="AD76" s="2177" t="s">
        <v>14</v>
      </c>
      <c r="AE76" s="493"/>
      <c r="AF76" s="493">
        <v>1.6</v>
      </c>
      <c r="AG76" s="493" t="e">
        <v>#VALUE!</v>
      </c>
      <c r="AH76" s="1464"/>
      <c r="AI76" s="36">
        <f t="shared" si="27"/>
        <v>3.4</v>
      </c>
      <c r="AJ76" s="467"/>
      <c r="AK76" s="488">
        <f>ROUND(IF(AF76=0,1,AI76/ABS(AF76)),3)</f>
        <v>2.125</v>
      </c>
      <c r="AL76" s="978"/>
      <c r="AM76" s="567"/>
    </row>
    <row r="77" spans="1:39" ht="15" customHeight="1">
      <c r="A77" s="99"/>
      <c r="B77" s="597" t="s">
        <v>918</v>
      </c>
      <c r="C77" s="597"/>
      <c r="D77" s="919">
        <v>6.7</v>
      </c>
      <c r="E77" s="1463"/>
      <c r="F77" s="919">
        <v>11.900000000000002</v>
      </c>
      <c r="G77" s="1463"/>
      <c r="H77" s="919">
        <v>26.8</v>
      </c>
      <c r="I77" s="467"/>
      <c r="J77" s="919">
        <v>37.199999999999989</v>
      </c>
      <c r="K77" s="1011"/>
      <c r="L77" s="919">
        <v>53</v>
      </c>
      <c r="M77" s="1011"/>
      <c r="N77" s="919">
        <v>69.300000000000011</v>
      </c>
      <c r="O77" s="1011"/>
      <c r="P77" s="919">
        <v>92.400000000000034</v>
      </c>
      <c r="Q77" s="1011"/>
      <c r="R77" s="919">
        <v>119.59999999999997</v>
      </c>
      <c r="S77" s="1011"/>
      <c r="T77" s="919">
        <v>132.09999999999997</v>
      </c>
      <c r="U77" s="1011"/>
      <c r="V77" s="919">
        <v>158.30000000000007</v>
      </c>
      <c r="W77" s="1011"/>
      <c r="X77" s="919">
        <v>191.09999999999991</v>
      </c>
      <c r="Y77" s="1011"/>
      <c r="Z77" s="919">
        <f t="shared" si="26"/>
        <v>186.80000000000007</v>
      </c>
      <c r="AA77" s="2173"/>
      <c r="AB77" s="467"/>
      <c r="AC77" s="919">
        <v>1085.2</v>
      </c>
      <c r="AD77" s="2175"/>
      <c r="AE77" s="467" t="s">
        <v>14</v>
      </c>
      <c r="AF77" s="919">
        <v>14</v>
      </c>
      <c r="AG77" s="493"/>
      <c r="AH77" s="1464"/>
      <c r="AI77" s="467">
        <f>ROUND(SUM(+AC77-AF77),1)</f>
        <v>1071.2</v>
      </c>
      <c r="AJ77" s="467"/>
      <c r="AK77" s="978">
        <f>ROUND(IF(AF77=0,1,AI77/ABS(AF77)),3)</f>
        <v>76.513999999999996</v>
      </c>
    </row>
    <row r="78" spans="1:39" ht="15" customHeight="1">
      <c r="A78" s="99"/>
      <c r="B78" s="597" t="s">
        <v>935</v>
      </c>
      <c r="C78" s="597"/>
      <c r="D78" s="919">
        <v>0</v>
      </c>
      <c r="E78" s="1463"/>
      <c r="F78" s="919">
        <v>0</v>
      </c>
      <c r="G78" s="1463"/>
      <c r="H78" s="919">
        <v>0</v>
      </c>
      <c r="I78" s="467"/>
      <c r="J78" s="919">
        <v>0</v>
      </c>
      <c r="K78" s="1011"/>
      <c r="L78" s="919">
        <v>0</v>
      </c>
      <c r="M78" s="1011"/>
      <c r="N78" s="919">
        <v>0</v>
      </c>
      <c r="O78" s="1011"/>
      <c r="P78" s="919">
        <v>0</v>
      </c>
      <c r="Q78" s="1011"/>
      <c r="R78" s="919">
        <v>0</v>
      </c>
      <c r="S78" s="1011"/>
      <c r="T78" s="919">
        <v>0.1</v>
      </c>
      <c r="U78" s="1011"/>
      <c r="V78" s="919">
        <v>0</v>
      </c>
      <c r="W78" s="1011"/>
      <c r="X78" s="919">
        <v>0</v>
      </c>
      <c r="Y78" s="1011"/>
      <c r="Z78" s="919">
        <f t="shared" si="26"/>
        <v>0</v>
      </c>
      <c r="AA78" s="496"/>
      <c r="AB78" s="940"/>
      <c r="AC78" s="919">
        <v>0.1</v>
      </c>
      <c r="AD78" s="467"/>
      <c r="AE78" s="940" t="s">
        <v>14</v>
      </c>
      <c r="AF78" s="919">
        <v>0.1</v>
      </c>
      <c r="AG78" s="493"/>
      <c r="AH78" s="1464"/>
      <c r="AI78" s="467">
        <f>ROUND(SUM(+AC78-AF78),1)</f>
        <v>0</v>
      </c>
      <c r="AJ78" s="467"/>
      <c r="AK78" s="469">
        <f>ROUND(IF(AF78=0,0,AI78/ABS(AF78)),3)</f>
        <v>0</v>
      </c>
    </row>
    <row r="79" spans="1:39" ht="15" customHeight="1">
      <c r="A79" s="99"/>
      <c r="B79" s="597" t="s">
        <v>1034</v>
      </c>
      <c r="C79" s="597"/>
      <c r="D79" s="919" t="s">
        <v>14</v>
      </c>
      <c r="E79" s="1463"/>
      <c r="F79" s="919"/>
      <c r="G79" s="1463"/>
      <c r="H79" s="919"/>
      <c r="I79" s="467"/>
      <c r="J79" s="919"/>
      <c r="K79" s="36"/>
      <c r="L79" s="919"/>
      <c r="M79" s="36"/>
      <c r="N79" s="919" t="s">
        <v>14</v>
      </c>
      <c r="O79" s="36"/>
      <c r="P79" s="919" t="s">
        <v>14</v>
      </c>
      <c r="Q79" s="36"/>
      <c r="R79" s="919" t="s">
        <v>14</v>
      </c>
      <c r="S79" s="36"/>
      <c r="T79" s="919"/>
      <c r="U79" s="36"/>
      <c r="V79" s="919"/>
      <c r="W79" s="36"/>
      <c r="X79" s="919"/>
      <c r="Y79" s="36"/>
      <c r="Z79" s="919"/>
      <c r="AA79" s="39"/>
      <c r="AB79" s="1254"/>
      <c r="AC79" s="1449"/>
      <c r="AD79" s="36"/>
      <c r="AE79" s="752"/>
      <c r="AF79" s="1449"/>
      <c r="AG79" s="36"/>
      <c r="AH79" s="1460"/>
      <c r="AI79" s="467"/>
      <c r="AJ79" s="467"/>
      <c r="AK79" s="488"/>
    </row>
    <row r="80" spans="1:39" ht="15" customHeight="1">
      <c r="A80" s="99"/>
      <c r="B80" s="597" t="s">
        <v>931</v>
      </c>
      <c r="C80" s="597"/>
      <c r="D80" s="919">
        <v>0</v>
      </c>
      <c r="E80" s="1463"/>
      <c r="F80" s="919">
        <v>0</v>
      </c>
      <c r="G80" s="1463"/>
      <c r="H80" s="919">
        <v>0</v>
      </c>
      <c r="I80" s="467"/>
      <c r="J80" s="919">
        <v>0</v>
      </c>
      <c r="K80" s="36"/>
      <c r="L80" s="919">
        <v>0</v>
      </c>
      <c r="M80" s="36"/>
      <c r="N80" s="919">
        <v>0</v>
      </c>
      <c r="O80" s="36"/>
      <c r="P80" s="919">
        <v>0</v>
      </c>
      <c r="Q80" s="36"/>
      <c r="R80" s="919">
        <v>0</v>
      </c>
      <c r="S80" s="36"/>
      <c r="T80" s="919">
        <v>0</v>
      </c>
      <c r="U80" s="36"/>
      <c r="V80" s="919">
        <v>0</v>
      </c>
      <c r="W80" s="36"/>
      <c r="X80" s="919">
        <v>0</v>
      </c>
      <c r="Y80" s="36"/>
      <c r="Z80" s="919">
        <f t="shared" si="26"/>
        <v>0</v>
      </c>
      <c r="AA80" s="39"/>
      <c r="AB80" s="2006"/>
      <c r="AC80" s="919">
        <v>0</v>
      </c>
      <c r="AD80" s="36"/>
      <c r="AE80" s="1251"/>
      <c r="AF80" s="919">
        <v>0</v>
      </c>
      <c r="AG80" s="36"/>
      <c r="AH80" s="1460"/>
      <c r="AI80" s="467">
        <f t="shared" ref="AI80:AI84" si="28">ROUND(SUM(+AC80-AF80),1)</f>
        <v>0</v>
      </c>
      <c r="AJ80" s="467"/>
      <c r="AK80" s="469">
        <f>ROUND(IF(AF80=0,0,AI80/ABS(AF80)),3)</f>
        <v>0</v>
      </c>
    </row>
    <row r="81" spans="1:41" ht="15" customHeight="1">
      <c r="A81" s="99"/>
      <c r="B81" s="597" t="s">
        <v>932</v>
      </c>
      <c r="C81" s="597"/>
      <c r="D81" s="919">
        <v>0</v>
      </c>
      <c r="E81" s="1463"/>
      <c r="F81" s="919">
        <v>0</v>
      </c>
      <c r="G81" s="1463"/>
      <c r="H81" s="919">
        <v>0</v>
      </c>
      <c r="I81" s="467"/>
      <c r="J81" s="919">
        <v>6.5</v>
      </c>
      <c r="K81" s="1011"/>
      <c r="L81" s="919">
        <v>0</v>
      </c>
      <c r="M81" s="1011"/>
      <c r="N81" s="919">
        <v>0</v>
      </c>
      <c r="O81" s="1011"/>
      <c r="P81" s="919">
        <v>8.9</v>
      </c>
      <c r="Q81" s="1011"/>
      <c r="R81" s="919">
        <v>0</v>
      </c>
      <c r="S81" s="1011"/>
      <c r="T81" s="919">
        <v>0</v>
      </c>
      <c r="U81" s="1011"/>
      <c r="V81" s="919">
        <v>9.9999999999999645E-2</v>
      </c>
      <c r="W81" s="1011"/>
      <c r="X81" s="919">
        <v>0</v>
      </c>
      <c r="Y81" s="1011"/>
      <c r="Z81" s="919">
        <f t="shared" si="26"/>
        <v>0</v>
      </c>
      <c r="AA81" s="496"/>
      <c r="AB81" s="940"/>
      <c r="AC81" s="919">
        <v>15.5</v>
      </c>
      <c r="AD81" s="467"/>
      <c r="AE81" s="940" t="s">
        <v>14</v>
      </c>
      <c r="AF81" s="919">
        <v>0</v>
      </c>
      <c r="AG81" s="493"/>
      <c r="AH81" s="1464"/>
      <c r="AI81" s="467">
        <f t="shared" si="28"/>
        <v>15.5</v>
      </c>
      <c r="AJ81" s="467"/>
      <c r="AK81" s="469">
        <f>ROUND(IF(AF81=0,1,AI81/ABS(AF81)),3)</f>
        <v>1</v>
      </c>
    </row>
    <row r="82" spans="1:41" ht="15" customHeight="1">
      <c r="A82" s="99"/>
      <c r="B82" s="597" t="s">
        <v>933</v>
      </c>
      <c r="C82" s="597"/>
      <c r="D82" s="919">
        <v>0</v>
      </c>
      <c r="E82" s="1463"/>
      <c r="F82" s="919">
        <v>0</v>
      </c>
      <c r="G82" s="1463"/>
      <c r="H82" s="919">
        <v>3.3</v>
      </c>
      <c r="I82" s="467"/>
      <c r="J82" s="919">
        <v>27.5</v>
      </c>
      <c r="K82" s="1011"/>
      <c r="L82" s="919">
        <v>1.8000000000000016</v>
      </c>
      <c r="M82" s="1011"/>
      <c r="N82" s="919">
        <v>0</v>
      </c>
      <c r="O82" s="1011"/>
      <c r="P82" s="919">
        <v>13.400000000000002</v>
      </c>
      <c r="Q82" s="1011"/>
      <c r="R82" s="919">
        <v>0.29999999999999716</v>
      </c>
      <c r="S82" s="1011"/>
      <c r="T82" s="919">
        <v>0.70000000000000284</v>
      </c>
      <c r="U82" s="1011"/>
      <c r="V82" s="919">
        <v>7.2999999999999972</v>
      </c>
      <c r="W82" s="1011"/>
      <c r="X82" s="919">
        <v>0.10000000000000142</v>
      </c>
      <c r="Y82" s="1011"/>
      <c r="Z82" s="919">
        <f t="shared" si="26"/>
        <v>4.5</v>
      </c>
      <c r="AA82" s="496"/>
      <c r="AB82" s="940"/>
      <c r="AC82" s="919">
        <v>58.9</v>
      </c>
      <c r="AD82" s="467"/>
      <c r="AE82" s="940" t="s">
        <v>14</v>
      </c>
      <c r="AF82" s="919">
        <v>96.3</v>
      </c>
      <c r="AG82" s="493"/>
      <c r="AH82" s="1464"/>
      <c r="AI82" s="467">
        <f t="shared" si="28"/>
        <v>-37.4</v>
      </c>
      <c r="AJ82" s="467"/>
      <c r="AK82" s="469">
        <f t="shared" ref="AK82:AK83" si="29">ROUND(IF(AF82=0,1,AI82/ABS(AF82)),3)</f>
        <v>-0.38800000000000001</v>
      </c>
    </row>
    <row r="83" spans="1:41" ht="15" customHeight="1">
      <c r="A83" s="99"/>
      <c r="B83" s="597" t="s">
        <v>934</v>
      </c>
      <c r="C83" s="597"/>
      <c r="D83" s="919">
        <v>0</v>
      </c>
      <c r="E83" s="1463"/>
      <c r="F83" s="919">
        <v>0</v>
      </c>
      <c r="G83" s="1463"/>
      <c r="H83" s="919">
        <v>3.9</v>
      </c>
      <c r="I83" s="467"/>
      <c r="J83" s="919">
        <v>0</v>
      </c>
      <c r="K83" s="1011"/>
      <c r="L83" s="919">
        <v>0</v>
      </c>
      <c r="M83" s="1011"/>
      <c r="N83" s="919">
        <v>0</v>
      </c>
      <c r="O83" s="1011"/>
      <c r="P83" s="919">
        <v>0</v>
      </c>
      <c r="Q83" s="1011"/>
      <c r="R83" s="919">
        <v>0</v>
      </c>
      <c r="S83" s="1011"/>
      <c r="T83" s="919">
        <v>4.0999999999999996</v>
      </c>
      <c r="U83" s="1011"/>
      <c r="V83" s="919">
        <v>9.9999999999999645E-2</v>
      </c>
      <c r="W83" s="1011"/>
      <c r="X83" s="919">
        <v>0</v>
      </c>
      <c r="Y83" s="1011"/>
      <c r="Z83" s="919">
        <f t="shared" si="26"/>
        <v>15.9</v>
      </c>
      <c r="AA83" s="496"/>
      <c r="AB83" s="940"/>
      <c r="AC83" s="919">
        <v>24</v>
      </c>
      <c r="AD83" s="467"/>
      <c r="AE83" s="940" t="s">
        <v>14</v>
      </c>
      <c r="AF83" s="919">
        <v>46.6</v>
      </c>
      <c r="AG83" s="493"/>
      <c r="AH83" s="1464"/>
      <c r="AI83" s="467">
        <f t="shared" si="28"/>
        <v>-22.6</v>
      </c>
      <c r="AJ83" s="467"/>
      <c r="AK83" s="469">
        <f t="shared" si="29"/>
        <v>-0.48499999999999999</v>
      </c>
    </row>
    <row r="84" spans="1:41" ht="15" customHeight="1">
      <c r="A84" s="99"/>
      <c r="B84" s="597" t="s">
        <v>936</v>
      </c>
      <c r="C84" s="597"/>
      <c r="D84" s="919">
        <v>0.1</v>
      </c>
      <c r="E84" s="1463"/>
      <c r="F84" s="919">
        <v>0.1</v>
      </c>
      <c r="G84" s="1463"/>
      <c r="H84" s="919">
        <v>9.9999999999999978E-2</v>
      </c>
      <c r="I84" s="467"/>
      <c r="J84" s="919">
        <v>0</v>
      </c>
      <c r="K84" s="1011"/>
      <c r="L84" s="919">
        <v>0.10000000000000003</v>
      </c>
      <c r="M84" s="1011"/>
      <c r="N84" s="919">
        <v>0.10000000000000003</v>
      </c>
      <c r="O84" s="1011"/>
      <c r="P84" s="919">
        <v>0.30000000000000004</v>
      </c>
      <c r="Q84" s="1011"/>
      <c r="R84" s="919">
        <v>0.19999999999999996</v>
      </c>
      <c r="S84" s="1011"/>
      <c r="T84" s="919">
        <v>9.9999999999999867E-2</v>
      </c>
      <c r="U84" s="1011"/>
      <c r="V84" s="919">
        <v>0.19999999999999996</v>
      </c>
      <c r="W84" s="1011"/>
      <c r="X84" s="919">
        <v>9.9999999999999645E-2</v>
      </c>
      <c r="Y84" s="1011"/>
      <c r="Z84" s="919">
        <f t="shared" si="26"/>
        <v>0.10000000000000009</v>
      </c>
      <c r="AA84" s="496"/>
      <c r="AB84" s="940"/>
      <c r="AC84" s="919">
        <v>1.5</v>
      </c>
      <c r="AD84" s="467"/>
      <c r="AE84" s="940" t="s">
        <v>14</v>
      </c>
      <c r="AF84" s="919">
        <v>1.8</v>
      </c>
      <c r="AG84" s="493"/>
      <c r="AH84" s="1464"/>
      <c r="AI84" s="467">
        <f t="shared" si="28"/>
        <v>-0.3</v>
      </c>
      <c r="AJ84" s="467"/>
      <c r="AK84" s="469">
        <f t="shared" ref="AK84" si="30">ROUND(IF(AF84=0,0,AI84/ABS(AF84)),3)</f>
        <v>-0.16700000000000001</v>
      </c>
    </row>
    <row r="85" spans="1:41" ht="15" customHeight="1">
      <c r="A85" s="99"/>
      <c r="B85" s="597" t="s">
        <v>1035</v>
      </c>
      <c r="C85" s="597"/>
      <c r="D85" s="919" t="s">
        <v>14</v>
      </c>
      <c r="E85" s="1463"/>
      <c r="F85" s="919"/>
      <c r="G85" s="1463"/>
      <c r="H85" s="919"/>
      <c r="I85" s="467"/>
      <c r="J85" s="919"/>
      <c r="K85" s="36"/>
      <c r="L85" s="919"/>
      <c r="M85" s="36"/>
      <c r="N85" s="919" t="s">
        <v>14</v>
      </c>
      <c r="O85" s="36"/>
      <c r="P85" s="919" t="s">
        <v>14</v>
      </c>
      <c r="Q85" s="36"/>
      <c r="R85" s="919" t="s">
        <v>14</v>
      </c>
      <c r="S85" s="36"/>
      <c r="T85" s="919"/>
      <c r="U85" s="36"/>
      <c r="V85" s="919"/>
      <c r="W85" s="36"/>
      <c r="X85" s="919"/>
      <c r="Y85" s="36"/>
      <c r="Z85" s="919"/>
      <c r="AA85" s="39"/>
      <c r="AB85" s="1254"/>
      <c r="AC85" s="1449"/>
      <c r="AD85" s="36"/>
      <c r="AE85" s="940" t="s">
        <v>14</v>
      </c>
      <c r="AF85" s="1449"/>
      <c r="AG85" s="36"/>
      <c r="AH85" s="1460"/>
      <c r="AI85" s="467"/>
      <c r="AJ85" s="467"/>
      <c r="AK85" s="488"/>
    </row>
    <row r="86" spans="1:41" ht="15" customHeight="1">
      <c r="A86" s="99"/>
      <c r="B86" s="597" t="s">
        <v>937</v>
      </c>
      <c r="C86" s="597"/>
      <c r="D86" s="919">
        <v>0.5</v>
      </c>
      <c r="E86" s="1463"/>
      <c r="F86" s="919">
        <v>0.5</v>
      </c>
      <c r="G86" s="1463"/>
      <c r="H86" s="919">
        <v>12</v>
      </c>
      <c r="I86" s="467"/>
      <c r="J86" s="919">
        <v>0.40000000000000036</v>
      </c>
      <c r="K86" s="1011"/>
      <c r="L86" s="919">
        <v>0.29999999999999893</v>
      </c>
      <c r="M86" s="1011"/>
      <c r="N86" s="919">
        <v>15.600000000000001</v>
      </c>
      <c r="O86" s="1011"/>
      <c r="P86" s="919">
        <v>0.30000000000000249</v>
      </c>
      <c r="Q86" s="1011"/>
      <c r="R86" s="919">
        <v>9.9999999999994316E-2</v>
      </c>
      <c r="S86" s="1011"/>
      <c r="T86" s="919">
        <v>14.300000000000006</v>
      </c>
      <c r="U86" s="1011"/>
      <c r="V86" s="919">
        <v>0.10000000000000142</v>
      </c>
      <c r="W86" s="1011"/>
      <c r="X86" s="919">
        <v>0.39999999999999858</v>
      </c>
      <c r="Y86" s="1011"/>
      <c r="Z86" s="919">
        <f t="shared" si="26"/>
        <v>18.399999999999999</v>
      </c>
      <c r="AA86" s="496"/>
      <c r="AB86" s="940"/>
      <c r="AC86" s="919">
        <v>62.9</v>
      </c>
      <c r="AD86" s="467"/>
      <c r="AE86" s="940" t="s">
        <v>14</v>
      </c>
      <c r="AF86" s="919">
        <v>68.7</v>
      </c>
      <c r="AG86" s="493"/>
      <c r="AH86" s="1464"/>
      <c r="AI86" s="467">
        <f t="shared" ref="AI86:AI95" si="31">ROUND(SUM(+AC86-AF86),1)</f>
        <v>-5.8</v>
      </c>
      <c r="AJ86" s="467"/>
      <c r="AK86" s="469">
        <f t="shared" ref="AK86" si="32">ROUND(IF(AF86=0,1,AI86/ABS(AF86)),3)</f>
        <v>-8.4000000000000005E-2</v>
      </c>
    </row>
    <row r="87" spans="1:41" ht="15" customHeight="1">
      <c r="A87" s="99"/>
      <c r="B87" s="597" t="s">
        <v>938</v>
      </c>
      <c r="C87" s="597"/>
      <c r="D87" s="919">
        <v>0.1</v>
      </c>
      <c r="E87" s="1463"/>
      <c r="F87" s="919">
        <v>0</v>
      </c>
      <c r="G87" s="1463"/>
      <c r="H87" s="919">
        <v>0</v>
      </c>
      <c r="I87" s="467"/>
      <c r="J87" s="919">
        <v>0</v>
      </c>
      <c r="K87" s="1011"/>
      <c r="L87" s="919">
        <v>0.30000000000000004</v>
      </c>
      <c r="M87" s="1011"/>
      <c r="N87" s="919">
        <v>0.5</v>
      </c>
      <c r="O87" s="1011"/>
      <c r="P87" s="919">
        <v>0.49999999999999978</v>
      </c>
      <c r="Q87" s="1011"/>
      <c r="R87" s="919">
        <v>0</v>
      </c>
      <c r="S87" s="1011"/>
      <c r="T87" s="919">
        <v>0</v>
      </c>
      <c r="U87" s="1011"/>
      <c r="V87" s="919">
        <v>0</v>
      </c>
      <c r="W87" s="1011"/>
      <c r="X87" s="919">
        <v>0</v>
      </c>
      <c r="Y87" s="1011"/>
      <c r="Z87" s="919">
        <f t="shared" si="26"/>
        <v>0.20000000000000018</v>
      </c>
      <c r="AA87" s="496"/>
      <c r="AB87" s="719"/>
      <c r="AC87" s="919">
        <v>1.6</v>
      </c>
      <c r="AD87" s="467"/>
      <c r="AE87" s="940" t="s">
        <v>14</v>
      </c>
      <c r="AF87" s="919">
        <v>1.1000000000000001</v>
      </c>
      <c r="AG87" s="493"/>
      <c r="AH87" s="1464"/>
      <c r="AI87" s="467">
        <f t="shared" ref="AI87" si="33">ROUND(SUM(+AC87-AF87),1)</f>
        <v>0.5</v>
      </c>
      <c r="AJ87" s="467"/>
      <c r="AK87" s="978">
        <f>ROUND(IF(AF87=0,1,AI87/ABS(AF87)),3)</f>
        <v>0.45500000000000002</v>
      </c>
    </row>
    <row r="88" spans="1:41" ht="15" customHeight="1">
      <c r="A88" s="99"/>
      <c r="B88" s="597" t="s">
        <v>939</v>
      </c>
      <c r="C88" s="597"/>
      <c r="D88" s="919">
        <v>0</v>
      </c>
      <c r="E88" s="1463"/>
      <c r="F88" s="919">
        <v>0</v>
      </c>
      <c r="G88" s="1463"/>
      <c r="H88" s="919">
        <v>0</v>
      </c>
      <c r="I88" s="467"/>
      <c r="J88" s="919">
        <v>0</v>
      </c>
      <c r="K88" s="1011"/>
      <c r="L88" s="919">
        <v>0</v>
      </c>
      <c r="M88" s="1011"/>
      <c r="N88" s="919">
        <v>0</v>
      </c>
      <c r="O88" s="1011"/>
      <c r="P88" s="919">
        <v>0</v>
      </c>
      <c r="Q88" s="1011"/>
      <c r="R88" s="919">
        <v>0</v>
      </c>
      <c r="S88" s="1011"/>
      <c r="T88" s="919">
        <v>0</v>
      </c>
      <c r="U88" s="1011"/>
      <c r="V88" s="919">
        <v>0</v>
      </c>
      <c r="W88" s="1011"/>
      <c r="X88" s="919">
        <v>0</v>
      </c>
      <c r="Y88" s="1011"/>
      <c r="Z88" s="919">
        <f t="shared" si="26"/>
        <v>0</v>
      </c>
      <c r="AA88" s="496"/>
      <c r="AB88" s="940"/>
      <c r="AC88" s="919">
        <v>0</v>
      </c>
      <c r="AD88" s="467"/>
      <c r="AE88" s="940" t="s">
        <v>14</v>
      </c>
      <c r="AF88" s="919">
        <v>12.6</v>
      </c>
      <c r="AG88" s="493"/>
      <c r="AH88" s="1464"/>
      <c r="AI88" s="467">
        <f t="shared" si="31"/>
        <v>-12.6</v>
      </c>
      <c r="AJ88" s="467"/>
      <c r="AK88" s="978">
        <f>ROUND(IF(AF88=0,0,AI88/ABS(AF88)),3)</f>
        <v>-1</v>
      </c>
    </row>
    <row r="89" spans="1:41" ht="15" customHeight="1">
      <c r="A89" s="99"/>
      <c r="B89" s="597" t="s">
        <v>940</v>
      </c>
      <c r="C89" s="597"/>
      <c r="D89" s="919">
        <v>5.3</v>
      </c>
      <c r="E89" s="1463"/>
      <c r="F89" s="919">
        <v>6.3</v>
      </c>
      <c r="G89" s="1463"/>
      <c r="H89" s="919">
        <v>9</v>
      </c>
      <c r="I89" s="467"/>
      <c r="J89" s="919">
        <v>5.7</v>
      </c>
      <c r="K89" s="1011"/>
      <c r="L89" s="919">
        <v>6.8000000000000016</v>
      </c>
      <c r="M89" s="1011"/>
      <c r="N89" s="919">
        <v>8.100000000000005</v>
      </c>
      <c r="O89" s="1011"/>
      <c r="P89" s="919">
        <v>6.4000000000000021</v>
      </c>
      <c r="Q89" s="1011"/>
      <c r="R89" s="919">
        <v>9.1999999999999957</v>
      </c>
      <c r="S89" s="1011"/>
      <c r="T89" s="919">
        <v>6.1999999999999993</v>
      </c>
      <c r="U89" s="1011"/>
      <c r="V89" s="919">
        <v>7.6999999999999993</v>
      </c>
      <c r="W89" s="1011"/>
      <c r="X89" s="919">
        <v>6.5000000000000036</v>
      </c>
      <c r="Y89" s="1011"/>
      <c r="Z89" s="919">
        <f t="shared" si="26"/>
        <v>7.0999999999999908</v>
      </c>
      <c r="AA89" s="496"/>
      <c r="AB89" s="940"/>
      <c r="AC89" s="919">
        <v>84.3</v>
      </c>
      <c r="AD89" s="467"/>
      <c r="AE89" s="940" t="s">
        <v>14</v>
      </c>
      <c r="AF89" s="919">
        <v>78.5</v>
      </c>
      <c r="AG89" s="493"/>
      <c r="AH89" s="1464"/>
      <c r="AI89" s="467">
        <f t="shared" si="31"/>
        <v>5.8</v>
      </c>
      <c r="AJ89" s="467"/>
      <c r="AK89" s="469">
        <f>ROUND(IF(AF89=0,1,AI89/ABS(AF89)),3)</f>
        <v>7.3999999999999996E-2</v>
      </c>
    </row>
    <row r="90" spans="1:41" ht="15" customHeight="1">
      <c r="A90" s="99"/>
      <c r="B90" s="597" t="s">
        <v>941</v>
      </c>
      <c r="C90" s="597"/>
      <c r="D90" s="919">
        <v>50</v>
      </c>
      <c r="E90" s="1463"/>
      <c r="F90" s="919">
        <v>7</v>
      </c>
      <c r="G90" s="1463"/>
      <c r="H90" s="919">
        <v>3.3999999999999986</v>
      </c>
      <c r="I90" s="467"/>
      <c r="J90" s="919">
        <v>-20.299999999999997</v>
      </c>
      <c r="K90" s="1011"/>
      <c r="L90" s="919">
        <v>-60.5</v>
      </c>
      <c r="M90" s="1011"/>
      <c r="N90" s="919">
        <v>79.199999999999989</v>
      </c>
      <c r="O90" s="1011"/>
      <c r="P90" s="919">
        <v>-22.899999999999991</v>
      </c>
      <c r="Q90" s="1011"/>
      <c r="R90" s="919">
        <v>-63.599999999999994</v>
      </c>
      <c r="S90" s="1011"/>
      <c r="T90" s="919">
        <v>79.2</v>
      </c>
      <c r="U90" s="1011"/>
      <c r="V90" s="919">
        <v>-19.600000000000009</v>
      </c>
      <c r="W90" s="1011"/>
      <c r="X90" s="919">
        <v>5.2000000000000028</v>
      </c>
      <c r="Y90" s="1011"/>
      <c r="Z90" s="919">
        <f t="shared" si="26"/>
        <v>2.8999999999999915</v>
      </c>
      <c r="AA90" s="496"/>
      <c r="AB90" s="719"/>
      <c r="AC90" s="919">
        <v>40</v>
      </c>
      <c r="AD90" s="467"/>
      <c r="AE90" s="719" t="s">
        <v>14</v>
      </c>
      <c r="AF90" s="919">
        <v>-63.4</v>
      </c>
      <c r="AG90" s="493"/>
      <c r="AH90" s="1464"/>
      <c r="AI90" s="467">
        <f>ROUND(SUM(+AC90-AF90),1)</f>
        <v>103.4</v>
      </c>
      <c r="AJ90" s="467"/>
      <c r="AK90" s="978">
        <f>ROUND(IF(AF90=0,1,AI90/ABS(AF90)),3)</f>
        <v>1.631</v>
      </c>
    </row>
    <row r="91" spans="1:41" ht="15" customHeight="1">
      <c r="A91" s="99"/>
      <c r="B91" s="597" t="s">
        <v>942</v>
      </c>
      <c r="C91" s="597"/>
      <c r="D91" s="919">
        <v>-0.5</v>
      </c>
      <c r="E91" s="1463"/>
      <c r="F91" s="919">
        <v>1.5</v>
      </c>
      <c r="G91" s="1463"/>
      <c r="H91" s="919">
        <v>-0.7</v>
      </c>
      <c r="I91" s="467"/>
      <c r="J91" s="919">
        <v>0</v>
      </c>
      <c r="K91" s="1011"/>
      <c r="L91" s="919">
        <v>0</v>
      </c>
      <c r="M91" s="1011"/>
      <c r="N91" s="919">
        <v>0</v>
      </c>
      <c r="O91" s="1011"/>
      <c r="P91" s="919">
        <v>0</v>
      </c>
      <c r="Q91" s="1011"/>
      <c r="R91" s="919">
        <v>0</v>
      </c>
      <c r="S91" s="1011"/>
      <c r="T91" s="919">
        <v>-0.10000000000000009</v>
      </c>
      <c r="U91" s="1011"/>
      <c r="V91" s="919">
        <v>0</v>
      </c>
      <c r="W91" s="1011"/>
      <c r="X91" s="919">
        <v>0</v>
      </c>
      <c r="Y91" s="1011"/>
      <c r="Z91" s="919">
        <f t="shared" si="26"/>
        <v>0</v>
      </c>
      <c r="AA91" s="496"/>
      <c r="AB91" s="940"/>
      <c r="AC91" s="919">
        <v>0.2</v>
      </c>
      <c r="AD91" s="467"/>
      <c r="AE91" s="940" t="s">
        <v>14</v>
      </c>
      <c r="AF91" s="919">
        <v>6.1</v>
      </c>
      <c r="AG91" s="493"/>
      <c r="AH91" s="1464"/>
      <c r="AI91" s="467">
        <f t="shared" si="31"/>
        <v>-5.9</v>
      </c>
      <c r="AJ91" s="467"/>
      <c r="AK91" s="469">
        <f>ROUND(IF(AF91=0,0,AI91/ABS(AF91)),3)</f>
        <v>-0.96699999999999997</v>
      </c>
    </row>
    <row r="92" spans="1:41" ht="15" customHeight="1">
      <c r="A92" s="99"/>
      <c r="B92" s="597" t="s">
        <v>943</v>
      </c>
      <c r="C92" s="597"/>
      <c r="D92" s="919">
        <v>0</v>
      </c>
      <c r="E92" s="1463"/>
      <c r="F92" s="919">
        <v>0</v>
      </c>
      <c r="G92" s="1463"/>
      <c r="H92" s="919">
        <v>0</v>
      </c>
      <c r="I92" s="467"/>
      <c r="J92" s="919">
        <v>0</v>
      </c>
      <c r="K92" s="1011"/>
      <c r="L92" s="919">
        <v>0</v>
      </c>
      <c r="M92" s="1011"/>
      <c r="N92" s="919">
        <v>0.1</v>
      </c>
      <c r="O92" s="1011"/>
      <c r="P92" s="919">
        <v>0.19999999999999998</v>
      </c>
      <c r="Q92" s="1011"/>
      <c r="R92" s="919">
        <v>0</v>
      </c>
      <c r="S92" s="1011"/>
      <c r="T92" s="919">
        <v>0</v>
      </c>
      <c r="U92" s="1011"/>
      <c r="V92" s="919">
        <v>0.10000000000000006</v>
      </c>
      <c r="W92" s="1011"/>
      <c r="X92" s="919">
        <v>47.099999999999994</v>
      </c>
      <c r="Y92" s="1011"/>
      <c r="Z92" s="919">
        <f t="shared" si="26"/>
        <v>0.10000000000000142</v>
      </c>
      <c r="AA92" s="496"/>
      <c r="AB92" s="940"/>
      <c r="AC92" s="919">
        <v>47.6</v>
      </c>
      <c r="AD92" s="467"/>
      <c r="AE92" s="940" t="s">
        <v>14</v>
      </c>
      <c r="AF92" s="919">
        <v>0.6</v>
      </c>
      <c r="AG92" s="493"/>
      <c r="AH92" s="1464"/>
      <c r="AI92" s="467">
        <f t="shared" si="31"/>
        <v>47</v>
      </c>
      <c r="AJ92" s="467"/>
      <c r="AK92" s="978">
        <f>ROUND(IF(AF92=0,0,AI92/ABS(AF92)),3)</f>
        <v>78.332999999999998</v>
      </c>
    </row>
    <row r="93" spans="1:41" ht="15" customHeight="1">
      <c r="A93" s="99"/>
      <c r="B93" s="597" t="s">
        <v>944</v>
      </c>
      <c r="C93" s="597"/>
      <c r="D93" s="919">
        <v>0</v>
      </c>
      <c r="E93" s="1463"/>
      <c r="F93" s="919">
        <v>0</v>
      </c>
      <c r="G93" s="1463"/>
      <c r="H93" s="919">
        <v>0</v>
      </c>
      <c r="I93" s="467"/>
      <c r="J93" s="919">
        <v>0</v>
      </c>
      <c r="K93" s="1011"/>
      <c r="L93" s="919">
        <v>0</v>
      </c>
      <c r="M93" s="1011"/>
      <c r="N93" s="919">
        <v>0</v>
      </c>
      <c r="O93" s="1011"/>
      <c r="P93" s="919">
        <v>0</v>
      </c>
      <c r="Q93" s="1011"/>
      <c r="R93" s="919">
        <v>0</v>
      </c>
      <c r="S93" s="1011"/>
      <c r="T93" s="919">
        <v>0</v>
      </c>
      <c r="U93" s="1011"/>
      <c r="V93" s="919">
        <v>0</v>
      </c>
      <c r="W93" s="1011"/>
      <c r="X93" s="919">
        <v>0</v>
      </c>
      <c r="Y93" s="1011"/>
      <c r="Z93" s="919">
        <f t="shared" si="26"/>
        <v>0</v>
      </c>
      <c r="AA93" s="496"/>
      <c r="AB93" s="940"/>
      <c r="AC93" s="919">
        <v>0</v>
      </c>
      <c r="AD93" s="467"/>
      <c r="AE93" s="940" t="s">
        <v>14</v>
      </c>
      <c r="AF93" s="919">
        <v>0</v>
      </c>
      <c r="AG93" s="493"/>
      <c r="AH93" s="1464"/>
      <c r="AI93" s="467">
        <f t="shared" si="31"/>
        <v>0</v>
      </c>
      <c r="AJ93" s="467"/>
      <c r="AK93" s="469">
        <f>ROUND(IF(AF93=0,0,AI93/ABS(AF93)),3)</f>
        <v>0</v>
      </c>
    </row>
    <row r="94" spans="1:41" ht="15" customHeight="1">
      <c r="A94" s="99"/>
      <c r="B94" s="597" t="s">
        <v>945</v>
      </c>
      <c r="C94" s="597"/>
      <c r="D94" s="919">
        <v>63.5</v>
      </c>
      <c r="E94" s="1463"/>
      <c r="F94" s="919">
        <v>-12.299999999999997</v>
      </c>
      <c r="G94" s="1463"/>
      <c r="H94" s="919">
        <v>-6.2000000000000028</v>
      </c>
      <c r="I94" s="467"/>
      <c r="J94" s="919">
        <v>3.8000000000000114</v>
      </c>
      <c r="K94" s="1011"/>
      <c r="L94" s="919">
        <v>5.1999999999999886</v>
      </c>
      <c r="M94" s="1011"/>
      <c r="N94" s="919">
        <v>28.299999999999997</v>
      </c>
      <c r="O94" s="1011"/>
      <c r="P94" s="919">
        <v>17.399999999999991</v>
      </c>
      <c r="Q94" s="1011"/>
      <c r="R94" s="919">
        <v>2.8000000000000114</v>
      </c>
      <c r="S94" s="1011"/>
      <c r="T94" s="919">
        <v>36.5</v>
      </c>
      <c r="U94" s="1011"/>
      <c r="V94" s="919">
        <v>-36.299999999999997</v>
      </c>
      <c r="W94" s="1011"/>
      <c r="X94" s="919">
        <v>30.999999999999986</v>
      </c>
      <c r="Y94" s="1011"/>
      <c r="Z94" s="919">
        <f t="shared" si="26"/>
        <v>2.1000000000000227</v>
      </c>
      <c r="AA94" s="496"/>
      <c r="AB94" s="940"/>
      <c r="AC94" s="919">
        <v>135.80000000000001</v>
      </c>
      <c r="AD94" s="467"/>
      <c r="AE94" s="940" t="s">
        <v>14</v>
      </c>
      <c r="AF94" s="919">
        <v>172.1</v>
      </c>
      <c r="AG94" s="467"/>
      <c r="AH94" s="1464"/>
      <c r="AI94" s="467">
        <f t="shared" si="31"/>
        <v>-36.299999999999997</v>
      </c>
      <c r="AJ94" s="467"/>
      <c r="AK94" s="978">
        <f>ROUND(IF(AF94=0,0,AI94/ABS(AF94)),3)</f>
        <v>-0.21099999999999999</v>
      </c>
    </row>
    <row r="95" spans="1:41" ht="15" customHeight="1">
      <c r="A95" s="99"/>
      <c r="B95" s="597" t="s">
        <v>946</v>
      </c>
      <c r="C95" s="597"/>
      <c r="D95" s="919">
        <v>-0.1</v>
      </c>
      <c r="E95" s="1463"/>
      <c r="F95" s="919">
        <v>0</v>
      </c>
      <c r="G95" s="1463"/>
      <c r="H95" s="919">
        <v>0</v>
      </c>
      <c r="I95" s="467"/>
      <c r="J95" s="919">
        <v>0</v>
      </c>
      <c r="K95" s="1011"/>
      <c r="L95" s="919">
        <v>0.1</v>
      </c>
      <c r="M95" s="1011"/>
      <c r="N95" s="919">
        <v>0</v>
      </c>
      <c r="O95" s="1011"/>
      <c r="P95" s="919">
        <v>0</v>
      </c>
      <c r="Q95" s="1011"/>
      <c r="R95" s="919">
        <v>0</v>
      </c>
      <c r="S95" s="1011"/>
      <c r="T95" s="919">
        <v>0.1</v>
      </c>
      <c r="U95" s="1011"/>
      <c r="V95" s="919">
        <v>0</v>
      </c>
      <c r="W95" s="1011"/>
      <c r="X95" s="919">
        <v>0</v>
      </c>
      <c r="Y95" s="1011"/>
      <c r="Z95" s="919">
        <f t="shared" si="26"/>
        <v>0</v>
      </c>
      <c r="AA95" s="496"/>
      <c r="AB95" s="940"/>
      <c r="AC95" s="919">
        <v>0.1</v>
      </c>
      <c r="AD95" s="467"/>
      <c r="AE95" s="940" t="s">
        <v>14</v>
      </c>
      <c r="AF95" s="919">
        <v>5</v>
      </c>
      <c r="AG95" s="467"/>
      <c r="AH95" s="1464"/>
      <c r="AI95" s="467">
        <f t="shared" si="31"/>
        <v>-4.9000000000000004</v>
      </c>
      <c r="AJ95" s="467"/>
      <c r="AK95" s="1465">
        <f>ROUND(IF(AF95=0,1,AI95/ABS(AF95)),3)</f>
        <v>-0.98</v>
      </c>
    </row>
    <row r="96" spans="1:41" s="144" customFormat="1" ht="15" customHeight="1">
      <c r="A96" s="750"/>
      <c r="B96" s="217" t="s">
        <v>980</v>
      </c>
      <c r="C96" s="138"/>
      <c r="D96" s="1150">
        <f>ROUND(SUM(D59:D95),1)</f>
        <v>197.9</v>
      </c>
      <c r="E96" s="751"/>
      <c r="F96" s="1150">
        <f>ROUND(SUM(F59:F95),1)</f>
        <v>101</v>
      </c>
      <c r="G96" s="751"/>
      <c r="H96" s="1150">
        <f>ROUND(SUM(H59:H95),1)</f>
        <v>215.8</v>
      </c>
      <c r="I96" s="42"/>
      <c r="J96" s="1150">
        <f>ROUND(SUM(J59:J95),1)</f>
        <v>84.5</v>
      </c>
      <c r="K96" s="42"/>
      <c r="L96" s="1150">
        <f>ROUND(SUM(L59:L95),1)</f>
        <v>188.5</v>
      </c>
      <c r="M96" s="42"/>
      <c r="N96" s="178">
        <f>ROUND(SUM(N59:N95),1)</f>
        <v>437</v>
      </c>
      <c r="O96" s="42"/>
      <c r="P96" s="178">
        <f>ROUND(SUM(P59:P95),1)</f>
        <v>194</v>
      </c>
      <c r="Q96" s="42"/>
      <c r="R96" s="178">
        <f>ROUND(SUM(R59:R95),1)</f>
        <v>319.7</v>
      </c>
      <c r="S96" s="42"/>
      <c r="T96" s="178">
        <f t="shared" ref="T96" si="34">ROUND(SUM(T59:T95),1)</f>
        <v>417</v>
      </c>
      <c r="U96" s="42"/>
      <c r="V96" s="178">
        <f>ROUND(SUM(V59:V95),1)</f>
        <v>277.8</v>
      </c>
      <c r="W96" s="42"/>
      <c r="X96" s="178">
        <f>ROUND(SUM(X59:X95),1)</f>
        <v>347.5</v>
      </c>
      <c r="Y96" s="42"/>
      <c r="Z96" s="178">
        <f>ROUND(SUM(Z59:Z95),1)</f>
        <v>828.6</v>
      </c>
      <c r="AA96" s="111"/>
      <c r="AB96" s="1255"/>
      <c r="AC96" s="1257">
        <f>ROUND(SUM(AC59:AC95),1)</f>
        <v>3609.3</v>
      </c>
      <c r="AD96" s="42"/>
      <c r="AE96" s="1247" t="s">
        <v>14</v>
      </c>
      <c r="AF96" s="2235">
        <f>ROUND(SUM(AF59:AF95),1)</f>
        <v>2325.1</v>
      </c>
      <c r="AG96" s="42"/>
      <c r="AH96" s="1461"/>
      <c r="AI96" s="178">
        <f>ROUND(SUM(AI59:AI95),1)</f>
        <v>1284.2</v>
      </c>
      <c r="AJ96" s="42"/>
      <c r="AK96" s="749">
        <f>ROUND(SUM(+AI96/AF96),3)</f>
        <v>0.55200000000000005</v>
      </c>
      <c r="AL96" s="137"/>
      <c r="AM96" s="137"/>
      <c r="AO96" s="137"/>
    </row>
    <row r="97" spans="1:41" s="144" customFormat="1" ht="8.25" customHeight="1">
      <c r="A97" s="750"/>
      <c r="B97" s="19"/>
      <c r="C97" s="138"/>
      <c r="D97" s="42"/>
      <c r="E97" s="751"/>
      <c r="F97" s="42"/>
      <c r="G97" s="751"/>
      <c r="H97" s="42"/>
      <c r="I97" s="42"/>
      <c r="J97" s="42"/>
      <c r="K97" s="42"/>
      <c r="L97" s="42"/>
      <c r="M97" s="42"/>
      <c r="N97" s="42"/>
      <c r="O97" s="42"/>
      <c r="P97" s="42"/>
      <c r="Q97" s="42"/>
      <c r="R97" s="42"/>
      <c r="S97" s="42"/>
      <c r="T97" s="42"/>
      <c r="U97" s="42"/>
      <c r="V97" s="42"/>
      <c r="W97" s="42"/>
      <c r="X97" s="42"/>
      <c r="Y97" s="42"/>
      <c r="Z97" s="42"/>
      <c r="AA97" s="111"/>
      <c r="AB97" s="1255"/>
      <c r="AC97" s="42"/>
      <c r="AD97" s="42"/>
      <c r="AE97" s="1247"/>
      <c r="AF97" s="42"/>
      <c r="AG97" s="42"/>
      <c r="AH97" s="1461"/>
      <c r="AI97" s="42"/>
      <c r="AJ97" s="42"/>
      <c r="AK97" s="189"/>
      <c r="AL97" s="137"/>
      <c r="AM97" s="137"/>
      <c r="AO97" s="137"/>
    </row>
    <row r="98" spans="1:41" ht="15" customHeight="1">
      <c r="A98" s="99"/>
      <c r="B98" s="499" t="s">
        <v>1122</v>
      </c>
      <c r="C98" s="20"/>
      <c r="D98" s="919">
        <v>0</v>
      </c>
      <c r="E98" s="467"/>
      <c r="F98" s="919">
        <v>0.2</v>
      </c>
      <c r="G98" s="467"/>
      <c r="H98" s="919">
        <v>-0.2</v>
      </c>
      <c r="I98" s="467"/>
      <c r="J98" s="919">
        <v>0.2</v>
      </c>
      <c r="K98" s="1011"/>
      <c r="L98" s="919">
        <v>0</v>
      </c>
      <c r="M98" s="1011"/>
      <c r="N98" s="919">
        <v>0.2</v>
      </c>
      <c r="O98" s="1011"/>
      <c r="P98" s="919">
        <v>0</v>
      </c>
      <c r="Q98" s="1011"/>
      <c r="R98" s="919">
        <v>0</v>
      </c>
      <c r="S98" s="1011"/>
      <c r="T98" s="919">
        <v>9.9999999999999978E-2</v>
      </c>
      <c r="U98" s="1011"/>
      <c r="V98" s="919">
        <v>0</v>
      </c>
      <c r="W98" s="1011"/>
      <c r="X98" s="919">
        <v>9.9999999999999978E-2</v>
      </c>
      <c r="Y98" s="1011"/>
      <c r="Z98" s="919">
        <f t="shared" ref="Z98" si="35">$AC98-$D98-$F98-$H98-$J98-$L98-$N98-$P98-$R98-$T98-$V98-$X98</f>
        <v>2350.0000000000005</v>
      </c>
      <c r="AA98" s="496"/>
      <c r="AB98" s="940"/>
      <c r="AC98" s="919">
        <v>2350.6</v>
      </c>
      <c r="AD98" s="467"/>
      <c r="AE98" s="940" t="s">
        <v>14</v>
      </c>
      <c r="AF98" s="919">
        <v>4500</v>
      </c>
      <c r="AG98" s="36"/>
      <c r="AH98" s="1460"/>
      <c r="AI98" s="1466">
        <f>ROUND(SUM(+AC98-AF98),1)</f>
        <v>-2149.4</v>
      </c>
      <c r="AJ98" s="467"/>
      <c r="AK98" s="2114">
        <f>ROUND(IF(AF98=0,1,AI98/ABS(AF98)),3)</f>
        <v>-0.47799999999999998</v>
      </c>
    </row>
    <row r="99" spans="1:41" ht="4.4000000000000004" customHeight="1">
      <c r="A99" s="99"/>
      <c r="B99" s="21"/>
      <c r="C99" s="20"/>
      <c r="D99" s="497"/>
      <c r="E99" s="467"/>
      <c r="F99" s="497"/>
      <c r="G99" s="467"/>
      <c r="H99" s="497"/>
      <c r="I99" s="467"/>
      <c r="J99" s="497"/>
      <c r="K99" s="36"/>
      <c r="L99" s="61"/>
      <c r="M99" s="36"/>
      <c r="N99" s="61"/>
      <c r="O99" s="36"/>
      <c r="P99" s="1322"/>
      <c r="Q99" s="36"/>
      <c r="R99" s="61"/>
      <c r="S99" s="36"/>
      <c r="T99" s="61"/>
      <c r="U99" s="36"/>
      <c r="V99" s="61"/>
      <c r="W99" s="36"/>
      <c r="X99" s="61">
        <f t="shared" ref="X99" si="36">$AC99-$D99-$F99-$H99-$J99-$L99-$N99-$P99-$R99-$T99-$V99</f>
        <v>0</v>
      </c>
      <c r="Y99" s="36"/>
      <c r="Z99" s="61"/>
      <c r="AA99" s="20"/>
      <c r="AB99" s="1254"/>
      <c r="AC99" s="1170"/>
      <c r="AD99" s="36"/>
      <c r="AE99" s="940" t="s">
        <v>14</v>
      </c>
      <c r="AF99" s="61"/>
      <c r="AG99" s="36"/>
      <c r="AH99" s="1460"/>
      <c r="AI99" s="467"/>
      <c r="AJ99" s="467"/>
      <c r="AK99" s="488"/>
    </row>
    <row r="100" spans="1:41" ht="15" customHeight="1">
      <c r="A100" s="99"/>
      <c r="B100" s="19" t="s">
        <v>147</v>
      </c>
      <c r="C100" s="20"/>
      <c r="D100" s="603">
        <f>ROUND(SUM(D98+D96+D55),1)</f>
        <v>9217.7000000000007</v>
      </c>
      <c r="E100" s="42"/>
      <c r="F100" s="603">
        <f>ROUND(SUM(F98+F96+F55),1)</f>
        <v>2076</v>
      </c>
      <c r="G100" s="42"/>
      <c r="H100" s="603">
        <f>ROUND(SUM(H98+H96+H55),1)</f>
        <v>6128.8</v>
      </c>
      <c r="I100" s="42"/>
      <c r="J100" s="603">
        <f>ROUND(SUM(J98+J96+J55),1)</f>
        <v>2432.5</v>
      </c>
      <c r="K100" s="42"/>
      <c r="L100" s="603">
        <f>ROUND(SUM(L98+L96+L55),1)</f>
        <v>2490.6</v>
      </c>
      <c r="M100" s="42"/>
      <c r="N100" s="42">
        <f>ROUND(SUM(N98+N96+N55),1)</f>
        <v>7191.5</v>
      </c>
      <c r="O100" s="42"/>
      <c r="P100" s="50">
        <f>ROUND(SUM(P98+P96+P55),1)</f>
        <v>2062.5</v>
      </c>
      <c r="Q100" s="42"/>
      <c r="R100" s="50">
        <f>ROUND(SUM(R98+R96+R55),1)</f>
        <v>2886.1</v>
      </c>
      <c r="S100" s="42"/>
      <c r="T100" s="50">
        <f t="shared" ref="T100" si="37">ROUND(SUM(T98+T96+T55),1)</f>
        <v>7418.3</v>
      </c>
      <c r="U100" s="42"/>
      <c r="V100" s="50">
        <f>ROUND(SUM(V98+V96+V55),1)</f>
        <v>4156.5</v>
      </c>
      <c r="W100" s="42"/>
      <c r="X100" s="50">
        <f>ROUND(SUM(X98+X96+X55),1)</f>
        <v>3499.1</v>
      </c>
      <c r="Y100" s="42"/>
      <c r="Z100" s="50">
        <f>ROUND(SUM(Z98+Z96+Z55),1)</f>
        <v>11305.8</v>
      </c>
      <c r="AA100" s="111"/>
      <c r="AB100" s="1255"/>
      <c r="AC100" s="50">
        <f>ROUND(SUM(AC98+AC96+AC55),1)</f>
        <v>60865.4</v>
      </c>
      <c r="AD100" s="42"/>
      <c r="AE100" s="1247"/>
      <c r="AF100" s="50">
        <f>ROUND(SUM(AF98+AF96+AF55),1)</f>
        <v>63114.400000000001</v>
      </c>
      <c r="AG100" s="42"/>
      <c r="AH100" s="1461"/>
      <c r="AI100" s="50">
        <f>ROUND(SUM(AI98+AI96+AI55),1)</f>
        <v>-2249</v>
      </c>
      <c r="AJ100" s="42"/>
      <c r="AK100" s="210">
        <f>ROUND(SUM(+AI100/AF100),3)</f>
        <v>-3.5999999999999997E-2</v>
      </c>
    </row>
    <row r="101" spans="1:41" ht="15" customHeight="1">
      <c r="A101" s="99"/>
      <c r="B101" s="21"/>
      <c r="C101" s="20"/>
      <c r="D101" s="467"/>
      <c r="E101" s="467"/>
      <c r="F101" s="467"/>
      <c r="G101" s="467"/>
      <c r="H101" s="467"/>
      <c r="I101" s="467"/>
      <c r="J101" s="467"/>
      <c r="K101" s="36"/>
      <c r="L101" s="61"/>
      <c r="M101" s="36"/>
      <c r="N101" s="61"/>
      <c r="O101" s="36"/>
      <c r="P101" s="36"/>
      <c r="Q101" s="36"/>
      <c r="R101" s="36"/>
      <c r="S101" s="36"/>
      <c r="T101" s="36"/>
      <c r="U101" s="36"/>
      <c r="V101" s="36"/>
      <c r="W101" s="36"/>
      <c r="X101" s="36"/>
      <c r="Y101" s="36"/>
      <c r="Z101" s="36"/>
      <c r="AA101" s="39"/>
      <c r="AB101" s="1254"/>
      <c r="AC101" s="467"/>
      <c r="AD101" s="36"/>
      <c r="AE101" s="752"/>
      <c r="AF101" s="36"/>
      <c r="AG101" s="36"/>
      <c r="AH101" s="1460"/>
      <c r="AI101" s="467"/>
      <c r="AJ101" s="467"/>
      <c r="AK101" s="488"/>
    </row>
    <row r="102" spans="1:41" ht="15" customHeight="1">
      <c r="A102" s="99"/>
      <c r="B102" s="19" t="s">
        <v>22</v>
      </c>
      <c r="C102" s="20"/>
      <c r="D102" s="467"/>
      <c r="E102" s="467"/>
      <c r="F102" s="467"/>
      <c r="G102" s="467"/>
      <c r="H102" s="467"/>
      <c r="I102" s="467"/>
      <c r="J102" s="467"/>
      <c r="K102" s="36"/>
      <c r="L102" s="36"/>
      <c r="M102" s="36"/>
      <c r="N102" s="36"/>
      <c r="O102" s="36"/>
      <c r="P102" s="36"/>
      <c r="Q102" s="36"/>
      <c r="R102" s="36"/>
      <c r="S102" s="36"/>
      <c r="T102" s="36"/>
      <c r="U102" s="36"/>
      <c r="V102" s="36"/>
      <c r="W102" s="36"/>
      <c r="X102" s="36"/>
      <c r="Y102" s="36"/>
      <c r="Z102" s="36"/>
      <c r="AA102" s="39"/>
      <c r="AB102" s="1254"/>
      <c r="AC102" s="467"/>
      <c r="AD102" s="36"/>
      <c r="AE102" s="752"/>
      <c r="AF102" s="36"/>
      <c r="AG102" s="36"/>
      <c r="AH102" s="1460"/>
      <c r="AI102" s="467"/>
      <c r="AJ102" s="467"/>
      <c r="AK102" s="488"/>
    </row>
    <row r="103" spans="1:41" ht="15" customHeight="1">
      <c r="A103" s="99"/>
      <c r="B103" s="21" t="s">
        <v>148</v>
      </c>
      <c r="C103" s="20"/>
      <c r="D103" s="467"/>
      <c r="E103" s="467"/>
      <c r="F103" s="467"/>
      <c r="G103" s="467"/>
      <c r="H103" s="467"/>
      <c r="I103" s="467"/>
      <c r="J103" s="467"/>
      <c r="K103" s="36"/>
      <c r="L103" s="36"/>
      <c r="M103" s="36"/>
      <c r="N103" s="36"/>
      <c r="O103" s="36"/>
      <c r="P103" s="36"/>
      <c r="Q103" s="36"/>
      <c r="R103" s="36"/>
      <c r="S103" s="36"/>
      <c r="T103" s="36"/>
      <c r="U103" s="36"/>
      <c r="V103" s="36"/>
      <c r="W103" s="36"/>
      <c r="X103" s="36"/>
      <c r="Y103" s="36"/>
      <c r="Z103" s="919"/>
      <c r="AA103" s="39"/>
      <c r="AB103" s="1254"/>
      <c r="AC103" s="495"/>
      <c r="AD103" s="36"/>
      <c r="AE103" s="752"/>
      <c r="AF103" s="192"/>
      <c r="AG103" s="1467"/>
      <c r="AH103" s="1460"/>
      <c r="AI103" s="467"/>
      <c r="AJ103" s="467"/>
      <c r="AK103" s="488"/>
    </row>
    <row r="104" spans="1:41" ht="15" customHeight="1">
      <c r="A104" s="99"/>
      <c r="B104" s="119" t="s">
        <v>24</v>
      </c>
      <c r="C104" s="20"/>
      <c r="D104" s="919">
        <v>1436</v>
      </c>
      <c r="E104" s="467"/>
      <c r="F104" s="919">
        <v>4347</v>
      </c>
      <c r="G104" s="467"/>
      <c r="H104" s="919">
        <v>2288.5</v>
      </c>
      <c r="I104" s="467"/>
      <c r="J104" s="919">
        <v>963.89999999999964</v>
      </c>
      <c r="K104" s="1011"/>
      <c r="L104" s="919">
        <v>753</v>
      </c>
      <c r="M104" s="1011"/>
      <c r="N104" s="919">
        <v>1865</v>
      </c>
      <c r="O104" s="1011"/>
      <c r="P104" s="919">
        <v>1228.2000000000007</v>
      </c>
      <c r="Q104" s="1011"/>
      <c r="R104" s="919">
        <v>2217.5</v>
      </c>
      <c r="S104" s="1011"/>
      <c r="T104" s="919">
        <v>2470.8000000000011</v>
      </c>
      <c r="U104" s="1011"/>
      <c r="V104" s="919">
        <v>1088.5999999999985</v>
      </c>
      <c r="W104" s="1011"/>
      <c r="X104" s="919">
        <v>1667.5999999999985</v>
      </c>
      <c r="Y104" s="1011"/>
      <c r="Z104" s="919">
        <f t="shared" ref="Z104:Z113" si="38">$AC104-$D104-$F104-$H104-$J104-$L104-$N104-$P104-$R104-$T104-$V104-$X104</f>
        <v>10402.9</v>
      </c>
      <c r="AA104" s="496"/>
      <c r="AB104" s="940"/>
      <c r="AC104" s="919">
        <v>30729</v>
      </c>
      <c r="AD104" s="467"/>
      <c r="AE104" s="940" t="s">
        <v>14</v>
      </c>
      <c r="AF104" s="919">
        <v>29686.6</v>
      </c>
      <c r="AG104" s="1467"/>
      <c r="AH104" s="1460"/>
      <c r="AI104" s="467">
        <f>ROUND(SUM(+AC104-AF104),1)</f>
        <v>1042.4000000000001</v>
      </c>
      <c r="AJ104" s="467"/>
      <c r="AK104" s="469">
        <f>ROUND(IF(AF104=0,0,AI104/ABS(AF104)),3)</f>
        <v>3.5000000000000003E-2</v>
      </c>
    </row>
    <row r="105" spans="1:41" ht="15" customHeight="1">
      <c r="A105" s="99"/>
      <c r="B105" s="119" t="s">
        <v>25</v>
      </c>
      <c r="C105" s="20"/>
      <c r="D105" s="919">
        <v>0.1</v>
      </c>
      <c r="E105" s="467"/>
      <c r="F105" s="919">
        <v>0</v>
      </c>
      <c r="G105" s="467"/>
      <c r="H105" s="919">
        <v>0.1</v>
      </c>
      <c r="I105" s="467"/>
      <c r="J105" s="919">
        <v>0</v>
      </c>
      <c r="K105" s="1011"/>
      <c r="L105" s="919">
        <v>0.20000000000000004</v>
      </c>
      <c r="M105" s="1011"/>
      <c r="N105" s="919">
        <v>0.1</v>
      </c>
      <c r="O105" s="1011"/>
      <c r="P105" s="919">
        <v>0.30000000000000004</v>
      </c>
      <c r="Q105" s="1011"/>
      <c r="R105" s="919">
        <v>0.49999999999999978</v>
      </c>
      <c r="S105" s="1011"/>
      <c r="T105" s="919">
        <v>9.9999999999999867E-2</v>
      </c>
      <c r="U105" s="1011"/>
      <c r="V105" s="919">
        <v>0.20000000000000018</v>
      </c>
      <c r="W105" s="1011"/>
      <c r="X105" s="919">
        <v>9.9999999999999867E-2</v>
      </c>
      <c r="Y105" s="1011"/>
      <c r="Z105" s="919">
        <f t="shared" si="38"/>
        <v>0.59999999999999987</v>
      </c>
      <c r="AA105" s="496"/>
      <c r="AB105" s="940"/>
      <c r="AC105" s="919">
        <v>2.2999999999999998</v>
      </c>
      <c r="AD105" s="467"/>
      <c r="AE105" s="940" t="s">
        <v>14</v>
      </c>
      <c r="AF105" s="919">
        <v>6.7</v>
      </c>
      <c r="AG105" s="36"/>
      <c r="AH105" s="1460"/>
      <c r="AI105" s="467">
        <f t="shared" ref="AI105:AI113" si="39">ROUND(SUM(+AC105-AF105),1)</f>
        <v>-4.4000000000000004</v>
      </c>
      <c r="AJ105" s="467"/>
      <c r="AK105" s="978">
        <f>ROUND(IF(AF105=0,1,AI105/ABS(AF105)),3)</f>
        <v>-0.65700000000000003</v>
      </c>
    </row>
    <row r="106" spans="1:41" ht="15" customHeight="1">
      <c r="A106" s="99"/>
      <c r="B106" s="119" t="s">
        <v>26</v>
      </c>
      <c r="C106" s="20"/>
      <c r="D106" s="919">
        <v>9.9</v>
      </c>
      <c r="E106" s="467"/>
      <c r="F106" s="919">
        <v>41.7</v>
      </c>
      <c r="G106" s="467"/>
      <c r="H106" s="919">
        <v>408.8</v>
      </c>
      <c r="I106" s="467"/>
      <c r="J106" s="919">
        <v>33.499999999999964</v>
      </c>
      <c r="K106" s="1011"/>
      <c r="L106" s="919">
        <v>61.499999999999964</v>
      </c>
      <c r="M106" s="1011"/>
      <c r="N106" s="919">
        <v>124.80000000000007</v>
      </c>
      <c r="O106" s="1011"/>
      <c r="P106" s="919">
        <v>26.599999999999909</v>
      </c>
      <c r="Q106" s="1011"/>
      <c r="R106" s="919">
        <v>23.600000000000023</v>
      </c>
      <c r="S106" s="1011"/>
      <c r="T106" s="919">
        <v>204.80000000000013</v>
      </c>
      <c r="U106" s="1011"/>
      <c r="V106" s="919">
        <v>11.299999999999955</v>
      </c>
      <c r="W106" s="1011"/>
      <c r="X106" s="919">
        <v>27.60000000000008</v>
      </c>
      <c r="Y106" s="1011"/>
      <c r="Z106" s="919">
        <f t="shared" si="38"/>
        <v>88.999999999999716</v>
      </c>
      <c r="AA106" s="496"/>
      <c r="AB106" s="940"/>
      <c r="AC106" s="919">
        <v>1063.0999999999999</v>
      </c>
      <c r="AD106" s="467"/>
      <c r="AE106" s="940" t="s">
        <v>14</v>
      </c>
      <c r="AF106" s="919">
        <v>1063.2</v>
      </c>
      <c r="AG106" s="36"/>
      <c r="AH106" s="1460"/>
      <c r="AI106" s="467">
        <f t="shared" si="39"/>
        <v>-0.1</v>
      </c>
      <c r="AJ106" s="467"/>
      <c r="AK106" s="469">
        <f>ROUND(IF(AF106=0,0,AI106/ABS(AF106)),3)</f>
        <v>0</v>
      </c>
    </row>
    <row r="107" spans="1:41" ht="15" customHeight="1">
      <c r="A107" s="99"/>
      <c r="B107" s="119" t="s">
        <v>27</v>
      </c>
      <c r="C107" s="20"/>
      <c r="D107" s="919" t="s">
        <v>14</v>
      </c>
      <c r="E107" s="467"/>
      <c r="F107" s="919"/>
      <c r="G107" s="467"/>
      <c r="H107" s="919"/>
      <c r="I107" s="467"/>
      <c r="J107" s="919"/>
      <c r="K107" s="1011"/>
      <c r="L107" s="919"/>
      <c r="M107" s="1011"/>
      <c r="N107" s="919"/>
      <c r="O107" s="1011"/>
      <c r="P107" s="919" t="s">
        <v>14</v>
      </c>
      <c r="Q107" s="1011"/>
      <c r="R107" s="919" t="s">
        <v>14</v>
      </c>
      <c r="S107" s="1011"/>
      <c r="T107" s="919"/>
      <c r="U107" s="1011"/>
      <c r="V107" s="919"/>
      <c r="W107" s="1011"/>
      <c r="X107" s="919"/>
      <c r="Y107" s="1011"/>
      <c r="Z107" s="919"/>
      <c r="AA107" s="496"/>
      <c r="AB107" s="940"/>
      <c r="AC107" s="919"/>
      <c r="AD107" s="467"/>
      <c r="AE107" s="940" t="s">
        <v>14</v>
      </c>
      <c r="AF107" s="919"/>
      <c r="AG107" s="36"/>
      <c r="AH107" s="1460"/>
      <c r="AI107" s="467" t="s">
        <v>14</v>
      </c>
      <c r="AJ107" s="467"/>
      <c r="AK107" s="488" t="s">
        <v>14</v>
      </c>
    </row>
    <row r="108" spans="1:41" ht="15" customHeight="1">
      <c r="A108" s="99"/>
      <c r="B108" s="1141" t="s">
        <v>28</v>
      </c>
      <c r="C108" s="20"/>
      <c r="D108" s="919">
        <v>2018.4</v>
      </c>
      <c r="E108" s="467"/>
      <c r="F108" s="919">
        <v>1920.1</v>
      </c>
      <c r="G108" s="467"/>
      <c r="H108" s="919">
        <v>1935.3000000000002</v>
      </c>
      <c r="I108" s="467"/>
      <c r="J108" s="919">
        <v>1478.8000000000002</v>
      </c>
      <c r="K108" s="1011"/>
      <c r="L108" s="919">
        <v>1782.5</v>
      </c>
      <c r="M108" s="1011"/>
      <c r="N108" s="919">
        <v>1665.6000000000004</v>
      </c>
      <c r="O108" s="1011"/>
      <c r="P108" s="919">
        <v>2272.5</v>
      </c>
      <c r="Q108" s="1011"/>
      <c r="R108" s="919">
        <v>2073.5999999999995</v>
      </c>
      <c r="S108" s="1011"/>
      <c r="T108" s="919">
        <v>2341.9000000000024</v>
      </c>
      <c r="U108" s="1011"/>
      <c r="V108" s="919">
        <v>2504.9999999999964</v>
      </c>
      <c r="W108" s="1011"/>
      <c r="X108" s="919">
        <v>202.89999999999782</v>
      </c>
      <c r="Y108" s="1011"/>
      <c r="Z108" s="919">
        <f t="shared" si="38"/>
        <v>1489.0000000000036</v>
      </c>
      <c r="AA108" s="496"/>
      <c r="AB108" s="940"/>
      <c r="AC108" s="919">
        <v>21685.599999999999</v>
      </c>
      <c r="AD108" s="467"/>
      <c r="AE108" s="940" t="s">
        <v>14</v>
      </c>
      <c r="AF108" s="919">
        <v>18783.599999999999</v>
      </c>
      <c r="AG108" s="36"/>
      <c r="AH108" s="1460"/>
      <c r="AI108" s="467">
        <f t="shared" si="39"/>
        <v>2902</v>
      </c>
      <c r="AJ108" s="467"/>
      <c r="AK108" s="978">
        <f t="shared" ref="AK108:AK111" si="40">ROUND(IF(AF108=0,0,AI108/ABS(AF108)),3)</f>
        <v>0.154</v>
      </c>
    </row>
    <row r="109" spans="1:41" ht="15" customHeight="1">
      <c r="A109" s="99"/>
      <c r="B109" s="119" t="s">
        <v>29</v>
      </c>
      <c r="C109" s="20"/>
      <c r="D109" s="919">
        <v>66.400000000000006</v>
      </c>
      <c r="E109" s="467"/>
      <c r="F109" s="919">
        <v>139.9</v>
      </c>
      <c r="G109" s="467"/>
      <c r="H109" s="919">
        <v>398.20000000000005</v>
      </c>
      <c r="I109" s="467"/>
      <c r="J109" s="919">
        <v>88.499999999999943</v>
      </c>
      <c r="K109" s="1011"/>
      <c r="L109" s="919">
        <v>161.7999999999999</v>
      </c>
      <c r="M109" s="1011"/>
      <c r="N109" s="919">
        <v>323.10000000000014</v>
      </c>
      <c r="O109" s="1011"/>
      <c r="P109" s="919">
        <v>167.19999999999987</v>
      </c>
      <c r="Q109" s="1011"/>
      <c r="R109" s="919">
        <v>161.19999999999976</v>
      </c>
      <c r="S109" s="1011"/>
      <c r="T109" s="919">
        <v>406.2000000000001</v>
      </c>
      <c r="U109" s="1011"/>
      <c r="V109" s="919">
        <v>169.19999999999976</v>
      </c>
      <c r="W109" s="1011"/>
      <c r="X109" s="919">
        <v>142.90000000000009</v>
      </c>
      <c r="Y109" s="1011"/>
      <c r="Z109" s="919">
        <f t="shared" si="38"/>
        <v>907.70000000000073</v>
      </c>
      <c r="AA109" s="496"/>
      <c r="AB109" s="940"/>
      <c r="AC109" s="919">
        <v>3132.3</v>
      </c>
      <c r="AD109" s="467"/>
      <c r="AE109" s="940" t="s">
        <v>14</v>
      </c>
      <c r="AF109" s="919">
        <v>2675.6</v>
      </c>
      <c r="AG109" s="36"/>
      <c r="AH109" s="1460"/>
      <c r="AI109" s="467">
        <f t="shared" si="39"/>
        <v>456.7</v>
      </c>
      <c r="AJ109" s="467"/>
      <c r="AK109" s="469">
        <f t="shared" si="40"/>
        <v>0.17100000000000001</v>
      </c>
    </row>
    <row r="110" spans="1:41" ht="15" customHeight="1">
      <c r="A110" s="99"/>
      <c r="B110" s="119" t="s">
        <v>30</v>
      </c>
      <c r="C110" s="20"/>
      <c r="D110" s="919">
        <v>7.6</v>
      </c>
      <c r="E110" s="467"/>
      <c r="F110" s="919">
        <v>14.000000000000002</v>
      </c>
      <c r="G110" s="467"/>
      <c r="H110" s="919">
        <v>7.7999999999999972</v>
      </c>
      <c r="I110" s="467"/>
      <c r="J110" s="919">
        <v>4.3999999999999986</v>
      </c>
      <c r="K110" s="1011"/>
      <c r="L110" s="919">
        <v>22.700000000000003</v>
      </c>
      <c r="M110" s="1011"/>
      <c r="N110" s="919">
        <v>36.70000000000001</v>
      </c>
      <c r="O110" s="1011"/>
      <c r="P110" s="919">
        <v>15.899999999999999</v>
      </c>
      <c r="Q110" s="1011"/>
      <c r="R110" s="919">
        <v>24.800000000000011</v>
      </c>
      <c r="S110" s="1011"/>
      <c r="T110" s="919">
        <v>18.400000000000006</v>
      </c>
      <c r="U110" s="1011"/>
      <c r="V110" s="919">
        <v>27.199999999999989</v>
      </c>
      <c r="W110" s="1011"/>
      <c r="X110" s="919">
        <v>15.69999999999996</v>
      </c>
      <c r="Y110" s="1011"/>
      <c r="Z110" s="919">
        <f t="shared" si="38"/>
        <v>69.499999999999943</v>
      </c>
      <c r="AA110" s="496"/>
      <c r="AB110" s="940"/>
      <c r="AC110" s="919">
        <v>264.7</v>
      </c>
      <c r="AD110" s="467"/>
      <c r="AE110" s="940" t="s">
        <v>14</v>
      </c>
      <c r="AF110" s="919">
        <v>201.4</v>
      </c>
      <c r="AG110" s="36"/>
      <c r="AH110" s="1460" t="s">
        <v>14</v>
      </c>
      <c r="AI110" s="467">
        <f t="shared" si="39"/>
        <v>63.3</v>
      </c>
      <c r="AJ110" s="467"/>
      <c r="AK110" s="469">
        <f t="shared" si="40"/>
        <v>0.314</v>
      </c>
    </row>
    <row r="111" spans="1:41" ht="15" customHeight="1">
      <c r="A111" s="99"/>
      <c r="B111" s="119" t="s">
        <v>31</v>
      </c>
      <c r="C111" s="20"/>
      <c r="D111" s="919">
        <v>101.1</v>
      </c>
      <c r="E111" s="467"/>
      <c r="F111" s="919">
        <v>218.4</v>
      </c>
      <c r="G111" s="467"/>
      <c r="H111" s="919">
        <v>303.10000000000002</v>
      </c>
      <c r="I111" s="467"/>
      <c r="J111" s="919">
        <v>408.30000000000007</v>
      </c>
      <c r="K111" s="1011"/>
      <c r="L111" s="919">
        <v>396.79999999999995</v>
      </c>
      <c r="M111" s="1011"/>
      <c r="N111" s="919">
        <v>331.20000000000016</v>
      </c>
      <c r="O111" s="1011"/>
      <c r="P111" s="919">
        <v>240.79999999999973</v>
      </c>
      <c r="Q111" s="1011"/>
      <c r="R111" s="919">
        <v>197.49999999999989</v>
      </c>
      <c r="S111" s="1011"/>
      <c r="T111" s="919">
        <v>404</v>
      </c>
      <c r="U111" s="1011"/>
      <c r="V111" s="919">
        <v>202.60000000000048</v>
      </c>
      <c r="W111" s="1011"/>
      <c r="X111" s="919">
        <v>430.0999999999998</v>
      </c>
      <c r="Y111" s="1011"/>
      <c r="Z111" s="919">
        <f t="shared" si="38"/>
        <v>1783.4999999999986</v>
      </c>
      <c r="AA111" s="496"/>
      <c r="AB111" s="940"/>
      <c r="AC111" s="919">
        <v>5017.3999999999996</v>
      </c>
      <c r="AD111" s="467"/>
      <c r="AE111" s="940" t="s">
        <v>14</v>
      </c>
      <c r="AF111" s="919">
        <v>5063.8999999999996</v>
      </c>
      <c r="AG111" s="36"/>
      <c r="AH111" s="1460"/>
      <c r="AI111" s="467">
        <f t="shared" si="39"/>
        <v>-46.5</v>
      </c>
      <c r="AJ111" s="467"/>
      <c r="AK111" s="469">
        <f t="shared" si="40"/>
        <v>-8.9999999999999993E-3</v>
      </c>
    </row>
    <row r="112" spans="1:41" ht="15" customHeight="1">
      <c r="A112" s="99"/>
      <c r="B112" s="119" t="s">
        <v>32</v>
      </c>
      <c r="C112" s="20"/>
      <c r="D112" s="919">
        <v>6.2</v>
      </c>
      <c r="E112" s="467"/>
      <c r="F112" s="919">
        <v>11.5</v>
      </c>
      <c r="G112" s="467"/>
      <c r="H112" s="919">
        <v>22.000000000000004</v>
      </c>
      <c r="I112" s="467"/>
      <c r="J112" s="919">
        <v>137.10000000000002</v>
      </c>
      <c r="K112" s="1011"/>
      <c r="L112" s="919">
        <v>246.2</v>
      </c>
      <c r="M112" s="1011"/>
      <c r="N112" s="919">
        <v>10.099999999999966</v>
      </c>
      <c r="O112" s="1011"/>
      <c r="P112" s="919">
        <v>115.09999999999991</v>
      </c>
      <c r="Q112" s="1011"/>
      <c r="R112" s="919">
        <v>81.200000000000045</v>
      </c>
      <c r="S112" s="1011"/>
      <c r="T112" s="919">
        <v>19.700000000000045</v>
      </c>
      <c r="U112" s="1011"/>
      <c r="V112" s="919">
        <v>11.199999999999932</v>
      </c>
      <c r="W112" s="1011"/>
      <c r="X112" s="919">
        <v>101.40000000000009</v>
      </c>
      <c r="Y112" s="1011"/>
      <c r="Z112" s="919">
        <f t="shared" si="38"/>
        <v>45.899999999999977</v>
      </c>
      <c r="AA112" s="496"/>
      <c r="AB112" s="940"/>
      <c r="AC112" s="919">
        <v>807.6</v>
      </c>
      <c r="AD112" s="467"/>
      <c r="AE112" s="940" t="s">
        <v>14</v>
      </c>
      <c r="AF112" s="919">
        <v>780.1</v>
      </c>
      <c r="AG112" s="36"/>
      <c r="AH112" s="1460"/>
      <c r="AI112" s="467">
        <f t="shared" si="39"/>
        <v>27.5</v>
      </c>
      <c r="AJ112" s="467"/>
      <c r="AK112" s="978">
        <f>ROUND(IF(AF112=0,0,AI112/ABS(AF112)),3)</f>
        <v>3.5000000000000003E-2</v>
      </c>
    </row>
    <row r="113" spans="1:37" ht="15" customHeight="1">
      <c r="A113" s="99"/>
      <c r="B113" s="119" t="s">
        <v>33</v>
      </c>
      <c r="C113" s="20"/>
      <c r="D113" s="919">
        <v>0</v>
      </c>
      <c r="E113" s="467"/>
      <c r="F113" s="919">
        <v>32.6</v>
      </c>
      <c r="G113" s="467"/>
      <c r="H113" s="919">
        <v>19.100000000000001</v>
      </c>
      <c r="I113" s="467"/>
      <c r="J113" s="919">
        <v>0.29999999999999716</v>
      </c>
      <c r="K113" s="1011"/>
      <c r="L113" s="919">
        <v>32.300000000000004</v>
      </c>
      <c r="M113" s="1011"/>
      <c r="N113" s="919">
        <v>0.29999999999999005</v>
      </c>
      <c r="O113" s="1011"/>
      <c r="P113" s="919">
        <v>0</v>
      </c>
      <c r="Q113" s="1011"/>
      <c r="R113" s="919">
        <v>32.600000000000009</v>
      </c>
      <c r="S113" s="1011"/>
      <c r="T113" s="919">
        <v>13</v>
      </c>
      <c r="U113" s="1011"/>
      <c r="V113" s="919">
        <v>0</v>
      </c>
      <c r="W113" s="1011"/>
      <c r="X113" s="919">
        <v>19.800000000000026</v>
      </c>
      <c r="Y113" s="1011"/>
      <c r="Z113" s="919">
        <f t="shared" si="38"/>
        <v>0.20000000000001705</v>
      </c>
      <c r="AA113" s="496"/>
      <c r="AB113" s="940"/>
      <c r="AC113" s="919">
        <v>150.20000000000002</v>
      </c>
      <c r="AD113" s="467"/>
      <c r="AE113" s="940" t="s">
        <v>14</v>
      </c>
      <c r="AF113" s="919">
        <v>123</v>
      </c>
      <c r="AG113" s="40"/>
      <c r="AH113" s="1468"/>
      <c r="AI113" s="467">
        <f t="shared" si="39"/>
        <v>27.2</v>
      </c>
      <c r="AJ113" s="649"/>
      <c r="AK113" s="978">
        <f>ROUND(IF(AF113=0,1,AI113/ABS(AF113)),3)</f>
        <v>0.221</v>
      </c>
    </row>
    <row r="114" spans="1:37" ht="15" customHeight="1">
      <c r="A114" s="99"/>
      <c r="B114" s="499" t="s">
        <v>878</v>
      </c>
      <c r="C114" s="20"/>
      <c r="D114" s="178">
        <f>ROUND(SUM(D104:D113),1)</f>
        <v>3645.7</v>
      </c>
      <c r="E114" s="42"/>
      <c r="F114" s="178">
        <f>ROUND(SUM(F104:F113),1)</f>
        <v>6725.2</v>
      </c>
      <c r="G114" s="42"/>
      <c r="H114" s="178">
        <f>ROUND(SUM(H104:H113),1)</f>
        <v>5382.9</v>
      </c>
      <c r="I114" s="42"/>
      <c r="J114" s="178">
        <f>ROUND(SUM(J104:J113),1)</f>
        <v>3114.8</v>
      </c>
      <c r="K114" s="42"/>
      <c r="L114" s="178">
        <f>ROUND(SUM(L104:L113),1)</f>
        <v>3457</v>
      </c>
      <c r="M114" s="42"/>
      <c r="N114" s="178">
        <f>ROUND(SUM(N104:N113),1)</f>
        <v>4356.8999999999996</v>
      </c>
      <c r="O114" s="42"/>
      <c r="P114" s="178">
        <f>ROUND(SUM(P104:P113),1)</f>
        <v>4066.6</v>
      </c>
      <c r="Q114" s="42"/>
      <c r="R114" s="178">
        <f>ROUND(SUM(R104:R113),1)</f>
        <v>4812.5</v>
      </c>
      <c r="S114" s="42"/>
      <c r="T114" s="178">
        <f t="shared" ref="T114" si="41">ROUND(SUM(T104:T113),1)</f>
        <v>5878.9</v>
      </c>
      <c r="U114" s="42"/>
      <c r="V114" s="178">
        <f>ROUND(SUM(V104:V113),1)</f>
        <v>4015.3</v>
      </c>
      <c r="W114" s="42"/>
      <c r="X114" s="178">
        <f>ROUND(SUM(X104:X113),1)</f>
        <v>2608.1</v>
      </c>
      <c r="Y114" s="42"/>
      <c r="Z114" s="178">
        <f>ROUND(SUM(Z104:Z113),1)</f>
        <v>14788.3</v>
      </c>
      <c r="AA114" s="111"/>
      <c r="AB114" s="1255"/>
      <c r="AC114" s="178">
        <f>SUM(AC104:AC113)</f>
        <v>62852.2</v>
      </c>
      <c r="AD114" s="42"/>
      <c r="AE114" s="1247" t="s">
        <v>14</v>
      </c>
      <c r="AF114" s="178">
        <f>ROUND(SUM(AF104:AF113),1)</f>
        <v>58384.1</v>
      </c>
      <c r="AG114" s="42"/>
      <c r="AH114" s="1461"/>
      <c r="AI114" s="178">
        <f>ROUND(SUM(+AC114-AF114),1)</f>
        <v>4468.1000000000004</v>
      </c>
      <c r="AJ114" s="42"/>
      <c r="AK114" s="1469">
        <f>ROUND(SUM(AI114/AF114),3)</f>
        <v>7.6999999999999999E-2</v>
      </c>
    </row>
    <row r="115" spans="1:37" ht="15" customHeight="1">
      <c r="A115" s="99"/>
      <c r="B115" s="21" t="s">
        <v>149</v>
      </c>
      <c r="C115" s="20"/>
      <c r="D115" s="467"/>
      <c r="E115" s="467"/>
      <c r="F115" s="467"/>
      <c r="G115" s="467"/>
      <c r="H115" s="467"/>
      <c r="I115" s="467"/>
      <c r="J115" s="467"/>
      <c r="K115" s="36"/>
      <c r="L115" s="36"/>
      <c r="M115" s="36"/>
      <c r="N115" s="36"/>
      <c r="O115" s="36"/>
      <c r="P115" s="36"/>
      <c r="Q115" s="36"/>
      <c r="R115" s="36"/>
      <c r="S115" s="36"/>
      <c r="T115" s="36"/>
      <c r="U115" s="36"/>
      <c r="V115" s="36"/>
      <c r="W115" s="36"/>
      <c r="X115" s="36"/>
      <c r="Y115" s="36"/>
      <c r="Z115" s="36"/>
      <c r="AA115" s="39"/>
      <c r="AB115" s="1254"/>
      <c r="AC115" s="467"/>
      <c r="AD115" s="36"/>
      <c r="AE115" s="752"/>
      <c r="AF115" s="36"/>
      <c r="AG115" s="36"/>
      <c r="AH115" s="1460"/>
      <c r="AI115" s="467"/>
      <c r="AJ115" s="467"/>
      <c r="AK115" s="488"/>
    </row>
    <row r="116" spans="1:37" ht="15" customHeight="1">
      <c r="A116" s="99"/>
      <c r="B116" s="21" t="s">
        <v>150</v>
      </c>
      <c r="C116" s="20"/>
      <c r="D116" s="919">
        <v>740.5</v>
      </c>
      <c r="E116" s="467"/>
      <c r="F116" s="919">
        <v>695.2</v>
      </c>
      <c r="G116" s="467"/>
      <c r="H116" s="919">
        <v>867.10000000000014</v>
      </c>
      <c r="I116" s="467"/>
      <c r="J116" s="919">
        <v>713.49999999999977</v>
      </c>
      <c r="K116" s="1011"/>
      <c r="L116" s="919">
        <v>904.89999999999941</v>
      </c>
      <c r="M116" s="1011"/>
      <c r="N116" s="919">
        <v>715.70000000000027</v>
      </c>
      <c r="O116" s="1011"/>
      <c r="P116" s="919">
        <v>793.60000000000014</v>
      </c>
      <c r="Q116" s="1011"/>
      <c r="R116" s="919">
        <v>756.10000000000014</v>
      </c>
      <c r="S116" s="1011"/>
      <c r="T116" s="919">
        <v>916</v>
      </c>
      <c r="U116" s="1011"/>
      <c r="V116" s="919">
        <v>722.49999999999932</v>
      </c>
      <c r="W116" s="1011"/>
      <c r="X116" s="919">
        <v>667.3</v>
      </c>
      <c r="Y116" s="1011"/>
      <c r="Z116" s="919">
        <f t="shared" ref="Z116:Z118" si="42">$AC116-$D116-$F116-$H116-$J116-$L116-$N116-$P116-$R116-$T116-$V116-$X116</f>
        <v>971.30000000000109</v>
      </c>
      <c r="AA116" s="496"/>
      <c r="AB116" s="940"/>
      <c r="AC116" s="919">
        <v>9463.7000000000007</v>
      </c>
      <c r="AD116" s="467"/>
      <c r="AE116" s="940" t="s">
        <v>14</v>
      </c>
      <c r="AF116" s="919">
        <v>8063.3</v>
      </c>
      <c r="AG116" s="36"/>
      <c r="AH116" s="1460"/>
      <c r="AI116" s="467">
        <f>ROUND(SUM(+AC116-AF116),1)</f>
        <v>1400.4</v>
      </c>
      <c r="AJ116" s="467"/>
      <c r="AK116" s="469">
        <f>ROUND(IF(AF116=0,0,AI116/ABS(AF116)),3)</f>
        <v>0.17399999999999999</v>
      </c>
    </row>
    <row r="117" spans="1:37" ht="15" customHeight="1">
      <c r="A117" s="99"/>
      <c r="B117" s="34" t="s">
        <v>151</v>
      </c>
      <c r="C117" s="20"/>
      <c r="D117" s="919">
        <v>149</v>
      </c>
      <c r="E117" s="467"/>
      <c r="F117" s="919">
        <v>224.7</v>
      </c>
      <c r="G117" s="467"/>
      <c r="H117" s="919">
        <v>246.40000000000003</v>
      </c>
      <c r="I117" s="467"/>
      <c r="J117" s="919">
        <v>161.30000000000001</v>
      </c>
      <c r="K117" s="1011"/>
      <c r="L117" s="919">
        <v>225.59999999999997</v>
      </c>
      <c r="M117" s="1011"/>
      <c r="N117" s="919">
        <v>231.39999999999998</v>
      </c>
      <c r="O117" s="1011"/>
      <c r="P117" s="919">
        <v>213.19999999999987</v>
      </c>
      <c r="Q117" s="1011"/>
      <c r="R117" s="919">
        <v>275.50000000000006</v>
      </c>
      <c r="S117" s="1011"/>
      <c r="T117" s="919">
        <v>250.49999999999994</v>
      </c>
      <c r="U117" s="1011"/>
      <c r="V117" s="919">
        <v>256</v>
      </c>
      <c r="W117" s="1011"/>
      <c r="X117" s="919">
        <v>322.60000000000036</v>
      </c>
      <c r="Y117" s="1011"/>
      <c r="Z117" s="919">
        <f t="shared" si="42"/>
        <v>486.69999999999982</v>
      </c>
      <c r="AA117" s="496"/>
      <c r="AB117" s="940"/>
      <c r="AC117" s="919">
        <v>3042.9</v>
      </c>
      <c r="AD117" s="467"/>
      <c r="AE117" s="940" t="s">
        <v>14</v>
      </c>
      <c r="AF117" s="919">
        <v>3674.5</v>
      </c>
      <c r="AG117" s="36"/>
      <c r="AH117" s="1460"/>
      <c r="AI117" s="467">
        <f>ROUND(SUM(+AC117-AF117),1)</f>
        <v>-631.6</v>
      </c>
      <c r="AJ117" s="467"/>
      <c r="AK117" s="469">
        <f>ROUND(IF(AF117=0,0,AI117/ABS(AF117)),3)</f>
        <v>-0.17199999999999999</v>
      </c>
    </row>
    <row r="118" spans="1:37" ht="15" customHeight="1">
      <c r="A118" s="99"/>
      <c r="B118" s="34" t="s">
        <v>152</v>
      </c>
      <c r="C118" s="20"/>
      <c r="D118" s="919">
        <v>779.7</v>
      </c>
      <c r="E118" s="1463"/>
      <c r="F118" s="919">
        <v>1999.8999999999999</v>
      </c>
      <c r="G118" s="1463"/>
      <c r="H118" s="919">
        <v>357.70000000000027</v>
      </c>
      <c r="I118" s="467"/>
      <c r="J118" s="919">
        <v>442.29999999999973</v>
      </c>
      <c r="K118" s="1011"/>
      <c r="L118" s="919">
        <v>488</v>
      </c>
      <c r="M118" s="1011"/>
      <c r="N118" s="919">
        <v>468.50000000000068</v>
      </c>
      <c r="O118" s="1011"/>
      <c r="P118" s="919">
        <v>589.00000000000023</v>
      </c>
      <c r="Q118" s="1011"/>
      <c r="R118" s="919">
        <v>423.59999999999945</v>
      </c>
      <c r="S118" s="1011"/>
      <c r="T118" s="919">
        <v>522</v>
      </c>
      <c r="U118" s="1011"/>
      <c r="V118" s="919">
        <v>601.90000000000032</v>
      </c>
      <c r="W118" s="1011"/>
      <c r="X118" s="919">
        <v>511.59999999999968</v>
      </c>
      <c r="Y118" s="1011"/>
      <c r="Z118" s="919">
        <f t="shared" si="42"/>
        <v>1931.0999999999983</v>
      </c>
      <c r="AA118" s="496"/>
      <c r="AB118" s="940"/>
      <c r="AC118" s="919">
        <v>9115.2999999999993</v>
      </c>
      <c r="AD118" s="467"/>
      <c r="AE118" s="940" t="s">
        <v>14</v>
      </c>
      <c r="AF118" s="919">
        <v>8983.4</v>
      </c>
      <c r="AG118" s="36"/>
      <c r="AH118" s="1460"/>
      <c r="AI118" s="1466">
        <f>ROUND(SUM(+AC118-AF118),1)</f>
        <v>131.9</v>
      </c>
      <c r="AJ118" s="467"/>
      <c r="AK118" s="961">
        <f>ROUND(IF(AF118=0,0,AI118/ABS(AF118)),3)</f>
        <v>1.4999999999999999E-2</v>
      </c>
    </row>
    <row r="119" spans="1:37" ht="7.5" customHeight="1">
      <c r="A119" s="99"/>
      <c r="B119" s="21"/>
      <c r="C119" s="20"/>
      <c r="D119" s="497"/>
      <c r="E119" s="467"/>
      <c r="F119" s="497"/>
      <c r="G119" s="467"/>
      <c r="H119" s="497"/>
      <c r="I119" s="467"/>
      <c r="J119" s="497"/>
      <c r="K119" s="36"/>
      <c r="L119" s="61"/>
      <c r="M119" s="36"/>
      <c r="N119" s="61"/>
      <c r="O119" s="36"/>
      <c r="P119" s="61"/>
      <c r="Q119" s="36"/>
      <c r="R119" s="1322"/>
      <c r="S119" s="36"/>
      <c r="T119" s="61"/>
      <c r="U119" s="36"/>
      <c r="V119" s="61"/>
      <c r="W119" s="36"/>
      <c r="X119" s="61"/>
      <c r="Y119" s="36"/>
      <c r="Z119" s="61"/>
      <c r="AA119" s="39"/>
      <c r="AB119" s="1254"/>
      <c r="AC119" s="1170"/>
      <c r="AD119" s="36"/>
      <c r="AE119" s="752"/>
      <c r="AF119" s="61"/>
      <c r="AG119" s="36"/>
      <c r="AH119" s="1460"/>
      <c r="AI119" s="467"/>
      <c r="AJ119" s="467"/>
      <c r="AK119" s="488"/>
    </row>
    <row r="120" spans="1:37" ht="15" customHeight="1">
      <c r="A120" s="99"/>
      <c r="B120" s="19" t="s">
        <v>153</v>
      </c>
      <c r="C120" s="20"/>
      <c r="D120" s="42">
        <f>ROUND(SUM(D116:D118)+D114,1)</f>
        <v>5314.9</v>
      </c>
      <c r="E120" s="42"/>
      <c r="F120" s="42">
        <f>ROUND(SUM(F114:F118),1)</f>
        <v>9645</v>
      </c>
      <c r="G120" s="42"/>
      <c r="H120" s="42">
        <f>ROUND(SUM(H114:H118),1)</f>
        <v>6854.1</v>
      </c>
      <c r="I120" s="42"/>
      <c r="J120" s="42">
        <f>ROUND(SUM(J114:J118),1)</f>
        <v>4431.8999999999996</v>
      </c>
      <c r="K120" s="42"/>
      <c r="L120" s="42">
        <f>ROUND(SUM(L114:L118),1)</f>
        <v>5075.5</v>
      </c>
      <c r="M120" s="42"/>
      <c r="N120" s="42">
        <f>ROUND(SUM(N114:N118),1)</f>
        <v>5772.5</v>
      </c>
      <c r="O120" s="42"/>
      <c r="P120" s="42">
        <f>ROUND(SUM(P114:P118),1)</f>
        <v>5662.4</v>
      </c>
      <c r="Q120" s="42"/>
      <c r="R120" s="42">
        <f>ROUND(SUM(R114:R118),1)</f>
        <v>6267.7</v>
      </c>
      <c r="S120" s="42"/>
      <c r="T120" s="42">
        <f t="shared" ref="T120" si="43">ROUND(SUM(T114:T118),1)</f>
        <v>7567.4</v>
      </c>
      <c r="U120" s="42"/>
      <c r="V120" s="42">
        <f>ROUND(SUM(V114:V118),1)</f>
        <v>5595.7</v>
      </c>
      <c r="W120" s="42"/>
      <c r="X120" s="42">
        <f>ROUND(SUM(X114:X118),1)</f>
        <v>4109.6000000000004</v>
      </c>
      <c r="Y120" s="42"/>
      <c r="Z120" s="42">
        <f>ROUND(SUM(Z114:Z118),1)</f>
        <v>18177.400000000001</v>
      </c>
      <c r="AA120" s="111"/>
      <c r="AB120" s="1255"/>
      <c r="AC120" s="42">
        <f>ROUND(SUM(AC114:AC118),1)</f>
        <v>84474.1</v>
      </c>
      <c r="AD120" s="42"/>
      <c r="AE120" s="1247"/>
      <c r="AF120" s="42">
        <f>ROUND(SUM(AF114:AF118),1)</f>
        <v>79105.3</v>
      </c>
      <c r="AG120" s="42"/>
      <c r="AH120" s="1461"/>
      <c r="AI120" s="603">
        <f>ROUND(SUM(AI114:AI118),1)</f>
        <v>5368.8</v>
      </c>
      <c r="AJ120" s="42"/>
      <c r="AK120" s="1470">
        <f>ROUND(SUM(AI120/AF120),3)</f>
        <v>6.8000000000000005E-2</v>
      </c>
    </row>
    <row r="121" spans="1:37" ht="15" customHeight="1">
      <c r="A121" s="99"/>
      <c r="B121" s="21"/>
      <c r="C121" s="20"/>
      <c r="D121" s="497"/>
      <c r="E121" s="467"/>
      <c r="F121" s="497"/>
      <c r="G121" s="467"/>
      <c r="H121" s="497"/>
      <c r="I121" s="467"/>
      <c r="J121" s="497"/>
      <c r="K121" s="36"/>
      <c r="L121" s="61"/>
      <c r="M121" s="36"/>
      <c r="N121" s="61"/>
      <c r="O121" s="36"/>
      <c r="P121" s="61"/>
      <c r="Q121" s="36"/>
      <c r="R121" s="61"/>
      <c r="S121" s="36"/>
      <c r="T121" s="61"/>
      <c r="U121" s="36"/>
      <c r="V121" s="61"/>
      <c r="W121" s="36"/>
      <c r="X121" s="61"/>
      <c r="Y121" s="36"/>
      <c r="Z121" s="61"/>
      <c r="AA121" s="39"/>
      <c r="AB121" s="1254"/>
      <c r="AC121" s="1170"/>
      <c r="AD121" s="36"/>
      <c r="AE121" s="752"/>
      <c r="AF121" s="61"/>
      <c r="AG121" s="36"/>
      <c r="AH121" s="1460"/>
      <c r="AI121" s="467"/>
      <c r="AJ121" s="467"/>
      <c r="AK121" s="488"/>
    </row>
    <row r="122" spans="1:37" ht="15" customHeight="1">
      <c r="A122" s="99"/>
      <c r="B122" s="19" t="s">
        <v>154</v>
      </c>
      <c r="C122" s="20"/>
      <c r="D122" s="467"/>
      <c r="E122" s="467"/>
      <c r="F122" s="467"/>
      <c r="G122" s="467"/>
      <c r="H122" s="467"/>
      <c r="I122" s="467"/>
      <c r="J122" s="467"/>
      <c r="K122" s="36"/>
      <c r="L122" s="36"/>
      <c r="M122" s="36"/>
      <c r="N122" s="36"/>
      <c r="O122" s="36"/>
      <c r="P122" s="36"/>
      <c r="Q122" s="36"/>
      <c r="R122" s="36"/>
      <c r="S122" s="36"/>
      <c r="T122" s="36"/>
      <c r="U122" s="36"/>
      <c r="V122" s="36"/>
      <c r="W122" s="36"/>
      <c r="X122" s="36"/>
      <c r="Y122" s="36"/>
      <c r="Z122" s="36"/>
      <c r="AA122" s="39"/>
      <c r="AB122" s="1254"/>
      <c r="AC122" s="467"/>
      <c r="AD122" s="36"/>
      <c r="AE122" s="752"/>
      <c r="AF122" s="36"/>
      <c r="AG122" s="36"/>
      <c r="AH122" s="1460"/>
      <c r="AI122" s="467"/>
      <c r="AJ122" s="467"/>
      <c r="AK122" s="488"/>
    </row>
    <row r="123" spans="1:37" ht="15" customHeight="1">
      <c r="A123" s="99"/>
      <c r="B123" s="19" t="s">
        <v>44</v>
      </c>
      <c r="C123" s="20"/>
      <c r="D123" s="42">
        <f>ROUND(SUM(D100-D120),1)</f>
        <v>3902.8</v>
      </c>
      <c r="E123" s="42"/>
      <c r="F123" s="42">
        <f>ROUND(SUM(F100-F120),1)</f>
        <v>-7569</v>
      </c>
      <c r="G123" s="42"/>
      <c r="H123" s="42">
        <f>ROUND(SUM(H100-H120),1)</f>
        <v>-725.3</v>
      </c>
      <c r="I123" s="42"/>
      <c r="J123" s="42">
        <f>ROUND(SUM(J100-J120),1)</f>
        <v>-1999.4</v>
      </c>
      <c r="K123" s="42"/>
      <c r="L123" s="42">
        <f>ROUND(SUM(L100-L120),1)</f>
        <v>-2584.9</v>
      </c>
      <c r="M123" s="42"/>
      <c r="N123" s="42">
        <f>ROUND(SUM(N100-N120),1)</f>
        <v>1419</v>
      </c>
      <c r="O123" s="42"/>
      <c r="P123" s="42">
        <f>ROUND(SUM(P100-P120),1)</f>
        <v>-3599.9</v>
      </c>
      <c r="Q123" s="42"/>
      <c r="R123" s="42">
        <f>ROUND(SUM(R100-R120),1)</f>
        <v>-3381.6</v>
      </c>
      <c r="S123" s="42"/>
      <c r="T123" s="42">
        <f t="shared" ref="T123" si="44">ROUND(SUM(T100-T120),1)</f>
        <v>-149.1</v>
      </c>
      <c r="U123" s="42"/>
      <c r="V123" s="42">
        <f>ROUND(SUM(V100-V120),1)</f>
        <v>-1439.2</v>
      </c>
      <c r="W123" s="42"/>
      <c r="X123" s="42">
        <f>ROUND(SUM(X100-X120),1)</f>
        <v>-610.5</v>
      </c>
      <c r="Y123" s="42"/>
      <c r="Z123" s="42">
        <f>ROUND(SUM(Z100-Z120),1)</f>
        <v>-6871.6</v>
      </c>
      <c r="AA123" s="111"/>
      <c r="AB123" s="1255"/>
      <c r="AC123" s="42">
        <f>ROUND(SUM(AC100-AC120),1)</f>
        <v>-23608.7</v>
      </c>
      <c r="AD123" s="42"/>
      <c r="AE123" s="1247"/>
      <c r="AF123" s="42">
        <f>ROUND(SUM(AF100-AF120),1)</f>
        <v>-15990.9</v>
      </c>
      <c r="AG123" s="42"/>
      <c r="AH123" s="1461"/>
      <c r="AI123" s="50">
        <f>ROUND(SUM(+AC123-AF123),1)</f>
        <v>-7617.8</v>
      </c>
      <c r="AJ123" s="42"/>
      <c r="AK123" s="244">
        <f>-ROUND(AI123/AF123,3)</f>
        <v>-0.47599999999999998</v>
      </c>
    </row>
    <row r="124" spans="1:37" ht="15" customHeight="1">
      <c r="A124" s="99"/>
      <c r="B124" s="21"/>
      <c r="C124" s="20"/>
      <c r="D124" s="497"/>
      <c r="E124" s="467"/>
      <c r="F124" s="497"/>
      <c r="G124" s="467"/>
      <c r="H124" s="497"/>
      <c r="I124" s="467"/>
      <c r="J124" s="497"/>
      <c r="K124" s="36"/>
      <c r="L124" s="61"/>
      <c r="M124" s="36"/>
      <c r="N124" s="61"/>
      <c r="O124" s="36"/>
      <c r="P124" s="61"/>
      <c r="Q124" s="36"/>
      <c r="R124" s="61"/>
      <c r="S124" s="36"/>
      <c r="T124" s="61"/>
      <c r="U124" s="36"/>
      <c r="V124" s="61"/>
      <c r="W124" s="36"/>
      <c r="X124" s="61"/>
      <c r="Y124" s="36"/>
      <c r="Z124" s="61"/>
      <c r="AA124" s="39"/>
      <c r="AB124" s="1254"/>
      <c r="AC124" s="1170"/>
      <c r="AD124" s="36"/>
      <c r="AE124" s="752"/>
      <c r="AF124" s="61"/>
      <c r="AG124" s="61"/>
      <c r="AH124" s="1460"/>
      <c r="AI124" s="467"/>
      <c r="AJ124" s="467"/>
      <c r="AK124" s="488"/>
    </row>
    <row r="125" spans="1:37" ht="15" customHeight="1">
      <c r="A125" s="99"/>
      <c r="B125" s="19" t="s">
        <v>45</v>
      </c>
      <c r="C125" s="20"/>
      <c r="D125" s="467"/>
      <c r="E125" s="467"/>
      <c r="F125" s="467"/>
      <c r="G125" s="467"/>
      <c r="H125" s="467"/>
      <c r="I125" s="467"/>
      <c r="J125" s="467"/>
      <c r="K125" s="36"/>
      <c r="L125" s="36"/>
      <c r="M125" s="36"/>
      <c r="N125" s="36"/>
      <c r="O125" s="36"/>
      <c r="P125" s="36"/>
      <c r="Q125" s="36"/>
      <c r="R125" s="36"/>
      <c r="S125" s="36"/>
      <c r="T125" s="36"/>
      <c r="U125" s="36"/>
      <c r="V125" s="36"/>
      <c r="W125" s="36"/>
      <c r="X125" s="36"/>
      <c r="Y125" s="36"/>
      <c r="Z125" s="36"/>
      <c r="AA125" s="39"/>
      <c r="AB125" s="1254"/>
      <c r="AC125" s="467"/>
      <c r="AD125" s="36"/>
      <c r="AE125" s="752"/>
      <c r="AF125" s="36"/>
      <c r="AG125" s="36"/>
      <c r="AH125" s="1460"/>
      <c r="AI125" s="467"/>
      <c r="AJ125" s="467"/>
      <c r="AK125" s="488"/>
    </row>
    <row r="126" spans="1:37" ht="15" customHeight="1">
      <c r="A126" s="99"/>
      <c r="B126" s="19"/>
      <c r="C126" s="20"/>
      <c r="D126" s="467"/>
      <c r="E126" s="467"/>
      <c r="F126" s="467"/>
      <c r="G126" s="467"/>
      <c r="H126" s="467"/>
      <c r="I126" s="467"/>
      <c r="J126" s="467"/>
      <c r="K126" s="36"/>
      <c r="L126" s="36"/>
      <c r="M126" s="36"/>
      <c r="N126" s="36"/>
      <c r="O126" s="36"/>
      <c r="P126" s="36"/>
      <c r="Q126" s="36"/>
      <c r="R126" s="36"/>
      <c r="S126" s="36"/>
      <c r="T126" s="36"/>
      <c r="U126" s="36"/>
      <c r="V126" s="36"/>
      <c r="W126" s="36"/>
      <c r="X126" s="36"/>
      <c r="Y126" s="36"/>
      <c r="Z126" s="36"/>
      <c r="AA126" s="39"/>
      <c r="AB126" s="1254"/>
      <c r="AC126" s="467"/>
      <c r="AD126" s="36"/>
      <c r="AE126" s="752"/>
      <c r="AF126" s="36"/>
      <c r="AG126" s="36"/>
      <c r="AH126" s="1460"/>
      <c r="AI126" s="467"/>
      <c r="AJ126" s="467"/>
      <c r="AK126" s="488"/>
    </row>
    <row r="127" spans="1:37" ht="15" customHeight="1">
      <c r="A127" s="99"/>
      <c r="B127" s="739" t="s">
        <v>889</v>
      </c>
      <c r="C127" s="20"/>
      <c r="D127" s="919">
        <v>7451.6</v>
      </c>
      <c r="E127" s="467"/>
      <c r="F127" s="919">
        <v>1303.6999999999989</v>
      </c>
      <c r="G127" s="467"/>
      <c r="H127" s="919">
        <v>3486.9000000000015</v>
      </c>
      <c r="I127" s="467"/>
      <c r="J127" s="919">
        <v>1321.0999999999985</v>
      </c>
      <c r="K127" s="1011"/>
      <c r="L127" s="919">
        <v>1100.3000000000011</v>
      </c>
      <c r="M127" s="1011"/>
      <c r="N127" s="919">
        <v>4007.6000000000004</v>
      </c>
      <c r="O127" s="1011"/>
      <c r="P127" s="919">
        <v>644</v>
      </c>
      <c r="Q127" s="1011"/>
      <c r="R127" s="919">
        <v>1374.7000000000007</v>
      </c>
      <c r="S127" s="1011"/>
      <c r="T127" s="919">
        <v>3668.2999999999975</v>
      </c>
      <c r="U127" s="1011"/>
      <c r="V127" s="919">
        <v>1860.4000000000033</v>
      </c>
      <c r="W127" s="1011"/>
      <c r="X127" s="919">
        <v>644.90000000000146</v>
      </c>
      <c r="Y127" s="1011"/>
      <c r="Z127" s="919">
        <f t="shared" ref="Z127:Z134" si="45">$AC127-$D127-$F127-$H127-$J127-$L127-$N127-$P127-$R127-$T127-$V127-$X127</f>
        <v>1507.2999999999956</v>
      </c>
      <c r="AA127" s="496"/>
      <c r="AB127" s="940"/>
      <c r="AC127" s="919">
        <v>28370.799999999999</v>
      </c>
      <c r="AD127" s="467"/>
      <c r="AE127" s="940" t="s">
        <v>14</v>
      </c>
      <c r="AF127" s="919">
        <v>34269.9</v>
      </c>
      <c r="AG127" s="36"/>
      <c r="AH127" s="1460"/>
      <c r="AI127" s="467">
        <f>ROUND(SUM(+AC127-AF127),1)</f>
        <v>-5899.1</v>
      </c>
      <c r="AJ127" s="467"/>
      <c r="AK127" s="469">
        <f t="shared" ref="AK127:AK131" si="46">ROUND(IF(AF127=0,0,AI127/ABS(AF127)),3)</f>
        <v>-0.17199999999999999</v>
      </c>
    </row>
    <row r="128" spans="1:37" ht="15" customHeight="1">
      <c r="A128" s="99"/>
      <c r="B128" s="739" t="s">
        <v>909</v>
      </c>
      <c r="C128" s="20"/>
      <c r="D128" s="919">
        <v>814.7</v>
      </c>
      <c r="E128" s="467"/>
      <c r="F128" s="919">
        <v>856.59999999999991</v>
      </c>
      <c r="G128" s="467"/>
      <c r="H128" s="919">
        <v>1193.5000000000002</v>
      </c>
      <c r="I128" s="467"/>
      <c r="J128" s="919">
        <v>914.50000000000023</v>
      </c>
      <c r="K128" s="1011"/>
      <c r="L128" s="919">
        <v>882.80000000000041</v>
      </c>
      <c r="M128" s="1011"/>
      <c r="N128" s="919">
        <v>1304.8</v>
      </c>
      <c r="O128" s="1011"/>
      <c r="P128" s="919">
        <v>577.89999999999964</v>
      </c>
      <c r="Q128" s="1011"/>
      <c r="R128" s="919">
        <v>563.70000000000095</v>
      </c>
      <c r="S128" s="1011"/>
      <c r="T128" s="919">
        <v>737.60000000000036</v>
      </c>
      <c r="U128" s="1011"/>
      <c r="V128" s="919">
        <v>634.60000000000014</v>
      </c>
      <c r="W128" s="1011"/>
      <c r="X128" s="919">
        <v>607.89999999999782</v>
      </c>
      <c r="Y128" s="1011"/>
      <c r="Z128" s="919">
        <f t="shared" si="45"/>
        <v>400.7999999999995</v>
      </c>
      <c r="AA128" s="496"/>
      <c r="AB128" s="940"/>
      <c r="AC128" s="919">
        <v>9489.4</v>
      </c>
      <c r="AD128" s="467"/>
      <c r="AE128" s="940" t="s">
        <v>14</v>
      </c>
      <c r="AF128" s="919">
        <v>9692.6</v>
      </c>
      <c r="AG128" s="36"/>
      <c r="AH128" s="1460"/>
      <c r="AI128" s="467">
        <f>ROUND(SUM(+AC128-AF128),1)</f>
        <v>-203.2</v>
      </c>
      <c r="AJ128" s="467"/>
      <c r="AK128" s="469">
        <f t="shared" si="46"/>
        <v>-2.1000000000000001E-2</v>
      </c>
    </row>
    <row r="129" spans="1:38" ht="15" customHeight="1">
      <c r="A129" s="99"/>
      <c r="B129" s="739" t="s">
        <v>890</v>
      </c>
      <c r="C129" s="20"/>
      <c r="D129" s="919">
        <v>142.4</v>
      </c>
      <c r="E129" s="467"/>
      <c r="F129" s="919">
        <v>129.99999999999997</v>
      </c>
      <c r="G129" s="467"/>
      <c r="H129" s="919">
        <v>117.80000000000004</v>
      </c>
      <c r="I129" s="467"/>
      <c r="J129" s="919">
        <v>142.99999999999997</v>
      </c>
      <c r="K129" s="1011"/>
      <c r="L129" s="919">
        <v>113</v>
      </c>
      <c r="M129" s="1011"/>
      <c r="N129" s="919">
        <v>107.29999999999998</v>
      </c>
      <c r="O129" s="1011"/>
      <c r="P129" s="919">
        <v>102.6</v>
      </c>
      <c r="Q129" s="1011"/>
      <c r="R129" s="919">
        <v>78.299999999999955</v>
      </c>
      <c r="S129" s="1011"/>
      <c r="T129" s="919">
        <v>73.100000000000023</v>
      </c>
      <c r="U129" s="1011"/>
      <c r="V129" s="919">
        <v>63.500000000000028</v>
      </c>
      <c r="W129" s="1011"/>
      <c r="X129" s="919">
        <v>69.799999999999926</v>
      </c>
      <c r="Y129" s="1011"/>
      <c r="Z129" s="919">
        <f t="shared" si="45"/>
        <v>39.199999999999932</v>
      </c>
      <c r="AA129" s="496"/>
      <c r="AB129" s="940"/>
      <c r="AC129" s="919">
        <v>1180</v>
      </c>
      <c r="AD129" s="467"/>
      <c r="AE129" s="940" t="s">
        <v>14</v>
      </c>
      <c r="AF129" s="919">
        <v>1478.7</v>
      </c>
      <c r="AG129" s="36"/>
      <c r="AH129" s="1460"/>
      <c r="AI129" s="467">
        <f>ROUND(SUM(+AC129-AF129),1)</f>
        <v>-298.7</v>
      </c>
      <c r="AJ129" s="467"/>
      <c r="AK129" s="469">
        <f t="shared" si="46"/>
        <v>-0.20200000000000001</v>
      </c>
    </row>
    <row r="130" spans="1:38" ht="15" customHeight="1">
      <c r="A130" s="99"/>
      <c r="B130" s="34" t="s">
        <v>156</v>
      </c>
      <c r="C130" s="20"/>
      <c r="D130" s="919">
        <v>250.00000000000031</v>
      </c>
      <c r="E130" s="467"/>
      <c r="F130" s="919">
        <v>116.00000000000048</v>
      </c>
      <c r="G130" s="467"/>
      <c r="H130" s="919">
        <v>169.09999999999755</v>
      </c>
      <c r="I130" s="467"/>
      <c r="J130" s="919">
        <v>164.90000000000148</v>
      </c>
      <c r="K130" s="1011"/>
      <c r="L130" s="919">
        <v>98.699999999999505</v>
      </c>
      <c r="M130" s="1011"/>
      <c r="N130" s="919">
        <v>377.40000000000111</v>
      </c>
      <c r="O130" s="1011"/>
      <c r="P130" s="919">
        <v>85.499999999999545</v>
      </c>
      <c r="Q130" s="1011"/>
      <c r="R130" s="919">
        <v>170.1999999999972</v>
      </c>
      <c r="S130" s="1011"/>
      <c r="T130" s="919">
        <v>267.20000000000471</v>
      </c>
      <c r="U130" s="1011"/>
      <c r="V130" s="919">
        <v>183.79999999999734</v>
      </c>
      <c r="W130" s="1011"/>
      <c r="X130" s="919">
        <v>194.80000000000018</v>
      </c>
      <c r="Y130" s="1011"/>
      <c r="Z130" s="919">
        <f t="shared" si="45"/>
        <v>1213.8999999999987</v>
      </c>
      <c r="AA130" s="496"/>
      <c r="AB130" s="940"/>
      <c r="AC130" s="919">
        <v>3291.4999999999982</v>
      </c>
      <c r="AD130" s="467"/>
      <c r="AE130" s="940" t="s">
        <v>14</v>
      </c>
      <c r="AF130" s="919">
        <v>4253.9999999999955</v>
      </c>
      <c r="AG130" s="36"/>
      <c r="AH130" s="1460"/>
      <c r="AI130" s="467">
        <f>ROUND(SUM(+AC130-AF130),1)</f>
        <v>-962.5</v>
      </c>
      <c r="AJ130" s="467"/>
      <c r="AK130" s="978">
        <f t="shared" si="46"/>
        <v>-0.22600000000000001</v>
      </c>
    </row>
    <row r="131" spans="1:38" ht="15" customHeight="1">
      <c r="A131" s="99" t="s">
        <v>14</v>
      </c>
      <c r="B131" s="21" t="s">
        <v>157</v>
      </c>
      <c r="C131" s="20"/>
      <c r="D131" s="919">
        <v>611.69999999999993</v>
      </c>
      <c r="E131" s="467"/>
      <c r="F131" s="919">
        <v>224.20000000000005</v>
      </c>
      <c r="G131" s="467"/>
      <c r="H131" s="919">
        <v>-71.5</v>
      </c>
      <c r="I131" s="467"/>
      <c r="J131" s="919">
        <v>-312.10000000000002</v>
      </c>
      <c r="K131" s="1011"/>
      <c r="L131" s="919">
        <v>-128.39999999999998</v>
      </c>
      <c r="M131" s="1011"/>
      <c r="N131" s="919">
        <v>177.3</v>
      </c>
      <c r="O131" s="1011"/>
      <c r="P131" s="919">
        <v>-320.2</v>
      </c>
      <c r="Q131" s="1011"/>
      <c r="R131" s="919">
        <v>-72.699999999999932</v>
      </c>
      <c r="S131" s="1011"/>
      <c r="T131" s="919">
        <v>-272.49999999999994</v>
      </c>
      <c r="U131" s="1011"/>
      <c r="V131" s="919">
        <v>-455.7</v>
      </c>
      <c r="W131" s="1011"/>
      <c r="X131" s="919">
        <v>-503.89999999999992</v>
      </c>
      <c r="Y131" s="1011"/>
      <c r="Z131" s="919">
        <f t="shared" si="45"/>
        <v>-1860.4000000000003</v>
      </c>
      <c r="AA131" s="496"/>
      <c r="AB131" s="940"/>
      <c r="AC131" s="919">
        <v>-2984.2</v>
      </c>
      <c r="AD131" s="467"/>
      <c r="AE131" s="940" t="s">
        <v>14</v>
      </c>
      <c r="AF131" s="919">
        <v>-5919.5</v>
      </c>
      <c r="AG131" s="36"/>
      <c r="AH131" s="1460"/>
      <c r="AI131" s="467">
        <f>ROUND(SUM(+AC131-AF131)*-1,1)</f>
        <v>-2935.3</v>
      </c>
      <c r="AJ131" s="467"/>
      <c r="AK131" s="978">
        <f t="shared" si="46"/>
        <v>-0.496</v>
      </c>
    </row>
    <row r="132" spans="1:38" ht="15" customHeight="1">
      <c r="A132" s="99"/>
      <c r="B132" s="499" t="s">
        <v>1119</v>
      </c>
      <c r="C132" s="20"/>
      <c r="D132" s="919">
        <v>0</v>
      </c>
      <c r="E132" s="467"/>
      <c r="F132" s="919">
        <v>-48.1</v>
      </c>
      <c r="G132" s="467"/>
      <c r="H132" s="919">
        <v>-99.700000000000017</v>
      </c>
      <c r="I132" s="467"/>
      <c r="J132" s="919">
        <v>-35.699999999999982</v>
      </c>
      <c r="K132" s="1011"/>
      <c r="L132" s="919">
        <v>-93.199999999999989</v>
      </c>
      <c r="M132" s="1011"/>
      <c r="N132" s="919">
        <v>-150.09999999999991</v>
      </c>
      <c r="O132" s="1011"/>
      <c r="P132" s="919">
        <v>-469.90000000000009</v>
      </c>
      <c r="Q132" s="1011"/>
      <c r="R132" s="919">
        <v>-32.599999999999909</v>
      </c>
      <c r="S132" s="1011"/>
      <c r="T132" s="919">
        <v>-48.800000000000182</v>
      </c>
      <c r="U132" s="1011"/>
      <c r="V132" s="919">
        <v>0</v>
      </c>
      <c r="W132" s="1011"/>
      <c r="X132" s="919">
        <v>-117.5</v>
      </c>
      <c r="Y132" s="1011"/>
      <c r="Z132" s="919">
        <f t="shared" si="45"/>
        <v>-569.39999999999986</v>
      </c>
      <c r="AA132" s="496"/>
      <c r="AB132" s="940"/>
      <c r="AC132" s="919">
        <v>-1665</v>
      </c>
      <c r="AD132" s="467"/>
      <c r="AE132" s="940" t="s">
        <v>14</v>
      </c>
      <c r="AF132" s="919">
        <v>-898.5</v>
      </c>
      <c r="AG132" s="36"/>
      <c r="AH132" s="1460"/>
      <c r="AI132" s="467">
        <f>ROUND(SUM(+AC132-AF132)*-1,1)</f>
        <v>766.5</v>
      </c>
      <c r="AJ132" s="467"/>
      <c r="AK132" s="469">
        <f>ROUND(IF(AF132=0,1,AI132/ABS(AF132)),3)</f>
        <v>0.85299999999999998</v>
      </c>
    </row>
    <row r="133" spans="1:38" ht="15" customHeight="1">
      <c r="A133" s="99"/>
      <c r="B133" s="21" t="s">
        <v>158</v>
      </c>
      <c r="C133" s="20"/>
      <c r="D133" s="919">
        <v>-112.4</v>
      </c>
      <c r="E133" s="467"/>
      <c r="F133" s="919">
        <v>0</v>
      </c>
      <c r="G133" s="467"/>
      <c r="H133" s="919">
        <v>0</v>
      </c>
      <c r="I133" s="467"/>
      <c r="J133" s="919">
        <v>-42.799999999999983</v>
      </c>
      <c r="K133" s="1011"/>
      <c r="L133" s="919">
        <v>-0.30000000000001137</v>
      </c>
      <c r="M133" s="1011"/>
      <c r="N133" s="919">
        <v>2.3000000000000114</v>
      </c>
      <c r="O133" s="1011"/>
      <c r="P133" s="919">
        <v>-0.80000000000001137</v>
      </c>
      <c r="Q133" s="1011"/>
      <c r="R133" s="919">
        <v>0</v>
      </c>
      <c r="S133" s="1011"/>
      <c r="T133" s="919">
        <v>0</v>
      </c>
      <c r="U133" s="1011"/>
      <c r="V133" s="919">
        <v>-154.69999999999999</v>
      </c>
      <c r="W133" s="1011"/>
      <c r="X133" s="919">
        <v>8.3999999999999773</v>
      </c>
      <c r="Y133" s="1011"/>
      <c r="Z133" s="919">
        <f t="shared" si="45"/>
        <v>2.1999999999999886</v>
      </c>
      <c r="AA133" s="496"/>
      <c r="AB133" s="940"/>
      <c r="AC133" s="919">
        <v>-298.10000000000002</v>
      </c>
      <c r="AD133" s="467"/>
      <c r="AE133" s="940" t="s">
        <v>14</v>
      </c>
      <c r="AF133" s="919">
        <v>-339.5</v>
      </c>
      <c r="AG133" s="36"/>
      <c r="AH133" s="1460"/>
      <c r="AI133" s="467">
        <f>ROUND(SUM(+AC133-AF133)*-1,1)</f>
        <v>-41.4</v>
      </c>
      <c r="AJ133" s="467"/>
      <c r="AK133" s="469">
        <f>ROUND(IF(AF133=0,0,AI133/ABS(AF133)),3)</f>
        <v>-0.122</v>
      </c>
    </row>
    <row r="134" spans="1:38" ht="15" customHeight="1">
      <c r="A134" s="99"/>
      <c r="B134" s="21" t="s">
        <v>159</v>
      </c>
      <c r="C134" s="20"/>
      <c r="D134" s="919">
        <v>-420.09999999999997</v>
      </c>
      <c r="E134" s="467"/>
      <c r="F134" s="919">
        <v>-395.49999999999994</v>
      </c>
      <c r="G134" s="467"/>
      <c r="H134" s="919">
        <v>-585</v>
      </c>
      <c r="I134" s="467"/>
      <c r="J134" s="919">
        <v>-251.99999999999994</v>
      </c>
      <c r="K134" s="1011"/>
      <c r="L134" s="919">
        <v>-156.30000000000013</v>
      </c>
      <c r="M134" s="1011"/>
      <c r="N134" s="919">
        <v>-182.60000000000025</v>
      </c>
      <c r="O134" s="1011"/>
      <c r="P134" s="919">
        <v>-163.39999999999941</v>
      </c>
      <c r="Q134" s="1011"/>
      <c r="R134" s="919">
        <v>-328.30000000000052</v>
      </c>
      <c r="S134" s="1011"/>
      <c r="T134" s="919">
        <v>-56.799999999999727</v>
      </c>
      <c r="U134" s="1011"/>
      <c r="V134" s="919">
        <v>-46.5</v>
      </c>
      <c r="W134" s="1011"/>
      <c r="X134" s="919">
        <v>40.999999999999545</v>
      </c>
      <c r="Y134" s="1011"/>
      <c r="Z134" s="919">
        <f t="shared" si="45"/>
        <v>-832.29999999999961</v>
      </c>
      <c r="AA134" s="496"/>
      <c r="AB134" s="940"/>
      <c r="AC134" s="919">
        <v>-3377.8</v>
      </c>
      <c r="AD134" s="467"/>
      <c r="AE134" s="940" t="s">
        <v>14</v>
      </c>
      <c r="AF134" s="919">
        <v>-2654.8999999999996</v>
      </c>
      <c r="AG134" s="36"/>
      <c r="AH134" s="1460"/>
      <c r="AI134" s="1466">
        <f>ROUND(SUM(+AC134-AF134)*-1,1)</f>
        <v>722.9</v>
      </c>
      <c r="AJ134" s="467"/>
      <c r="AK134" s="961">
        <f>ROUND(IF(AF134=0,0,AI134/ABS(AF134)),3)</f>
        <v>0.27200000000000002</v>
      </c>
    </row>
    <row r="135" spans="1:38" ht="5.15" customHeight="1">
      <c r="A135" s="99"/>
      <c r="B135" s="21"/>
      <c r="C135" s="20"/>
      <c r="D135" s="61"/>
      <c r="E135" s="36"/>
      <c r="F135" s="61"/>
      <c r="G135" s="36"/>
      <c r="H135" s="61" t="s">
        <v>14</v>
      </c>
      <c r="I135" s="36"/>
      <c r="J135" s="61"/>
      <c r="K135" s="36"/>
      <c r="L135" s="61"/>
      <c r="M135" s="36"/>
      <c r="N135" s="61"/>
      <c r="O135" s="36"/>
      <c r="P135" s="61"/>
      <c r="Q135" s="36"/>
      <c r="R135" s="61"/>
      <c r="S135" s="36"/>
      <c r="T135" s="61"/>
      <c r="U135" s="36"/>
      <c r="V135" s="61"/>
      <c r="W135" s="36"/>
      <c r="X135" s="61"/>
      <c r="Y135" s="36"/>
      <c r="Z135" s="61"/>
      <c r="AA135" s="39"/>
      <c r="AB135" s="1254"/>
      <c r="AC135" s="1170"/>
      <c r="AD135" s="36"/>
      <c r="AE135" s="752"/>
      <c r="AF135" s="61"/>
      <c r="AG135" s="36"/>
      <c r="AH135" s="1460"/>
      <c r="AI135" s="467"/>
      <c r="AJ135" s="467"/>
      <c r="AK135" s="488"/>
    </row>
    <row r="136" spans="1:38" ht="15" customHeight="1">
      <c r="A136" s="99"/>
      <c r="B136" s="19" t="s">
        <v>160</v>
      </c>
      <c r="C136" s="20"/>
      <c r="D136" s="36"/>
      <c r="E136" s="36"/>
      <c r="F136" s="36"/>
      <c r="G136" s="36"/>
      <c r="H136" s="36"/>
      <c r="I136" s="36"/>
      <c r="J136" s="36"/>
      <c r="K136" s="36"/>
      <c r="L136" s="36"/>
      <c r="M136" s="36"/>
      <c r="N136" s="36"/>
      <c r="O136" s="36"/>
      <c r="P136" s="36"/>
      <c r="Q136" s="36"/>
      <c r="R136" s="36"/>
      <c r="S136" s="36"/>
      <c r="T136" s="36"/>
      <c r="U136" s="36"/>
      <c r="V136" s="36"/>
      <c r="W136" s="36"/>
      <c r="X136" s="36"/>
      <c r="Y136" s="39"/>
      <c r="Z136" s="39"/>
      <c r="AA136" s="39"/>
      <c r="AB136" s="1254"/>
      <c r="AC136" s="467"/>
      <c r="AD136" s="36"/>
      <c r="AE136" s="752"/>
      <c r="AF136" s="36"/>
      <c r="AG136" s="36"/>
      <c r="AH136" s="1460"/>
      <c r="AI136" s="467"/>
      <c r="AJ136" s="467"/>
      <c r="AK136" s="488"/>
    </row>
    <row r="137" spans="1:38" ht="15" customHeight="1">
      <c r="A137" s="99"/>
      <c r="B137" s="19" t="s">
        <v>161</v>
      </c>
      <c r="C137" s="20"/>
      <c r="D137" s="42">
        <f>ROUND(SUM(D127:D135),1)</f>
        <v>8737.9</v>
      </c>
      <c r="E137" s="42"/>
      <c r="F137" s="42">
        <f>ROUND(SUM(F127:F135),1)</f>
        <v>2186.9</v>
      </c>
      <c r="G137" s="42"/>
      <c r="H137" s="42">
        <f>ROUND(SUM(H127:H135),1)</f>
        <v>4211.1000000000004</v>
      </c>
      <c r="I137" s="42"/>
      <c r="J137" s="42">
        <f>ROUND(SUM(J127:J134),1)</f>
        <v>1900.9</v>
      </c>
      <c r="K137" s="42"/>
      <c r="L137" s="42">
        <f>ROUND(SUM(L127:L134),1)</f>
        <v>1816.6</v>
      </c>
      <c r="M137" s="42"/>
      <c r="N137" s="42">
        <f>ROUND(SUM(N127:N134),1)</f>
        <v>5644</v>
      </c>
      <c r="O137" s="42"/>
      <c r="P137" s="42">
        <f>ROUND(SUM(P127:P134),1)</f>
        <v>455.7</v>
      </c>
      <c r="Q137" s="42"/>
      <c r="R137" s="42">
        <f>ROUND(SUM(R127:R134),1)</f>
        <v>1753.3</v>
      </c>
      <c r="S137" s="42"/>
      <c r="T137" s="42">
        <f>ROUND(SUM(T127:T134),1)</f>
        <v>4368.1000000000004</v>
      </c>
      <c r="U137" s="42"/>
      <c r="V137" s="42">
        <f>ROUND(SUM(V127:V134),1)</f>
        <v>2085.4</v>
      </c>
      <c r="W137" s="42"/>
      <c r="X137" s="42">
        <f>ROUND(SUM(X127:X134),1)</f>
        <v>945.4</v>
      </c>
      <c r="Y137" s="111"/>
      <c r="Z137" s="42">
        <f>ROUND(SUM(Z127:Z134),1)</f>
        <v>-98.7</v>
      </c>
      <c r="AA137" s="111"/>
      <c r="AB137" s="1255"/>
      <c r="AC137" s="42">
        <f>ROUND(SUM(AC127:AC134),1)</f>
        <v>34006.6</v>
      </c>
      <c r="AD137" s="42"/>
      <c r="AE137" s="1247"/>
      <c r="AF137" s="42">
        <f>ROUND(SUM(AF127:AF134),1)</f>
        <v>39882.800000000003</v>
      </c>
      <c r="AG137" s="42"/>
      <c r="AH137" s="1461"/>
      <c r="AI137" s="50">
        <f>ROUND(SUM(+AC137-AF137),1)</f>
        <v>-5876.2</v>
      </c>
      <c r="AJ137" s="42"/>
      <c r="AK137" s="244">
        <f>ROUND(SUM(+AI137/AF137),3)</f>
        <v>-0.14699999999999999</v>
      </c>
    </row>
    <row r="138" spans="1:38" ht="15" customHeight="1">
      <c r="A138" s="99"/>
      <c r="B138" s="21"/>
      <c r="C138" s="20"/>
      <c r="D138" s="61"/>
      <c r="E138" s="36"/>
      <c r="F138" s="61"/>
      <c r="G138" s="36"/>
      <c r="H138" s="61"/>
      <c r="I138" s="36"/>
      <c r="J138" s="61"/>
      <c r="K138" s="36"/>
      <c r="L138" s="61"/>
      <c r="M138" s="36"/>
      <c r="N138" s="61"/>
      <c r="O138" s="36"/>
      <c r="P138" s="61"/>
      <c r="Q138" s="36"/>
      <c r="R138" s="61"/>
      <c r="S138" s="36"/>
      <c r="T138" s="61"/>
      <c r="U138" s="36"/>
      <c r="V138" s="61"/>
      <c r="W138" s="36"/>
      <c r="X138" s="61"/>
      <c r="Y138" s="39"/>
      <c r="Z138" s="113"/>
      <c r="AA138" s="39"/>
      <c r="AB138" s="1254"/>
      <c r="AC138" s="1170"/>
      <c r="AD138" s="36"/>
      <c r="AE138" s="752"/>
      <c r="AF138" s="61"/>
      <c r="AG138" s="36"/>
      <c r="AH138" s="1460"/>
      <c r="AI138" s="758"/>
      <c r="AJ138" s="758"/>
      <c r="AK138" s="567"/>
    </row>
    <row r="139" spans="1:38" ht="15" customHeight="1">
      <c r="A139" s="99"/>
      <c r="B139" s="19" t="s">
        <v>162</v>
      </c>
      <c r="C139" s="20"/>
      <c r="D139" s="36"/>
      <c r="E139" s="36"/>
      <c r="F139" s="36"/>
      <c r="G139" s="36"/>
      <c r="H139" s="36"/>
      <c r="I139" s="36"/>
      <c r="J139" s="36"/>
      <c r="K139" s="36"/>
      <c r="L139" s="36"/>
      <c r="M139" s="36"/>
      <c r="N139" s="36"/>
      <c r="O139" s="36"/>
      <c r="P139" s="36"/>
      <c r="Q139" s="36"/>
      <c r="R139" s="36"/>
      <c r="S139" s="36"/>
      <c r="T139" s="36"/>
      <c r="U139" s="36"/>
      <c r="V139" s="36"/>
      <c r="W139" s="36"/>
      <c r="X139" s="36"/>
      <c r="Y139" s="39"/>
      <c r="Z139" s="39"/>
      <c r="AA139" s="39"/>
      <c r="AB139" s="1254"/>
      <c r="AC139" s="467"/>
      <c r="AD139" s="36"/>
      <c r="AE139" s="752"/>
      <c r="AF139" s="36"/>
      <c r="AG139" s="36"/>
      <c r="AH139" s="1460"/>
      <c r="AI139" s="758"/>
      <c r="AJ139" s="758"/>
      <c r="AK139" s="567"/>
      <c r="AL139" s="137" t="s">
        <v>14</v>
      </c>
    </row>
    <row r="140" spans="1:38" ht="15" customHeight="1">
      <c r="A140" s="99"/>
      <c r="B140" s="19" t="s">
        <v>163</v>
      </c>
      <c r="C140" s="20"/>
      <c r="D140" s="36"/>
      <c r="E140" s="36"/>
      <c r="F140" s="36"/>
      <c r="G140" s="36"/>
      <c r="H140" s="36"/>
      <c r="I140" s="36"/>
      <c r="J140" s="36"/>
      <c r="K140" s="36"/>
      <c r="L140" s="36"/>
      <c r="M140" s="36"/>
      <c r="N140" s="36"/>
      <c r="O140" s="36"/>
      <c r="P140" s="36"/>
      <c r="Q140" s="36"/>
      <c r="R140" s="36"/>
      <c r="S140" s="36"/>
      <c r="T140" s="36"/>
      <c r="U140" s="36"/>
      <c r="V140" s="36"/>
      <c r="W140" s="36"/>
      <c r="X140" s="36"/>
      <c r="Y140" s="39"/>
      <c r="Z140" s="39"/>
      <c r="AA140" s="39"/>
      <c r="AB140" s="1254"/>
      <c r="AC140" s="467"/>
      <c r="AD140" s="36"/>
      <c r="AE140" s="752"/>
      <c r="AF140" s="36"/>
      <c r="AG140" s="36"/>
      <c r="AH140" s="1460"/>
      <c r="AI140" s="758"/>
      <c r="AJ140" s="758"/>
      <c r="AK140" s="567"/>
    </row>
    <row r="141" spans="1:38" ht="15" customHeight="1">
      <c r="A141" s="99"/>
      <c r="B141" s="19" t="s">
        <v>164</v>
      </c>
      <c r="C141" s="20"/>
      <c r="D141" s="42">
        <f>ROUND(SUM(D123+D137),1)</f>
        <v>12640.7</v>
      </c>
      <c r="E141" s="42"/>
      <c r="F141" s="42">
        <f>ROUND(SUM(F123+F137),1)</f>
        <v>-5382.1</v>
      </c>
      <c r="G141" s="42"/>
      <c r="H141" s="42">
        <f>ROUND(SUM(H123+H137),1)</f>
        <v>3485.8</v>
      </c>
      <c r="I141" s="42"/>
      <c r="J141" s="42">
        <f>ROUND(SUM(J123+J137),1)</f>
        <v>-98.5</v>
      </c>
      <c r="K141" s="42"/>
      <c r="L141" s="42">
        <f>ROUND(SUM(L123+L137),1)</f>
        <v>-768.3</v>
      </c>
      <c r="M141" s="42"/>
      <c r="N141" s="42">
        <f>ROUND(SUM(N123+N137),1)</f>
        <v>7063</v>
      </c>
      <c r="O141" s="42"/>
      <c r="P141" s="42">
        <f>ROUND(SUM(P123+P137),1)</f>
        <v>-3144.2</v>
      </c>
      <c r="Q141" s="42"/>
      <c r="R141" s="42">
        <f>ROUND(SUM(R123+R137),1)</f>
        <v>-1628.3</v>
      </c>
      <c r="S141" s="36"/>
      <c r="T141" s="42">
        <f>ROUND(SUM(T123+T137),1)</f>
        <v>4219</v>
      </c>
      <c r="U141" s="36"/>
      <c r="V141" s="42">
        <f>ROUND(SUM(V123+V137),1)</f>
        <v>646.20000000000005</v>
      </c>
      <c r="W141" s="36"/>
      <c r="X141" s="42">
        <f>ROUND(SUM(X123+X137),1)</f>
        <v>334.9</v>
      </c>
      <c r="Y141" s="39"/>
      <c r="Z141" s="50">
        <f>ROUND(SUM(Z123+Z137),1)</f>
        <v>-6970.3</v>
      </c>
      <c r="AA141" s="39"/>
      <c r="AB141" s="1254"/>
      <c r="AC141" s="42">
        <f>ROUND(SUM(AC123+AC137),1)</f>
        <v>10397.9</v>
      </c>
      <c r="AD141" s="42"/>
      <c r="AE141" s="1247"/>
      <c r="AF141" s="42">
        <f>ROUND(SUM(AF123+AF137),1)</f>
        <v>23891.9</v>
      </c>
      <c r="AG141" s="42"/>
      <c r="AH141" s="1461"/>
      <c r="AI141" s="50">
        <f>ROUND(SUM(+AC141-AF141),1)</f>
        <v>-13494</v>
      </c>
      <c r="AJ141" s="1471"/>
      <c r="AK141" s="244">
        <f>ROUND(SUM(AI141/ABS(AF141)),3)</f>
        <v>-0.56499999999999995</v>
      </c>
    </row>
    <row r="142" spans="1:38" ht="9" customHeight="1">
      <c r="A142" s="99"/>
      <c r="B142" s="21"/>
      <c r="C142" s="20"/>
      <c r="D142" s="113"/>
      <c r="E142" s="21"/>
      <c r="F142" s="1454"/>
      <c r="G142" s="21"/>
      <c r="H142" s="29"/>
      <c r="I142" s="21"/>
      <c r="J142" s="61"/>
      <c r="K142" s="21"/>
      <c r="L142" s="29"/>
      <c r="M142" s="21"/>
      <c r="N142" s="29"/>
      <c r="O142" s="21"/>
      <c r="P142" s="29"/>
      <c r="Q142" s="21"/>
      <c r="R142" s="29"/>
      <c r="S142" s="21"/>
      <c r="T142" s="29"/>
      <c r="U142" s="21"/>
      <c r="V142" s="29"/>
      <c r="W142" s="21"/>
      <c r="X142" s="29"/>
      <c r="Y142" s="21"/>
      <c r="Z142" s="20"/>
      <c r="AA142" s="20"/>
      <c r="AB142" s="1254"/>
      <c r="AC142" s="1170"/>
      <c r="AD142" s="36"/>
      <c r="AE142" s="752"/>
      <c r="AF142" s="61"/>
      <c r="AG142" s="36"/>
      <c r="AH142" s="1460"/>
      <c r="AI142" s="497"/>
      <c r="AJ142" s="758"/>
      <c r="AK142" s="1472"/>
    </row>
    <row r="143" spans="1:38" ht="15" customHeight="1" thickBot="1">
      <c r="A143" s="99"/>
      <c r="B143" s="117" t="s">
        <v>139</v>
      </c>
      <c r="C143" s="20"/>
      <c r="D143" s="181">
        <f>ROUND(SUM(D12+D141),1)</f>
        <v>45693.4</v>
      </c>
      <c r="E143" s="122"/>
      <c r="F143" s="181">
        <f>ROUND(SUM(F12+F141),1)</f>
        <v>40311.300000000003</v>
      </c>
      <c r="G143" s="122"/>
      <c r="H143" s="181">
        <f>ROUND(SUM(H12+H141),1)</f>
        <v>43797.1</v>
      </c>
      <c r="I143" s="122"/>
      <c r="J143" s="181">
        <f>ROUND(SUM(J12+J141),1)</f>
        <v>43698.6</v>
      </c>
      <c r="K143" s="122"/>
      <c r="L143" s="181">
        <f>ROUND(SUM(L12+L141),1)</f>
        <v>42930.3</v>
      </c>
      <c r="M143" s="122"/>
      <c r="N143" s="181">
        <f>ROUND(SUM(N12+N141),1)</f>
        <v>49993.3</v>
      </c>
      <c r="O143" s="122"/>
      <c r="P143" s="181">
        <f>ROUND(SUM(P12+P141),1)</f>
        <v>46849.1</v>
      </c>
      <c r="Q143" s="122"/>
      <c r="R143" s="181">
        <f>ROUND(SUM(R12+R141),1)</f>
        <v>45220.800000000003</v>
      </c>
      <c r="S143" s="122"/>
      <c r="T143" s="181">
        <f>ROUND(SUM(T12+T141),1)</f>
        <v>49439.8</v>
      </c>
      <c r="U143" s="122"/>
      <c r="V143" s="181">
        <f>ROUND(SUM(V12+V141),1)</f>
        <v>50086</v>
      </c>
      <c r="W143" s="122"/>
      <c r="X143" s="181">
        <f>ROUND(SUM(X12+X141),1)</f>
        <v>50420.9</v>
      </c>
      <c r="Y143" s="122"/>
      <c r="Z143" s="181">
        <f>ROUND(SUM(Z12+Z141),1)</f>
        <v>43450.6</v>
      </c>
      <c r="AA143" s="122"/>
      <c r="AB143" s="1473"/>
      <c r="AC143" s="1159">
        <f>ROUND(SUM(AC12+AC141),1)</f>
        <v>43450.6</v>
      </c>
      <c r="AD143" s="42"/>
      <c r="AE143" s="1247"/>
      <c r="AF143" s="181">
        <f>ROUND(SUM(AF12+AF141),1)</f>
        <v>33052.699999999997</v>
      </c>
      <c r="AG143" s="122"/>
      <c r="AH143" s="1457"/>
      <c r="AI143" s="181">
        <f>ROUND(SUM(+AC143-AF143),1)</f>
        <v>10397.9</v>
      </c>
      <c r="AJ143" s="1471"/>
      <c r="AK143" s="200">
        <f>ROUND(SUM(+AI143/AF143),3)</f>
        <v>0.315</v>
      </c>
    </row>
    <row r="144" spans="1:38" ht="15" customHeight="1" thickTop="1">
      <c r="A144" s="99"/>
      <c r="B144" s="21"/>
      <c r="C144" s="20"/>
      <c r="D144" s="20"/>
      <c r="E144" s="21"/>
      <c r="F144" s="119"/>
      <c r="G144" s="21"/>
      <c r="H144" s="20"/>
      <c r="I144" s="21"/>
      <c r="J144" s="36"/>
      <c r="K144" s="21"/>
      <c r="L144" s="20"/>
      <c r="M144" s="21"/>
      <c r="N144" s="20"/>
      <c r="O144" s="21"/>
      <c r="P144" s="20"/>
      <c r="Q144" s="21"/>
      <c r="R144" s="20"/>
      <c r="S144" s="21"/>
      <c r="T144" s="20"/>
      <c r="U144" s="21"/>
      <c r="V144" s="20"/>
      <c r="W144" s="21"/>
      <c r="X144" s="20"/>
      <c r="Y144" s="21"/>
      <c r="Z144" s="20"/>
      <c r="AA144" s="20"/>
      <c r="AB144" s="21"/>
      <c r="AC144" s="36"/>
      <c r="AD144" s="36"/>
      <c r="AE144" s="36"/>
      <c r="AF144" s="36"/>
      <c r="AG144" s="36"/>
      <c r="AH144" s="1449"/>
      <c r="AI144" s="758"/>
      <c r="AJ144" s="758"/>
      <c r="AK144" s="567"/>
    </row>
    <row r="145" spans="1:37" ht="15" customHeight="1">
      <c r="A145" s="99"/>
      <c r="B145" s="21" t="s">
        <v>14</v>
      </c>
      <c r="C145" s="20"/>
      <c r="D145" s="20"/>
      <c r="E145" s="21"/>
      <c r="F145" s="119"/>
      <c r="G145" s="21"/>
      <c r="H145" s="20"/>
      <c r="I145" s="21"/>
      <c r="J145" s="36"/>
      <c r="K145" s="21"/>
      <c r="L145" s="20"/>
      <c r="M145" s="21"/>
      <c r="N145" s="20"/>
      <c r="O145" s="21"/>
      <c r="P145" s="20"/>
      <c r="Q145" s="21"/>
      <c r="R145" s="20"/>
      <c r="S145" s="21"/>
      <c r="T145" s="20"/>
      <c r="U145" s="21"/>
      <c r="V145" s="20"/>
      <c r="W145" s="21"/>
      <c r="X145" s="20"/>
      <c r="Y145" s="21"/>
      <c r="Z145" s="20"/>
      <c r="AA145" s="20"/>
      <c r="AB145" s="21"/>
      <c r="AC145" s="919" t="s">
        <v>14</v>
      </c>
      <c r="AD145" s="36"/>
      <c r="AE145" s="467" t="s">
        <v>1439</v>
      </c>
      <c r="AF145" s="467" t="s">
        <v>14</v>
      </c>
      <c r="AG145" s="36"/>
      <c r="AH145" s="1449"/>
      <c r="AI145" s="758"/>
      <c r="AJ145" s="758"/>
      <c r="AK145" s="567"/>
    </row>
    <row r="146" spans="1:37" ht="15" customHeight="1">
      <c r="A146" s="99"/>
      <c r="B146" s="21"/>
      <c r="C146" s="20"/>
      <c r="D146" s="20"/>
      <c r="E146" s="21"/>
      <c r="F146" s="119"/>
      <c r="G146" s="21"/>
      <c r="H146" s="20"/>
      <c r="I146" s="21"/>
      <c r="J146" s="36"/>
      <c r="K146" s="21"/>
      <c r="L146" s="20"/>
      <c r="M146" s="21"/>
      <c r="N146" s="20"/>
      <c r="O146" s="21"/>
      <c r="P146" s="20"/>
      <c r="Q146" s="21"/>
      <c r="R146" s="20"/>
      <c r="S146" s="21"/>
      <c r="T146" s="20"/>
      <c r="U146" s="21"/>
      <c r="V146" s="20"/>
      <c r="W146" s="21"/>
      <c r="X146" s="20"/>
      <c r="Y146" s="21"/>
      <c r="Z146" s="20"/>
      <c r="AA146" s="20"/>
      <c r="AB146" s="21"/>
      <c r="AC146" s="919" t="s">
        <v>14</v>
      </c>
      <c r="AD146" s="36"/>
      <c r="AE146" s="36"/>
      <c r="AF146" s="467" t="s">
        <v>14</v>
      </c>
      <c r="AG146" s="36"/>
      <c r="AH146" s="1449"/>
      <c r="AI146" s="758"/>
      <c r="AJ146" s="758"/>
      <c r="AK146" s="567"/>
    </row>
    <row r="147" spans="1:37" ht="15" customHeight="1">
      <c r="A147" s="169"/>
      <c r="B147" s="108"/>
      <c r="C147" s="1474"/>
      <c r="D147" s="1474"/>
      <c r="E147" s="1475"/>
      <c r="F147" s="1475"/>
      <c r="G147" s="1475"/>
      <c r="H147" s="20"/>
      <c r="I147" s="20"/>
      <c r="J147" s="36"/>
      <c r="K147" s="20"/>
      <c r="L147" s="20"/>
      <c r="M147" s="20"/>
      <c r="N147" s="20"/>
      <c r="O147" s="20"/>
      <c r="P147" s="20"/>
      <c r="Q147" s="20"/>
      <c r="R147" s="20"/>
      <c r="S147" s="20"/>
      <c r="T147" s="20"/>
      <c r="U147" s="20"/>
      <c r="V147" s="20"/>
      <c r="W147" s="20"/>
      <c r="X147" s="20"/>
      <c r="Y147" s="20"/>
      <c r="Z147" s="20"/>
      <c r="AA147" s="20"/>
      <c r="AB147" s="20"/>
      <c r="AC147" s="919" t="s">
        <v>1148</v>
      </c>
      <c r="AD147" s="36"/>
      <c r="AE147" s="36"/>
      <c r="AF147" s="467" t="s">
        <v>14</v>
      </c>
      <c r="AG147" s="36"/>
      <c r="AH147" s="36"/>
      <c r="AI147" s="467"/>
      <c r="AJ147" s="467"/>
      <c r="AK147" s="488"/>
    </row>
    <row r="148" spans="1:37" ht="14.15" customHeight="1">
      <c r="A148" s="169"/>
      <c r="B148" s="108"/>
      <c r="C148" s="1474"/>
      <c r="D148" s="1474"/>
      <c r="E148" s="1475"/>
      <c r="F148" s="1475"/>
      <c r="G148" s="1475"/>
      <c r="H148" s="20"/>
      <c r="I148" s="20"/>
      <c r="J148" s="36"/>
      <c r="K148" s="20"/>
      <c r="L148" s="20"/>
      <c r="M148" s="20"/>
      <c r="N148" s="20"/>
      <c r="O148" s="20"/>
      <c r="P148" s="20"/>
      <c r="Q148" s="20"/>
      <c r="R148" s="20"/>
      <c r="S148" s="20"/>
      <c r="T148" s="20"/>
      <c r="U148" s="20"/>
      <c r="V148" s="20"/>
      <c r="W148" s="20"/>
      <c r="X148" s="20"/>
      <c r="Y148" s="20"/>
      <c r="Z148" s="20"/>
      <c r="AA148" s="20"/>
      <c r="AB148" s="20"/>
      <c r="AC148" s="919" t="s">
        <v>14</v>
      </c>
      <c r="AD148" s="36"/>
      <c r="AE148" s="36"/>
      <c r="AF148" s="467" t="s">
        <v>14</v>
      </c>
      <c r="AG148" s="36"/>
      <c r="AH148" s="36"/>
      <c r="AI148" s="467"/>
      <c r="AJ148" s="467"/>
      <c r="AK148" s="488"/>
    </row>
    <row r="149" spans="1:37" ht="15" customHeight="1">
      <c r="A149" s="169"/>
      <c r="B149" s="108"/>
      <c r="C149" s="1474"/>
      <c r="D149" s="1474"/>
      <c r="E149" s="1475"/>
      <c r="F149" s="1475"/>
      <c r="G149" s="1475"/>
      <c r="H149" s="20"/>
      <c r="I149" s="20"/>
      <c r="J149" s="36"/>
      <c r="K149" s="20"/>
      <c r="L149" s="20"/>
      <c r="M149" s="20"/>
      <c r="N149" s="20"/>
      <c r="O149" s="20"/>
      <c r="P149" s="20"/>
      <c r="Q149" s="20"/>
      <c r="R149" s="20"/>
      <c r="S149" s="20"/>
      <c r="T149" s="20"/>
      <c r="U149" s="20"/>
      <c r="V149" s="20"/>
      <c r="W149" s="20"/>
      <c r="X149" s="20"/>
      <c r="Y149" s="20"/>
      <c r="Z149" s="20"/>
      <c r="AA149" s="20"/>
      <c r="AB149" s="20"/>
      <c r="AC149" s="919" t="s">
        <v>14</v>
      </c>
      <c r="AD149" s="36"/>
      <c r="AE149" s="36"/>
      <c r="AF149" s="467" t="s">
        <v>113</v>
      </c>
      <c r="AG149" s="36"/>
      <c r="AH149" s="36"/>
      <c r="AI149" s="467"/>
      <c r="AJ149" s="467"/>
      <c r="AK149" s="488"/>
    </row>
    <row r="150" spans="1:37" ht="15.75" customHeight="1">
      <c r="A150" s="169"/>
      <c r="B150" s="108"/>
      <c r="C150" s="1474"/>
      <c r="D150" s="1474"/>
      <c r="E150" s="1475"/>
      <c r="F150" s="1475"/>
      <c r="G150" s="1475"/>
      <c r="H150" s="20"/>
      <c r="I150" s="20"/>
      <c r="J150" s="36"/>
      <c r="K150" s="20"/>
      <c r="L150" s="20"/>
      <c r="M150" s="20"/>
      <c r="N150" s="20"/>
      <c r="O150" s="20"/>
      <c r="P150" s="20"/>
      <c r="Q150" s="20"/>
      <c r="R150" s="20"/>
      <c r="S150" s="20"/>
      <c r="T150" s="20"/>
      <c r="U150" s="20"/>
      <c r="V150" s="20"/>
      <c r="W150" s="20"/>
      <c r="X150" s="20"/>
      <c r="Y150" s="20"/>
      <c r="Z150" s="20"/>
      <c r="AA150" s="20"/>
      <c r="AB150" s="20"/>
      <c r="AC150" s="919" t="s">
        <v>14</v>
      </c>
      <c r="AD150" s="36"/>
      <c r="AE150" s="36"/>
      <c r="AF150" s="467" t="s">
        <v>14</v>
      </c>
      <c r="AG150" s="36"/>
      <c r="AH150" s="36"/>
      <c r="AI150" s="467"/>
      <c r="AJ150" s="467"/>
      <c r="AK150" s="488"/>
    </row>
    <row r="151" spans="1:37" ht="14.25" customHeight="1">
      <c r="A151" s="169"/>
      <c r="B151" s="108"/>
      <c r="C151" s="1474"/>
      <c r="D151" s="1474"/>
      <c r="E151" s="1475"/>
      <c r="F151" s="1475"/>
      <c r="G151" s="1475"/>
      <c r="H151" s="20"/>
      <c r="I151" s="20"/>
      <c r="J151" s="36"/>
      <c r="K151" s="20"/>
      <c r="L151" s="20"/>
      <c r="M151" s="20"/>
      <c r="N151" s="20"/>
      <c r="O151" s="20"/>
      <c r="P151" s="20"/>
      <c r="Q151" s="20"/>
      <c r="R151" s="20"/>
      <c r="S151" s="20"/>
      <c r="T151" s="20"/>
      <c r="U151" s="20"/>
      <c r="V151" s="20"/>
      <c r="W151" s="20"/>
      <c r="X151" s="20"/>
      <c r="Y151" s="20"/>
      <c r="Z151" s="20"/>
      <c r="AA151" s="20"/>
      <c r="AB151" s="20"/>
      <c r="AC151" s="36"/>
      <c r="AD151" s="36"/>
      <c r="AE151" s="36"/>
      <c r="AF151" s="36"/>
      <c r="AG151" s="36"/>
      <c r="AH151" s="36"/>
      <c r="AI151" s="467"/>
      <c r="AJ151" s="467"/>
      <c r="AK151" s="488"/>
    </row>
    <row r="152" spans="1:37" ht="14.25" customHeight="1">
      <c r="A152" s="169"/>
      <c r="B152" s="108"/>
      <c r="C152" s="1474"/>
      <c r="D152" s="1474"/>
      <c r="E152" s="1475"/>
      <c r="F152" s="1475"/>
      <c r="G152" s="1475"/>
      <c r="H152" s="20"/>
      <c r="I152" s="20"/>
      <c r="J152" s="36"/>
      <c r="K152" s="20"/>
      <c r="L152" s="20"/>
      <c r="M152" s="20"/>
      <c r="N152" s="20"/>
      <c r="O152" s="20"/>
      <c r="P152" s="20"/>
      <c r="Q152" s="20"/>
      <c r="R152" s="20"/>
      <c r="S152" s="20"/>
      <c r="T152" s="20"/>
      <c r="U152" s="20"/>
      <c r="V152" s="20"/>
      <c r="W152" s="20"/>
      <c r="X152" s="20"/>
      <c r="Y152" s="20"/>
      <c r="Z152" s="20"/>
      <c r="AA152" s="20"/>
      <c r="AB152" s="20"/>
      <c r="AC152" s="36"/>
      <c r="AD152" s="36"/>
      <c r="AE152" s="36"/>
      <c r="AF152" s="36"/>
      <c r="AG152" s="36"/>
      <c r="AH152" s="36"/>
      <c r="AI152" s="467"/>
      <c r="AJ152" s="467"/>
      <c r="AK152" s="488"/>
    </row>
    <row r="153" spans="1:37" ht="14.25" customHeight="1">
      <c r="A153" s="169"/>
      <c r="B153" s="108"/>
      <c r="C153" s="1474"/>
      <c r="D153" s="1474"/>
      <c r="E153" s="1475"/>
      <c r="F153" s="1475"/>
      <c r="G153" s="1475"/>
      <c r="H153" s="20"/>
      <c r="I153" s="20"/>
      <c r="J153" s="36"/>
      <c r="K153" s="20"/>
      <c r="L153" s="20"/>
      <c r="M153" s="20"/>
      <c r="N153" s="20"/>
      <c r="O153" s="20"/>
      <c r="P153" s="20"/>
      <c r="Q153" s="20"/>
      <c r="R153" s="20"/>
      <c r="S153" s="20"/>
      <c r="T153" s="20"/>
      <c r="U153" s="20"/>
      <c r="V153" s="20"/>
      <c r="W153" s="20"/>
      <c r="X153" s="20"/>
      <c r="Y153" s="20"/>
      <c r="Z153" s="20"/>
      <c r="AA153" s="20"/>
      <c r="AB153" s="20"/>
      <c r="AC153" s="36"/>
      <c r="AD153" s="36"/>
      <c r="AE153" s="36"/>
      <c r="AF153" s="36"/>
      <c r="AG153" s="36"/>
      <c r="AH153" s="36"/>
      <c r="AI153" s="467"/>
      <c r="AJ153" s="467"/>
      <c r="AK153" s="488"/>
    </row>
    <row r="154" spans="1:37" ht="14.25" customHeight="1">
      <c r="A154" s="169"/>
      <c r="B154" s="108"/>
      <c r="C154" s="1474"/>
      <c r="D154" s="1474"/>
      <c r="E154" s="1475"/>
      <c r="F154" s="1475"/>
      <c r="G154" s="1475"/>
      <c r="H154" s="20"/>
      <c r="I154" s="20"/>
      <c r="J154" s="36"/>
      <c r="K154" s="20"/>
      <c r="L154" s="20"/>
      <c r="M154" s="20"/>
      <c r="N154" s="20"/>
      <c r="O154" s="20"/>
      <c r="P154" s="20"/>
      <c r="Q154" s="20"/>
      <c r="R154" s="20"/>
      <c r="S154" s="20"/>
      <c r="T154" s="20"/>
      <c r="U154" s="20"/>
      <c r="V154" s="20"/>
      <c r="W154" s="20"/>
      <c r="X154" s="20"/>
      <c r="Y154" s="20"/>
      <c r="Z154" s="20"/>
      <c r="AA154" s="20"/>
      <c r="AB154" s="20"/>
      <c r="AC154" s="36"/>
      <c r="AD154" s="36"/>
      <c r="AE154" s="36"/>
      <c r="AF154" s="36"/>
      <c r="AG154" s="36"/>
      <c r="AH154" s="36"/>
      <c r="AI154" s="467"/>
      <c r="AJ154" s="467"/>
      <c r="AK154" s="488"/>
    </row>
    <row r="155" spans="1:37" ht="14.25" customHeight="1">
      <c r="A155" s="169"/>
      <c r="B155" s="108"/>
      <c r="C155" s="1474"/>
      <c r="D155" s="1474"/>
      <c r="E155" s="1475"/>
      <c r="F155" s="1475"/>
      <c r="G155" s="1475"/>
      <c r="H155" s="20"/>
      <c r="I155" s="20"/>
      <c r="J155" s="36"/>
      <c r="K155" s="20"/>
      <c r="L155" s="20"/>
      <c r="M155" s="20"/>
      <c r="N155" s="20"/>
      <c r="O155" s="20"/>
      <c r="P155" s="20"/>
      <c r="Q155" s="20"/>
      <c r="R155" s="20"/>
      <c r="S155" s="20"/>
      <c r="T155" s="20"/>
      <c r="U155" s="20"/>
      <c r="V155" s="20"/>
      <c r="W155" s="20"/>
      <c r="X155" s="20"/>
      <c r="Y155" s="20"/>
      <c r="Z155" s="20"/>
      <c r="AA155" s="20"/>
      <c r="AB155" s="20"/>
      <c r="AC155" s="36"/>
      <c r="AD155" s="36"/>
      <c r="AE155" s="36"/>
      <c r="AF155" s="36"/>
      <c r="AG155" s="36"/>
      <c r="AH155" s="36"/>
      <c r="AI155" s="467"/>
      <c r="AJ155" s="467"/>
      <c r="AK155" s="488"/>
    </row>
    <row r="156" spans="1:37" ht="14.25" customHeight="1">
      <c r="A156" s="169"/>
      <c r="B156" s="108"/>
      <c r="C156" s="1474"/>
      <c r="D156" s="1474"/>
      <c r="E156" s="1475"/>
      <c r="F156" s="1475"/>
      <c r="G156" s="1475"/>
      <c r="H156" s="20"/>
      <c r="I156" s="20"/>
      <c r="J156" s="36"/>
      <c r="K156" s="20"/>
      <c r="L156" s="20"/>
      <c r="M156" s="20"/>
      <c r="N156" s="20"/>
      <c r="O156" s="20"/>
      <c r="P156" s="20"/>
      <c r="Q156" s="20"/>
      <c r="R156" s="20"/>
      <c r="S156" s="20"/>
      <c r="T156" s="20"/>
      <c r="U156" s="20"/>
      <c r="V156" s="20"/>
      <c r="W156" s="20"/>
      <c r="X156" s="20"/>
      <c r="Y156" s="20"/>
      <c r="Z156" s="20"/>
      <c r="AA156" s="20"/>
      <c r="AB156" s="20"/>
      <c r="AC156" s="36"/>
      <c r="AD156" s="36"/>
      <c r="AE156" s="36"/>
      <c r="AF156" s="36"/>
      <c r="AG156" s="36"/>
      <c r="AH156" s="36"/>
      <c r="AI156" s="467"/>
      <c r="AJ156" s="467"/>
      <c r="AK156" s="488"/>
    </row>
    <row r="157" spans="1:37" ht="14.25" customHeight="1">
      <c r="A157" s="169"/>
      <c r="B157" s="108"/>
      <c r="C157" s="1474"/>
      <c r="D157" s="1474"/>
      <c r="E157" s="1475"/>
      <c r="F157" s="1475"/>
      <c r="G157" s="1475"/>
      <c r="H157" s="20"/>
      <c r="I157" s="20"/>
      <c r="J157" s="36"/>
      <c r="K157" s="20"/>
      <c r="L157" s="20"/>
      <c r="M157" s="20"/>
      <c r="N157" s="20"/>
      <c r="O157" s="20"/>
      <c r="P157" s="20"/>
      <c r="Q157" s="20"/>
      <c r="R157" s="20"/>
      <c r="S157" s="20"/>
      <c r="T157" s="20"/>
      <c r="U157" s="20"/>
      <c r="V157" s="20"/>
      <c r="W157" s="20"/>
      <c r="X157" s="20"/>
      <c r="Y157" s="20"/>
      <c r="Z157" s="20"/>
      <c r="AA157" s="20"/>
      <c r="AB157" s="20"/>
      <c r="AC157" s="36"/>
      <c r="AD157" s="36"/>
      <c r="AE157" s="36"/>
      <c r="AF157" s="36"/>
      <c r="AG157" s="36"/>
      <c r="AH157" s="36"/>
      <c r="AI157" s="467"/>
      <c r="AJ157" s="467"/>
      <c r="AK157" s="488"/>
    </row>
    <row r="158" spans="1:37" ht="14.25" customHeight="1">
      <c r="A158" s="169"/>
      <c r="B158" s="108"/>
      <c r="C158" s="1474"/>
      <c r="D158" s="1474"/>
      <c r="E158" s="1475"/>
      <c r="F158" s="1475"/>
      <c r="G158" s="1475"/>
      <c r="H158" s="20"/>
      <c r="I158" s="20"/>
      <c r="J158" s="36"/>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646"/>
      <c r="AJ158" s="646"/>
      <c r="AK158" s="488"/>
    </row>
    <row r="159" spans="1:37" ht="14.25" customHeight="1">
      <c r="A159" s="169"/>
      <c r="B159" s="108"/>
      <c r="C159" s="1474"/>
      <c r="D159" s="1474"/>
      <c r="E159" s="1475"/>
      <c r="F159" s="1475"/>
      <c r="G159" s="1475"/>
      <c r="H159" s="20"/>
      <c r="I159" s="20"/>
      <c r="J159" s="36"/>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646"/>
      <c r="AJ159" s="646"/>
      <c r="AK159" s="488"/>
    </row>
    <row r="160" spans="1:37" ht="14.25" customHeight="1">
      <c r="A160" s="169"/>
      <c r="B160" s="108"/>
      <c r="C160" s="1474"/>
      <c r="D160" s="1474"/>
      <c r="E160" s="1475"/>
      <c r="F160" s="1475"/>
      <c r="G160" s="1475"/>
      <c r="H160" s="20"/>
      <c r="I160" s="20"/>
      <c r="J160" s="36"/>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646"/>
      <c r="AJ160" s="646"/>
      <c r="AK160" s="488"/>
    </row>
    <row r="161" spans="1:38" ht="14.25" customHeight="1">
      <c r="A161" s="169"/>
      <c r="B161" s="108"/>
      <c r="C161" s="1474"/>
      <c r="D161" s="1474"/>
      <c r="E161" s="1475"/>
      <c r="F161" s="1475"/>
      <c r="G161" s="1475"/>
      <c r="H161" s="20"/>
      <c r="I161" s="20"/>
      <c r="J161" s="36"/>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646"/>
      <c r="AJ161" s="646"/>
      <c r="AK161" s="488"/>
    </row>
    <row r="162" spans="1:38" ht="14.25" customHeight="1">
      <c r="A162" s="169"/>
      <c r="B162" s="108"/>
      <c r="C162" s="1474"/>
      <c r="D162" s="1474"/>
      <c r="E162" s="1475"/>
      <c r="F162" s="1475"/>
      <c r="G162" s="1475"/>
      <c r="H162" s="20"/>
      <c r="I162" s="20"/>
      <c r="J162" s="36"/>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646"/>
      <c r="AJ162" s="646"/>
      <c r="AK162" s="488"/>
    </row>
    <row r="163" spans="1:38" ht="14.25" customHeight="1">
      <c r="A163" s="169"/>
      <c r="B163" s="108"/>
      <c r="C163" s="1474"/>
      <c r="D163" s="1474"/>
      <c r="E163" s="1475"/>
      <c r="F163" s="1475"/>
      <c r="G163" s="1475"/>
      <c r="H163" s="20"/>
      <c r="I163" s="20"/>
      <c r="J163" s="36"/>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646"/>
      <c r="AJ163" s="646"/>
      <c r="AK163" s="488"/>
    </row>
    <row r="164" spans="1:38" ht="14.25" customHeight="1">
      <c r="A164" s="169"/>
      <c r="B164" s="108"/>
      <c r="C164" s="1474"/>
      <c r="D164" s="1474"/>
      <c r="E164" s="1475"/>
      <c r="F164" s="1475"/>
      <c r="G164" s="1475"/>
      <c r="H164" s="20"/>
      <c r="I164" s="20"/>
      <c r="J164" s="36"/>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646"/>
      <c r="AJ164" s="646"/>
      <c r="AK164" s="488"/>
    </row>
    <row r="165" spans="1:38" ht="14.25" customHeight="1">
      <c r="A165" s="169"/>
      <c r="B165" s="108"/>
      <c r="C165" s="1474"/>
      <c r="D165" s="1474"/>
      <c r="E165" s="1475"/>
      <c r="F165" s="1475"/>
      <c r="G165" s="1475"/>
      <c r="H165" s="20"/>
      <c r="I165" s="20"/>
      <c r="J165" s="36"/>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646"/>
      <c r="AJ165" s="646"/>
      <c r="AK165" s="488"/>
    </row>
    <row r="166" spans="1:38" ht="14.25" customHeight="1">
      <c r="A166" s="169"/>
      <c r="B166" s="108"/>
      <c r="C166" s="1474"/>
      <c r="D166" s="1474"/>
      <c r="E166" s="1475"/>
      <c r="F166" s="1475"/>
      <c r="G166" s="1475"/>
      <c r="H166" s="20"/>
      <c r="I166" s="20"/>
      <c r="J166" s="36"/>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646"/>
      <c r="AJ166" s="646"/>
      <c r="AK166" s="488"/>
    </row>
    <row r="167" spans="1:38" ht="20.149999999999999" customHeight="1">
      <c r="A167" s="169"/>
      <c r="B167" s="34"/>
      <c r="C167" s="20"/>
      <c r="D167" s="20"/>
      <c r="E167" s="20"/>
      <c r="F167" s="20"/>
      <c r="G167" s="20"/>
      <c r="H167" s="20"/>
      <c r="I167" s="20"/>
      <c r="J167" s="36"/>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646"/>
      <c r="AJ167" s="646"/>
      <c r="AK167" s="488"/>
    </row>
    <row r="168" spans="1:38" ht="20.149999999999999" customHeight="1">
      <c r="A168" s="169"/>
      <c r="B168" s="34"/>
      <c r="C168" s="20"/>
      <c r="D168" s="20"/>
      <c r="E168" s="20"/>
      <c r="F168" s="20"/>
      <c r="G168" s="20"/>
      <c r="H168" s="20"/>
      <c r="I168" s="20"/>
      <c r="J168" s="36"/>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646"/>
      <c r="AJ168" s="646"/>
      <c r="AK168" s="488"/>
      <c r="AL168" s="20"/>
    </row>
    <row r="169" spans="1:38" ht="20.149999999999999" customHeight="1">
      <c r="A169" s="169"/>
      <c r="B169" s="34"/>
      <c r="C169" s="20"/>
      <c r="D169" s="20"/>
      <c r="E169" s="20"/>
      <c r="F169" s="20"/>
      <c r="G169" s="20"/>
      <c r="H169" s="20"/>
      <c r="I169" s="20"/>
      <c r="J169" s="36"/>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646"/>
      <c r="AJ169" s="646"/>
      <c r="AK169" s="488"/>
      <c r="AL169" s="20"/>
    </row>
    <row r="170" spans="1:38" ht="20.149999999999999" customHeight="1">
      <c r="B170" s="34"/>
      <c r="C170" s="20"/>
      <c r="D170" s="20"/>
      <c r="E170" s="20"/>
      <c r="F170" s="20"/>
      <c r="G170" s="20"/>
      <c r="H170" s="20"/>
      <c r="I170" s="20"/>
      <c r="J170" s="36"/>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646"/>
      <c r="AJ170" s="646"/>
      <c r="AK170" s="488"/>
      <c r="AL170" s="20"/>
    </row>
    <row r="171" spans="1:38" ht="20.149999999999999" customHeight="1">
      <c r="B171" s="20"/>
      <c r="C171" s="20"/>
      <c r="D171" s="20"/>
      <c r="E171" s="20"/>
      <c r="F171" s="20"/>
      <c r="G171" s="20"/>
      <c r="H171" s="20"/>
      <c r="I171" s="20"/>
      <c r="J171" s="36"/>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646"/>
      <c r="AJ171" s="646"/>
      <c r="AK171" s="488"/>
      <c r="AL171" s="20"/>
    </row>
    <row r="172" spans="1:38" ht="20.149999999999999" customHeight="1">
      <c r="B172" s="1476"/>
      <c r="C172" s="20"/>
      <c r="D172" s="20"/>
      <c r="E172" s="20"/>
      <c r="F172" s="20"/>
      <c r="G172" s="20"/>
      <c r="H172" s="20"/>
      <c r="I172" s="20"/>
      <c r="J172" s="36"/>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I172" s="169"/>
      <c r="AJ172" s="169"/>
      <c r="AK172" s="567"/>
      <c r="AL172" s="20"/>
    </row>
    <row r="173" spans="1:38" ht="20.149999999999999" customHeight="1">
      <c r="B173" s="20"/>
      <c r="C173" s="20"/>
      <c r="D173" s="20"/>
      <c r="E173" s="20"/>
      <c r="F173" s="20"/>
      <c r="G173" s="20"/>
      <c r="H173" s="20"/>
      <c r="I173" s="20"/>
      <c r="J173" s="36"/>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I173" s="169"/>
      <c r="AJ173" s="169"/>
      <c r="AK173" s="567"/>
      <c r="AL173" s="20"/>
    </row>
    <row r="174" spans="1:38" ht="20.149999999999999" customHeight="1">
      <c r="B174" s="20"/>
      <c r="C174" s="20"/>
      <c r="D174" s="20"/>
      <c r="E174" s="20"/>
      <c r="F174" s="20"/>
      <c r="G174" s="20"/>
      <c r="H174" s="20"/>
      <c r="I174" s="20"/>
      <c r="J174" s="36"/>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I174" s="169"/>
      <c r="AJ174" s="169"/>
      <c r="AK174" s="567"/>
      <c r="AL174" s="20"/>
    </row>
    <row r="175" spans="1:38" ht="20.149999999999999" customHeight="1">
      <c r="B175" s="169"/>
      <c r="C175" s="169"/>
      <c r="D175" s="169"/>
      <c r="E175" s="169"/>
      <c r="F175" s="169"/>
      <c r="G175" s="169"/>
      <c r="H175" s="169"/>
      <c r="I175" s="169"/>
      <c r="J175" s="758"/>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I175" s="169"/>
      <c r="AJ175" s="169"/>
      <c r="AK175" s="567"/>
      <c r="AL175" s="20"/>
    </row>
    <row r="176" spans="1:38" ht="20.149999999999999" customHeight="1">
      <c r="B176" s="169"/>
      <c r="C176" s="169"/>
      <c r="D176" s="169"/>
      <c r="E176" s="169"/>
      <c r="F176" s="169"/>
      <c r="G176" s="169"/>
      <c r="H176" s="169"/>
      <c r="I176" s="169"/>
      <c r="J176" s="758"/>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row>
    <row r="177" spans="2:33" ht="20.149999999999999" customHeight="1">
      <c r="B177" s="169"/>
      <c r="C177" s="169"/>
      <c r="D177" s="169"/>
      <c r="E177" s="169"/>
      <c r="F177" s="169"/>
      <c r="G177" s="169"/>
      <c r="H177" s="169"/>
      <c r="I177" s="169"/>
      <c r="J177" s="758"/>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row>
    <row r="178" spans="2:33" ht="20.149999999999999" customHeight="1">
      <c r="B178" s="169"/>
      <c r="C178" s="169"/>
      <c r="D178" s="169"/>
      <c r="E178" s="169"/>
      <c r="F178" s="169"/>
      <c r="G178" s="169"/>
      <c r="H178" s="169"/>
      <c r="I178" s="169"/>
      <c r="J178" s="758"/>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row>
    <row r="179" spans="2:33" ht="20.149999999999999" customHeight="1">
      <c r="B179" s="169"/>
      <c r="C179" s="169"/>
      <c r="D179" s="169"/>
      <c r="E179" s="169"/>
      <c r="F179" s="169"/>
      <c r="G179" s="169"/>
      <c r="H179" s="169"/>
      <c r="I179" s="169"/>
      <c r="J179" s="758"/>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row>
    <row r="180" spans="2:33">
      <c r="B180" s="169"/>
      <c r="C180" s="169"/>
      <c r="D180" s="169"/>
      <c r="E180" s="169"/>
      <c r="F180" s="169"/>
      <c r="G180" s="169"/>
      <c r="H180" s="169"/>
      <c r="I180" s="169"/>
      <c r="J180" s="758"/>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row>
    <row r="181" spans="2:33">
      <c r="B181" s="169"/>
      <c r="C181" s="169"/>
      <c r="D181" s="169"/>
      <c r="E181" s="169"/>
      <c r="F181" s="169"/>
      <c r="G181" s="169"/>
      <c r="H181" s="169"/>
      <c r="I181" s="169"/>
      <c r="J181" s="758"/>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row>
    <row r="182" spans="2:33">
      <c r="B182" s="169"/>
      <c r="C182" s="169"/>
      <c r="D182" s="169"/>
      <c r="E182" s="169"/>
      <c r="F182" s="169"/>
      <c r="G182" s="169"/>
      <c r="H182" s="169"/>
      <c r="I182" s="169"/>
      <c r="J182" s="758"/>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row>
    <row r="183" spans="2:33">
      <c r="B183" s="169"/>
      <c r="C183" s="169"/>
      <c r="D183" s="169"/>
      <c r="E183" s="169"/>
      <c r="F183" s="169"/>
      <c r="G183" s="169"/>
      <c r="H183" s="169"/>
      <c r="I183" s="169"/>
      <c r="J183" s="758"/>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row>
    <row r="184" spans="2:33">
      <c r="B184" s="169"/>
      <c r="C184" s="169"/>
      <c r="D184" s="169"/>
      <c r="E184" s="169"/>
      <c r="F184" s="169"/>
      <c r="G184" s="169"/>
      <c r="H184" s="169"/>
      <c r="I184" s="169"/>
      <c r="J184" s="758"/>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row>
    <row r="185" spans="2:33">
      <c r="B185" s="169"/>
      <c r="C185" s="169"/>
      <c r="D185" s="169"/>
      <c r="E185" s="169"/>
      <c r="F185" s="169"/>
      <c r="G185" s="169"/>
      <c r="H185" s="169"/>
      <c r="I185" s="169"/>
      <c r="J185" s="758"/>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row>
    <row r="186" spans="2:33">
      <c r="B186" s="169"/>
      <c r="C186" s="169"/>
      <c r="D186" s="169"/>
      <c r="E186" s="169"/>
      <c r="F186" s="169"/>
      <c r="G186" s="169"/>
      <c r="H186" s="169"/>
      <c r="I186" s="169"/>
      <c r="J186" s="758"/>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row>
    <row r="187" spans="2:33">
      <c r="B187" s="169"/>
      <c r="C187" s="169"/>
      <c r="D187" s="169"/>
      <c r="E187" s="169"/>
      <c r="F187" s="169"/>
      <c r="G187" s="169"/>
      <c r="H187" s="169"/>
      <c r="I187" s="169"/>
      <c r="J187" s="758"/>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row>
    <row r="188" spans="2:33">
      <c r="B188" s="169"/>
      <c r="C188" s="169"/>
      <c r="D188" s="169"/>
      <c r="E188" s="169"/>
      <c r="F188" s="169"/>
      <c r="G188" s="169"/>
      <c r="H188" s="169"/>
      <c r="I188" s="169"/>
      <c r="J188" s="758"/>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row>
    <row r="189" spans="2:33">
      <c r="B189" s="169"/>
      <c r="C189" s="169"/>
      <c r="D189" s="169"/>
      <c r="E189" s="169"/>
      <c r="F189" s="169"/>
      <c r="G189" s="169"/>
      <c r="H189" s="169"/>
      <c r="I189" s="169"/>
      <c r="J189" s="758"/>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row>
    <row r="190" spans="2:33">
      <c r="B190" s="169"/>
      <c r="C190" s="169"/>
      <c r="D190" s="169"/>
      <c r="E190" s="169"/>
      <c r="F190" s="169"/>
      <c r="G190" s="169"/>
      <c r="H190" s="169"/>
      <c r="I190" s="169"/>
      <c r="J190" s="758"/>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row>
    <row r="191" spans="2:33">
      <c r="B191" s="169"/>
      <c r="C191" s="169"/>
      <c r="D191" s="169"/>
      <c r="E191" s="169"/>
      <c r="F191" s="169"/>
      <c r="G191" s="169"/>
      <c r="H191" s="169"/>
      <c r="I191" s="169"/>
      <c r="J191" s="758"/>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row>
    <row r="192" spans="2:33">
      <c r="B192" s="169"/>
      <c r="C192" s="169"/>
      <c r="D192" s="169"/>
      <c r="E192" s="169"/>
      <c r="F192" s="169"/>
      <c r="G192" s="169"/>
      <c r="H192" s="169"/>
      <c r="I192" s="169"/>
      <c r="J192" s="758"/>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row>
    <row r="193" spans="2:33">
      <c r="B193" s="169"/>
      <c r="C193" s="169"/>
      <c r="D193" s="169"/>
      <c r="E193" s="169"/>
      <c r="F193" s="169"/>
      <c r="G193" s="169"/>
      <c r="H193" s="169"/>
      <c r="I193" s="169"/>
      <c r="J193" s="758"/>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row>
    <row r="194" spans="2:33">
      <c r="B194" s="169"/>
      <c r="C194" s="169"/>
      <c r="D194" s="169"/>
      <c r="E194" s="169"/>
      <c r="F194" s="169"/>
      <c r="G194" s="169"/>
      <c r="H194" s="169"/>
      <c r="I194" s="169"/>
      <c r="J194" s="758"/>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row>
    <row r="195" spans="2:33">
      <c r="B195" s="169"/>
      <c r="C195" s="169"/>
      <c r="D195" s="169"/>
      <c r="E195" s="169"/>
      <c r="F195" s="169"/>
      <c r="G195" s="169"/>
      <c r="H195" s="169"/>
      <c r="I195" s="169"/>
      <c r="J195" s="758"/>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row>
    <row r="196" spans="2:33">
      <c r="B196" s="169"/>
      <c r="C196" s="169"/>
      <c r="D196" s="169"/>
      <c r="E196" s="169"/>
      <c r="F196" s="169"/>
      <c r="G196" s="169"/>
      <c r="H196" s="169"/>
      <c r="I196" s="169"/>
      <c r="J196" s="758"/>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row>
    <row r="197" spans="2:33">
      <c r="B197" s="169"/>
      <c r="C197" s="169"/>
      <c r="D197" s="169"/>
      <c r="E197" s="169"/>
      <c r="F197" s="169"/>
      <c r="G197" s="169"/>
      <c r="H197" s="169"/>
      <c r="I197" s="169"/>
      <c r="J197" s="758"/>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row>
    <row r="198" spans="2:33">
      <c r="B198" s="169"/>
      <c r="C198" s="169"/>
      <c r="D198" s="169"/>
      <c r="E198" s="169"/>
      <c r="F198" s="169"/>
      <c r="G198" s="169"/>
      <c r="H198" s="169"/>
      <c r="I198" s="169"/>
      <c r="J198" s="758"/>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row>
    <row r="199" spans="2:33">
      <c r="B199" s="169"/>
      <c r="C199" s="169"/>
      <c r="D199" s="169"/>
      <c r="E199" s="169"/>
      <c r="F199" s="169"/>
      <c r="G199" s="169"/>
      <c r="H199" s="169"/>
      <c r="I199" s="169"/>
      <c r="J199" s="758"/>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row>
    <row r="200" spans="2:33">
      <c r="B200" s="169"/>
      <c r="C200" s="169"/>
      <c r="D200" s="169"/>
      <c r="E200" s="169"/>
      <c r="F200" s="169"/>
      <c r="G200" s="169"/>
      <c r="H200" s="169"/>
      <c r="I200" s="169"/>
      <c r="J200" s="758"/>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row>
    <row r="201" spans="2:33">
      <c r="B201" s="169"/>
      <c r="C201" s="169"/>
      <c r="D201" s="169"/>
      <c r="E201" s="169"/>
      <c r="F201" s="169"/>
      <c r="G201" s="169"/>
      <c r="H201" s="169"/>
      <c r="I201" s="169"/>
      <c r="J201" s="758"/>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row>
    <row r="202" spans="2:33">
      <c r="B202" s="169"/>
      <c r="C202" s="169"/>
      <c r="D202" s="169"/>
      <c r="E202" s="169"/>
      <c r="F202" s="169"/>
      <c r="G202" s="169"/>
      <c r="H202" s="169"/>
      <c r="I202" s="169"/>
      <c r="J202" s="758"/>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row>
    <row r="203" spans="2:33">
      <c r="B203" s="169"/>
      <c r="C203" s="169"/>
      <c r="D203" s="169"/>
      <c r="E203" s="169"/>
      <c r="F203" s="169"/>
      <c r="G203" s="169"/>
      <c r="H203" s="169"/>
      <c r="I203" s="169"/>
      <c r="J203" s="758"/>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row>
    <row r="204" spans="2:33">
      <c r="B204" s="169"/>
      <c r="C204" s="169"/>
      <c r="D204" s="169"/>
      <c r="E204" s="169"/>
      <c r="F204" s="169"/>
      <c r="G204" s="169"/>
      <c r="H204" s="169"/>
      <c r="I204" s="169"/>
      <c r="J204" s="758"/>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row>
    <row r="205" spans="2:33">
      <c r="B205" s="169"/>
      <c r="C205" s="169"/>
      <c r="D205" s="169"/>
      <c r="E205" s="169"/>
      <c r="F205" s="169"/>
      <c r="G205" s="169"/>
      <c r="H205" s="169"/>
      <c r="I205" s="169"/>
      <c r="J205" s="758"/>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row>
    <row r="206" spans="2:33">
      <c r="B206" s="169"/>
      <c r="C206" s="169"/>
      <c r="D206" s="169"/>
      <c r="E206" s="169"/>
      <c r="F206" s="169"/>
      <c r="G206" s="169"/>
      <c r="H206" s="169"/>
      <c r="I206" s="169"/>
      <c r="J206" s="758"/>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row>
    <row r="207" spans="2:33">
      <c r="B207" s="169"/>
      <c r="C207" s="169"/>
      <c r="D207" s="169"/>
      <c r="E207" s="169"/>
      <c r="F207" s="169"/>
      <c r="G207" s="169"/>
      <c r="H207" s="169"/>
      <c r="I207" s="169"/>
      <c r="J207" s="758"/>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row>
    <row r="208" spans="2:33">
      <c r="B208" s="169"/>
      <c r="C208" s="169"/>
      <c r="D208" s="169"/>
      <c r="E208" s="169"/>
      <c r="F208" s="169"/>
      <c r="G208" s="169"/>
      <c r="H208" s="169"/>
      <c r="I208" s="169"/>
      <c r="J208" s="758"/>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row>
    <row r="209" spans="2:33">
      <c r="B209" s="169"/>
      <c r="C209" s="169"/>
      <c r="D209" s="169"/>
      <c r="E209" s="169"/>
      <c r="F209" s="169"/>
      <c r="G209" s="169"/>
      <c r="H209" s="169"/>
      <c r="I209" s="169"/>
      <c r="J209" s="758"/>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row>
    <row r="210" spans="2:33">
      <c r="B210" s="169"/>
      <c r="C210" s="169"/>
      <c r="D210" s="169"/>
      <c r="E210" s="169"/>
      <c r="F210" s="169"/>
      <c r="G210" s="169"/>
      <c r="H210" s="169"/>
      <c r="I210" s="169"/>
      <c r="J210" s="758"/>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row>
    <row r="211" spans="2:33">
      <c r="B211" s="169"/>
      <c r="C211" s="169"/>
      <c r="D211" s="169"/>
      <c r="E211" s="169"/>
      <c r="F211" s="169"/>
      <c r="G211" s="169"/>
      <c r="H211" s="169"/>
      <c r="I211" s="169"/>
      <c r="J211" s="758"/>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row>
    <row r="212" spans="2:33">
      <c r="B212" s="169"/>
      <c r="C212" s="169"/>
      <c r="D212" s="169"/>
      <c r="E212" s="169"/>
      <c r="F212" s="169"/>
      <c r="G212" s="169"/>
      <c r="H212" s="169"/>
      <c r="I212" s="169"/>
      <c r="J212" s="758"/>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row>
    <row r="213" spans="2:33">
      <c r="B213" s="169"/>
      <c r="C213" s="169"/>
      <c r="D213" s="169"/>
      <c r="E213" s="169"/>
      <c r="F213" s="169"/>
      <c r="G213" s="169"/>
      <c r="H213" s="169"/>
      <c r="I213" s="169"/>
      <c r="J213" s="758"/>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row>
    <row r="214" spans="2:33">
      <c r="B214" s="169"/>
      <c r="C214" s="169"/>
      <c r="D214" s="169"/>
      <c r="E214" s="169"/>
      <c r="F214" s="169"/>
      <c r="G214" s="169"/>
      <c r="H214" s="169"/>
      <c r="I214" s="169"/>
      <c r="J214" s="758"/>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row>
    <row r="215" spans="2:33">
      <c r="B215" s="169"/>
      <c r="C215" s="169"/>
      <c r="D215" s="169"/>
      <c r="E215" s="169"/>
      <c r="F215" s="169"/>
      <c r="G215" s="169"/>
      <c r="H215" s="169"/>
      <c r="I215" s="169"/>
      <c r="J215" s="758"/>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row>
    <row r="216" spans="2:33">
      <c r="B216" s="169"/>
      <c r="C216" s="169"/>
      <c r="D216" s="169"/>
      <c r="E216" s="169"/>
      <c r="F216" s="169"/>
      <c r="G216" s="169"/>
      <c r="H216" s="169"/>
      <c r="I216" s="169"/>
      <c r="J216" s="758"/>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row>
    <row r="217" spans="2:33">
      <c r="B217" s="169"/>
      <c r="C217" s="169"/>
      <c r="D217" s="169"/>
      <c r="E217" s="169"/>
      <c r="F217" s="169"/>
      <c r="G217" s="169"/>
      <c r="H217" s="169"/>
      <c r="I217" s="169"/>
      <c r="J217" s="758"/>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row>
  </sheetData>
  <mergeCells count="1">
    <mergeCell ref="AB8:AK8"/>
  </mergeCells>
  <printOptions horizontalCentered="1"/>
  <pageMargins left="0.25" right="0.25" top="0.5" bottom="0.25" header="0.3" footer="0.3"/>
  <pageSetup scale="38" firstPageNumber="21" fitToHeight="2" orientation="landscape" useFirstPageNumber="1" r:id="rId1"/>
  <headerFooter scaleWithDoc="0" alignWithMargins="0">
    <oddFooter>&amp;C&amp;8&amp;P</oddFooter>
  </headerFooter>
  <rowBreaks count="1" manualBreakCount="1">
    <brk id="89" min="1" max="36" man="1"/>
  </rowBreaks>
  <ignoredErrors>
    <ignoredError sqref="AK133:AK134 AK121:AK122 AK124:AK131 AK17:AK21 AK93:AK94 AK106:AK111 AK69:AK71 AK85 AK96:AK97 AK54:AK58 AK60:AK62 AK33:AK34 AK37:AK42 AK66:AK67 AK114:AK119 AK24:AK30 AK99:AK104 AK45:AK50 AK64" unlockedFormula="1"/>
    <ignoredError sqref="AI20 D22 AK90:AK91 AK132 AK105 AK88 AK63 AK43 AK32 AK22 Z22 AI32" formula="1"/>
    <ignoredError sqref="AK79 AK72 AK89 AK77 AK74"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6"/>
  <sheetViews>
    <sheetView showGridLines="0" zoomScale="80" workbookViewId="0"/>
  </sheetViews>
  <sheetFormatPr defaultColWidth="8.84375" defaultRowHeight="15.5"/>
  <cols>
    <col min="1" max="1" width="1.84375" style="20" customWidth="1"/>
    <col min="2" max="2" width="45.4609375" style="20" customWidth="1"/>
    <col min="3" max="3" width="1.84375" style="20" customWidth="1"/>
    <col min="4" max="4" width="12.4609375" style="20" bestFit="1" customWidth="1"/>
    <col min="5" max="5" width="1.84375" customWidth="1"/>
    <col min="6" max="6" width="12.07421875" style="20" bestFit="1" customWidth="1"/>
    <col min="7" max="7" width="1.84375" customWidth="1"/>
    <col min="8" max="8" width="15" style="20" customWidth="1"/>
    <col min="9" max="9" width="1.84375" customWidth="1"/>
    <col min="10" max="10" width="16.07421875" style="20" customWidth="1"/>
    <col min="11" max="11" width="1.84375" customWidth="1"/>
    <col min="12" max="12" width="13.4609375" style="20" customWidth="1"/>
    <col min="13" max="13" width="1.84375" customWidth="1"/>
    <col min="14" max="14" width="14.07421875" style="20" customWidth="1"/>
    <col min="15" max="15" width="1.84375" customWidth="1"/>
    <col min="16" max="16" width="14.07421875" style="20" customWidth="1"/>
    <col min="17" max="17" width="1.84375" customWidth="1"/>
    <col min="18" max="18" width="14.07421875" style="20" customWidth="1"/>
    <col min="19" max="19" width="1.84375" customWidth="1"/>
    <col min="20" max="20" width="14.07421875" style="20" customWidth="1"/>
    <col min="21" max="21" width="1.84375" customWidth="1"/>
    <col min="22" max="22" width="14.07421875" style="20" customWidth="1"/>
    <col min="23" max="23" width="1.84375" customWidth="1"/>
    <col min="24" max="24" width="14.07421875" style="20" customWidth="1"/>
    <col min="25" max="25" width="1.84375" customWidth="1"/>
    <col min="26" max="26" width="14.07421875" style="20" customWidth="1"/>
    <col min="27" max="27" width="1.84375" style="20" customWidth="1"/>
    <col min="28" max="28" width="14.07421875" style="20" bestFit="1" customWidth="1"/>
    <col min="29" max="29" width="1.84375" style="20" customWidth="1"/>
    <col min="30" max="30" width="12.53515625" style="20" bestFit="1" customWidth="1"/>
    <col min="31" max="31" width="1.4609375" style="20" customWidth="1"/>
    <col min="32" max="32" width="1.07421875" style="20" customWidth="1"/>
    <col min="33" max="33" width="12.53515625" style="20" bestFit="1" customWidth="1"/>
    <col min="34" max="35" width="0.84375" style="20" customWidth="1"/>
    <col min="36" max="36" width="12.84375" style="20" customWidth="1"/>
    <col min="37" max="37" width="0.84375" style="20" customWidth="1"/>
    <col min="38" max="38" width="11.84375" style="646" bestFit="1" customWidth="1"/>
    <col min="39" max="16384" width="8.84375" style="20"/>
  </cols>
  <sheetData>
    <row r="1" spans="1:43">
      <c r="B1" s="489" t="s">
        <v>868</v>
      </c>
    </row>
    <row r="2" spans="1:43">
      <c r="N2" s="19"/>
    </row>
    <row r="3" spans="1:43" ht="18">
      <c r="B3" s="171" t="s">
        <v>0</v>
      </c>
      <c r="N3" s="19"/>
      <c r="AE3" s="21"/>
      <c r="AF3" s="21"/>
      <c r="AG3" s="21"/>
      <c r="AH3" s="21"/>
      <c r="AI3" s="21"/>
      <c r="AJ3" s="21"/>
      <c r="AK3" s="21"/>
      <c r="AL3" s="276" t="s">
        <v>165</v>
      </c>
    </row>
    <row r="4" spans="1:43" ht="18">
      <c r="B4" s="171" t="s">
        <v>1063</v>
      </c>
      <c r="L4" s="19"/>
    </row>
    <row r="5" spans="1:43" ht="18">
      <c r="B5" s="974" t="s">
        <v>145</v>
      </c>
      <c r="L5" s="21"/>
      <c r="X5" s="185"/>
    </row>
    <row r="6" spans="1:43" ht="20">
      <c r="B6" s="974" t="str">
        <f>'Cashflow Governmental'!A6</f>
        <v xml:space="preserve">FISCAL YEAR 2022-2023   </v>
      </c>
      <c r="L6" s="21"/>
      <c r="T6" s="646" t="s">
        <v>14</v>
      </c>
      <c r="AL6" s="1758"/>
    </row>
    <row r="7" spans="1:43" ht="18">
      <c r="B7" s="171" t="s">
        <v>1249</v>
      </c>
      <c r="AI7" s="21"/>
      <c r="AJ7" s="21"/>
      <c r="AK7" s="21"/>
      <c r="AL7" s="499"/>
    </row>
    <row r="8" spans="1:43">
      <c r="L8" s="21"/>
      <c r="N8" s="21"/>
      <c r="AC8" s="21"/>
      <c r="AD8" s="21"/>
      <c r="AE8" s="21"/>
      <c r="AF8" s="21"/>
      <c r="AG8" s="21"/>
      <c r="AH8" s="21"/>
      <c r="AI8" s="21"/>
      <c r="AJ8" s="21"/>
      <c r="AK8" s="21"/>
      <c r="AL8" s="499"/>
    </row>
    <row r="9" spans="1:43" s="169" customFormat="1" ht="19.5" customHeight="1">
      <c r="D9" s="169" t="s">
        <v>14</v>
      </c>
      <c r="E9" s="469" t="s">
        <v>14</v>
      </c>
      <c r="G9"/>
      <c r="I9"/>
      <c r="K9"/>
      <c r="L9" s="183"/>
      <c r="M9"/>
      <c r="N9" s="183"/>
      <c r="O9"/>
      <c r="Q9"/>
      <c r="S9"/>
      <c r="U9"/>
      <c r="W9"/>
      <c r="Y9"/>
      <c r="AB9" s="132" t="s">
        <v>1151</v>
      </c>
      <c r="AC9" s="2317" t="s">
        <v>1559</v>
      </c>
      <c r="AD9" s="2317"/>
      <c r="AE9" s="2317"/>
      <c r="AF9" s="2317"/>
      <c r="AG9" s="2317"/>
      <c r="AH9" s="2317"/>
      <c r="AI9" s="2317"/>
      <c r="AJ9" s="2317"/>
      <c r="AK9" s="2317"/>
      <c r="AL9" s="2317"/>
    </row>
    <row r="10" spans="1:43">
      <c r="D10" s="537" t="str">
        <f>'Cashflow Governmental'!C13</f>
        <v>2022</v>
      </c>
      <c r="F10" s="19"/>
      <c r="H10" s="19"/>
      <c r="J10" s="19"/>
      <c r="L10" s="19"/>
      <c r="N10" s="19"/>
      <c r="P10" s="19"/>
      <c r="R10" s="19"/>
      <c r="T10" s="19"/>
      <c r="V10" s="537">
        <f>'Cashflow Governmental'!U13</f>
        <v>2023</v>
      </c>
      <c r="X10" s="19"/>
      <c r="Z10" s="19"/>
      <c r="AA10" s="19"/>
      <c r="AB10" s="132" t="s">
        <v>1152</v>
      </c>
      <c r="AC10" s="19"/>
      <c r="AD10" s="138"/>
      <c r="AE10" s="138"/>
      <c r="AF10" s="138"/>
      <c r="AG10" s="138"/>
      <c r="AH10" s="138"/>
      <c r="AI10" s="138"/>
      <c r="AJ10" s="544" t="s">
        <v>7</v>
      </c>
      <c r="AK10" s="138"/>
      <c r="AL10" s="545" t="s">
        <v>8</v>
      </c>
      <c r="AM10" s="138"/>
      <c r="AN10" s="138"/>
      <c r="AO10" s="138"/>
      <c r="AP10" s="138"/>
      <c r="AQ10" s="138"/>
    </row>
    <row r="11" spans="1:43">
      <c r="D11" s="132" t="s">
        <v>122</v>
      </c>
      <c r="F11" s="132" t="s">
        <v>123</v>
      </c>
      <c r="H11" s="132" t="s">
        <v>124</v>
      </c>
      <c r="J11" s="132" t="s">
        <v>125</v>
      </c>
      <c r="L11" s="745" t="s">
        <v>126</v>
      </c>
      <c r="N11" s="132" t="s">
        <v>141</v>
      </c>
      <c r="P11" s="132" t="s">
        <v>142</v>
      </c>
      <c r="R11" s="132" t="s">
        <v>129</v>
      </c>
      <c r="T11" s="132" t="s">
        <v>130</v>
      </c>
      <c r="V11" s="132" t="s">
        <v>131</v>
      </c>
      <c r="X11" s="132" t="s">
        <v>132</v>
      </c>
      <c r="Z11" s="132" t="s">
        <v>182</v>
      </c>
      <c r="AA11" s="132"/>
      <c r="AB11" s="745" t="s">
        <v>1153</v>
      </c>
      <c r="AC11" s="19"/>
      <c r="AD11" s="537">
        <f>'Cashflow Governmental'!AB14</f>
        <v>2023</v>
      </c>
      <c r="AE11" s="19" t="s">
        <v>14</v>
      </c>
      <c r="AF11" s="138"/>
      <c r="AG11" s="537">
        <f>'Cashflow Governmental'!AE14</f>
        <v>2022</v>
      </c>
      <c r="AH11" s="537"/>
      <c r="AI11" s="138"/>
      <c r="AJ11" s="546" t="s">
        <v>11</v>
      </c>
      <c r="AK11" s="138"/>
      <c r="AL11" s="546" t="s">
        <v>12</v>
      </c>
      <c r="AM11" s="138"/>
      <c r="AN11" s="138"/>
      <c r="AO11" s="138"/>
      <c r="AP11" s="138"/>
      <c r="AQ11" s="138"/>
    </row>
    <row r="12" spans="1:43" ht="5.25" customHeight="1">
      <c r="D12" s="29"/>
      <c r="F12" s="29"/>
      <c r="H12" s="29"/>
      <c r="J12" s="29"/>
      <c r="L12" s="29"/>
      <c r="N12" s="29"/>
      <c r="P12" s="29"/>
      <c r="R12" s="29"/>
      <c r="T12" s="29"/>
      <c r="V12" s="29"/>
      <c r="X12" s="29"/>
      <c r="Z12" s="29"/>
      <c r="AD12" s="29"/>
      <c r="AG12" s="29"/>
      <c r="AI12" s="187"/>
    </row>
    <row r="13" spans="1:43" ht="15" customHeight="1">
      <c r="A13" s="21"/>
      <c r="B13" s="117" t="s">
        <v>1115</v>
      </c>
      <c r="C13" s="21"/>
      <c r="D13" s="65">
        <f>'Exhibit G State'!D13+'Exhibit G Federal'!D13</f>
        <v>21938.2</v>
      </c>
      <c r="F13" s="65">
        <f>D124</f>
        <v>22805.7</v>
      </c>
      <c r="H13" s="65">
        <f>F124</f>
        <v>24032</v>
      </c>
      <c r="J13" s="65">
        <f>H124</f>
        <v>25686.3</v>
      </c>
      <c r="L13" s="65">
        <f>J124</f>
        <v>24862.2</v>
      </c>
      <c r="N13" s="65">
        <f>L124</f>
        <v>24260.6</v>
      </c>
      <c r="P13" s="65">
        <f>N124</f>
        <v>25314.400000000001</v>
      </c>
      <c r="R13" s="65">
        <f>P124</f>
        <v>24471</v>
      </c>
      <c r="S13" s="65"/>
      <c r="T13" s="65">
        <f t="shared" ref="T13" si="0">R124</f>
        <v>22721.7</v>
      </c>
      <c r="U13" s="65"/>
      <c r="V13" s="65">
        <f t="shared" ref="V13" si="1">T124</f>
        <v>23117.3</v>
      </c>
      <c r="W13" s="65"/>
      <c r="X13" s="65">
        <f t="shared" ref="X13" si="2">V124</f>
        <v>25407.9</v>
      </c>
      <c r="Y13" s="65"/>
      <c r="Z13" s="65">
        <f t="shared" ref="Z13" si="3">X124</f>
        <v>25555.599999999999</v>
      </c>
      <c r="AA13" s="65"/>
      <c r="AB13" s="65">
        <v>0</v>
      </c>
      <c r="AC13" s="66"/>
      <c r="AD13" s="65">
        <f>D13</f>
        <v>21938.2</v>
      </c>
      <c r="AE13" s="65"/>
      <c r="AF13" s="66"/>
      <c r="AG13" s="216">
        <f>'Exhibit G State'!AG13+'Exhibit G Federal'!AG13</f>
        <v>10669.3</v>
      </c>
      <c r="AH13" s="188"/>
      <c r="AI13" s="65"/>
      <c r="AJ13" s="121">
        <f>AD13-AG13</f>
        <v>11268.900000000001</v>
      </c>
      <c r="AK13" s="1477"/>
      <c r="AL13" s="189">
        <f>(AD13-AG13)/AG13</f>
        <v>1.0561986259642153</v>
      </c>
      <c r="AM13" s="185"/>
      <c r="AN13" s="185"/>
      <c r="AO13" s="185"/>
      <c r="AP13" s="185"/>
      <c r="AQ13" s="185"/>
    </row>
    <row r="14" spans="1:43" ht="15" customHeight="1">
      <c r="A14" s="21"/>
      <c r="B14" s="21"/>
      <c r="C14" s="21"/>
      <c r="AC14" s="140"/>
      <c r="AF14" s="140"/>
      <c r="AH14" s="190"/>
      <c r="AL14" s="488"/>
    </row>
    <row r="15" spans="1:43" ht="15" customHeight="1">
      <c r="A15" s="21"/>
      <c r="B15" s="19" t="s">
        <v>13</v>
      </c>
      <c r="C15" s="21"/>
      <c r="D15" s="36"/>
      <c r="F15" s="36"/>
      <c r="H15" s="36"/>
      <c r="J15" s="36"/>
      <c r="L15" s="36"/>
      <c r="N15" s="36"/>
      <c r="P15" s="36"/>
      <c r="R15" s="36"/>
      <c r="T15" s="36"/>
      <c r="V15" s="36"/>
      <c r="X15" s="36"/>
      <c r="Z15" s="36"/>
      <c r="AA15" s="36"/>
      <c r="AB15" s="36"/>
      <c r="AC15" s="37"/>
      <c r="AD15" s="36"/>
      <c r="AE15" s="36"/>
      <c r="AF15" s="37"/>
      <c r="AG15" s="36"/>
      <c r="AH15" s="191"/>
      <c r="AI15" s="36"/>
      <c r="AJ15" s="36"/>
      <c r="AL15" s="488"/>
    </row>
    <row r="16" spans="1:43" ht="15" customHeight="1">
      <c r="A16" s="21"/>
      <c r="B16" s="117" t="s">
        <v>978</v>
      </c>
      <c r="C16" s="21"/>
      <c r="D16" s="36"/>
      <c r="F16" s="36"/>
      <c r="H16" s="36"/>
      <c r="J16" s="36"/>
      <c r="L16" s="36"/>
      <c r="N16" s="36"/>
      <c r="P16" s="36"/>
      <c r="R16" s="36"/>
      <c r="T16" s="36"/>
      <c r="V16" s="36"/>
      <c r="X16" s="36"/>
      <c r="Z16" s="36"/>
      <c r="AA16" s="36"/>
      <c r="AB16" s="36"/>
      <c r="AC16" s="37"/>
      <c r="AD16" s="36"/>
      <c r="AE16" s="36"/>
      <c r="AF16" s="37"/>
      <c r="AG16" s="36"/>
      <c r="AH16" s="191"/>
      <c r="AI16" s="36"/>
      <c r="AJ16" s="36"/>
      <c r="AL16" s="488"/>
    </row>
    <row r="17" spans="1:38" s="138" customFormat="1" ht="15" customHeight="1">
      <c r="A17" s="19"/>
      <c r="B17" s="739" t="s">
        <v>981</v>
      </c>
      <c r="C17" s="19"/>
      <c r="D17" s="467">
        <f>'Exhibit G State'!D17</f>
        <v>0</v>
      </c>
      <c r="E17" s="467"/>
      <c r="F17" s="467">
        <f>'Exhibit G State'!F17</f>
        <v>0</v>
      </c>
      <c r="G17" s="467"/>
      <c r="H17" s="467">
        <f>'Exhibit G State'!H17</f>
        <v>0</v>
      </c>
      <c r="I17"/>
      <c r="J17" s="467">
        <f>'Exhibit G State'!J17</f>
        <v>0</v>
      </c>
      <c r="K17"/>
      <c r="L17" s="467">
        <f>'Exhibit G State'!L17</f>
        <v>0</v>
      </c>
      <c r="M17"/>
      <c r="N17" s="467">
        <f>'Exhibit G State'!N17</f>
        <v>0</v>
      </c>
      <c r="O17"/>
      <c r="P17" s="467">
        <f>'Exhibit G State'!P17</f>
        <v>1.1000000000000001</v>
      </c>
      <c r="Q17"/>
      <c r="R17" s="467">
        <f>'Exhibit G State'!R17</f>
        <v>0</v>
      </c>
      <c r="S17" s="467"/>
      <c r="T17" s="467">
        <f>'Exhibit G State'!T17</f>
        <v>17.5</v>
      </c>
      <c r="U17" s="467"/>
      <c r="V17" s="467">
        <f>'Exhibit G State'!V17</f>
        <v>1711</v>
      </c>
      <c r="W17" s="467"/>
      <c r="X17" s="467">
        <f>'Exhibit G State'!X17</f>
        <v>0</v>
      </c>
      <c r="Y17" s="467"/>
      <c r="Z17" s="467">
        <f>'Exhibit G State'!Z17</f>
        <v>51.600000000000136</v>
      </c>
      <c r="AA17" s="467"/>
      <c r="AB17" s="467">
        <v>0</v>
      </c>
      <c r="AC17" s="66"/>
      <c r="AD17" s="467">
        <f>ROUND(SUM(D17:Z17),1)</f>
        <v>1781.2</v>
      </c>
      <c r="AE17" s="467"/>
      <c r="AF17" s="939"/>
      <c r="AG17" s="493">
        <f>'Exhibit G State'!AG17</f>
        <v>1904.2</v>
      </c>
      <c r="AH17" s="930"/>
      <c r="AI17" s="467"/>
      <c r="AJ17" s="467">
        <f>ROUND(SUM(+AD17-AG17),1)</f>
        <v>-123</v>
      </c>
      <c r="AK17" s="35"/>
      <c r="AL17" s="469">
        <f>ROUND(IF(AG17=0,0,AJ17/ABS(AG17)),3)</f>
        <v>-6.5000000000000002E-2</v>
      </c>
    </row>
    <row r="18" spans="1:38" s="138" customFormat="1" ht="6" customHeight="1">
      <c r="A18" s="19"/>
      <c r="B18" s="739"/>
      <c r="C18" s="19"/>
      <c r="D18" s="1478"/>
      <c r="E18"/>
      <c r="F18" s="1478"/>
      <c r="G18"/>
      <c r="H18" s="1478"/>
      <c r="I18"/>
      <c r="J18" s="1478"/>
      <c r="K18"/>
      <c r="L18" s="1478"/>
      <c r="M18"/>
      <c r="N18" s="1478"/>
      <c r="O18"/>
      <c r="P18" s="1478"/>
      <c r="Q18"/>
      <c r="R18" s="1478"/>
      <c r="S18" s="1478"/>
      <c r="T18" s="1478"/>
      <c r="U18" s="1478"/>
      <c r="V18" s="1478"/>
      <c r="W18"/>
      <c r="X18" s="1478"/>
      <c r="Y18" s="1478"/>
      <c r="Z18" s="1478"/>
      <c r="AA18" s="1478"/>
      <c r="AB18" s="65"/>
      <c r="AC18" s="66"/>
      <c r="AD18" s="479"/>
      <c r="AE18" s="479"/>
      <c r="AF18" s="829"/>
      <c r="AG18" s="481"/>
      <c r="AH18" s="1885"/>
      <c r="AI18" s="479"/>
      <c r="AJ18" s="479"/>
      <c r="AK18" s="35"/>
      <c r="AL18" s="469"/>
    </row>
    <row r="19" spans="1:38" ht="15" customHeight="1">
      <c r="A19" s="21"/>
      <c r="B19" s="739" t="s">
        <v>1037</v>
      </c>
      <c r="C19" s="21"/>
      <c r="D19" s="36"/>
      <c r="F19" s="36"/>
      <c r="H19" s="36"/>
      <c r="J19" s="36"/>
      <c r="L19" s="36"/>
      <c r="N19" s="36"/>
      <c r="P19" s="36"/>
      <c r="R19" s="36"/>
      <c r="S19" s="36"/>
      <c r="T19" s="36"/>
      <c r="U19" s="36"/>
      <c r="V19" s="36"/>
      <c r="X19" s="36"/>
      <c r="Y19" s="36"/>
      <c r="Z19" s="36"/>
      <c r="AA19" s="36"/>
      <c r="AB19" s="36"/>
      <c r="AC19" s="37"/>
      <c r="AD19" s="42"/>
      <c r="AE19" s="42"/>
      <c r="AF19" s="44"/>
      <c r="AG19" s="42"/>
      <c r="AH19" s="197"/>
      <c r="AI19" s="42"/>
      <c r="AJ19" s="42"/>
      <c r="AK19" s="138"/>
      <c r="AL19" s="189"/>
    </row>
    <row r="20" spans="1:38" ht="15" customHeight="1">
      <c r="A20" s="21"/>
      <c r="B20" s="755" t="s">
        <v>993</v>
      </c>
      <c r="C20" s="21"/>
      <c r="D20" s="467">
        <f>'Exhibit G State'!D20</f>
        <v>135.1</v>
      </c>
      <c r="E20" s="467"/>
      <c r="F20" s="467">
        <f>'Exhibit G State'!F20</f>
        <v>87</v>
      </c>
      <c r="G20" s="467"/>
      <c r="H20" s="467">
        <f>'Exhibit G State'!H20</f>
        <v>128.00000000000003</v>
      </c>
      <c r="J20" s="467">
        <f>'Exhibit G State'!J20</f>
        <v>93.4</v>
      </c>
      <c r="L20" s="467">
        <f>'Exhibit G State'!L20</f>
        <v>90.500000000000028</v>
      </c>
      <c r="N20" s="467">
        <f>'Exhibit G State'!N20</f>
        <v>123.89999999999992</v>
      </c>
      <c r="P20" s="467">
        <f>'Exhibit G State'!P20</f>
        <v>97.000000000000028</v>
      </c>
      <c r="R20" s="467">
        <f>'Exhibit G State'!R20</f>
        <v>94.9</v>
      </c>
      <c r="S20" s="467"/>
      <c r="T20" s="467">
        <f>'Exhibit G State'!T20</f>
        <v>120.70000000000005</v>
      </c>
      <c r="U20" s="467"/>
      <c r="V20" s="467">
        <f>'Exhibit G State'!V20</f>
        <v>105.09999999999988</v>
      </c>
      <c r="W20" s="467"/>
      <c r="X20" s="467">
        <f>'Exhibit G State'!X20</f>
        <v>90.000000000000142</v>
      </c>
      <c r="Y20" s="467"/>
      <c r="Z20" s="467">
        <f>'Exhibit G State'!Z20</f>
        <v>51.400000000000091</v>
      </c>
      <c r="AA20" s="467"/>
      <c r="AB20" s="36">
        <v>0</v>
      </c>
      <c r="AC20" s="37"/>
      <c r="AD20" s="36">
        <f>ROUND(SUM(D20:Z20),1)</f>
        <v>1217</v>
      </c>
      <c r="AE20" s="36"/>
      <c r="AF20" s="37"/>
      <c r="AG20" s="493">
        <f>'Exhibit G State'!AG20</f>
        <v>1089</v>
      </c>
      <c r="AH20" s="191"/>
      <c r="AI20" s="36"/>
      <c r="AJ20" s="467">
        <f t="shared" ref="AJ20:AJ27" si="4">ROUND(SUM(+AD20-AG20),1)</f>
        <v>128</v>
      </c>
      <c r="AK20" s="35"/>
      <c r="AL20" s="469">
        <f t="shared" ref="AL20:AL26" si="5">ROUND(IF(AG20=0,0,AJ20/ABS(AG20)),3)</f>
        <v>0.11799999999999999</v>
      </c>
    </row>
    <row r="21" spans="1:38" ht="15" customHeight="1">
      <c r="A21" s="21"/>
      <c r="B21" s="755" t="s">
        <v>994</v>
      </c>
      <c r="C21" s="21"/>
      <c r="D21" s="467">
        <f>'Exhibit G State'!D21</f>
        <v>1.8</v>
      </c>
      <c r="E21" s="467"/>
      <c r="F21" s="467">
        <f>'Exhibit G State'!F21</f>
        <v>0</v>
      </c>
      <c r="G21" s="467"/>
      <c r="H21" s="467">
        <f>'Exhibit G State'!H21</f>
        <v>6.3</v>
      </c>
      <c r="J21" s="467">
        <f>'Exhibit G State'!J21</f>
        <v>0</v>
      </c>
      <c r="L21" s="467">
        <f>'Exhibit G State'!L21</f>
        <v>0</v>
      </c>
      <c r="N21" s="467">
        <f>'Exhibit G State'!N21</f>
        <v>8.8999999999999986</v>
      </c>
      <c r="P21" s="467">
        <f>'Exhibit G State'!P21</f>
        <v>0</v>
      </c>
      <c r="R21" s="467">
        <f>'Exhibit G State'!R21</f>
        <v>0</v>
      </c>
      <c r="S21" s="467"/>
      <c r="T21" s="467">
        <f>'Exhibit G State'!T21</f>
        <v>7</v>
      </c>
      <c r="U21" s="467"/>
      <c r="V21" s="467">
        <f>'Exhibit G State'!V21</f>
        <v>0</v>
      </c>
      <c r="W21" s="467"/>
      <c r="X21" s="467">
        <f>'Exhibit G State'!X21</f>
        <v>0.10000000000000142</v>
      </c>
      <c r="Y21" s="467"/>
      <c r="Z21" s="467">
        <f>'Exhibit G State'!Z21</f>
        <v>3.8999999999999986</v>
      </c>
      <c r="AA21" s="467"/>
      <c r="AB21" s="36">
        <v>0</v>
      </c>
      <c r="AC21" s="37"/>
      <c r="AD21" s="36">
        <f>ROUND(SUM(D21:Z21),1)</f>
        <v>28</v>
      </c>
      <c r="AE21" s="36"/>
      <c r="AF21" s="37"/>
      <c r="AG21" s="493">
        <f>'Exhibit G State'!AG21</f>
        <v>22</v>
      </c>
      <c r="AH21" s="191"/>
      <c r="AI21" s="36"/>
      <c r="AJ21" s="467">
        <f t="shared" si="4"/>
        <v>6</v>
      </c>
      <c r="AK21" s="35"/>
      <c r="AL21" s="978">
        <f>ROUND(IF(AG21=0,1,AJ21/ABS(AG21)),3)</f>
        <v>0.27300000000000002</v>
      </c>
    </row>
    <row r="22" spans="1:38" ht="15" customHeight="1">
      <c r="A22" s="21"/>
      <c r="B22" s="755" t="s">
        <v>995</v>
      </c>
      <c r="C22" s="21"/>
      <c r="D22" s="467">
        <f>'Exhibit G State'!D22</f>
        <v>57.699999999999996</v>
      </c>
      <c r="E22" s="467"/>
      <c r="F22" s="467">
        <f>'Exhibit G State'!F22</f>
        <v>51.70000000000001</v>
      </c>
      <c r="G22" s="467"/>
      <c r="H22" s="467">
        <f>'Exhibit G State'!H22</f>
        <v>56.599999999999987</v>
      </c>
      <c r="J22" s="467">
        <f>'Exhibit G State'!J22</f>
        <v>52.9</v>
      </c>
      <c r="L22" s="467">
        <f>'Exhibit G State'!L22</f>
        <v>57.999999999999964</v>
      </c>
      <c r="N22" s="467">
        <f>'Exhibit G State'!N22</f>
        <v>50.800000000000018</v>
      </c>
      <c r="P22" s="467">
        <f>'Exhibit G State'!P22</f>
        <v>53.400000000000055</v>
      </c>
      <c r="R22" s="467">
        <f>'Exhibit G State'!R22</f>
        <v>49.999999999999979</v>
      </c>
      <c r="S22" s="467"/>
      <c r="T22" s="467">
        <f>'Exhibit G State'!T22</f>
        <v>47.000000000000078</v>
      </c>
      <c r="U22" s="467"/>
      <c r="V22" s="467">
        <f>'Exhibit G State'!V22</f>
        <v>54.299999999999962</v>
      </c>
      <c r="W22" s="467"/>
      <c r="X22" s="467">
        <f>'Exhibit G State'!X22</f>
        <v>34.700000000000067</v>
      </c>
      <c r="Y22" s="467"/>
      <c r="Z22" s="467">
        <f>'Exhibit G State'!Z22</f>
        <v>27.39999999999992</v>
      </c>
      <c r="AA22" s="467"/>
      <c r="AB22" s="36">
        <v>0</v>
      </c>
      <c r="AC22" s="37"/>
      <c r="AD22" s="36">
        <f t="shared" ref="AD22:AD27" si="6">ROUND(SUM(D22:Z22),1)</f>
        <v>594.5</v>
      </c>
      <c r="AE22" s="36"/>
      <c r="AF22" s="37"/>
      <c r="AG22" s="493">
        <f>'Exhibit G State'!AG22</f>
        <v>664.6</v>
      </c>
      <c r="AH22" s="191"/>
      <c r="AI22" s="36"/>
      <c r="AJ22" s="467">
        <f t="shared" si="4"/>
        <v>-70.099999999999994</v>
      </c>
      <c r="AK22" s="35"/>
      <c r="AL22" s="469">
        <f t="shared" si="5"/>
        <v>-0.105</v>
      </c>
    </row>
    <row r="23" spans="1:38" ht="15" customHeight="1">
      <c r="A23" s="21"/>
      <c r="B23" s="489" t="s">
        <v>1442</v>
      </c>
      <c r="C23" s="21"/>
      <c r="D23" s="467">
        <f>'Exhibit G State'!D23</f>
        <v>1</v>
      </c>
      <c r="E23" s="467"/>
      <c r="F23" s="467">
        <f>'Exhibit G State'!F23</f>
        <v>1.2000000000000002</v>
      </c>
      <c r="G23" s="467"/>
      <c r="H23" s="467">
        <f>'Exhibit G State'!H23</f>
        <v>1</v>
      </c>
      <c r="J23" s="467">
        <f>'Exhibit G State'!J23</f>
        <v>1</v>
      </c>
      <c r="L23" s="467">
        <f>'Exhibit G State'!L23</f>
        <v>0.89999999999999947</v>
      </c>
      <c r="N23" s="467">
        <f>'Exhibit G State'!N23</f>
        <v>1</v>
      </c>
      <c r="P23" s="467">
        <f>'Exhibit G State'!P23</f>
        <v>0.90000000000000036</v>
      </c>
      <c r="R23" s="467">
        <f>'Exhibit G State'!R23</f>
        <v>0.90000000000000036</v>
      </c>
      <c r="S23" s="467"/>
      <c r="T23" s="467">
        <f>'Exhibit G State'!T23</f>
        <v>1</v>
      </c>
      <c r="U23" s="467"/>
      <c r="V23" s="467">
        <f>'Exhibit G State'!V23</f>
        <v>1.0999999999999996</v>
      </c>
      <c r="W23" s="467"/>
      <c r="X23" s="467">
        <f>'Exhibit G State'!X23</f>
        <v>0.8000000000000016</v>
      </c>
      <c r="Y23" s="467"/>
      <c r="Z23" s="467">
        <f>'Exhibit G State'!Z23</f>
        <v>1.7999999999999972</v>
      </c>
      <c r="AA23" s="467"/>
      <c r="AB23" s="36">
        <v>0</v>
      </c>
      <c r="AC23" s="37"/>
      <c r="AD23" s="36">
        <f t="shared" si="6"/>
        <v>12.6</v>
      </c>
      <c r="AE23" s="36"/>
      <c r="AF23" s="37"/>
      <c r="AG23" s="493">
        <f>'Exhibit G State'!AG23</f>
        <v>12.9</v>
      </c>
      <c r="AH23" s="191"/>
      <c r="AI23" s="36"/>
      <c r="AJ23" s="467">
        <f>ROUND(SUM(+AD23-AG23),1)</f>
        <v>-0.3</v>
      </c>
      <c r="AK23" s="35"/>
      <c r="AL23" s="469">
        <f>ROUND(IF(AG23=0,1,AJ23/ABS(AG23)),3)</f>
        <v>-2.3E-2</v>
      </c>
    </row>
    <row r="24" spans="1:38" ht="15" customHeight="1">
      <c r="A24" s="21"/>
      <c r="B24" s="755" t="s">
        <v>996</v>
      </c>
      <c r="C24" s="21"/>
      <c r="D24" s="467">
        <f>'Exhibit G State'!D24</f>
        <v>6</v>
      </c>
      <c r="E24" s="467"/>
      <c r="F24" s="467">
        <f>'Exhibit G State'!F24</f>
        <v>8</v>
      </c>
      <c r="G24" s="467"/>
      <c r="H24" s="467">
        <f>'Exhibit G State'!H24</f>
        <v>4.3000000000000007</v>
      </c>
      <c r="J24" s="467">
        <f>'Exhibit G State'!J24</f>
        <v>-0.30000000000000071</v>
      </c>
      <c r="L24" s="467">
        <f>'Exhibit G State'!L24</f>
        <v>-0.30000000000000071</v>
      </c>
      <c r="N24" s="467">
        <f>'Exhibit G State'!N24</f>
        <v>-0.30000000000000071</v>
      </c>
      <c r="P24" s="467">
        <f>'Exhibit G State'!P24</f>
        <v>-0.29999999999999716</v>
      </c>
      <c r="R24" s="467">
        <f>'Exhibit G State'!R24</f>
        <v>-0.40000000000000213</v>
      </c>
      <c r="S24" s="467"/>
      <c r="T24" s="467">
        <f>'Exhibit G State'!T24</f>
        <v>0</v>
      </c>
      <c r="U24" s="467"/>
      <c r="V24" s="467">
        <f>'Exhibit G State'!V24</f>
        <v>5.1000000000000014</v>
      </c>
      <c r="W24" s="467"/>
      <c r="X24" s="467">
        <f>'Exhibit G State'!X24</f>
        <v>8.1999999999999993</v>
      </c>
      <c r="Y24" s="467"/>
      <c r="Z24" s="467">
        <f>'Exhibit G State'!Z24</f>
        <v>8</v>
      </c>
      <c r="AA24" s="467"/>
      <c r="AB24" s="36">
        <v>0</v>
      </c>
      <c r="AC24" s="37"/>
      <c r="AD24" s="36">
        <f>ROUND(SUM(D24:Z24),1)</f>
        <v>38</v>
      </c>
      <c r="AE24" s="36"/>
      <c r="AF24" s="37"/>
      <c r="AG24" s="493">
        <f>'Exhibit G State'!AG24</f>
        <v>105.6</v>
      </c>
      <c r="AH24" s="191"/>
      <c r="AI24" s="36"/>
      <c r="AJ24" s="467">
        <f t="shared" si="4"/>
        <v>-67.599999999999994</v>
      </c>
      <c r="AK24" s="35"/>
      <c r="AL24" s="469">
        <f t="shared" si="5"/>
        <v>-0.64</v>
      </c>
    </row>
    <row r="25" spans="1:38" ht="15" customHeight="1">
      <c r="A25" s="21"/>
      <c r="B25" s="755" t="s">
        <v>1537</v>
      </c>
      <c r="C25" s="21"/>
      <c r="D25" s="467">
        <f>'Exhibit G State'!D25</f>
        <v>0</v>
      </c>
      <c r="E25" s="467"/>
      <c r="F25" s="467">
        <f>'Exhibit G State'!F25</f>
        <v>0</v>
      </c>
      <c r="G25" s="467"/>
      <c r="H25" s="467">
        <f>'Exhibit G State'!H25</f>
        <v>0</v>
      </c>
      <c r="J25" s="467">
        <f>'Exhibit G State'!J25</f>
        <v>0</v>
      </c>
      <c r="L25" s="467">
        <f>'Exhibit G State'!L25</f>
        <v>0</v>
      </c>
      <c r="N25" s="467">
        <f>'Exhibit G State'!N25</f>
        <v>0</v>
      </c>
      <c r="P25" s="467">
        <f>'Exhibit G State'!P25</f>
        <v>0</v>
      </c>
      <c r="R25" s="467">
        <f>'Exhibit G State'!R25</f>
        <v>0</v>
      </c>
      <c r="S25" s="467"/>
      <c r="T25" s="467">
        <f>'Exhibit G State'!T25</f>
        <v>0.1</v>
      </c>
      <c r="U25" s="467"/>
      <c r="V25" s="467">
        <f>'Exhibit G State'!V25</f>
        <v>0</v>
      </c>
      <c r="W25" s="467"/>
      <c r="X25" s="467">
        <f>'Exhibit G State'!X25</f>
        <v>0</v>
      </c>
      <c r="Y25" s="467"/>
      <c r="Z25" s="467">
        <f>'Exhibit G State'!Z25</f>
        <v>-0.1</v>
      </c>
      <c r="AA25" s="467"/>
      <c r="AB25" s="36">
        <v>0</v>
      </c>
      <c r="AC25" s="37"/>
      <c r="AD25" s="36">
        <f>ROUND(SUM(D25:Z25),1)</f>
        <v>0</v>
      </c>
      <c r="AE25" s="36"/>
      <c r="AF25" s="37"/>
      <c r="AG25" s="493">
        <f>'Exhibit G State'!AG25</f>
        <v>0</v>
      </c>
      <c r="AH25" s="191"/>
      <c r="AI25" s="36"/>
      <c r="AJ25" s="467">
        <f t="shared" ref="AJ25" si="7">ROUND(SUM(+AD25-AG25),1)</f>
        <v>0</v>
      </c>
      <c r="AK25" s="35"/>
      <c r="AL25" s="469">
        <f>ROUND(IF(AG25=0,0,AJ25/ABS(AG25)),3)</f>
        <v>0</v>
      </c>
    </row>
    <row r="26" spans="1:38" ht="15" customHeight="1">
      <c r="A26" s="21"/>
      <c r="B26" s="755" t="s">
        <v>997</v>
      </c>
      <c r="C26" s="21"/>
      <c r="D26" s="467">
        <f>'Exhibit G State'!D26</f>
        <v>0</v>
      </c>
      <c r="E26" s="467"/>
      <c r="F26" s="467">
        <f>'Exhibit G State'!F26</f>
        <v>0</v>
      </c>
      <c r="G26" s="467"/>
      <c r="H26" s="467">
        <f>'Exhibit G State'!H26</f>
        <v>0</v>
      </c>
      <c r="J26" s="467">
        <f>'Exhibit G State'!J26</f>
        <v>0</v>
      </c>
      <c r="L26" s="467">
        <f>'Exhibit G State'!L26</f>
        <v>0</v>
      </c>
      <c r="N26" s="467">
        <f>'Exhibit G State'!N26</f>
        <v>0</v>
      </c>
      <c r="P26" s="467">
        <f>'Exhibit G State'!P26</f>
        <v>0</v>
      </c>
      <c r="R26" s="467">
        <f>'Exhibit G State'!R26</f>
        <v>0</v>
      </c>
      <c r="S26" s="467"/>
      <c r="T26" s="467">
        <f>'Exhibit G State'!T26</f>
        <v>0</v>
      </c>
      <c r="U26" s="467"/>
      <c r="V26" s="467">
        <f>'Exhibit G State'!V26</f>
        <v>0</v>
      </c>
      <c r="W26" s="467"/>
      <c r="X26" s="467">
        <f>'Exhibit G State'!X26</f>
        <v>0</v>
      </c>
      <c r="Y26" s="467"/>
      <c r="Z26" s="467">
        <f>'Exhibit G State'!Z26</f>
        <v>0</v>
      </c>
      <c r="AA26" s="467"/>
      <c r="AB26" s="36">
        <v>0</v>
      </c>
      <c r="AC26" s="37"/>
      <c r="AD26" s="36">
        <f t="shared" si="6"/>
        <v>0</v>
      </c>
      <c r="AE26" s="36"/>
      <c r="AF26" s="37"/>
      <c r="AG26" s="493">
        <f>'Exhibit G State'!AG26</f>
        <v>0</v>
      </c>
      <c r="AH26" s="191"/>
      <c r="AI26" s="36"/>
      <c r="AJ26" s="467">
        <f t="shared" si="4"/>
        <v>0</v>
      </c>
      <c r="AK26" s="35"/>
      <c r="AL26" s="469">
        <f t="shared" si="5"/>
        <v>0</v>
      </c>
    </row>
    <row r="27" spans="1:38" ht="15" customHeight="1">
      <c r="A27" s="21"/>
      <c r="B27" s="755" t="s">
        <v>998</v>
      </c>
      <c r="C27" s="21"/>
      <c r="D27" s="467">
        <f>'Exhibit G State'!D27</f>
        <v>0.1</v>
      </c>
      <c r="E27" s="467"/>
      <c r="F27" s="467">
        <f>'Exhibit G State'!F27</f>
        <v>0</v>
      </c>
      <c r="G27" s="467"/>
      <c r="H27" s="467">
        <f>'Exhibit G State'!H27</f>
        <v>0.1</v>
      </c>
      <c r="J27" s="467">
        <f>'Exhibit G State'!J27</f>
        <v>0</v>
      </c>
      <c r="L27" s="467">
        <f>'Exhibit G State'!L27</f>
        <v>9.9999999999999978E-2</v>
      </c>
      <c r="N27" s="467">
        <f>'Exhibit G State'!N27</f>
        <v>0</v>
      </c>
      <c r="P27" s="467">
        <f>'Exhibit G State'!P27</f>
        <v>0.10000000000000006</v>
      </c>
      <c r="R27" s="467">
        <f>'Exhibit G State'!R27</f>
        <v>0</v>
      </c>
      <c r="S27" s="467"/>
      <c r="T27" s="467">
        <f>'Exhibit G State'!T27</f>
        <v>0.1</v>
      </c>
      <c r="U27" s="467"/>
      <c r="V27" s="467">
        <f>'Exhibit G State'!V27</f>
        <v>0</v>
      </c>
      <c r="W27" s="467"/>
      <c r="X27" s="467">
        <f>'Exhibit G State'!X27</f>
        <v>9.9999999999999978E-2</v>
      </c>
      <c r="Y27" s="467"/>
      <c r="Z27" s="467">
        <f>'Exhibit G State'!Z27</f>
        <v>0</v>
      </c>
      <c r="AA27" s="467"/>
      <c r="AB27" s="36">
        <v>0</v>
      </c>
      <c r="AC27" s="37"/>
      <c r="AD27" s="36">
        <f t="shared" si="6"/>
        <v>0.6</v>
      </c>
      <c r="AE27" s="36"/>
      <c r="AF27" s="37"/>
      <c r="AG27" s="493">
        <f>'Exhibit G State'!AG27</f>
        <v>1.8</v>
      </c>
      <c r="AH27" s="191"/>
      <c r="AI27" s="36"/>
      <c r="AJ27" s="467">
        <f t="shared" si="4"/>
        <v>-1.2</v>
      </c>
      <c r="AK27" s="35"/>
      <c r="AL27" s="978">
        <f>ROUND(IF(AG27=0,1,AJ27/ABS(AG27)),3)</f>
        <v>-0.66700000000000004</v>
      </c>
    </row>
    <row r="28" spans="1:38" ht="15" customHeight="1">
      <c r="A28" s="21"/>
      <c r="B28" s="489" t="s">
        <v>1308</v>
      </c>
      <c r="C28" s="21"/>
      <c r="D28" s="467">
        <f>'Exhibit G State'!D28</f>
        <v>-0.1</v>
      </c>
      <c r="E28" s="467"/>
      <c r="F28" s="467">
        <f>'Exhibit G State'!F28</f>
        <v>0.1</v>
      </c>
      <c r="G28" s="467"/>
      <c r="H28" s="467">
        <f>'Exhibit G State'!H28</f>
        <v>6.2</v>
      </c>
      <c r="J28" s="467">
        <f>'Exhibit G State'!J28</f>
        <v>0</v>
      </c>
      <c r="L28" s="467">
        <f>'Exhibit G State'!L28</f>
        <v>9.9999999999999645E-2</v>
      </c>
      <c r="N28" s="467">
        <f>'Exhibit G State'!N28</f>
        <v>6.3</v>
      </c>
      <c r="P28" s="467">
        <f>'Exhibit G State'!P28</f>
        <v>9.9999999999999645E-2</v>
      </c>
      <c r="R28" s="467">
        <f>'Exhibit G State'!R28</f>
        <v>0</v>
      </c>
      <c r="S28" s="467"/>
      <c r="T28" s="467">
        <f>'Exhibit G State'!T28</f>
        <v>6.2</v>
      </c>
      <c r="U28" s="467"/>
      <c r="V28" s="467">
        <f>'Exhibit G State'!V28</f>
        <v>0</v>
      </c>
      <c r="W28" s="467"/>
      <c r="X28" s="467">
        <f>'Exhibit G State'!X28</f>
        <v>0</v>
      </c>
      <c r="Y28" s="467"/>
      <c r="Z28" s="467">
        <f>'Exhibit G State'!Z28</f>
        <v>5.8999999999999995</v>
      </c>
      <c r="AA28" s="467"/>
      <c r="AB28" s="36">
        <v>0</v>
      </c>
      <c r="AC28" s="37"/>
      <c r="AD28" s="36">
        <f t="shared" ref="AD28" si="8">ROUND(SUM(D28:Z28),1)</f>
        <v>24.8</v>
      </c>
      <c r="AE28" s="36"/>
      <c r="AF28" s="37"/>
      <c r="AG28" s="493">
        <f>'Exhibit G State'!AG28</f>
        <v>29.1</v>
      </c>
      <c r="AH28" s="191"/>
      <c r="AI28" s="36"/>
      <c r="AJ28" s="467">
        <f t="shared" ref="AJ28" si="9">ROUND(SUM(+AD28-AG28),1)</f>
        <v>-4.3</v>
      </c>
      <c r="AK28" s="35"/>
      <c r="AL28" s="978">
        <f>ROUND(IF(AG28=0,1,AJ28/ABS(AG28)),3)</f>
        <v>-0.14799999999999999</v>
      </c>
    </row>
    <row r="29" spans="1:38" s="138" customFormat="1" ht="15" customHeight="1">
      <c r="A29" s="19"/>
      <c r="B29" s="19" t="s">
        <v>1103</v>
      </c>
      <c r="C29" s="19"/>
      <c r="D29" s="41">
        <f>ROUND(SUM(D20:D28),1)</f>
        <v>201.6</v>
      </c>
      <c r="E29"/>
      <c r="F29" s="41">
        <f>ROUND(SUM(F20:F28),1)</f>
        <v>148</v>
      </c>
      <c r="G29"/>
      <c r="H29" s="1150">
        <f>ROUND(SUM(H20:H28),1)</f>
        <v>202.5</v>
      </c>
      <c r="I29"/>
      <c r="J29" s="1150">
        <f>ROUND(SUM(J20:J28),1)</f>
        <v>147</v>
      </c>
      <c r="K29"/>
      <c r="L29" s="41">
        <f>ROUND(SUM(L20:L28),1)</f>
        <v>149.30000000000001</v>
      </c>
      <c r="M29"/>
      <c r="N29" s="41">
        <f>ROUND(SUM(N20:N28),1)</f>
        <v>190.6</v>
      </c>
      <c r="O29"/>
      <c r="P29" s="41">
        <f>ROUND(SUM(P20:P28),1)</f>
        <v>151.19999999999999</v>
      </c>
      <c r="Q29"/>
      <c r="R29" s="41">
        <f>ROUND(SUM(R20:R28),1)</f>
        <v>145.4</v>
      </c>
      <c r="S29"/>
      <c r="T29" s="41">
        <f>ROUND(SUM(T20:T28),1)</f>
        <v>182.1</v>
      </c>
      <c r="U29"/>
      <c r="V29" s="41">
        <f>ROUND(SUM(V20:V28),1)</f>
        <v>165.6</v>
      </c>
      <c r="W29"/>
      <c r="X29" s="41">
        <f>ROUND(SUM(X20:X28),1)</f>
        <v>133.9</v>
      </c>
      <c r="Y29"/>
      <c r="Z29" s="41">
        <f>ROUND(SUM(Z20:Z28),1)</f>
        <v>98.3</v>
      </c>
      <c r="AA29" s="42"/>
      <c r="AB29" s="41">
        <f>ROUND(SUM(AB20:AB28),1)</f>
        <v>0</v>
      </c>
      <c r="AC29" s="44"/>
      <c r="AD29" s="41">
        <f>ROUND(SUM(AD20:AD28),1)</f>
        <v>1915.5</v>
      </c>
      <c r="AE29" s="42"/>
      <c r="AF29" s="44"/>
      <c r="AG29" s="41">
        <f>ROUND(SUM(AG20:AG28),1)</f>
        <v>1925</v>
      </c>
      <c r="AH29" s="197"/>
      <c r="AI29" s="42"/>
      <c r="AJ29" s="41">
        <f>ROUND(SUM(AJ20:AJ28),1)</f>
        <v>-9.5</v>
      </c>
      <c r="AL29" s="199">
        <f>ROUND(SUM(+AJ29/AG29),3)</f>
        <v>-5.0000000000000001E-3</v>
      </c>
    </row>
    <row r="30" spans="1:38" ht="15" customHeight="1">
      <c r="A30" s="21"/>
      <c r="B30" s="739" t="s">
        <v>1038</v>
      </c>
      <c r="C30" s="21"/>
      <c r="D30" s="36"/>
      <c r="F30" s="36"/>
      <c r="H30" s="467"/>
      <c r="J30" s="467"/>
      <c r="L30" s="36"/>
      <c r="N30" s="36"/>
      <c r="P30" s="36"/>
      <c r="R30" s="36"/>
      <c r="T30" s="36"/>
      <c r="V30" s="36"/>
      <c r="X30" s="36"/>
      <c r="Z30" s="36"/>
      <c r="AA30" s="36"/>
      <c r="AB30" s="36"/>
      <c r="AC30" s="37"/>
      <c r="AD30" s="36"/>
      <c r="AE30" s="36"/>
      <c r="AF30" s="37"/>
      <c r="AG30" s="36"/>
      <c r="AH30" s="191"/>
      <c r="AI30" s="36"/>
      <c r="AJ30" s="467"/>
      <c r="AL30" s="488"/>
    </row>
    <row r="31" spans="1:38" ht="15" customHeight="1">
      <c r="A31" s="21"/>
      <c r="B31" s="755" t="s">
        <v>1000</v>
      </c>
      <c r="C31" s="21"/>
      <c r="D31" s="36">
        <f>'Exhibit G State'!D31</f>
        <v>228.9</v>
      </c>
      <c r="E31" s="467"/>
      <c r="F31" s="36">
        <f>'Exhibit G State'!F31</f>
        <v>43.999999999999972</v>
      </c>
      <c r="G31" s="467"/>
      <c r="H31" s="36">
        <f>'Exhibit G State'!H31</f>
        <v>252.80000000000004</v>
      </c>
      <c r="J31" s="36">
        <f>'Exhibit G State'!J31</f>
        <v>56.399999999999949</v>
      </c>
      <c r="L31" s="36">
        <f>'Exhibit G State'!L31</f>
        <v>28.999999999999972</v>
      </c>
      <c r="N31" s="36">
        <f>'Exhibit G State'!N31</f>
        <v>281.79999999999995</v>
      </c>
      <c r="P31" s="36">
        <f>'Exhibit G State'!P31</f>
        <v>50.300000000000068</v>
      </c>
      <c r="R31" s="36">
        <f>'Exhibit G State'!R31</f>
        <v>33.799999999999955</v>
      </c>
      <c r="S31" s="36"/>
      <c r="T31" s="36">
        <f>'Exhibit G State'!T31</f>
        <v>289.69999999999993</v>
      </c>
      <c r="U31" s="36"/>
      <c r="V31" s="36">
        <f>'Exhibit G State'!V31</f>
        <v>87.599999999999909</v>
      </c>
      <c r="W31" s="36"/>
      <c r="X31" s="36">
        <f>'Exhibit G State'!X31</f>
        <v>17.900000000000091</v>
      </c>
      <c r="Y31" s="36"/>
      <c r="Z31" s="36">
        <f>'Exhibit G State'!Z31</f>
        <v>354.00000000000023</v>
      </c>
      <c r="AA31" s="36"/>
      <c r="AB31" s="36">
        <v>0</v>
      </c>
      <c r="AC31" s="37"/>
      <c r="AD31" s="36">
        <f>ROUND(SUM(D31:Z31),1)</f>
        <v>1726.2</v>
      </c>
      <c r="AE31" s="36"/>
      <c r="AF31" s="37"/>
      <c r="AG31" s="36">
        <f>'Exhibit G State'!AG31</f>
        <v>1417.1</v>
      </c>
      <c r="AH31" s="191"/>
      <c r="AI31" s="36"/>
      <c r="AJ31" s="467">
        <f>ROUND(SUM(+AD31-AG31),1)</f>
        <v>309.10000000000002</v>
      </c>
      <c r="AK31" s="35"/>
      <c r="AL31" s="469">
        <f>ROUND(IF(AG31=0,0,AJ31/ABS(AG31)),3)</f>
        <v>0.218</v>
      </c>
    </row>
    <row r="32" spans="1:38" ht="15" customHeight="1">
      <c r="A32" s="21"/>
      <c r="B32" s="755" t="s">
        <v>1001</v>
      </c>
      <c r="C32" s="21"/>
      <c r="D32" s="36">
        <f>'Exhibit G State'!D32</f>
        <v>6.6</v>
      </c>
      <c r="E32" s="467"/>
      <c r="F32" s="36">
        <f>'Exhibit G State'!F32</f>
        <v>0.5</v>
      </c>
      <c r="G32" s="467"/>
      <c r="H32" s="36">
        <f>'Exhibit G State'!H32</f>
        <v>18.399999999999999</v>
      </c>
      <c r="J32" s="36">
        <f>'Exhibit G State'!J32</f>
        <v>0.90000000000000036</v>
      </c>
      <c r="L32" s="36">
        <f>'Exhibit G State'!L32</f>
        <v>0.40000000000000036</v>
      </c>
      <c r="N32" s="36">
        <f>'Exhibit G State'!N32</f>
        <v>16.300000000000004</v>
      </c>
      <c r="P32" s="36">
        <f>'Exhibit G State'!P32</f>
        <v>1.6000000000000014</v>
      </c>
      <c r="R32" s="36">
        <f>'Exhibit G State'!R32</f>
        <v>8.1999999999999957</v>
      </c>
      <c r="S32" s="36"/>
      <c r="T32" s="36">
        <f>'Exhibit G State'!T32</f>
        <v>16.699999999999996</v>
      </c>
      <c r="U32" s="36"/>
      <c r="V32" s="36">
        <f>'Exhibit G State'!V32</f>
        <v>-0.29999999999999716</v>
      </c>
      <c r="W32" s="36"/>
      <c r="X32" s="36">
        <f>'Exhibit G State'!X32</f>
        <v>4.2000000000000099</v>
      </c>
      <c r="Y32" s="36"/>
      <c r="Z32" s="36">
        <f>'Exhibit G State'!Z32</f>
        <v>33.29999999999999</v>
      </c>
      <c r="AA32" s="36"/>
      <c r="AB32" s="36">
        <v>0</v>
      </c>
      <c r="AC32" s="37"/>
      <c r="AD32" s="36">
        <f>ROUND(SUM(D32:Z32),1)</f>
        <v>106.8</v>
      </c>
      <c r="AE32" s="36"/>
      <c r="AF32" s="37"/>
      <c r="AG32" s="36">
        <f>'Exhibit G State'!AG32</f>
        <v>111.4</v>
      </c>
      <c r="AH32" s="191"/>
      <c r="AI32" s="36"/>
      <c r="AJ32" s="467">
        <f>ROUND(SUM(+AD32-AG32),1)</f>
        <v>-4.5999999999999996</v>
      </c>
      <c r="AK32" s="35"/>
      <c r="AL32" s="469">
        <f>ROUND(IF(AG32=0,0,AJ32/ABS(AG32)),3)</f>
        <v>-4.1000000000000002E-2</v>
      </c>
    </row>
    <row r="33" spans="1:38" ht="15" customHeight="1">
      <c r="A33" s="21"/>
      <c r="B33" s="755" t="s">
        <v>1002</v>
      </c>
      <c r="C33" s="21"/>
      <c r="D33" s="36">
        <f>'Exhibit G State'!D33</f>
        <v>18.2</v>
      </c>
      <c r="E33" s="467"/>
      <c r="F33" s="36">
        <f>'Exhibit G State'!F33</f>
        <v>3.3000000000000007</v>
      </c>
      <c r="G33" s="467"/>
      <c r="H33" s="36">
        <f>'Exhibit G State'!H33</f>
        <v>57.599999999999994</v>
      </c>
      <c r="J33" s="36">
        <f>'Exhibit G State'!J33</f>
        <v>0.90000000000000568</v>
      </c>
      <c r="L33" s="36">
        <f>'Exhibit G State'!L33</f>
        <v>3.4000000000000057</v>
      </c>
      <c r="N33" s="36">
        <f>'Exhibit G State'!N33</f>
        <v>55.400000000000006</v>
      </c>
      <c r="P33" s="36">
        <f>'Exhibit G State'!P33</f>
        <v>0.79999999999998295</v>
      </c>
      <c r="R33" s="36">
        <f>'Exhibit G State'!R33</f>
        <v>-30.399999999999991</v>
      </c>
      <c r="S33" s="36"/>
      <c r="T33" s="36">
        <f>'Exhibit G State'!T33</f>
        <v>64.499999999999986</v>
      </c>
      <c r="U33" s="36"/>
      <c r="V33" s="36">
        <f>'Exhibit G State'!V33</f>
        <v>24.100000000000023</v>
      </c>
      <c r="W33" s="36"/>
      <c r="X33" s="36">
        <f>'Exhibit G State'!X33</f>
        <v>1.0999999999999943</v>
      </c>
      <c r="Y33" s="36"/>
      <c r="Z33" s="36">
        <f>'Exhibit G State'!Z33</f>
        <v>100.90000000000002</v>
      </c>
      <c r="AA33" s="36"/>
      <c r="AB33" s="36">
        <v>0</v>
      </c>
      <c r="AC33" s="37"/>
      <c r="AD33" s="36">
        <f>ROUND(SUM(D33:Z33),1)</f>
        <v>299.8</v>
      </c>
      <c r="AE33" s="36"/>
      <c r="AF33" s="37"/>
      <c r="AG33" s="36">
        <f>'Exhibit G State'!AG33</f>
        <v>238.9</v>
      </c>
      <c r="AH33" s="191"/>
      <c r="AI33" s="36"/>
      <c r="AJ33" s="467">
        <f>ROUND(SUM(+AD33-AG33),1)</f>
        <v>60.9</v>
      </c>
      <c r="AK33" s="35"/>
      <c r="AL33" s="978">
        <f>ROUND(IF(AG33=0,0,AJ33/ABS(AG33)),3)</f>
        <v>0.255</v>
      </c>
    </row>
    <row r="34" spans="1:38" ht="15" customHeight="1">
      <c r="A34" s="21"/>
      <c r="B34" s="755" t="s">
        <v>1003</v>
      </c>
      <c r="C34" s="21"/>
      <c r="D34" s="36">
        <f>'Exhibit G State'!D34</f>
        <v>0</v>
      </c>
      <c r="E34" s="467"/>
      <c r="F34" s="36">
        <f>'Exhibit G State'!F34</f>
        <v>0</v>
      </c>
      <c r="G34" s="467"/>
      <c r="H34" s="36">
        <f>'Exhibit G State'!H34</f>
        <v>0</v>
      </c>
      <c r="J34" s="36">
        <f>'Exhibit G State'!J34</f>
        <v>-0.6</v>
      </c>
      <c r="L34" s="36">
        <f>'Exhibit G State'!L34</f>
        <v>9.9999999999999978E-2</v>
      </c>
      <c r="N34" s="36">
        <f>'Exhibit G State'!N34</f>
        <v>0</v>
      </c>
      <c r="P34" s="36">
        <f>'Exhibit G State'!P34</f>
        <v>-0.30000000000000004</v>
      </c>
      <c r="R34" s="36">
        <f>'Exhibit G State'!R34</f>
        <v>0</v>
      </c>
      <c r="S34" s="36"/>
      <c r="T34" s="36">
        <f>'Exhibit G State'!T34</f>
        <v>0</v>
      </c>
      <c r="U34" s="36"/>
      <c r="V34" s="36">
        <f>'Exhibit G State'!V34</f>
        <v>-9.9999999999999978E-2</v>
      </c>
      <c r="W34" s="36"/>
      <c r="X34" s="36">
        <f>'Exhibit G State'!X34</f>
        <v>51.6</v>
      </c>
      <c r="Y34" s="36"/>
      <c r="Z34" s="36">
        <f>'Exhibit G State'!Z34</f>
        <v>0</v>
      </c>
      <c r="AA34" s="36"/>
      <c r="AB34" s="36">
        <v>0</v>
      </c>
      <c r="AC34" s="37"/>
      <c r="AD34" s="36">
        <f>ROUND(SUM(D34:Z34),1)</f>
        <v>50.7</v>
      </c>
      <c r="AE34" s="36"/>
      <c r="AF34" s="37"/>
      <c r="AG34" s="36">
        <f>'Exhibit G State'!AG34</f>
        <v>3.7</v>
      </c>
      <c r="AH34" s="191"/>
      <c r="AI34" s="36"/>
      <c r="AJ34" s="467">
        <f>ROUND(SUM(+AD34-AG34),1)</f>
        <v>47</v>
      </c>
      <c r="AK34" s="35"/>
      <c r="AL34" s="978">
        <f>ROUND(IF(AG34=0,0,AJ34/ABS(AG34)),3)</f>
        <v>12.702999999999999</v>
      </c>
    </row>
    <row r="35" spans="1:38" ht="15" customHeight="1">
      <c r="A35" s="21"/>
      <c r="B35" s="755" t="s">
        <v>1004</v>
      </c>
      <c r="C35" s="21"/>
      <c r="D35" s="36">
        <f>'Exhibit G State'!D35</f>
        <v>37.200000000000003</v>
      </c>
      <c r="E35" s="467"/>
      <c r="F35" s="36">
        <f>'Exhibit G State'!F35</f>
        <v>39.399999999999991</v>
      </c>
      <c r="G35" s="467"/>
      <c r="H35" s="36">
        <f>'Exhibit G State'!H35</f>
        <v>41.900000000000006</v>
      </c>
      <c r="J35" s="36">
        <f>'Exhibit G State'!J35</f>
        <v>39.099999999999994</v>
      </c>
      <c r="L35" s="36">
        <f>'Exhibit G State'!L35</f>
        <v>41.300000000000011</v>
      </c>
      <c r="N35" s="36">
        <f>'Exhibit G State'!N35</f>
        <v>45.100000000000023</v>
      </c>
      <c r="P35" s="36">
        <f>'Exhibit G State'!P35</f>
        <v>38.699999999999989</v>
      </c>
      <c r="R35" s="36">
        <f>'Exhibit G State'!R35</f>
        <v>39.5</v>
      </c>
      <c r="S35" s="36"/>
      <c r="T35" s="36">
        <f>'Exhibit G State'!T35</f>
        <v>41.600000000000023</v>
      </c>
      <c r="U35" s="36"/>
      <c r="V35" s="36">
        <f>'Exhibit G State'!V35</f>
        <v>37.500000000000028</v>
      </c>
      <c r="W35" s="36"/>
      <c r="X35" s="36">
        <f>'Exhibit G State'!X35</f>
        <v>40.999999999999972</v>
      </c>
      <c r="Y35" s="36"/>
      <c r="Z35" s="36">
        <f>'Exhibit G State'!Z35</f>
        <v>38</v>
      </c>
      <c r="AA35" s="36"/>
      <c r="AB35" s="36">
        <v>0</v>
      </c>
      <c r="AC35" s="37"/>
      <c r="AD35" s="36">
        <f>ROUND(SUM(D35:Z35),1)</f>
        <v>480.3</v>
      </c>
      <c r="AE35" s="36"/>
      <c r="AF35" s="37"/>
      <c r="AG35" s="36">
        <f>'Exhibit G State'!AG35</f>
        <v>454</v>
      </c>
      <c r="AH35" s="191"/>
      <c r="AI35" s="36"/>
      <c r="AJ35" s="467">
        <f>ROUND(SUM(+AD35-AG35),1)</f>
        <v>26.3</v>
      </c>
      <c r="AK35" s="35"/>
      <c r="AL35" s="469">
        <f>ROUND(IF(AG35=0,0,AJ35/ABS(AG35)),3)</f>
        <v>5.8000000000000003E-2</v>
      </c>
    </row>
    <row r="36" spans="1:38" s="138" customFormat="1" ht="15" customHeight="1">
      <c r="A36" s="19"/>
      <c r="B36" s="19" t="s">
        <v>1104</v>
      </c>
      <c r="C36" s="19"/>
      <c r="D36" s="41">
        <f t="shared" ref="D36:F36" si="10">ROUND(SUM(D31:D35),1)</f>
        <v>290.89999999999998</v>
      </c>
      <c r="E36"/>
      <c r="F36" s="41">
        <f t="shared" si="10"/>
        <v>87.2</v>
      </c>
      <c r="G36"/>
      <c r="H36" s="1150">
        <f>ROUND(SUM(H31:H35),1)</f>
        <v>370.7</v>
      </c>
      <c r="I36"/>
      <c r="J36" s="1150">
        <f>ROUND(SUM(J31:J35),1)</f>
        <v>96.7</v>
      </c>
      <c r="K36"/>
      <c r="L36" s="41">
        <f t="shared" ref="L36:V36" si="11">ROUND(SUM(L31:L35),1)</f>
        <v>74.2</v>
      </c>
      <c r="M36"/>
      <c r="N36" s="41">
        <f t="shared" ref="N36:P36" si="12">ROUND(SUM(N31:N35),1)</f>
        <v>398.6</v>
      </c>
      <c r="O36"/>
      <c r="P36" s="41">
        <f t="shared" si="12"/>
        <v>91.1</v>
      </c>
      <c r="Q36"/>
      <c r="R36" s="41">
        <f t="shared" ref="R36:T36" si="13">ROUND(SUM(R31:R35),1)</f>
        <v>51.1</v>
      </c>
      <c r="S36"/>
      <c r="T36" s="41">
        <f t="shared" si="13"/>
        <v>412.5</v>
      </c>
      <c r="U36"/>
      <c r="V36" s="41">
        <f t="shared" si="11"/>
        <v>148.80000000000001</v>
      </c>
      <c r="W36"/>
      <c r="X36" s="41">
        <f>ROUND(SUM(X31:X35),1)</f>
        <v>115.8</v>
      </c>
      <c r="Y36"/>
      <c r="Z36" s="41">
        <f>ROUND(SUM(Z31:Z35),1)</f>
        <v>526.20000000000005</v>
      </c>
      <c r="AA36" s="42"/>
      <c r="AB36" s="41">
        <f>SUM(AB31:AB35)</f>
        <v>0</v>
      </c>
      <c r="AC36" s="44"/>
      <c r="AD36" s="41">
        <f>ROUND(SUM(AD31:AD35),1)</f>
        <v>2663.8</v>
      </c>
      <c r="AE36" s="42"/>
      <c r="AF36" s="44"/>
      <c r="AG36" s="41">
        <f>ROUND(SUM(AG31:AG35),1)</f>
        <v>2225.1</v>
      </c>
      <c r="AH36" s="197"/>
      <c r="AI36" s="42"/>
      <c r="AJ36" s="41">
        <f>ROUND(SUM(AJ31:AJ35),1)</f>
        <v>438.7</v>
      </c>
      <c r="AL36" s="199">
        <f>ROUND(SUM(+AJ36/AG36),3)</f>
        <v>0.19700000000000001</v>
      </c>
    </row>
    <row r="37" spans="1:38" ht="15" customHeight="1">
      <c r="A37" s="21"/>
      <c r="B37"/>
      <c r="C37" s="21"/>
      <c r="D37" s="36"/>
      <c r="F37" s="36"/>
      <c r="H37" s="467"/>
      <c r="J37" s="467"/>
      <c r="L37" s="36"/>
      <c r="N37" s="36"/>
      <c r="P37" s="36"/>
      <c r="R37" s="36"/>
      <c r="T37" s="36"/>
      <c r="V37" s="36"/>
      <c r="X37" s="36"/>
      <c r="Z37" s="36"/>
      <c r="AA37" s="36"/>
      <c r="AB37" s="36"/>
      <c r="AC37" s="37"/>
      <c r="AD37" s="36"/>
      <c r="AE37" s="36"/>
      <c r="AF37" s="37"/>
      <c r="AG37" s="36"/>
      <c r="AH37" s="191"/>
      <c r="AI37" s="36"/>
      <c r="AJ37" s="467"/>
      <c r="AL37" s="488"/>
    </row>
    <row r="38" spans="1:38" ht="15" customHeight="1">
      <c r="A38" s="21"/>
      <c r="B38" s="19" t="s">
        <v>1105</v>
      </c>
      <c r="C38" s="21"/>
      <c r="D38" s="50">
        <f>ROUND(SUM(D17+D29+D36),1)</f>
        <v>492.5</v>
      </c>
      <c r="F38" s="50">
        <f>ROUND(SUM(F17+F29+F36),1)</f>
        <v>235.2</v>
      </c>
      <c r="H38" s="50">
        <f>ROUND(SUM(H17+H29+H36),1)</f>
        <v>573.20000000000005</v>
      </c>
      <c r="J38" s="50">
        <f>ROUND(SUM(J17+J29+J36),1)</f>
        <v>243.7</v>
      </c>
      <c r="L38" s="50">
        <f>ROUND(SUM(L17+L29+L36),1)</f>
        <v>223.5</v>
      </c>
      <c r="N38" s="50">
        <f>ROUND(SUM(N17+N29+N36),1)</f>
        <v>589.20000000000005</v>
      </c>
      <c r="P38" s="50">
        <f>ROUND(SUM(P17+P29+P36),1)</f>
        <v>243.4</v>
      </c>
      <c r="R38" s="50">
        <f>ROUND(SUM(R17+R29+R36),1)</f>
        <v>196.5</v>
      </c>
      <c r="T38" s="50">
        <f>ROUND(SUM(T17+T29+T36),1)</f>
        <v>612.1</v>
      </c>
      <c r="V38" s="50">
        <f>ROUND(SUM(V17+V29+V36),1)</f>
        <v>2025.4</v>
      </c>
      <c r="X38" s="50">
        <f>ROUND(SUM(X17+X29+X36),1)</f>
        <v>249.7</v>
      </c>
      <c r="Z38" s="50">
        <f>ROUND(SUM(Z17+Z29+Z36),1)</f>
        <v>676.1</v>
      </c>
      <c r="AA38" s="42"/>
      <c r="AB38" s="50">
        <f>ROUND(SUM(AB17+AB29+AB36),1)</f>
        <v>0</v>
      </c>
      <c r="AC38" s="37"/>
      <c r="AD38" s="50">
        <f>ROUND(SUM(AD17+AD29+AD36),1)</f>
        <v>6360.5</v>
      </c>
      <c r="AE38" s="36"/>
      <c r="AF38" s="37"/>
      <c r="AG38" s="50">
        <f>ROUND(SUM(AG17+AG29+AG36),1)</f>
        <v>6054.3</v>
      </c>
      <c r="AH38" s="191"/>
      <c r="AI38" s="36"/>
      <c r="AJ38" s="50">
        <f>ROUND(SUM(AJ17+AJ29+AJ36),1)</f>
        <v>306.2</v>
      </c>
      <c r="AL38" s="210">
        <f>ROUND(SUM(+AJ38/AG38),3)</f>
        <v>5.0999999999999997E-2</v>
      </c>
    </row>
    <row r="39" spans="1:38" ht="15" customHeight="1">
      <c r="A39" s="21"/>
      <c r="B39" s="21"/>
      <c r="C39" s="21"/>
      <c r="D39" s="35"/>
      <c r="F39" s="35"/>
      <c r="H39" s="493"/>
      <c r="J39" s="493"/>
      <c r="L39" s="493"/>
      <c r="N39" s="493"/>
      <c r="P39" s="493"/>
      <c r="R39" s="493"/>
      <c r="T39" s="493"/>
      <c r="V39" s="46"/>
      <c r="X39" s="46"/>
      <c r="Z39" s="46"/>
      <c r="AA39" s="35"/>
      <c r="AB39" s="36"/>
      <c r="AC39" s="37"/>
      <c r="AD39" s="36"/>
      <c r="AE39" s="36"/>
      <c r="AF39" s="37"/>
      <c r="AG39" s="192"/>
      <c r="AH39" s="194"/>
      <c r="AI39" s="36"/>
      <c r="AJ39" s="467"/>
      <c r="AK39" s="35"/>
      <c r="AL39" s="488"/>
    </row>
    <row r="40" spans="1:38" ht="15" customHeight="1">
      <c r="A40" s="21"/>
      <c r="B40" s="117" t="s">
        <v>916</v>
      </c>
      <c r="C40" s="21"/>
      <c r="D40" s="35"/>
      <c r="F40" s="35"/>
      <c r="H40" s="493"/>
      <c r="J40" s="493"/>
      <c r="L40" s="493"/>
      <c r="N40" s="493"/>
      <c r="P40" s="493"/>
      <c r="R40" s="493"/>
      <c r="T40" s="493"/>
      <c r="V40" s="46"/>
      <c r="X40" s="46"/>
      <c r="Z40" s="46"/>
      <c r="AA40" s="35"/>
      <c r="AB40" s="36"/>
      <c r="AC40" s="37"/>
      <c r="AD40" s="36"/>
      <c r="AE40" s="36"/>
      <c r="AF40" s="37"/>
      <c r="AG40" s="192"/>
      <c r="AH40" s="194"/>
      <c r="AI40" s="36"/>
      <c r="AJ40" s="467"/>
      <c r="AK40" s="35"/>
      <c r="AL40" s="488"/>
    </row>
    <row r="41" spans="1:38" ht="15" customHeight="1">
      <c r="A41" s="21"/>
      <c r="B41" s="597" t="s">
        <v>1031</v>
      </c>
      <c r="C41" s="21"/>
      <c r="D41" s="35"/>
      <c r="F41" s="35"/>
      <c r="H41" s="493"/>
      <c r="J41" s="493"/>
      <c r="L41" s="493"/>
      <c r="N41" s="493"/>
      <c r="P41" s="493"/>
      <c r="R41" s="493"/>
      <c r="T41" s="493"/>
      <c r="V41" s="46"/>
      <c r="X41" s="46"/>
      <c r="Z41" s="46"/>
      <c r="AA41" s="35"/>
      <c r="AB41" s="36"/>
      <c r="AC41" s="37"/>
      <c r="AD41" s="36"/>
      <c r="AE41" s="36"/>
      <c r="AF41" s="37"/>
      <c r="AG41" s="192"/>
      <c r="AH41" s="194"/>
      <c r="AI41" s="36"/>
      <c r="AJ41" s="467"/>
      <c r="AK41" s="35"/>
      <c r="AL41" s="488"/>
    </row>
    <row r="42" spans="1:38" ht="15" customHeight="1">
      <c r="A42" s="21"/>
      <c r="B42" s="597" t="s">
        <v>948</v>
      </c>
      <c r="C42" s="21"/>
      <c r="D42" s="493">
        <f>'Exhibit G State'!D42+'Exhibit G Federal'!D19</f>
        <v>0.9</v>
      </c>
      <c r="E42" s="493"/>
      <c r="F42" s="493">
        <f>'Exhibit G State'!F42+'Exhibit G Federal'!F19</f>
        <v>0.9</v>
      </c>
      <c r="G42" s="493"/>
      <c r="H42" s="493">
        <f>'Exhibit G State'!H42+'Exhibit G Federal'!H19</f>
        <v>0.99999999999999989</v>
      </c>
      <c r="J42" s="493">
        <f>'Exhibit G State'!J42+'Exhibit G Federal'!J19</f>
        <v>0.90000000000000024</v>
      </c>
      <c r="L42" s="493">
        <f>'Exhibit G State'!L42+'Exhibit G Federal'!L19</f>
        <v>1.2999999999999998</v>
      </c>
      <c r="N42" s="493">
        <f>'Exhibit G State'!N42+'Exhibit G Federal'!N19</f>
        <v>0.99999999999999911</v>
      </c>
      <c r="P42" s="493">
        <f>'Exhibit G State'!P42+'Exhibit G Federal'!P19</f>
        <v>1.0999999999999996</v>
      </c>
      <c r="R42" s="493">
        <f>'Exhibit G State'!R42+'Exhibit G Federal'!R19</f>
        <v>1</v>
      </c>
      <c r="S42" s="493"/>
      <c r="T42" s="493">
        <f>'Exhibit G State'!T42+'Exhibit G Federal'!T19</f>
        <v>1.0999999999999996</v>
      </c>
      <c r="U42" s="493"/>
      <c r="V42" s="493">
        <f>'Exhibit G State'!V42+'Exhibit G Federal'!V19</f>
        <v>0.90000000000000036</v>
      </c>
      <c r="W42" s="493"/>
      <c r="X42" s="493">
        <f>'Exhibit G State'!X42+'Exhibit G Federal'!X19</f>
        <v>1.4000000000000004</v>
      </c>
      <c r="Y42" s="493"/>
      <c r="Z42" s="493">
        <f>'Exhibit G State'!Z42+'Exhibit G Federal'!Z19</f>
        <v>5.8999999999999986</v>
      </c>
      <c r="AA42" s="493"/>
      <c r="AB42" s="36">
        <v>0</v>
      </c>
      <c r="AC42" s="37"/>
      <c r="AD42" s="36">
        <f t="shared" ref="AD42:AD84" si="14">ROUND(SUM(D42:Z42),1)</f>
        <v>17.399999999999999</v>
      </c>
      <c r="AE42" s="36"/>
      <c r="AF42" s="37"/>
      <c r="AG42" s="493">
        <f>'Exhibit G State'!AG42+'Exhibit G Federal'!AG19</f>
        <v>16.8</v>
      </c>
      <c r="AH42" s="194"/>
      <c r="AI42" s="36"/>
      <c r="AJ42" s="467">
        <f>ROUND(SUM(+AD42-AG42),1)</f>
        <v>0.6</v>
      </c>
      <c r="AK42" s="35"/>
      <c r="AL42" s="469">
        <f>ROUND(IF(AG42=0,0,AJ42/ABS(AG42)),3)</f>
        <v>3.5999999999999997E-2</v>
      </c>
    </row>
    <row r="43" spans="1:38" ht="15" customHeight="1">
      <c r="A43" s="21"/>
      <c r="B43" s="597" t="s">
        <v>1032</v>
      </c>
      <c r="C43" s="21"/>
      <c r="D43" s="493"/>
      <c r="F43" s="493"/>
      <c r="H43" s="493"/>
      <c r="J43" s="467"/>
      <c r="L43" s="467"/>
      <c r="N43" s="467"/>
      <c r="P43" s="467"/>
      <c r="R43" s="467"/>
      <c r="S43" s="467"/>
      <c r="T43" s="467"/>
      <c r="U43" s="467"/>
      <c r="V43" s="467"/>
      <c r="W43" s="467"/>
      <c r="X43" s="467"/>
      <c r="Y43" s="467"/>
      <c r="Z43" s="467"/>
      <c r="AA43" s="493"/>
      <c r="AB43" s="36"/>
      <c r="AC43" s="37"/>
      <c r="AD43" s="36"/>
      <c r="AE43" s="36"/>
      <c r="AF43" s="37"/>
      <c r="AG43" s="493"/>
      <c r="AH43" s="194"/>
      <c r="AI43" s="36"/>
      <c r="AJ43" s="467"/>
      <c r="AK43" s="35"/>
      <c r="AL43" s="488"/>
    </row>
    <row r="44" spans="1:38" ht="15" customHeight="1">
      <c r="A44" s="21"/>
      <c r="B44" s="597" t="s">
        <v>950</v>
      </c>
      <c r="C44" s="21"/>
      <c r="D44" s="493">
        <f>'Exhibit G State'!D44+'Exhibit G Federal'!D21</f>
        <v>133.5</v>
      </c>
      <c r="E44" s="493"/>
      <c r="F44" s="493">
        <f>'Exhibit G State'!F44+'Exhibit G Federal'!F21</f>
        <v>39.600000000000009</v>
      </c>
      <c r="G44" s="493"/>
      <c r="H44" s="493">
        <f>'Exhibit G State'!H44+'Exhibit G Federal'!H21</f>
        <v>38.700000000000003</v>
      </c>
      <c r="J44" s="493">
        <f>'Exhibit G State'!J44+'Exhibit G Federal'!J21</f>
        <v>94.800000000000011</v>
      </c>
      <c r="L44" s="493">
        <f>'Exhibit G State'!L44+'Exhibit G Federal'!L21</f>
        <v>58.599999999999952</v>
      </c>
      <c r="N44" s="493">
        <f>'Exhibit G State'!N44+'Exhibit G Federal'!N21</f>
        <v>83.300000000000054</v>
      </c>
      <c r="P44" s="493">
        <f>'Exhibit G State'!P44+'Exhibit G Federal'!P21</f>
        <v>53.599999999999994</v>
      </c>
      <c r="R44" s="493">
        <f>'Exhibit G State'!R44+'Exhibit G Federal'!R21</f>
        <v>-15.999999999999972</v>
      </c>
      <c r="S44" s="493"/>
      <c r="T44" s="493">
        <f>'Exhibit G State'!T44+'Exhibit G Federal'!T21</f>
        <v>110.59999999999994</v>
      </c>
      <c r="U44" s="493"/>
      <c r="V44" s="493">
        <f>'Exhibit G State'!V44+'Exhibit G Federal'!V21</f>
        <v>112</v>
      </c>
      <c r="W44" s="493"/>
      <c r="X44" s="493">
        <f>'Exhibit G State'!X44+'Exhibit G Federal'!X21</f>
        <v>16.899999999999977</v>
      </c>
      <c r="Y44" s="493"/>
      <c r="Z44" s="493">
        <f>'Exhibit G State'!Z44+'Exhibit G Federal'!Z21</f>
        <v>172.50000000000014</v>
      </c>
      <c r="AA44" s="493"/>
      <c r="AB44" s="36">
        <v>0</v>
      </c>
      <c r="AC44" s="37"/>
      <c r="AD44" s="36">
        <f>ROUND(SUM(D44:Z44),1)</f>
        <v>898.1</v>
      </c>
      <c r="AE44" s="36"/>
      <c r="AF44" s="37"/>
      <c r="AG44" s="493">
        <f>'Exhibit G State'!AG44+'Exhibit G Federal'!AG21</f>
        <v>746</v>
      </c>
      <c r="AH44" s="194"/>
      <c r="AI44" s="36"/>
      <c r="AJ44" s="467">
        <f>ROUND(SUM(+AD44-AG44),1)</f>
        <v>152.1</v>
      </c>
      <c r="AK44" s="35"/>
      <c r="AL44" s="469">
        <f>ROUND(IF(AG44=0,0,AJ44/ABS(AG44)),3)</f>
        <v>0.20399999999999999</v>
      </c>
    </row>
    <row r="45" spans="1:38" ht="15" customHeight="1">
      <c r="A45" s="21"/>
      <c r="B45" s="597" t="s">
        <v>951</v>
      </c>
      <c r="C45" s="21"/>
      <c r="D45" s="493">
        <f>'Exhibit G State'!D45+'Exhibit G Federal'!D22</f>
        <v>535.29999999999995</v>
      </c>
      <c r="E45" s="493"/>
      <c r="F45" s="493">
        <f>'Exhibit G State'!F45+'Exhibit G Federal'!F22</f>
        <v>530.60000000000014</v>
      </c>
      <c r="G45" s="493"/>
      <c r="H45" s="493">
        <f>'Exhibit G State'!H45+'Exhibit G Federal'!H22</f>
        <v>564.19999999999982</v>
      </c>
      <c r="J45" s="493">
        <f>'Exhibit G State'!J45+'Exhibit G Federal'!J22</f>
        <v>574.09999999999991</v>
      </c>
      <c r="L45" s="493">
        <f>'Exhibit G State'!L45+'Exhibit G Federal'!L22</f>
        <v>533.80000000000018</v>
      </c>
      <c r="N45" s="493">
        <f>'Exhibit G State'!N45+'Exhibit G Federal'!N22</f>
        <v>574.69999999999936</v>
      </c>
      <c r="P45" s="493">
        <f>'Exhibit G State'!P45+'Exhibit G Federal'!P22</f>
        <v>535.80000000000018</v>
      </c>
      <c r="R45" s="493">
        <f>'Exhibit G State'!R45+'Exhibit G Federal'!R22</f>
        <v>531.79999999999927</v>
      </c>
      <c r="S45" s="493"/>
      <c r="T45" s="493">
        <f>'Exhibit G State'!T45+'Exhibit G Federal'!T22</f>
        <v>598.40000000000055</v>
      </c>
      <c r="U45" s="493"/>
      <c r="V45" s="493">
        <f>'Exhibit G State'!V45+'Exhibit G Federal'!V22</f>
        <v>560.5</v>
      </c>
      <c r="W45" s="493"/>
      <c r="X45" s="493">
        <f>'Exhibit G State'!X45+'Exhibit G Federal'!X22</f>
        <v>586.5</v>
      </c>
      <c r="Y45" s="493"/>
      <c r="Z45" s="493">
        <f>'Exhibit G State'!Z45+'Exhibit G Federal'!Z22</f>
        <v>597.60000000000082</v>
      </c>
      <c r="AA45" s="493"/>
      <c r="AB45" s="36">
        <v>0</v>
      </c>
      <c r="AC45" s="37"/>
      <c r="AD45" s="467">
        <f t="shared" si="14"/>
        <v>6723.3</v>
      </c>
      <c r="AE45" s="36"/>
      <c r="AF45" s="37"/>
      <c r="AG45" s="493">
        <f>'Exhibit G State'!AG45+'Exhibit G Federal'!AG22</f>
        <v>6321.4</v>
      </c>
      <c r="AH45" s="194"/>
      <c r="AI45" s="36"/>
      <c r="AJ45" s="467">
        <f>ROUND(SUM(+AD45-AG45),1)</f>
        <v>401.9</v>
      </c>
      <c r="AK45" s="35"/>
      <c r="AL45" s="469">
        <f>ROUND(IF(AG45=0,0,AJ45/ABS(AG45)),3)</f>
        <v>6.4000000000000001E-2</v>
      </c>
    </row>
    <row r="46" spans="1:38" ht="15" customHeight="1">
      <c r="A46" s="21"/>
      <c r="B46" s="597" t="s">
        <v>952</v>
      </c>
      <c r="C46" s="21"/>
      <c r="D46" s="493">
        <f>'Exhibit G State'!D46+'Exhibit G Federal'!D23</f>
        <v>4.5999999999999996</v>
      </c>
      <c r="E46" s="493"/>
      <c r="F46" s="493">
        <f>'Exhibit G State'!F46+'Exhibit G Federal'!F23</f>
        <v>0</v>
      </c>
      <c r="G46" s="493"/>
      <c r="H46" s="493">
        <f>'Exhibit G State'!H46+'Exhibit G Federal'!H23</f>
        <v>0.30000000000000071</v>
      </c>
      <c r="J46" s="493">
        <f>'Exhibit G State'!J46+'Exhibit G Federal'!J23</f>
        <v>0</v>
      </c>
      <c r="L46" s="493">
        <f>'Exhibit G State'!L46+'Exhibit G Federal'!L23</f>
        <v>0.19999999999999929</v>
      </c>
      <c r="N46" s="493">
        <f>'Exhibit G State'!N46+'Exhibit G Federal'!N23</f>
        <v>59.499999999999986</v>
      </c>
      <c r="P46" s="493">
        <f>'Exhibit G State'!P46+'Exhibit G Federal'!P23</f>
        <v>-0.19999999999998863</v>
      </c>
      <c r="R46" s="493">
        <f>'Exhibit G State'!R46+'Exhibit G Federal'!R23</f>
        <v>-0.20000000000000284</v>
      </c>
      <c r="S46" s="493"/>
      <c r="T46" s="493">
        <f>'Exhibit G State'!T46+'Exhibit G Federal'!T23</f>
        <v>-0.40000000000000568</v>
      </c>
      <c r="U46" s="493"/>
      <c r="V46" s="493">
        <f>'Exhibit G State'!V46+'Exhibit G Federal'!V23</f>
        <v>0.20000000000000284</v>
      </c>
      <c r="W46" s="493"/>
      <c r="X46" s="493">
        <f>'Exhibit G State'!X46+'Exhibit G Federal'!X23</f>
        <v>-9.9999999999994316E-2</v>
      </c>
      <c r="Y46" s="493"/>
      <c r="Z46" s="493">
        <f>'Exhibit G State'!Z46+'Exhibit G Federal'!Z23</f>
        <v>64.100000000000009</v>
      </c>
      <c r="AA46" s="493"/>
      <c r="AB46" s="36">
        <v>0</v>
      </c>
      <c r="AC46" s="37"/>
      <c r="AD46" s="36">
        <f t="shared" si="14"/>
        <v>128</v>
      </c>
      <c r="AE46" s="36"/>
      <c r="AF46" s="37"/>
      <c r="AG46" s="493">
        <f>'Exhibit G State'!AG46+'Exhibit G Federal'!AG23</f>
        <v>95.1</v>
      </c>
      <c r="AH46" s="194"/>
      <c r="AI46" s="36"/>
      <c r="AJ46" s="467">
        <f>ROUND(SUM(+AD46-AG46),1)</f>
        <v>32.9</v>
      </c>
      <c r="AK46" s="35"/>
      <c r="AL46" s="978">
        <f>ROUND(IF(AG46=0,0,AJ46/ABS(AG46)),3)</f>
        <v>0.34599999999999997</v>
      </c>
    </row>
    <row r="47" spans="1:38" ht="15" customHeight="1">
      <c r="A47" s="21"/>
      <c r="B47" s="597" t="s">
        <v>953</v>
      </c>
      <c r="C47" s="21"/>
      <c r="D47" s="493">
        <f>'Exhibit G State'!D47+'Exhibit G Federal'!D24</f>
        <v>0</v>
      </c>
      <c r="E47" s="493"/>
      <c r="F47" s="493">
        <f>'Exhibit G State'!F47+'Exhibit G Federal'!F24</f>
        <v>0</v>
      </c>
      <c r="G47" s="493"/>
      <c r="H47" s="493">
        <f>'Exhibit G State'!H47+'Exhibit G Federal'!H24</f>
        <v>0.1</v>
      </c>
      <c r="J47" s="493">
        <f>'Exhibit G State'!J47+'Exhibit G Federal'!J24</f>
        <v>0</v>
      </c>
      <c r="L47" s="493">
        <f>'Exhibit G State'!L47+'Exhibit G Federal'!L24</f>
        <v>0</v>
      </c>
      <c r="N47" s="493">
        <f>'Exhibit G State'!N47+'Exhibit G Federal'!N24</f>
        <v>0</v>
      </c>
      <c r="P47" s="493">
        <f>'Exhibit G State'!P47+'Exhibit G Federal'!P24</f>
        <v>0.1</v>
      </c>
      <c r="R47" s="493">
        <f>'Exhibit G State'!R47+'Exhibit G Federal'!R24</f>
        <v>0</v>
      </c>
      <c r="S47" s="493"/>
      <c r="T47" s="493">
        <f>'Exhibit G State'!T47+'Exhibit G Federal'!T24</f>
        <v>0</v>
      </c>
      <c r="U47" s="493"/>
      <c r="V47" s="493">
        <f>'Exhibit G State'!V47+'Exhibit G Federal'!V24</f>
        <v>0</v>
      </c>
      <c r="W47" s="493"/>
      <c r="X47" s="493">
        <f>'Exhibit G State'!X47+'Exhibit G Federal'!X24</f>
        <v>9.9999999999999978E-2</v>
      </c>
      <c r="Y47" s="493"/>
      <c r="Z47" s="493">
        <f>'Exhibit G State'!Z47+'Exhibit G Federal'!Z24</f>
        <v>0</v>
      </c>
      <c r="AA47" s="493"/>
      <c r="AB47" s="36">
        <v>0</v>
      </c>
      <c r="AC47" s="37"/>
      <c r="AD47" s="36">
        <f t="shared" si="14"/>
        <v>0.3</v>
      </c>
      <c r="AE47" s="36"/>
      <c r="AF47" s="37"/>
      <c r="AG47" s="493">
        <f>'Exhibit G State'!AG47+'Exhibit G Federal'!AG24</f>
        <v>-0.7</v>
      </c>
      <c r="AH47" s="194"/>
      <c r="AI47" s="36"/>
      <c r="AJ47" s="467">
        <f>ROUND(SUM(+AD47-AG47),1)</f>
        <v>1</v>
      </c>
      <c r="AK47" s="35"/>
      <c r="AL47" s="469">
        <f>ROUND(IF(AG47=0,1,AJ47/ABS(AG47)),3)</f>
        <v>1.429</v>
      </c>
    </row>
    <row r="48" spans="1:38" ht="15" customHeight="1">
      <c r="A48" s="21"/>
      <c r="B48" s="597" t="s">
        <v>1036</v>
      </c>
      <c r="C48" s="21"/>
      <c r="D48" s="493"/>
      <c r="F48" s="493"/>
      <c r="H48" s="493"/>
      <c r="J48" s="467"/>
      <c r="L48" s="467"/>
      <c r="N48" s="467"/>
      <c r="P48" s="467"/>
      <c r="R48" s="467"/>
      <c r="S48" s="467"/>
      <c r="T48" s="467"/>
      <c r="U48" s="467"/>
      <c r="V48" s="467"/>
      <c r="W48" s="467"/>
      <c r="X48" s="467"/>
      <c r="Y48" s="467"/>
      <c r="Z48" s="467"/>
      <c r="AA48" s="493"/>
      <c r="AB48" s="36"/>
      <c r="AC48" s="37"/>
      <c r="AD48" s="36"/>
      <c r="AE48" s="36"/>
      <c r="AF48" s="37"/>
      <c r="AG48" s="493"/>
      <c r="AH48" s="194"/>
      <c r="AI48" s="36"/>
      <c r="AJ48" s="467"/>
      <c r="AK48" s="35"/>
      <c r="AL48" s="488"/>
    </row>
    <row r="49" spans="1:38" ht="15" customHeight="1">
      <c r="A49" s="21"/>
      <c r="B49" s="597" t="s">
        <v>1125</v>
      </c>
      <c r="C49" s="21"/>
      <c r="D49" s="493">
        <f>'Exhibit G State'!D49</f>
        <v>0</v>
      </c>
      <c r="E49" s="493"/>
      <c r="F49" s="493">
        <f>'Exhibit G State'!F49</f>
        <v>0.2</v>
      </c>
      <c r="G49" s="493"/>
      <c r="H49" s="493">
        <f>'Exhibit G State'!H49</f>
        <v>1.3</v>
      </c>
      <c r="J49" s="493">
        <f>'Exhibit G State'!J49</f>
        <v>0.39999999999999986</v>
      </c>
      <c r="L49" s="493">
        <f>'Exhibit G State'!L49</f>
        <v>0.20000000000000012</v>
      </c>
      <c r="N49" s="493">
        <f>'Exhibit G State'!N49</f>
        <v>9.9999999999999978E-2</v>
      </c>
      <c r="P49" s="493">
        <f>'Exhibit G State'!P49</f>
        <v>0</v>
      </c>
      <c r="R49" s="493">
        <f>'Exhibit G State'!R49</f>
        <v>9.9999999999999645E-2</v>
      </c>
      <c r="S49" s="493"/>
      <c r="T49" s="493">
        <f>'Exhibit G State'!T49</f>
        <v>0.10000000000000009</v>
      </c>
      <c r="U49" s="493"/>
      <c r="V49" s="493">
        <f>'Exhibit G State'!V49</f>
        <v>0</v>
      </c>
      <c r="W49" s="493"/>
      <c r="X49" s="493">
        <f>'Exhibit G State'!X49</f>
        <v>0</v>
      </c>
      <c r="Y49" s="493"/>
      <c r="Z49" s="493">
        <f>'Exhibit G State'!Z49</f>
        <v>0</v>
      </c>
      <c r="AA49" s="493"/>
      <c r="AB49" s="36">
        <v>0</v>
      </c>
      <c r="AC49" s="37"/>
      <c r="AD49" s="36">
        <f>ROUND(SUM(D49:Z49),1)</f>
        <v>2.4</v>
      </c>
      <c r="AE49" s="36"/>
      <c r="AF49" s="37"/>
      <c r="AG49" s="493">
        <f>'Exhibit G State'!AG49</f>
        <v>2.5</v>
      </c>
      <c r="AH49" s="194"/>
      <c r="AI49" s="36"/>
      <c r="AJ49" s="467">
        <f>ROUND(SUM(+AD49-AG49),1)</f>
        <v>-0.1</v>
      </c>
      <c r="AK49" s="35"/>
      <c r="AL49" s="469">
        <f>ROUND(IF(AG49=0,1,AJ49/ABS(AG49)),3)</f>
        <v>-0.04</v>
      </c>
    </row>
    <row r="50" spans="1:38" ht="15" customHeight="1">
      <c r="A50" s="21"/>
      <c r="B50" s="597" t="s">
        <v>954</v>
      </c>
      <c r="C50" s="21"/>
      <c r="D50" s="493">
        <f>'Exhibit G State'!D50+'Exhibit G Federal'!D26</f>
        <v>32.9</v>
      </c>
      <c r="E50" s="493"/>
      <c r="F50" s="493">
        <f>'Exhibit G State'!F50+'Exhibit G Federal'!F26</f>
        <v>36.300000000000004</v>
      </c>
      <c r="G50" s="493"/>
      <c r="H50" s="493">
        <f>'Exhibit G State'!H50+'Exhibit G Federal'!H26</f>
        <v>92.799999999999983</v>
      </c>
      <c r="J50" s="493">
        <f>'Exhibit G State'!J50+'Exhibit G Federal'!J26</f>
        <v>53.800000000000018</v>
      </c>
      <c r="L50" s="493">
        <f>'Exhibit G State'!L50+'Exhibit G Federal'!L26</f>
        <v>41.399999999999984</v>
      </c>
      <c r="N50" s="493">
        <f>'Exhibit G State'!N50+'Exhibit G Federal'!N26</f>
        <v>70.000000000000028</v>
      </c>
      <c r="P50" s="493">
        <f>'Exhibit G State'!P50+'Exhibit G Federal'!P26</f>
        <v>67.400000000000034</v>
      </c>
      <c r="R50" s="493">
        <f>'Exhibit G State'!R50+'Exhibit G Federal'!R26</f>
        <v>45.299999999999926</v>
      </c>
      <c r="S50" s="493"/>
      <c r="T50" s="493">
        <f>'Exhibit G State'!T50+'Exhibit G Federal'!T26</f>
        <v>81.100000000000023</v>
      </c>
      <c r="U50" s="493"/>
      <c r="V50" s="493">
        <f>'Exhibit G State'!V50+'Exhibit G Federal'!V26</f>
        <v>72.400000000000063</v>
      </c>
      <c r="W50" s="493"/>
      <c r="X50" s="493">
        <f>'Exhibit G State'!X50+'Exhibit G Federal'!X26</f>
        <v>35.200000000000045</v>
      </c>
      <c r="Y50" s="493"/>
      <c r="Z50" s="493">
        <f>'Exhibit G State'!Z50+'Exhibit G Federal'!Z26</f>
        <v>102.10000000000005</v>
      </c>
      <c r="AA50" s="493"/>
      <c r="AB50" s="36">
        <v>0</v>
      </c>
      <c r="AC50" s="37"/>
      <c r="AD50" s="36">
        <f t="shared" si="14"/>
        <v>730.7</v>
      </c>
      <c r="AE50" s="36"/>
      <c r="AF50" s="37"/>
      <c r="AG50" s="493">
        <f>'Exhibit G State'!AG50+'Exhibit G Federal'!AG26</f>
        <v>721.2</v>
      </c>
      <c r="AH50" s="194"/>
      <c r="AI50" s="36"/>
      <c r="AJ50" s="467">
        <f t="shared" ref="AJ50:AJ55" si="15">ROUND(SUM(+AD50-AG50),1)</f>
        <v>9.5</v>
      </c>
      <c r="AK50" s="35"/>
      <c r="AL50" s="469">
        <f t="shared" ref="AL50:AL55" si="16">ROUND(IF(AG50=0,0,AJ50/ABS(AG50)),3)</f>
        <v>1.2999999999999999E-2</v>
      </c>
    </row>
    <row r="51" spans="1:38" ht="15" customHeight="1">
      <c r="A51" s="21"/>
      <c r="B51" s="597" t="s">
        <v>955</v>
      </c>
      <c r="C51" s="21"/>
      <c r="D51" s="493">
        <f>'Exhibit G State'!D51+'Exhibit G Federal'!D27</f>
        <v>5</v>
      </c>
      <c r="E51" s="493"/>
      <c r="F51" s="493">
        <f>'Exhibit G State'!F51+'Exhibit G Federal'!F27</f>
        <v>4.6999999999999993</v>
      </c>
      <c r="G51" s="493"/>
      <c r="H51" s="493">
        <f>'Exhibit G State'!H51+'Exhibit G Federal'!H27</f>
        <v>5</v>
      </c>
      <c r="J51" s="493">
        <f>'Exhibit G State'!J51+'Exhibit G Federal'!J27</f>
        <v>4.6999999999999993</v>
      </c>
      <c r="L51" s="493">
        <f>'Exhibit G State'!L51+'Exhibit G Federal'!L27</f>
        <v>5.6000000000000014</v>
      </c>
      <c r="N51" s="493">
        <f>'Exhibit G State'!N51+'Exhibit G Federal'!N27</f>
        <v>4.1999999999999993</v>
      </c>
      <c r="P51" s="493">
        <f>'Exhibit G State'!P51+'Exhibit G Federal'!P27</f>
        <v>5.9000000000000021</v>
      </c>
      <c r="R51" s="493">
        <f>'Exhibit G State'!R51+'Exhibit G Federal'!R27</f>
        <v>4.8999999999999986</v>
      </c>
      <c r="S51" s="493"/>
      <c r="T51" s="493">
        <f>'Exhibit G State'!T51+'Exhibit G Federal'!T27</f>
        <v>3.9999999999999964</v>
      </c>
      <c r="U51" s="493"/>
      <c r="V51" s="493">
        <f>'Exhibit G State'!V51+'Exhibit G Federal'!V27</f>
        <v>4</v>
      </c>
      <c r="W51" s="493"/>
      <c r="X51" s="493">
        <f>'Exhibit G State'!X51+'Exhibit G Federal'!X27</f>
        <v>4.600000000000005</v>
      </c>
      <c r="Y51" s="493"/>
      <c r="Z51" s="493">
        <f>'Exhibit G State'!Z51+'Exhibit G Federal'!Z27</f>
        <v>3.8999999999999915</v>
      </c>
      <c r="AA51" s="493"/>
      <c r="AB51" s="36">
        <v>0</v>
      </c>
      <c r="AC51" s="37"/>
      <c r="AD51" s="36">
        <f t="shared" si="14"/>
        <v>56.5</v>
      </c>
      <c r="AE51" s="36"/>
      <c r="AF51" s="37"/>
      <c r="AG51" s="493">
        <f>'Exhibit G State'!AG51+'Exhibit G Federal'!AG27</f>
        <v>63.2</v>
      </c>
      <c r="AH51" s="194"/>
      <c r="AI51" s="36"/>
      <c r="AJ51" s="467">
        <f t="shared" si="15"/>
        <v>-6.7</v>
      </c>
      <c r="AK51" s="35"/>
      <c r="AL51" s="469">
        <f t="shared" si="16"/>
        <v>-0.106</v>
      </c>
    </row>
    <row r="52" spans="1:38" ht="15" customHeight="1">
      <c r="A52" s="21"/>
      <c r="B52" s="597" t="s">
        <v>956</v>
      </c>
      <c r="C52" s="21"/>
      <c r="D52" s="493">
        <f>'Exhibit G State'!D52+'Exhibit G Federal'!D28</f>
        <v>0.7</v>
      </c>
      <c r="E52" s="493"/>
      <c r="F52" s="493">
        <f>'Exhibit G State'!F52+'Exhibit G Federal'!F28</f>
        <v>0.20000000000000007</v>
      </c>
      <c r="G52" s="493"/>
      <c r="H52" s="493">
        <f>'Exhibit G State'!H52+'Exhibit G Federal'!H28</f>
        <v>0.49999999999999978</v>
      </c>
      <c r="J52" s="493">
        <f>'Exhibit G State'!J52+'Exhibit G Federal'!J28</f>
        <v>0.40000000000000013</v>
      </c>
      <c r="L52" s="493">
        <f>'Exhibit G State'!L52+'Exhibit G Federal'!L28</f>
        <v>0.99999999999999978</v>
      </c>
      <c r="N52" s="493">
        <f>'Exhibit G State'!N52+'Exhibit G Federal'!N28</f>
        <v>0.10000000000000031</v>
      </c>
      <c r="P52" s="493">
        <f>'Exhibit G State'!P52+'Exhibit G Federal'!P28</f>
        <v>0.29999999999999982</v>
      </c>
      <c r="R52" s="493">
        <f>'Exhibit G State'!R52+'Exhibit G Federal'!R28</f>
        <v>0</v>
      </c>
      <c r="S52" s="493"/>
      <c r="T52" s="493">
        <f>'Exhibit G State'!T52+'Exhibit G Federal'!T28</f>
        <v>0.69999999999999973</v>
      </c>
      <c r="U52" s="493"/>
      <c r="V52" s="493">
        <f>'Exhibit G State'!V52+'Exhibit G Federal'!V28</f>
        <v>0</v>
      </c>
      <c r="W52" s="493"/>
      <c r="X52" s="493">
        <f>'Exhibit G State'!X52+'Exhibit G Federal'!X28</f>
        <v>0.39999999999999947</v>
      </c>
      <c r="Y52" s="493"/>
      <c r="Z52" s="493">
        <f>'Exhibit G State'!Z52+'Exhibit G Federal'!Z28</f>
        <v>0.99999999999999956</v>
      </c>
      <c r="AA52" s="493"/>
      <c r="AB52" s="36">
        <v>0</v>
      </c>
      <c r="AC52" s="37"/>
      <c r="AD52" s="36">
        <f>ROUND(SUM(D52:Z52),1)</f>
        <v>5.3</v>
      </c>
      <c r="AE52" s="36"/>
      <c r="AF52" s="37"/>
      <c r="AG52" s="493">
        <f>'Exhibit G State'!AG52+'Exhibit G Federal'!AG28</f>
        <v>5.5</v>
      </c>
      <c r="AH52" s="194"/>
      <c r="AI52" s="36"/>
      <c r="AJ52" s="467">
        <f t="shared" si="15"/>
        <v>-0.2</v>
      </c>
      <c r="AK52" s="35"/>
      <c r="AL52" s="469">
        <f>ROUND(IF(AG52=0,1,AJ52/ABS(AG52)),3)</f>
        <v>-3.5999999999999997E-2</v>
      </c>
    </row>
    <row r="53" spans="1:38" ht="15" customHeight="1">
      <c r="A53" s="21"/>
      <c r="B53" s="597" t="s">
        <v>957</v>
      </c>
      <c r="C53" s="21"/>
      <c r="D53" s="493">
        <f>'Exhibit G State'!D53+'Exhibit G Federal'!D29</f>
        <v>16.7</v>
      </c>
      <c r="E53" s="493"/>
      <c r="F53" s="493">
        <f>'Exhibit G State'!F53+'Exhibit G Federal'!F29</f>
        <v>16.3</v>
      </c>
      <c r="G53" s="493"/>
      <c r="H53" s="493">
        <f>'Exhibit G State'!H53+'Exhibit G Federal'!H29</f>
        <v>24.500000000000004</v>
      </c>
      <c r="J53" s="493">
        <f>'Exhibit G State'!J53+'Exhibit G Federal'!J29</f>
        <v>15.200000000000003</v>
      </c>
      <c r="L53" s="493">
        <f>'Exhibit G State'!L53+'Exhibit G Federal'!L29</f>
        <v>14.299999999999997</v>
      </c>
      <c r="N53" s="493">
        <f>'Exhibit G State'!N53+'Exhibit G Federal'!N29</f>
        <v>15.099999999999994</v>
      </c>
      <c r="P53" s="493">
        <f>'Exhibit G State'!P53+'Exhibit G Federal'!P29</f>
        <v>57.800000000000026</v>
      </c>
      <c r="R53" s="493">
        <f>'Exhibit G State'!R53+'Exhibit G Federal'!R29</f>
        <v>20.799999999999969</v>
      </c>
      <c r="S53" s="493"/>
      <c r="T53" s="493">
        <f>'Exhibit G State'!T53+'Exhibit G Federal'!T29</f>
        <v>21.700000000000003</v>
      </c>
      <c r="U53" s="493"/>
      <c r="V53" s="493">
        <f>'Exhibit G State'!V53+'Exhibit G Federal'!V29</f>
        <v>15.40000000000002</v>
      </c>
      <c r="W53" s="493"/>
      <c r="X53" s="493">
        <f>'Exhibit G State'!X53+'Exhibit G Federal'!X29</f>
        <v>19.799999999999955</v>
      </c>
      <c r="Y53" s="493"/>
      <c r="Z53" s="493">
        <f>'Exhibit G State'!Z53+'Exhibit G Federal'!Z29</f>
        <v>29.500000000000057</v>
      </c>
      <c r="AA53" s="493"/>
      <c r="AB53" s="36">
        <v>0</v>
      </c>
      <c r="AC53" s="37"/>
      <c r="AD53" s="36">
        <f t="shared" si="14"/>
        <v>267.10000000000002</v>
      </c>
      <c r="AE53" s="36"/>
      <c r="AF53" s="37"/>
      <c r="AG53" s="493">
        <f>'Exhibit G State'!AG53+'Exhibit G Federal'!AG29</f>
        <v>322.3</v>
      </c>
      <c r="AH53" s="194"/>
      <c r="AI53" s="36"/>
      <c r="AJ53" s="467">
        <f t="shared" si="15"/>
        <v>-55.2</v>
      </c>
      <c r="AK53" s="35"/>
      <c r="AL53" s="469">
        <f t="shared" si="16"/>
        <v>-0.17100000000000001</v>
      </c>
    </row>
    <row r="54" spans="1:38" ht="15" customHeight="1">
      <c r="A54" s="21"/>
      <c r="B54" s="597" t="s">
        <v>958</v>
      </c>
      <c r="C54" s="21"/>
      <c r="D54" s="493">
        <f>'Exhibit G State'!D54+'Exhibit G Federal'!D30</f>
        <v>39</v>
      </c>
      <c r="E54" s="493"/>
      <c r="F54" s="493">
        <f>'Exhibit G State'!F54+'Exhibit G Federal'!F30</f>
        <v>77.5</v>
      </c>
      <c r="G54" s="493"/>
      <c r="H54" s="493">
        <f>'Exhibit G State'!H54+'Exhibit G Federal'!H30</f>
        <v>77.599999999999994</v>
      </c>
      <c r="J54" s="493">
        <f>'Exhibit G State'!J54+'Exhibit G Federal'!J30</f>
        <v>107.6</v>
      </c>
      <c r="L54" s="493">
        <f>'Exhibit G State'!L54+'Exhibit G Federal'!L30</f>
        <v>79.19999999999996</v>
      </c>
      <c r="N54" s="493">
        <f>'Exhibit G State'!N54+'Exhibit G Federal'!N30</f>
        <v>144.70000000000005</v>
      </c>
      <c r="P54" s="493">
        <f>'Exhibit G State'!P54+'Exhibit G Federal'!P30</f>
        <v>74.399999999999949</v>
      </c>
      <c r="R54" s="493">
        <f>'Exhibit G State'!R54+'Exhibit G Federal'!R30</f>
        <v>94.600000000000051</v>
      </c>
      <c r="S54" s="493"/>
      <c r="T54" s="493">
        <f>'Exhibit G State'!T54+'Exhibit G Federal'!T30</f>
        <v>61.600000000000023</v>
      </c>
      <c r="U54" s="493"/>
      <c r="V54" s="493">
        <f>'Exhibit G State'!V54+'Exhibit G Federal'!V30</f>
        <v>112.09999999999988</v>
      </c>
      <c r="W54" s="493"/>
      <c r="X54" s="493">
        <f>'Exhibit G State'!X54+'Exhibit G Federal'!X30</f>
        <v>113.3000000000001</v>
      </c>
      <c r="Y54" s="493"/>
      <c r="Z54" s="493">
        <f>'Exhibit G State'!Z54+'Exhibit G Federal'!Z30</f>
        <v>82.300000000000068</v>
      </c>
      <c r="AA54" s="493"/>
      <c r="AB54" s="36">
        <v>0</v>
      </c>
      <c r="AC54" s="37"/>
      <c r="AD54" s="467">
        <f t="shared" si="14"/>
        <v>1063.9000000000001</v>
      </c>
      <c r="AE54" s="36"/>
      <c r="AF54" s="37"/>
      <c r="AG54" s="493">
        <f>'Exhibit G State'!AG54+'Exhibit G Federal'!AG30</f>
        <v>1045.2</v>
      </c>
      <c r="AH54" s="194"/>
      <c r="AI54" s="36"/>
      <c r="AJ54" s="467">
        <f t="shared" si="15"/>
        <v>18.7</v>
      </c>
      <c r="AK54" s="35"/>
      <c r="AL54" s="469">
        <f t="shared" si="16"/>
        <v>1.7999999999999999E-2</v>
      </c>
    </row>
    <row r="55" spans="1:38" ht="15" customHeight="1">
      <c r="A55" s="21"/>
      <c r="B55" s="597" t="s">
        <v>917</v>
      </c>
      <c r="C55" s="21"/>
      <c r="D55" s="493">
        <f>'Exhibit G State'!D55+'Exhibit G Federal'!D31</f>
        <v>5.1000000000000005</v>
      </c>
      <c r="E55" s="493"/>
      <c r="F55" s="493">
        <f>'Exhibit G State'!F55+'Exhibit G Federal'!F31</f>
        <v>9.3999999999999986</v>
      </c>
      <c r="G55" s="493"/>
      <c r="H55" s="493">
        <f>'Exhibit G State'!H55+'Exhibit G Federal'!H31</f>
        <v>3.3000000000000007</v>
      </c>
      <c r="J55" s="493">
        <f>'Exhibit G State'!J55+'Exhibit G Federal'!J31</f>
        <v>10.299999999999999</v>
      </c>
      <c r="L55" s="493">
        <f>'Exhibit G State'!L55+'Exhibit G Federal'!L31</f>
        <v>8.8000000000000025</v>
      </c>
      <c r="N55" s="493">
        <f>'Exhibit G State'!N55+'Exhibit G Federal'!N31</f>
        <v>5.9999999999999956</v>
      </c>
      <c r="P55" s="493">
        <f>'Exhibit G State'!P55+'Exhibit G Federal'!P31</f>
        <v>6.5000000000000142</v>
      </c>
      <c r="R55" s="493">
        <f>'Exhibit G State'!R55+'Exhibit G Federal'!R31</f>
        <v>6.8999999999999932</v>
      </c>
      <c r="S55" s="493"/>
      <c r="T55" s="493">
        <f>'Exhibit G State'!T55+'Exhibit G Federal'!T31</f>
        <v>28.299999999999997</v>
      </c>
      <c r="U55" s="493"/>
      <c r="V55" s="493">
        <f>'Exhibit G State'!V55+'Exhibit G Federal'!V31</f>
        <v>7.1999999999999833</v>
      </c>
      <c r="W55" s="493"/>
      <c r="X55" s="493">
        <f>'Exhibit G State'!X55+'Exhibit G Federal'!X31</f>
        <v>18.200000000000003</v>
      </c>
      <c r="Y55" s="493"/>
      <c r="Z55" s="493">
        <f>'Exhibit G State'!Z55+'Exhibit G Federal'!Z31</f>
        <v>12.099999999999998</v>
      </c>
      <c r="AA55" s="493"/>
      <c r="AB55" s="36">
        <v>0</v>
      </c>
      <c r="AC55" s="37"/>
      <c r="AD55" s="467">
        <f>ROUND(SUM(D55:Z55),1)</f>
        <v>122.1</v>
      </c>
      <c r="AE55" s="36"/>
      <c r="AF55" s="37"/>
      <c r="AG55" s="493">
        <f>'Exhibit G State'!AG55+'Exhibit G Federal'!AG31</f>
        <v>101</v>
      </c>
      <c r="AH55" s="194"/>
      <c r="AI55" s="36"/>
      <c r="AJ55" s="467">
        <f t="shared" si="15"/>
        <v>21.1</v>
      </c>
      <c r="AK55" s="35"/>
      <c r="AL55" s="978">
        <f t="shared" si="16"/>
        <v>0.20899999999999999</v>
      </c>
    </row>
    <row r="56" spans="1:38" ht="15" customHeight="1">
      <c r="A56" s="21"/>
      <c r="B56" s="597" t="s">
        <v>1033</v>
      </c>
      <c r="C56" s="21"/>
      <c r="D56" s="493"/>
      <c r="F56" s="493"/>
      <c r="H56" s="493"/>
      <c r="J56" s="493"/>
      <c r="L56" s="493"/>
      <c r="N56" s="493"/>
      <c r="P56" s="493"/>
      <c r="R56" s="493"/>
      <c r="S56" s="493"/>
      <c r="T56" s="493"/>
      <c r="U56" s="493"/>
      <c r="V56" s="493"/>
      <c r="W56" s="493"/>
      <c r="X56" s="493"/>
      <c r="Y56" s="493"/>
      <c r="Z56" s="493"/>
      <c r="AA56" s="493"/>
      <c r="AB56" s="36"/>
      <c r="AC56" s="37"/>
      <c r="AD56" s="467"/>
      <c r="AE56" s="36"/>
      <c r="AF56" s="37"/>
      <c r="AG56" s="493"/>
      <c r="AH56" s="194"/>
      <c r="AI56" s="36"/>
      <c r="AJ56" s="467"/>
      <c r="AK56" s="35"/>
      <c r="AL56" s="488"/>
    </row>
    <row r="57" spans="1:38" ht="15" customHeight="1">
      <c r="A57" s="21"/>
      <c r="B57" s="597" t="s">
        <v>959</v>
      </c>
      <c r="C57" s="21"/>
      <c r="D57" s="493">
        <f>'Exhibit G State'!D57</f>
        <v>39.6</v>
      </c>
      <c r="E57" s="493"/>
      <c r="F57" s="493">
        <f>'Exhibit G State'!F57</f>
        <v>11.5</v>
      </c>
      <c r="G57" s="493"/>
      <c r="H57" s="493">
        <f>'Exhibit G State'!H57</f>
        <v>41.1</v>
      </c>
      <c r="J57" s="493">
        <f>'Exhibit G State'!J57</f>
        <v>35.70000000000001</v>
      </c>
      <c r="L57" s="493">
        <f>'Exhibit G State'!L57</f>
        <v>18.199999999999982</v>
      </c>
      <c r="N57" s="493">
        <f>'Exhibit G State'!N57</f>
        <v>42.800000000000026</v>
      </c>
      <c r="P57" s="493">
        <f>'Exhibit G State'!P57</f>
        <v>36.299999999999969</v>
      </c>
      <c r="R57" s="493">
        <f>'Exhibit G State'!R57</f>
        <v>19.800000000000011</v>
      </c>
      <c r="S57" s="493"/>
      <c r="T57" s="493">
        <f>'Exhibit G State'!T57</f>
        <v>41.5</v>
      </c>
      <c r="U57" s="493"/>
      <c r="V57" s="493">
        <f>'Exhibit G State'!V57</f>
        <v>35.600000000000009</v>
      </c>
      <c r="W57" s="493"/>
      <c r="X57" s="493">
        <f>'Exhibit G State'!X57</f>
        <v>13.399999999999977</v>
      </c>
      <c r="Y57" s="493"/>
      <c r="Z57" s="493">
        <f>'Exhibit G State'!Z57</f>
        <v>44.199999999999946</v>
      </c>
      <c r="AA57" s="493"/>
      <c r="AB57" s="36">
        <v>0</v>
      </c>
      <c r="AC57" s="37"/>
      <c r="AD57" s="467">
        <f t="shared" si="14"/>
        <v>379.7</v>
      </c>
      <c r="AE57" s="36"/>
      <c r="AF57" s="37"/>
      <c r="AG57" s="493">
        <f>'Exhibit G State'!AG57</f>
        <v>828.7</v>
      </c>
      <c r="AH57" s="194"/>
      <c r="AI57" s="36"/>
      <c r="AJ57" s="467">
        <f t="shared" ref="AJ57:AJ62" si="17">ROUND(SUM(+AD57-AG57),1)</f>
        <v>-449</v>
      </c>
      <c r="AK57" s="35"/>
      <c r="AL57" s="978">
        <f>ROUND(IF(AG57=0,1,AJ57/ABS(AG57)),3)</f>
        <v>-0.54200000000000004</v>
      </c>
    </row>
    <row r="58" spans="1:38" ht="15" customHeight="1">
      <c r="A58" s="21"/>
      <c r="B58" s="597" t="s">
        <v>1471</v>
      </c>
      <c r="C58" s="21"/>
      <c r="D58" s="493">
        <f>'Exhibit G State'!D58</f>
        <v>186.3</v>
      </c>
      <c r="E58" s="493"/>
      <c r="F58" s="493">
        <f>'Exhibit G State'!F58</f>
        <v>189.59999999999997</v>
      </c>
      <c r="G58" s="493"/>
      <c r="H58" s="493">
        <f>'Exhibit G State'!H58</f>
        <v>232.80000000000007</v>
      </c>
      <c r="J58" s="493">
        <f>'Exhibit G State'!J58</f>
        <v>191.69999999999993</v>
      </c>
      <c r="L58" s="493">
        <f>'Exhibit G State'!L58</f>
        <v>248.69999999999993</v>
      </c>
      <c r="N58" s="493">
        <f>'Exhibit G State'!N58</f>
        <v>176.50000000000011</v>
      </c>
      <c r="P58" s="493">
        <f>'Exhibit G State'!P58</f>
        <v>184.60000000000014</v>
      </c>
      <c r="R58" s="493">
        <f>'Exhibit G State'!R58</f>
        <v>285.20000000000016</v>
      </c>
      <c r="S58" s="493"/>
      <c r="T58" s="493">
        <f>'Exhibit G State'!T58</f>
        <v>179.19999999999993</v>
      </c>
      <c r="U58" s="493"/>
      <c r="V58" s="493">
        <f>'Exhibit G State'!V58</f>
        <v>222.3000000000003</v>
      </c>
      <c r="W58" s="493"/>
      <c r="X58" s="493">
        <f>'Exhibit G State'!X58</f>
        <v>201.39999999999975</v>
      </c>
      <c r="Y58" s="493"/>
      <c r="Z58" s="493">
        <f>'Exhibit G State'!Z58</f>
        <v>393.39999999999964</v>
      </c>
      <c r="AA58" s="493"/>
      <c r="AB58" s="36">
        <v>0</v>
      </c>
      <c r="AC58" s="37"/>
      <c r="AD58" s="467">
        <f t="shared" si="14"/>
        <v>2691.7</v>
      </c>
      <c r="AE58" s="36"/>
      <c r="AF58" s="37"/>
      <c r="AG58" s="493">
        <f>'Exhibit G State'!AG58</f>
        <v>2563</v>
      </c>
      <c r="AH58" s="194"/>
      <c r="AI58" s="36"/>
      <c r="AJ58" s="467">
        <f t="shared" si="17"/>
        <v>128.69999999999999</v>
      </c>
      <c r="AK58" s="35"/>
      <c r="AL58" s="469">
        <f>ROUND(IF(AG58=0,0,AJ58/ABS(AG58)),3)</f>
        <v>0.05</v>
      </c>
    </row>
    <row r="59" spans="1:38" ht="15" customHeight="1">
      <c r="A59" s="21"/>
      <c r="B59" s="597" t="s">
        <v>1472</v>
      </c>
      <c r="C59" s="21"/>
      <c r="D59" s="493">
        <f>'Exhibit G State'!D59</f>
        <v>38.6</v>
      </c>
      <c r="E59" s="493"/>
      <c r="F59" s="493">
        <f>'Exhibit G State'!F59</f>
        <v>53.4</v>
      </c>
      <c r="G59" s="493"/>
      <c r="H59" s="493">
        <f>'Exhibit G State'!H59</f>
        <v>38.599999999999987</v>
      </c>
      <c r="J59" s="493">
        <f>'Exhibit G State'!J59</f>
        <v>33.499999999999993</v>
      </c>
      <c r="L59" s="493">
        <f>'Exhibit G State'!L59</f>
        <v>53.599999999999987</v>
      </c>
      <c r="N59" s="493">
        <f>'Exhibit G State'!N59</f>
        <v>67.699999999999989</v>
      </c>
      <c r="P59" s="493">
        <f>'Exhibit G State'!P59</f>
        <v>67.100000000000023</v>
      </c>
      <c r="R59" s="493">
        <f>'Exhibit G State'!R59</f>
        <v>92.000000000000028</v>
      </c>
      <c r="S59" s="493"/>
      <c r="T59" s="493">
        <f>'Exhibit G State'!T59</f>
        <v>63.500000000000028</v>
      </c>
      <c r="U59" s="493"/>
      <c r="V59" s="493">
        <f>'Exhibit G State'!V59</f>
        <v>81.299999999999955</v>
      </c>
      <c r="W59" s="493"/>
      <c r="X59" s="493">
        <f>'Exhibit G State'!X59</f>
        <v>55.099999999999966</v>
      </c>
      <c r="Y59" s="493"/>
      <c r="Z59" s="493">
        <f>'Exhibit G State'!Z59</f>
        <v>78.000000000000028</v>
      </c>
      <c r="AA59" s="493"/>
      <c r="AB59" s="36">
        <v>0</v>
      </c>
      <c r="AC59" s="37"/>
      <c r="AD59" s="467">
        <f t="shared" si="14"/>
        <v>722.4</v>
      </c>
      <c r="AE59" s="36"/>
      <c r="AF59" s="37"/>
      <c r="AG59" s="493">
        <f>'Exhibit G State'!AG59</f>
        <v>357.5</v>
      </c>
      <c r="AH59" s="194"/>
      <c r="AI59" s="36"/>
      <c r="AJ59" s="467">
        <f t="shared" si="17"/>
        <v>364.9</v>
      </c>
      <c r="AK59" s="35"/>
      <c r="AL59" s="469">
        <f>ROUND(IF(AG59=0,1,AJ59/ABS(AG59)),3)</f>
        <v>1.0209999999999999</v>
      </c>
    </row>
    <row r="60" spans="1:38" ht="15" customHeight="1">
      <c r="A60" s="21"/>
      <c r="B60" s="597" t="s">
        <v>960</v>
      </c>
      <c r="C60" s="21"/>
      <c r="D60" s="493">
        <f>'Exhibit G State'!D60</f>
        <v>73.400000000000006</v>
      </c>
      <c r="E60" s="493"/>
      <c r="F60" s="493">
        <f>'Exhibit G State'!F60</f>
        <v>71.299999999999983</v>
      </c>
      <c r="G60" s="493"/>
      <c r="H60" s="493">
        <f>'Exhibit G State'!H60</f>
        <v>90.9</v>
      </c>
      <c r="J60" s="493">
        <f>'Exhibit G State'!J60</f>
        <v>79.400000000000006</v>
      </c>
      <c r="L60" s="493">
        <f>'Exhibit G State'!L60</f>
        <v>98.799999999999983</v>
      </c>
      <c r="N60" s="493">
        <f>'Exhibit G State'!N60</f>
        <v>77.300000000000097</v>
      </c>
      <c r="P60" s="493">
        <f>'Exhibit G State'!P60</f>
        <v>77.400000000000006</v>
      </c>
      <c r="R60" s="493">
        <f>'Exhibit G State'!R60</f>
        <v>95.4</v>
      </c>
      <c r="S60" s="493"/>
      <c r="T60" s="493">
        <f>'Exhibit G State'!T60</f>
        <v>68.500000000000028</v>
      </c>
      <c r="U60" s="493"/>
      <c r="V60" s="493">
        <f>'Exhibit G State'!V60</f>
        <v>88.500000000000028</v>
      </c>
      <c r="W60" s="493"/>
      <c r="X60" s="493">
        <f>'Exhibit G State'!X60</f>
        <v>83.300000000000097</v>
      </c>
      <c r="Y60" s="493"/>
      <c r="Z60" s="493">
        <f>'Exhibit G State'!Z60</f>
        <v>108.59999999999997</v>
      </c>
      <c r="AA60" s="493"/>
      <c r="AB60" s="36">
        <v>0</v>
      </c>
      <c r="AC60" s="37"/>
      <c r="AD60" s="467">
        <f t="shared" si="14"/>
        <v>1012.8</v>
      </c>
      <c r="AE60" s="36"/>
      <c r="AF60" s="37"/>
      <c r="AG60" s="493">
        <f>'Exhibit G State'!AG60</f>
        <v>1005.4</v>
      </c>
      <c r="AH60" s="194"/>
      <c r="AI60" s="36"/>
      <c r="AJ60" s="467">
        <f t="shared" si="17"/>
        <v>7.4</v>
      </c>
      <c r="AK60" s="35"/>
      <c r="AL60" s="978">
        <f>ROUND(IF(AG60=0,1,AJ60/ABS(AG60)),3)</f>
        <v>7.0000000000000001E-3</v>
      </c>
    </row>
    <row r="61" spans="1:38" ht="15" customHeight="1">
      <c r="A61" s="21"/>
      <c r="B61" s="597" t="s">
        <v>918</v>
      </c>
      <c r="C61" s="21"/>
      <c r="D61" s="493">
        <f>'Exhibit G State'!D61+'Exhibit G Federal'!D32</f>
        <v>8.1999999999999993</v>
      </c>
      <c r="E61" s="493"/>
      <c r="F61" s="493">
        <f>'Exhibit G State'!F61+'Exhibit G Federal'!F32</f>
        <v>11.399999999999999</v>
      </c>
      <c r="G61" s="493"/>
      <c r="H61" s="493">
        <f>'Exhibit G State'!H61+'Exhibit G Federal'!H32</f>
        <v>19.299999999999997</v>
      </c>
      <c r="J61" s="493">
        <f>'Exhibit G State'!J61+'Exhibit G Federal'!J32</f>
        <v>25.500000000000004</v>
      </c>
      <c r="L61" s="493">
        <f>'Exhibit G State'!L61+'Exhibit G Federal'!L32</f>
        <v>38.29999999999999</v>
      </c>
      <c r="N61" s="493">
        <f>'Exhibit G State'!N61+'Exhibit G Federal'!N32</f>
        <v>47.40000000000002</v>
      </c>
      <c r="P61" s="493">
        <f>'Exhibit G State'!P61+'Exhibit G Federal'!P32</f>
        <v>57.699999999999996</v>
      </c>
      <c r="R61" s="493">
        <f>'Exhibit G State'!R61+'Exhibit G Federal'!R32</f>
        <v>76.59999999999998</v>
      </c>
      <c r="S61" s="493"/>
      <c r="T61" s="493">
        <f>'Exhibit G State'!T61+'Exhibit G Federal'!T32</f>
        <v>87.300000000000026</v>
      </c>
      <c r="U61" s="493"/>
      <c r="V61" s="493">
        <f>'Exhibit G State'!V61+'Exhibit G Federal'!V32</f>
        <v>104.19999999999995</v>
      </c>
      <c r="W61" s="493"/>
      <c r="X61" s="493">
        <f>'Exhibit G State'!X61+'Exhibit G Federal'!X32</f>
        <v>116.80000000000007</v>
      </c>
      <c r="Y61" s="493"/>
      <c r="Z61" s="493">
        <f>'Exhibit G State'!Z61+'Exhibit G Federal'!Z32</f>
        <v>110.1</v>
      </c>
      <c r="AA61" s="493"/>
      <c r="AB61" s="36">
        <v>0</v>
      </c>
      <c r="AC61" s="37"/>
      <c r="AD61" s="467">
        <f>ROUND(SUM(D61:Z61),1)</f>
        <v>702.8</v>
      </c>
      <c r="AE61" s="36"/>
      <c r="AF61" s="37"/>
      <c r="AG61" s="493">
        <f>'Exhibit G State'!AG61+'Exhibit G Federal'!AG32</f>
        <v>51.599999999999994</v>
      </c>
      <c r="AH61" s="194"/>
      <c r="AI61" s="36"/>
      <c r="AJ61" s="467">
        <f t="shared" si="17"/>
        <v>651.20000000000005</v>
      </c>
      <c r="AK61" s="35"/>
      <c r="AL61" s="978">
        <f>ROUND(IF(AG61=0,0,AJ61/ABS(AG61)),3)</f>
        <v>12.62</v>
      </c>
    </row>
    <row r="62" spans="1:38" ht="15" customHeight="1">
      <c r="A62" s="21"/>
      <c r="B62" s="597" t="s">
        <v>935</v>
      </c>
      <c r="C62" s="21"/>
      <c r="D62" s="493">
        <f>'Exhibit G State'!D62+'Exhibit G Federal'!D33</f>
        <v>7.2</v>
      </c>
      <c r="E62" s="493"/>
      <c r="F62" s="493">
        <f>'Exhibit G State'!F62+'Exhibit G Federal'!F33</f>
        <v>1.8999999999999995</v>
      </c>
      <c r="G62" s="493"/>
      <c r="H62" s="493">
        <f>'Exhibit G State'!H62+'Exhibit G Federal'!H33</f>
        <v>5.1000000000000005</v>
      </c>
      <c r="J62" s="493">
        <f>'Exhibit G State'!J62+'Exhibit G Federal'!J33</f>
        <v>3.4000000000000012</v>
      </c>
      <c r="L62" s="493">
        <f>'Exhibit G State'!L62+'Exhibit G Federal'!L33</f>
        <v>76.499999999999986</v>
      </c>
      <c r="N62" s="493">
        <f>'Exhibit G State'!N62+'Exhibit G Federal'!N33</f>
        <v>4.7000000000000028</v>
      </c>
      <c r="P62" s="493">
        <f>'Exhibit G State'!P62+'Exhibit G Federal'!P33</f>
        <v>3.2000000000000028</v>
      </c>
      <c r="R62" s="493">
        <f>'Exhibit G State'!R62+'Exhibit G Federal'!R33</f>
        <v>1.2999999999999972</v>
      </c>
      <c r="S62" s="493"/>
      <c r="T62" s="493">
        <f>'Exhibit G State'!T62+'Exhibit G Federal'!T33</f>
        <v>5.5</v>
      </c>
      <c r="U62" s="493"/>
      <c r="V62" s="493">
        <f>'Exhibit G State'!V62+'Exhibit G Federal'!V33</f>
        <v>2.6000000000000085</v>
      </c>
      <c r="W62" s="493"/>
      <c r="X62" s="493">
        <f>'Exhibit G State'!X62+'Exhibit G Federal'!X33</f>
        <v>111</v>
      </c>
      <c r="Y62" s="493"/>
      <c r="Z62" s="493">
        <f>'Exhibit G State'!Z62+'Exhibit G Federal'!Z33</f>
        <v>1.4000000000000341</v>
      </c>
      <c r="AA62" s="493"/>
      <c r="AB62" s="36">
        <v>0</v>
      </c>
      <c r="AC62" s="37"/>
      <c r="AD62" s="467">
        <f>ROUND(SUM(D62:Z62),1)</f>
        <v>223.8</v>
      </c>
      <c r="AE62" s="36"/>
      <c r="AF62" s="37"/>
      <c r="AG62" s="493">
        <f>'Exhibit G State'!AG62+'Exhibit G Federal'!AG33</f>
        <v>322</v>
      </c>
      <c r="AH62" s="194"/>
      <c r="AI62" s="36"/>
      <c r="AJ62" s="467">
        <f t="shared" si="17"/>
        <v>-98.2</v>
      </c>
      <c r="AK62" s="35"/>
      <c r="AL62" s="469">
        <f>ROUND(IF(AG62=0,0,AJ62/ABS(AG62)),3)</f>
        <v>-0.30499999999999999</v>
      </c>
    </row>
    <row r="63" spans="1:38" ht="15" customHeight="1">
      <c r="A63" s="21"/>
      <c r="B63" s="597" t="s">
        <v>1034</v>
      </c>
      <c r="C63" s="21"/>
      <c r="D63" s="493"/>
      <c r="F63" s="493"/>
      <c r="H63" s="493"/>
      <c r="J63" s="493"/>
      <c r="L63" s="493"/>
      <c r="N63" s="493"/>
      <c r="P63" s="493"/>
      <c r="R63" s="493"/>
      <c r="S63" s="493"/>
      <c r="T63" s="493"/>
      <c r="U63" s="493"/>
      <c r="V63" s="493"/>
      <c r="W63" s="493"/>
      <c r="X63" s="493"/>
      <c r="Y63" s="493"/>
      <c r="Z63" s="493"/>
      <c r="AA63" s="493"/>
      <c r="AB63" s="36"/>
      <c r="AC63" s="37"/>
      <c r="AD63" s="467"/>
      <c r="AE63" s="36"/>
      <c r="AF63" s="37"/>
      <c r="AG63" s="493"/>
      <c r="AH63" s="194"/>
      <c r="AI63" s="36"/>
      <c r="AJ63" s="467"/>
      <c r="AK63" s="35"/>
      <c r="AL63" s="488"/>
    </row>
    <row r="64" spans="1:38" ht="15" customHeight="1">
      <c r="A64" s="21"/>
      <c r="B64" s="597" t="s">
        <v>961</v>
      </c>
      <c r="C64" s="21"/>
      <c r="D64" s="493">
        <f>'Exhibit G State'!D64+'Exhibit G Federal'!D35</f>
        <v>0</v>
      </c>
      <c r="E64" s="493"/>
      <c r="F64" s="493">
        <f>'Exhibit G State'!F64+'Exhibit G Federal'!F35</f>
        <v>0</v>
      </c>
      <c r="G64" s="493"/>
      <c r="H64" s="493">
        <f>'Exhibit G State'!H64+'Exhibit G Federal'!H35</f>
        <v>0</v>
      </c>
      <c r="J64" s="493">
        <f>'Exhibit G State'!J64+'Exhibit G Federal'!J35</f>
        <v>0</v>
      </c>
      <c r="L64" s="493">
        <f>'Exhibit G State'!L64+'Exhibit G Federal'!L35</f>
        <v>0</v>
      </c>
      <c r="N64" s="493">
        <f>'Exhibit G State'!N64+'Exhibit G Federal'!N35</f>
        <v>0</v>
      </c>
      <c r="P64" s="493">
        <f>'Exhibit G State'!P64+'Exhibit G Federal'!P35</f>
        <v>0</v>
      </c>
      <c r="R64" s="493">
        <f>'Exhibit G State'!R64+'Exhibit G Federal'!R35</f>
        <v>0</v>
      </c>
      <c r="S64" s="493"/>
      <c r="T64" s="493">
        <f>'Exhibit G State'!T64+'Exhibit G Federal'!T35</f>
        <v>0</v>
      </c>
      <c r="U64" s="493"/>
      <c r="V64" s="493">
        <f>'Exhibit G State'!V64+'Exhibit G Federal'!V35</f>
        <v>0</v>
      </c>
      <c r="W64" s="493"/>
      <c r="X64" s="493">
        <f>'Exhibit G State'!X64+'Exhibit G Federal'!X35</f>
        <v>0</v>
      </c>
      <c r="Y64" s="493"/>
      <c r="Z64" s="493">
        <f>'Exhibit G State'!Z64+'Exhibit G Federal'!Z35</f>
        <v>0</v>
      </c>
      <c r="AA64" s="493"/>
      <c r="AB64" s="36">
        <v>0</v>
      </c>
      <c r="AC64" s="37"/>
      <c r="AD64" s="467">
        <f t="shared" si="14"/>
        <v>0</v>
      </c>
      <c r="AE64" s="36"/>
      <c r="AF64" s="37"/>
      <c r="AG64" s="493">
        <f>'Exhibit G State'!AG64+'Exhibit G Federal'!AG35</f>
        <v>0</v>
      </c>
      <c r="AH64" s="194"/>
      <c r="AI64" s="36"/>
      <c r="AJ64" s="467">
        <f t="shared" ref="AJ64:AJ68" si="18">ROUND(SUM(+AD64-AG64),1)</f>
        <v>0</v>
      </c>
      <c r="AK64" s="35"/>
      <c r="AL64" s="469">
        <f>ROUND(IF(AG64=0,0,AJ64/ABS(AG64)),3)</f>
        <v>0</v>
      </c>
    </row>
    <row r="65" spans="1:38" ht="15" customHeight="1">
      <c r="A65" s="21"/>
      <c r="B65" s="597" t="s">
        <v>962</v>
      </c>
      <c r="C65" s="21"/>
      <c r="D65" s="493">
        <f>'Exhibit G State'!D65+'Exhibit G Federal'!D36</f>
        <v>14.2</v>
      </c>
      <c r="E65" s="493"/>
      <c r="F65" s="493">
        <f>'Exhibit G State'!F65+'Exhibit G Federal'!F36</f>
        <v>0</v>
      </c>
      <c r="G65" s="493"/>
      <c r="H65" s="493">
        <f>'Exhibit G State'!H65+'Exhibit G Federal'!H36</f>
        <v>0</v>
      </c>
      <c r="J65" s="493">
        <f>'Exhibit G State'!J65+'Exhibit G Federal'!J36</f>
        <v>6.1999999999999993</v>
      </c>
      <c r="L65" s="493">
        <f>'Exhibit G State'!L65+'Exhibit G Federal'!L36</f>
        <v>0</v>
      </c>
      <c r="N65" s="493">
        <f>'Exhibit G State'!N65+'Exhibit G Federal'!N36</f>
        <v>0</v>
      </c>
      <c r="P65" s="493">
        <f>'Exhibit G State'!P65+'Exhibit G Federal'!P36</f>
        <v>0</v>
      </c>
      <c r="R65" s="493">
        <f>'Exhibit G State'!R65+'Exhibit G Federal'!R36</f>
        <v>0</v>
      </c>
      <c r="S65" s="493"/>
      <c r="T65" s="493">
        <f>'Exhibit G State'!T65+'Exhibit G Federal'!T36</f>
        <v>0</v>
      </c>
      <c r="U65" s="493"/>
      <c r="V65" s="493">
        <f>'Exhibit G State'!V65+'Exhibit G Federal'!V36</f>
        <v>0</v>
      </c>
      <c r="W65" s="493"/>
      <c r="X65" s="493">
        <f>'Exhibit G State'!X65+'Exhibit G Federal'!X36</f>
        <v>0</v>
      </c>
      <c r="Y65" s="493"/>
      <c r="Z65" s="493">
        <f>'Exhibit G State'!Z65+'Exhibit G Federal'!Z36</f>
        <v>0</v>
      </c>
      <c r="AA65" s="493"/>
      <c r="AB65" s="36">
        <v>0</v>
      </c>
      <c r="AC65" s="37"/>
      <c r="AD65" s="467">
        <f t="shared" si="14"/>
        <v>20.399999999999999</v>
      </c>
      <c r="AE65" s="36"/>
      <c r="AF65" s="37"/>
      <c r="AG65" s="493">
        <f>'Exhibit G State'!AG65+'Exhibit G Federal'!AG36</f>
        <v>10.199999999999999</v>
      </c>
      <c r="AH65" s="194"/>
      <c r="AI65" s="36"/>
      <c r="AJ65" s="467">
        <f t="shared" si="18"/>
        <v>10.199999999999999</v>
      </c>
      <c r="AK65" s="35"/>
      <c r="AL65" s="469">
        <f>ROUND(IF(AG65=0,1,AJ65/ABS(AG65)),3)</f>
        <v>1</v>
      </c>
    </row>
    <row r="66" spans="1:38" ht="15" customHeight="1">
      <c r="A66" s="21"/>
      <c r="B66" s="597" t="s">
        <v>963</v>
      </c>
      <c r="C66" s="21"/>
      <c r="D66" s="493">
        <f>'Exhibit G State'!D66+'Exhibit G Federal'!D37</f>
        <v>2.8</v>
      </c>
      <c r="E66" s="493"/>
      <c r="F66" s="493">
        <f>'Exhibit G State'!F66+'Exhibit G Federal'!F37</f>
        <v>3.7</v>
      </c>
      <c r="G66" s="493"/>
      <c r="H66" s="493">
        <f>'Exhibit G State'!H66+'Exhibit G Federal'!H37</f>
        <v>0.70000000000000018</v>
      </c>
      <c r="J66" s="493">
        <f>'Exhibit G State'!J66+'Exhibit G Federal'!J37</f>
        <v>0</v>
      </c>
      <c r="L66" s="493">
        <f>'Exhibit G State'!L66+'Exhibit G Federal'!L37</f>
        <v>0</v>
      </c>
      <c r="N66" s="493">
        <f>'Exhibit G State'!N66+'Exhibit G Federal'!N37</f>
        <v>0</v>
      </c>
      <c r="P66" s="493">
        <f>'Exhibit G State'!P66+'Exhibit G Federal'!P37</f>
        <v>0</v>
      </c>
      <c r="R66" s="493">
        <f>'Exhibit G State'!R66+'Exhibit G Federal'!R37</f>
        <v>0</v>
      </c>
      <c r="S66" s="493"/>
      <c r="T66" s="493">
        <f>'Exhibit G State'!T66+'Exhibit G Federal'!T37</f>
        <v>0</v>
      </c>
      <c r="U66" s="493"/>
      <c r="V66" s="493">
        <f>'Exhibit G State'!V66+'Exhibit G Federal'!V37</f>
        <v>0</v>
      </c>
      <c r="W66" s="493"/>
      <c r="X66" s="493">
        <f>'Exhibit G State'!X66+'Exhibit G Federal'!X37</f>
        <v>0</v>
      </c>
      <c r="Y66" s="493"/>
      <c r="Z66" s="493">
        <f>'Exhibit G State'!Z66+'Exhibit G Federal'!Z37</f>
        <v>0</v>
      </c>
      <c r="AA66" s="493"/>
      <c r="AB66" s="36">
        <v>0</v>
      </c>
      <c r="AC66" s="37"/>
      <c r="AD66" s="467">
        <f t="shared" si="14"/>
        <v>7.2</v>
      </c>
      <c r="AE66" s="36"/>
      <c r="AF66" s="37"/>
      <c r="AG66" s="493">
        <f>'Exhibit G State'!AG66+'Exhibit G Federal'!AG37</f>
        <v>7.2</v>
      </c>
      <c r="AH66" s="194"/>
      <c r="AI66" s="36"/>
      <c r="AJ66" s="467">
        <f t="shared" si="18"/>
        <v>0</v>
      </c>
      <c r="AK66" s="35"/>
      <c r="AL66" s="978">
        <f t="shared" ref="AL66:AL68" si="19">ROUND(IF(AG66=0,0,AJ66/ABS(AG66)),3)</f>
        <v>0</v>
      </c>
    </row>
    <row r="67" spans="1:38" ht="15" customHeight="1">
      <c r="A67" s="21"/>
      <c r="B67" s="597" t="s">
        <v>964</v>
      </c>
      <c r="C67" s="21"/>
      <c r="D67" s="493">
        <f>'Exhibit G State'!D67+'Exhibit G Federal'!D38</f>
        <v>4.9000000000000004</v>
      </c>
      <c r="E67" s="493"/>
      <c r="F67" s="493">
        <f>'Exhibit G State'!F67+'Exhibit G Federal'!F38</f>
        <v>11.200000000000001</v>
      </c>
      <c r="G67" s="493"/>
      <c r="H67" s="493">
        <f>'Exhibit G State'!H67+'Exhibit G Federal'!H38</f>
        <v>0</v>
      </c>
      <c r="J67" s="493">
        <f>'Exhibit G State'!J67+'Exhibit G Federal'!J38</f>
        <v>9.3999999999999986</v>
      </c>
      <c r="L67" s="493">
        <f>'Exhibit G State'!L67+'Exhibit G Federal'!L38</f>
        <v>4.6000000000000014</v>
      </c>
      <c r="N67" s="493">
        <f>'Exhibit G State'!N67+'Exhibit G Federal'!N38</f>
        <v>0.1000000000000032</v>
      </c>
      <c r="P67" s="493">
        <f>'Exhibit G State'!P67+'Exhibit G Federal'!P38</f>
        <v>7.8999999999999968</v>
      </c>
      <c r="R67" s="493">
        <f>'Exhibit G State'!R67+'Exhibit G Federal'!R38</f>
        <v>0</v>
      </c>
      <c r="S67" s="493"/>
      <c r="T67" s="493">
        <f>'Exhibit G State'!T67+'Exhibit G Federal'!T38</f>
        <v>8.9</v>
      </c>
      <c r="U67" s="493"/>
      <c r="V67" s="493">
        <f>'Exhibit G State'!V67+'Exhibit G Federal'!V38</f>
        <v>4.7000000000000028</v>
      </c>
      <c r="W67" s="493"/>
      <c r="X67" s="493">
        <f>'Exhibit G State'!X67+'Exhibit G Federal'!X38</f>
        <v>6.7999999999999954</v>
      </c>
      <c r="Y67" s="493"/>
      <c r="Z67" s="493">
        <f>'Exhibit G State'!Z67+'Exhibit G Federal'!Z38</f>
        <v>4.5</v>
      </c>
      <c r="AA67" s="493"/>
      <c r="AB67" s="36">
        <v>0</v>
      </c>
      <c r="AC67" s="37"/>
      <c r="AD67" s="467">
        <f t="shared" si="14"/>
        <v>63</v>
      </c>
      <c r="AE67" s="36"/>
      <c r="AF67" s="37"/>
      <c r="AG67" s="493">
        <f>'Exhibit G State'!AG67+'Exhibit G Federal'!AG38</f>
        <v>47.6</v>
      </c>
      <c r="AH67" s="194"/>
      <c r="AI67" s="36"/>
      <c r="AJ67" s="467">
        <f t="shared" si="18"/>
        <v>15.4</v>
      </c>
      <c r="AK67" s="35"/>
      <c r="AL67" s="978">
        <f t="shared" si="19"/>
        <v>0.32400000000000001</v>
      </c>
    </row>
    <row r="68" spans="1:38" ht="15" customHeight="1">
      <c r="A68" s="21"/>
      <c r="B68" s="597" t="s">
        <v>936</v>
      </c>
      <c r="C68" s="21"/>
      <c r="D68" s="493">
        <f>'Exhibit G State'!D68+'Exhibit G Federal'!D39</f>
        <v>33.299999999999997</v>
      </c>
      <c r="E68" s="493"/>
      <c r="F68" s="493">
        <f>'Exhibit G State'!F68+'Exhibit G Federal'!F39</f>
        <v>20.6</v>
      </c>
      <c r="G68" s="493"/>
      <c r="H68" s="493">
        <f>'Exhibit G State'!H68+'Exhibit G Federal'!H39</f>
        <v>21.300000000000004</v>
      </c>
      <c r="J68" s="493">
        <f>'Exhibit G State'!J68+'Exhibit G Federal'!J39</f>
        <v>0.89999999999999147</v>
      </c>
      <c r="L68" s="493">
        <f>'Exhibit G State'!L68+'Exhibit G Federal'!L39</f>
        <v>10.800000000000018</v>
      </c>
      <c r="N68" s="493">
        <f>'Exhibit G State'!N68+'Exhibit G Federal'!N39</f>
        <v>-1.8000000000000185</v>
      </c>
      <c r="P68" s="493">
        <f>'Exhibit G State'!P68+'Exhibit G Federal'!P39</f>
        <v>0.60000000000000853</v>
      </c>
      <c r="R68" s="493">
        <f>'Exhibit G State'!R68+'Exhibit G Federal'!R39</f>
        <v>67.499999999999957</v>
      </c>
      <c r="S68" s="493"/>
      <c r="T68" s="493">
        <f>'Exhibit G State'!T68+'Exhibit G Federal'!T39</f>
        <v>18.900000000000034</v>
      </c>
      <c r="U68" s="493"/>
      <c r="V68" s="493">
        <f>'Exhibit G State'!V68+'Exhibit G Federal'!V39</f>
        <v>21.800000000000011</v>
      </c>
      <c r="W68" s="493"/>
      <c r="X68" s="493">
        <f>'Exhibit G State'!X68+'Exhibit G Federal'!X39</f>
        <v>91.999999999999943</v>
      </c>
      <c r="Y68" s="493"/>
      <c r="Z68" s="493">
        <f>'Exhibit G State'!Z68+'Exhibit G Federal'!Z39</f>
        <v>99.100000000000023</v>
      </c>
      <c r="AA68" s="493"/>
      <c r="AB68" s="36">
        <v>0</v>
      </c>
      <c r="AC68" s="37"/>
      <c r="AD68" s="467">
        <f t="shared" si="14"/>
        <v>385</v>
      </c>
      <c r="AE68" s="36"/>
      <c r="AF68" s="37"/>
      <c r="AG68" s="493">
        <f>'Exhibit G State'!AG68+'Exhibit G Federal'!AG39</f>
        <v>459.9</v>
      </c>
      <c r="AH68" s="194"/>
      <c r="AI68" s="36"/>
      <c r="AJ68" s="467">
        <f t="shared" si="18"/>
        <v>-74.900000000000006</v>
      </c>
      <c r="AK68" s="35"/>
      <c r="AL68" s="978">
        <f t="shared" si="19"/>
        <v>-0.16300000000000001</v>
      </c>
    </row>
    <row r="69" spans="1:38" ht="15" customHeight="1">
      <c r="A69" s="21"/>
      <c r="B69" s="597" t="s">
        <v>1035</v>
      </c>
      <c r="C69" s="21"/>
      <c r="D69" s="493"/>
      <c r="E69" s="493"/>
      <c r="F69" s="493"/>
      <c r="H69" s="493"/>
      <c r="J69" s="493"/>
      <c r="L69" s="493"/>
      <c r="N69" s="493"/>
      <c r="P69" s="493"/>
      <c r="R69" s="493"/>
      <c r="S69" s="493"/>
      <c r="T69" s="493"/>
      <c r="U69" s="493"/>
      <c r="V69" s="493"/>
      <c r="W69" s="493"/>
      <c r="X69" s="493"/>
      <c r="Y69" s="493"/>
      <c r="Z69" s="493"/>
      <c r="AA69" s="493"/>
      <c r="AB69" s="36"/>
      <c r="AC69" s="37"/>
      <c r="AD69" s="467"/>
      <c r="AE69" s="36"/>
      <c r="AF69" s="37"/>
      <c r="AG69" s="493"/>
      <c r="AH69" s="194"/>
      <c r="AI69" s="36"/>
      <c r="AJ69" s="467"/>
      <c r="AK69" s="35"/>
      <c r="AL69" s="488"/>
    </row>
    <row r="70" spans="1:38" ht="15" customHeight="1">
      <c r="A70" s="21"/>
      <c r="B70" s="597" t="s">
        <v>965</v>
      </c>
      <c r="C70" s="21"/>
      <c r="D70" s="493">
        <f>'Exhibit G State'!D70+'Exhibit G Federal'!D41</f>
        <v>31.9</v>
      </c>
      <c r="E70" s="493"/>
      <c r="F70" s="493">
        <f>'Exhibit G State'!F70+'Exhibit G Federal'!F41</f>
        <v>8.6000000000000014</v>
      </c>
      <c r="G70" s="493"/>
      <c r="H70" s="493">
        <f>'Exhibit G State'!H70+'Exhibit G Federal'!H41</f>
        <v>8.2999999999999972</v>
      </c>
      <c r="J70" s="493">
        <f>'Exhibit G State'!J70+'Exhibit G Federal'!J41</f>
        <v>24.299999999999997</v>
      </c>
      <c r="L70" s="493">
        <f>'Exhibit G State'!L70+'Exhibit G Federal'!L41</f>
        <v>9</v>
      </c>
      <c r="N70" s="493">
        <f>'Exhibit G State'!N70+'Exhibit G Federal'!N41</f>
        <v>8.3000000000000114</v>
      </c>
      <c r="P70" s="493">
        <f>'Exhibit G State'!P70+'Exhibit G Federal'!P41</f>
        <v>23</v>
      </c>
      <c r="R70" s="493">
        <f>'Exhibit G State'!R70+'Exhibit G Federal'!R41</f>
        <v>8.1999999999999886</v>
      </c>
      <c r="S70" s="493"/>
      <c r="T70" s="493">
        <f>'Exhibit G State'!T70+'Exhibit G Federal'!T41</f>
        <v>8.4000000000000057</v>
      </c>
      <c r="U70" s="493"/>
      <c r="V70" s="493">
        <f>'Exhibit G State'!V70+'Exhibit G Federal'!V41</f>
        <v>8</v>
      </c>
      <c r="W70" s="493"/>
      <c r="X70" s="493">
        <f>'Exhibit G State'!X70+'Exhibit G Federal'!X41</f>
        <v>16.099999999999994</v>
      </c>
      <c r="Y70" s="493"/>
      <c r="Z70" s="493">
        <f>'Exhibit G State'!Z70+'Exhibit G Federal'!Z41</f>
        <v>1.100000000000017</v>
      </c>
      <c r="AA70" s="493"/>
      <c r="AB70" s="36">
        <v>0</v>
      </c>
      <c r="AC70" s="37"/>
      <c r="AD70" s="467">
        <f t="shared" si="14"/>
        <v>155.19999999999999</v>
      </c>
      <c r="AE70" s="36"/>
      <c r="AF70" s="37"/>
      <c r="AG70" s="493">
        <f>'Exhibit G State'!AG70+'Exhibit G Federal'!AG41</f>
        <v>185.4</v>
      </c>
      <c r="AH70" s="194"/>
      <c r="AI70" s="36"/>
      <c r="AJ70" s="467">
        <f t="shared" ref="AJ70:AJ81" si="20">ROUND(SUM(+AD70-AG70),1)</f>
        <v>-30.2</v>
      </c>
      <c r="AK70" s="35"/>
      <c r="AL70" s="978">
        <f>ROUND(IF(AG70=0,0,AJ70/ABS(AG70)),3)</f>
        <v>-0.16300000000000001</v>
      </c>
    </row>
    <row r="71" spans="1:38" ht="15" customHeight="1">
      <c r="A71" s="21"/>
      <c r="B71" s="597" t="s">
        <v>966</v>
      </c>
      <c r="C71" s="21"/>
      <c r="D71" s="493">
        <f>'Exhibit G State'!D71+'Exhibit G Federal'!D42</f>
        <v>6.7999999999999972</v>
      </c>
      <c r="E71" s="493"/>
      <c r="F71" s="493">
        <f>'Exhibit G State'!F71+'Exhibit G Federal'!F42</f>
        <v>0</v>
      </c>
      <c r="G71" s="493"/>
      <c r="H71" s="493">
        <f>'Exhibit G State'!H71+'Exhibit G Federal'!H42</f>
        <v>0.40000000000000568</v>
      </c>
      <c r="J71" s="493">
        <f>'Exhibit G State'!J71+'Exhibit G Federal'!J42</f>
        <v>0</v>
      </c>
      <c r="L71" s="493">
        <f>'Exhibit G State'!L71+'Exhibit G Federal'!L42</f>
        <v>-0.20000000000000284</v>
      </c>
      <c r="N71" s="493">
        <f>'Exhibit G State'!N71+'Exhibit G Federal'!N42</f>
        <v>0.19999999999998863</v>
      </c>
      <c r="P71" s="493">
        <f>'Exhibit G State'!P71+'Exhibit G Federal'!P42</f>
        <v>0.10000000000002274</v>
      </c>
      <c r="R71" s="493">
        <f>'Exhibit G State'!R71+'Exhibit G Federal'!R42</f>
        <v>0.1</v>
      </c>
      <c r="S71" s="493"/>
      <c r="T71" s="493">
        <f>'Exhibit G State'!T71+'Exhibit G Federal'!T42</f>
        <v>0</v>
      </c>
      <c r="U71" s="493"/>
      <c r="V71" s="493">
        <f>'Exhibit G State'!V71+'Exhibit G Federal'!V42</f>
        <v>0.1</v>
      </c>
      <c r="W71" s="493"/>
      <c r="X71" s="493">
        <f>'Exhibit G State'!X71+'Exhibit G Federal'!X42</f>
        <v>0.10000000000001136</v>
      </c>
      <c r="Y71" s="493"/>
      <c r="Z71" s="493">
        <f>'Exhibit G State'!Z71+'Exhibit G Federal'!Z42</f>
        <v>0</v>
      </c>
      <c r="AA71" s="493"/>
      <c r="AB71" s="36">
        <v>0</v>
      </c>
      <c r="AC71" s="37"/>
      <c r="AD71" s="467">
        <f t="shared" si="14"/>
        <v>7.6</v>
      </c>
      <c r="AE71" s="36"/>
      <c r="AF71" s="37"/>
      <c r="AG71" s="493">
        <f>'Exhibit G State'!AG71+'Exhibit G Federal'!AG42</f>
        <v>14.399999999999864</v>
      </c>
      <c r="AH71" s="194"/>
      <c r="AI71" s="36"/>
      <c r="AJ71" s="467">
        <f t="shared" si="20"/>
        <v>-6.8</v>
      </c>
      <c r="AK71" s="35"/>
      <c r="AL71" s="978">
        <f>ROUND(IF(AG71=0,1,AJ71/ABS(AG71)),3)</f>
        <v>-0.47199999999999998</v>
      </c>
    </row>
    <row r="72" spans="1:38" ht="15" customHeight="1">
      <c r="A72" s="21"/>
      <c r="B72" s="597" t="s">
        <v>1235</v>
      </c>
      <c r="C72" s="21"/>
      <c r="D72" s="493">
        <f>'Exhibit G State'!D72</f>
        <v>0</v>
      </c>
      <c r="E72" s="493"/>
      <c r="F72" s="493">
        <f>'Exhibit G State'!F72</f>
        <v>0</v>
      </c>
      <c r="G72" s="493"/>
      <c r="H72" s="493">
        <f>'Exhibit G State'!H72</f>
        <v>0</v>
      </c>
      <c r="I72" s="954"/>
      <c r="J72" s="493">
        <f>'Exhibit G State'!J72</f>
        <v>0</v>
      </c>
      <c r="K72" s="954"/>
      <c r="L72" s="493">
        <f>'Exhibit G State'!L72</f>
        <v>0</v>
      </c>
      <c r="M72" s="954"/>
      <c r="N72" s="493">
        <f>'Exhibit G State'!N72</f>
        <v>0</v>
      </c>
      <c r="O72" s="954"/>
      <c r="P72" s="493">
        <f>'Exhibit G State'!P72</f>
        <v>0</v>
      </c>
      <c r="Q72" s="954"/>
      <c r="R72" s="493">
        <f>'Exhibit G State'!R72</f>
        <v>0</v>
      </c>
      <c r="S72" s="493"/>
      <c r="T72" s="493">
        <f>'Exhibit G State'!T72</f>
        <v>68</v>
      </c>
      <c r="U72" s="493"/>
      <c r="V72" s="493">
        <f>'Exhibit G State'!V72</f>
        <v>0</v>
      </c>
      <c r="W72" s="493"/>
      <c r="X72" s="493">
        <f>'Exhibit G State'!X72</f>
        <v>0</v>
      </c>
      <c r="Y72" s="493"/>
      <c r="Z72" s="493">
        <f>'Exhibit G State'!Z72</f>
        <v>0</v>
      </c>
      <c r="AA72" s="493"/>
      <c r="AB72" s="36">
        <v>0</v>
      </c>
      <c r="AC72" s="37"/>
      <c r="AD72" s="467">
        <f>ROUND(SUM(D72:Z72),1)</f>
        <v>68</v>
      </c>
      <c r="AE72" s="36"/>
      <c r="AF72" s="37"/>
      <c r="AG72" s="493">
        <f>'Exhibit G State'!AG72</f>
        <v>228</v>
      </c>
      <c r="AH72" s="194"/>
      <c r="AI72" s="36"/>
      <c r="AJ72" s="467">
        <f t="shared" si="20"/>
        <v>-160</v>
      </c>
      <c r="AK72" s="35"/>
      <c r="AL72" s="469">
        <f>ROUND(IF(AG72=0,0,AJ72/ABS(AG72)),3)</f>
        <v>-0.70199999999999996</v>
      </c>
    </row>
    <row r="73" spans="1:38" ht="15" customHeight="1">
      <c r="A73" s="21"/>
      <c r="B73" s="597" t="s">
        <v>967</v>
      </c>
      <c r="C73" s="21"/>
      <c r="D73" s="493">
        <f>'Exhibit G State'!D73+'Exhibit G Federal'!D43</f>
        <v>2.2999999999999998</v>
      </c>
      <c r="E73" s="493"/>
      <c r="F73" s="493">
        <f>'Exhibit G State'!F73+'Exhibit G Federal'!F43</f>
        <v>0.8</v>
      </c>
      <c r="G73" s="493"/>
      <c r="H73" s="493">
        <f>'Exhibit G State'!H73+'Exhibit G Federal'!H43</f>
        <v>0</v>
      </c>
      <c r="J73" s="493">
        <f>'Exhibit G State'!J73+'Exhibit G Federal'!J43</f>
        <v>0.30000000000000027</v>
      </c>
      <c r="L73" s="493">
        <f>'Exhibit G State'!L73+'Exhibit G Federal'!L43</f>
        <v>0.5</v>
      </c>
      <c r="N73" s="493">
        <f>'Exhibit G State'!N73+'Exhibit G Federal'!N43</f>
        <v>0.19999999999999973</v>
      </c>
      <c r="P73" s="493">
        <f>'Exhibit G State'!P73+'Exhibit G Federal'!P43</f>
        <v>0.10000000000000009</v>
      </c>
      <c r="R73" s="493">
        <f>'Exhibit G State'!R73+'Exhibit G Federal'!R43</f>
        <v>0.40000000000000036</v>
      </c>
      <c r="S73" s="493"/>
      <c r="T73" s="493">
        <f>'Exhibit G State'!T73+'Exhibit G Federal'!T43</f>
        <v>35.200000000000003</v>
      </c>
      <c r="U73" s="493"/>
      <c r="V73" s="493">
        <f>'Exhibit G State'!V73+'Exhibit G Federal'!V43</f>
        <v>0.29999999999999716</v>
      </c>
      <c r="W73" s="493"/>
      <c r="X73" s="493">
        <f>'Exhibit G State'!X73+'Exhibit G Federal'!X43</f>
        <v>1.2000000000000015</v>
      </c>
      <c r="Y73" s="493"/>
      <c r="Z73" s="493">
        <f>'Exhibit G State'!Z73+'Exhibit G Federal'!Z43</f>
        <v>1.6999999999999986</v>
      </c>
      <c r="AA73" s="493"/>
      <c r="AB73" s="36">
        <v>0</v>
      </c>
      <c r="AC73" s="37"/>
      <c r="AD73" s="467">
        <f t="shared" si="14"/>
        <v>43</v>
      </c>
      <c r="AE73" s="36"/>
      <c r="AF73" s="37"/>
      <c r="AG73" s="493">
        <f>'Exhibit G State'!AG73+'Exhibit G Federal'!AG43</f>
        <v>6.7</v>
      </c>
      <c r="AH73" s="194"/>
      <c r="AI73" s="36"/>
      <c r="AJ73" s="467">
        <f t="shared" si="20"/>
        <v>36.299999999999997</v>
      </c>
      <c r="AK73" s="35"/>
      <c r="AL73" s="978">
        <f t="shared" ref="AL73:AL76" si="21">ROUND(IF(AG73=0,0,AJ73/ABS(AG73)),3)</f>
        <v>5.4180000000000001</v>
      </c>
    </row>
    <row r="74" spans="1:38" ht="15" customHeight="1">
      <c r="A74" s="21"/>
      <c r="B74" s="597" t="s">
        <v>968</v>
      </c>
      <c r="C74" s="21"/>
      <c r="D74" s="493">
        <f>'Exhibit G State'!D74+'Exhibit G Federal'!D44</f>
        <v>0</v>
      </c>
      <c r="E74" s="493"/>
      <c r="F74" s="493">
        <f>'Exhibit G State'!F74+'Exhibit G Federal'!F44</f>
        <v>0</v>
      </c>
      <c r="G74" s="493"/>
      <c r="H74" s="493">
        <f>'Exhibit G State'!H74+'Exhibit G Federal'!H44</f>
        <v>0.8</v>
      </c>
      <c r="J74" s="493">
        <f>'Exhibit G State'!J74+'Exhibit G Federal'!J44</f>
        <v>0</v>
      </c>
      <c r="L74" s="493">
        <f>'Exhibit G State'!L74+'Exhibit G Federal'!L44</f>
        <v>0</v>
      </c>
      <c r="N74" s="493">
        <f>'Exhibit G State'!N74+'Exhibit G Federal'!N44</f>
        <v>0</v>
      </c>
      <c r="P74" s="493">
        <f>'Exhibit G State'!P74+'Exhibit G Federal'!P44</f>
        <v>0</v>
      </c>
      <c r="R74" s="493">
        <f>'Exhibit G State'!R74+'Exhibit G Federal'!R44</f>
        <v>9.9999999999999978E-2</v>
      </c>
      <c r="S74" s="493"/>
      <c r="T74" s="493">
        <f>'Exhibit G State'!T74+'Exhibit G Federal'!T44</f>
        <v>0</v>
      </c>
      <c r="U74" s="493"/>
      <c r="V74" s="493">
        <f>'Exhibit G State'!V74+'Exhibit G Federal'!V44</f>
        <v>0</v>
      </c>
      <c r="W74" s="493"/>
      <c r="X74" s="493">
        <f>'Exhibit G State'!X74+'Exhibit G Federal'!X44</f>
        <v>0</v>
      </c>
      <c r="Y74" s="493"/>
      <c r="Z74" s="493">
        <f>'Exhibit G State'!Z74+'Exhibit G Federal'!Z44</f>
        <v>0.9</v>
      </c>
      <c r="AA74" s="493"/>
      <c r="AB74" s="36">
        <v>0</v>
      </c>
      <c r="AC74" s="37"/>
      <c r="AD74" s="467">
        <f t="shared" si="14"/>
        <v>1.8</v>
      </c>
      <c r="AE74" s="36"/>
      <c r="AF74" s="37"/>
      <c r="AG74" s="493">
        <f>'Exhibit G State'!AG74+'Exhibit G Federal'!AG44</f>
        <v>6</v>
      </c>
      <c r="AH74" s="194"/>
      <c r="AI74" s="36"/>
      <c r="AJ74" s="467">
        <f t="shared" si="20"/>
        <v>-4.2</v>
      </c>
      <c r="AK74" s="35"/>
      <c r="AL74" s="978">
        <f>ROUND(IF(AG74=0,1,AJ74/ABS(AG74)),3)</f>
        <v>-0.7</v>
      </c>
    </row>
    <row r="75" spans="1:38" ht="15" customHeight="1">
      <c r="A75" s="21"/>
      <c r="B75" s="597" t="s">
        <v>969</v>
      </c>
      <c r="C75" s="21"/>
      <c r="D75" s="493">
        <f>'Exhibit G State'!D75+'Exhibit G Federal'!D45</f>
        <v>159.6</v>
      </c>
      <c r="E75" s="493"/>
      <c r="F75" s="493">
        <f>'Exhibit G State'!F75+'Exhibit G Federal'!F45</f>
        <v>201.79999999999998</v>
      </c>
      <c r="G75" s="493"/>
      <c r="H75" s="493">
        <f>'Exhibit G State'!H75+'Exhibit G Federal'!H45</f>
        <v>196.3000000000001</v>
      </c>
      <c r="J75" s="493">
        <f>'Exhibit G State'!J75+'Exhibit G Federal'!J45</f>
        <v>200.79999999999998</v>
      </c>
      <c r="L75" s="493">
        <f>'Exhibit G State'!L75+'Exhibit G Federal'!L45</f>
        <v>198.20000000000007</v>
      </c>
      <c r="N75" s="493">
        <f>'Exhibit G State'!N75+'Exhibit G Federal'!N45</f>
        <v>227.80000000000004</v>
      </c>
      <c r="P75" s="493">
        <f>'Exhibit G State'!P75+'Exhibit G Federal'!P45</f>
        <v>241.79999999999998</v>
      </c>
      <c r="R75" s="493">
        <f>'Exhibit G State'!R75+'Exhibit G Federal'!R45</f>
        <v>231.6</v>
      </c>
      <c r="S75" s="493"/>
      <c r="T75" s="493">
        <f>'Exhibit G State'!T75+'Exhibit G Federal'!T45</f>
        <v>252.59999999999994</v>
      </c>
      <c r="U75" s="493"/>
      <c r="V75" s="493">
        <f>'Exhibit G State'!V75+'Exhibit G Federal'!V45</f>
        <v>229.30000000000015</v>
      </c>
      <c r="W75" s="493"/>
      <c r="X75" s="493">
        <f>'Exhibit G State'!X75+'Exhibit G Federal'!X45</f>
        <v>210.60000000000005</v>
      </c>
      <c r="Y75" s="493"/>
      <c r="Z75" s="493">
        <f>'Exhibit G State'!Z75+'Exhibit G Federal'!Z45</f>
        <v>264.99999999999977</v>
      </c>
      <c r="AA75" s="493"/>
      <c r="AB75" s="36">
        <v>0</v>
      </c>
      <c r="AC75" s="37"/>
      <c r="AD75" s="467">
        <f t="shared" si="14"/>
        <v>2615.4</v>
      </c>
      <c r="AE75" s="36"/>
      <c r="AF75" s="37"/>
      <c r="AG75" s="493">
        <f>'Exhibit G State'!AG75+'Exhibit G Federal'!AG45</f>
        <v>2469.1</v>
      </c>
      <c r="AH75" s="194"/>
      <c r="AI75" s="36"/>
      <c r="AJ75" s="467">
        <f t="shared" si="20"/>
        <v>146.30000000000001</v>
      </c>
      <c r="AK75" s="35"/>
      <c r="AL75" s="469">
        <f t="shared" si="21"/>
        <v>5.8999999999999997E-2</v>
      </c>
    </row>
    <row r="76" spans="1:38" ht="15" customHeight="1">
      <c r="A76" s="21"/>
      <c r="B76" s="597" t="s">
        <v>970</v>
      </c>
      <c r="C76" s="21"/>
      <c r="D76" s="493">
        <f>'Exhibit G State'!D76+'Exhibit G Federal'!D46</f>
        <v>10.1</v>
      </c>
      <c r="E76" s="493"/>
      <c r="F76" s="493">
        <f>'Exhibit G State'!F76+'Exhibit G Federal'!F46</f>
        <v>8.8000000000000007</v>
      </c>
      <c r="G76" s="493"/>
      <c r="H76" s="493">
        <f>'Exhibit G State'!H76+'Exhibit G Federal'!H46</f>
        <v>15.2</v>
      </c>
      <c r="J76" s="493">
        <f>'Exhibit G State'!J76+'Exhibit G Federal'!J46</f>
        <v>16.399999999999999</v>
      </c>
      <c r="L76" s="493">
        <f>'Exhibit G State'!L76+'Exhibit G Federal'!L46</f>
        <v>8.0000000000000036</v>
      </c>
      <c r="N76" s="493">
        <f>'Exhibit G State'!N76+'Exhibit G Federal'!N46</f>
        <v>12.7</v>
      </c>
      <c r="P76" s="493">
        <f>'Exhibit G State'!P76+'Exhibit G Federal'!P46</f>
        <v>13.899999999999991</v>
      </c>
      <c r="R76" s="493">
        <f>'Exhibit G State'!R76+'Exhibit G Federal'!R46</f>
        <v>7.6000000000000023</v>
      </c>
      <c r="S76" s="493"/>
      <c r="T76" s="493">
        <f>'Exhibit G State'!T76+'Exhibit G Federal'!T46</f>
        <v>11.400000000000002</v>
      </c>
      <c r="U76" s="493"/>
      <c r="V76" s="493">
        <f>'Exhibit G State'!V76+'Exhibit G Federal'!V46</f>
        <v>12.900000000000009</v>
      </c>
      <c r="W76" s="493"/>
      <c r="X76" s="493">
        <f>'Exhibit G State'!X76+'Exhibit G Federal'!X46</f>
        <v>8.4999999999999964</v>
      </c>
      <c r="Y76" s="493"/>
      <c r="Z76" s="493">
        <f>'Exhibit G State'!Z76+'Exhibit G Federal'!Z46</f>
        <v>12.100000000000005</v>
      </c>
      <c r="AA76" s="493"/>
      <c r="AB76" s="36">
        <v>0</v>
      </c>
      <c r="AC76" s="37"/>
      <c r="AD76" s="467">
        <f t="shared" si="14"/>
        <v>137.6</v>
      </c>
      <c r="AE76" s="36"/>
      <c r="AF76" s="37"/>
      <c r="AG76" s="493">
        <f>'Exhibit G State'!AG76+'Exhibit G Federal'!AG46</f>
        <v>140.1</v>
      </c>
      <c r="AH76" s="194"/>
      <c r="AI76" s="36"/>
      <c r="AJ76" s="467">
        <f t="shared" si="20"/>
        <v>-2.5</v>
      </c>
      <c r="AK76" s="35"/>
      <c r="AL76" s="469">
        <f t="shared" si="21"/>
        <v>-1.7999999999999999E-2</v>
      </c>
    </row>
    <row r="77" spans="1:38" ht="15" customHeight="1">
      <c r="A77" s="21"/>
      <c r="B77" s="597" t="s">
        <v>971</v>
      </c>
      <c r="C77" s="21"/>
      <c r="D77" s="493">
        <f>'Exhibit G State'!D77+'Exhibit G Federal'!D47</f>
        <v>7.5</v>
      </c>
      <c r="E77" s="493"/>
      <c r="F77" s="493">
        <f>'Exhibit G State'!F77+'Exhibit G Federal'!F47</f>
        <v>1.1999999999999993</v>
      </c>
      <c r="G77" s="493"/>
      <c r="H77" s="493">
        <f>'Exhibit G State'!H77+'Exhibit G Federal'!H47</f>
        <v>0.40000000000000036</v>
      </c>
      <c r="J77" s="493">
        <f>'Exhibit G State'!J77+'Exhibit G Federal'!J47</f>
        <v>1</v>
      </c>
      <c r="L77" s="493">
        <f>'Exhibit G State'!L77+'Exhibit G Federal'!L47</f>
        <v>93.899999999999991</v>
      </c>
      <c r="N77" s="493">
        <f>'Exhibit G State'!N77+'Exhibit G Federal'!N47</f>
        <v>0.70000000000000284</v>
      </c>
      <c r="P77" s="493">
        <f>'Exhibit G State'!P77+'Exhibit G Federal'!P47</f>
        <v>67.800000000000011</v>
      </c>
      <c r="R77" s="493">
        <f>'Exhibit G State'!R77+'Exhibit G Federal'!R47</f>
        <v>37.5</v>
      </c>
      <c r="S77" s="493"/>
      <c r="T77" s="493">
        <f>'Exhibit G State'!T77+'Exhibit G Federal'!T47</f>
        <v>0.80000000000001137</v>
      </c>
      <c r="U77" s="493"/>
      <c r="V77" s="493">
        <f>'Exhibit G State'!V77+'Exhibit G Federal'!V47</f>
        <v>15.599999999999994</v>
      </c>
      <c r="W77" s="493"/>
      <c r="X77" s="493">
        <f>'Exhibit G State'!X77+'Exhibit G Federal'!X47</f>
        <v>0.69999999999998863</v>
      </c>
      <c r="Y77" s="493"/>
      <c r="Z77" s="493">
        <f>'Exhibit G State'!Z77+'Exhibit G Federal'!Z47</f>
        <v>1.4000000000000057</v>
      </c>
      <c r="AA77" s="493"/>
      <c r="AB77" s="36">
        <v>0</v>
      </c>
      <c r="AC77" s="37"/>
      <c r="AD77" s="467">
        <f t="shared" si="14"/>
        <v>228.5</v>
      </c>
      <c r="AE77" s="36"/>
      <c r="AF77" s="37"/>
      <c r="AG77" s="493">
        <f>'Exhibit G State'!AG77+'Exhibit G Federal'!AG47</f>
        <v>99.8</v>
      </c>
      <c r="AH77" s="194"/>
      <c r="AI77" s="36"/>
      <c r="AJ77" s="467">
        <f t="shared" si="20"/>
        <v>128.69999999999999</v>
      </c>
      <c r="AK77" s="35"/>
      <c r="AL77" s="978">
        <f>ROUND(IF(AG77=0,1,AJ77/ABS(AG77)),3)</f>
        <v>1.29</v>
      </c>
    </row>
    <row r="78" spans="1:38" ht="15" customHeight="1">
      <c r="A78" s="21"/>
      <c r="B78" s="597" t="s">
        <v>972</v>
      </c>
      <c r="C78" s="21"/>
      <c r="D78" s="493">
        <f>'Exhibit G State'!D78+'Exhibit G Federal'!D48</f>
        <v>1.9</v>
      </c>
      <c r="E78" s="493"/>
      <c r="F78" s="493">
        <f>'Exhibit G State'!F78+'Exhibit G Federal'!F48</f>
        <v>1.4</v>
      </c>
      <c r="G78" s="493"/>
      <c r="H78" s="493">
        <f>'Exhibit G State'!H78+'Exhibit G Federal'!H48</f>
        <v>1.7000000000000002</v>
      </c>
      <c r="J78" s="493">
        <f>'Exhibit G State'!J78+'Exhibit G Federal'!J48</f>
        <v>1.4000000000000004</v>
      </c>
      <c r="L78" s="493">
        <f>'Exhibit G State'!L78+'Exhibit G Federal'!L48</f>
        <v>-0.20000000000000018</v>
      </c>
      <c r="N78" s="493">
        <f>'Exhibit G State'!N78+'Exhibit G Federal'!N48</f>
        <v>1.1999999999999993</v>
      </c>
      <c r="P78" s="493">
        <f>'Exhibit G State'!P78+'Exhibit G Federal'!P48</f>
        <v>1.2999999999999989</v>
      </c>
      <c r="R78" s="493">
        <f>'Exhibit G State'!R78+'Exhibit G Federal'!R48</f>
        <v>1.3000000000000007</v>
      </c>
      <c r="S78" s="493"/>
      <c r="T78" s="493">
        <f>'Exhibit G State'!T78+'Exhibit G Federal'!T48</f>
        <v>1.8000000000000007</v>
      </c>
      <c r="U78" s="493"/>
      <c r="V78" s="493">
        <f>'Exhibit G State'!V78+'Exhibit G Federal'!V48</f>
        <v>19.300000000000004</v>
      </c>
      <c r="W78" s="493"/>
      <c r="X78" s="493">
        <f>'Exhibit G State'!X78+'Exhibit G Federal'!X48</f>
        <v>1.1000000000000014</v>
      </c>
      <c r="Y78" s="493"/>
      <c r="Z78" s="493">
        <f>'Exhibit G State'!Z78+'Exhibit G Federal'!Z48</f>
        <v>1.5999999999999943</v>
      </c>
      <c r="AA78" s="493"/>
      <c r="AB78" s="36">
        <v>0</v>
      </c>
      <c r="AC78" s="37"/>
      <c r="AD78" s="467">
        <f t="shared" si="14"/>
        <v>33.799999999999997</v>
      </c>
      <c r="AE78" s="36"/>
      <c r="AF78" s="37"/>
      <c r="AG78" s="493">
        <f>'Exhibit G State'!AG78+'Exhibit G Federal'!AG48</f>
        <v>24.2</v>
      </c>
      <c r="AH78" s="194"/>
      <c r="AI78" s="36"/>
      <c r="AJ78" s="467">
        <f t="shared" si="20"/>
        <v>9.6</v>
      </c>
      <c r="AK78" s="35"/>
      <c r="AL78" s="469">
        <f>ROUND(IF(AG78=0,0,AJ78/ABS(AG78)),3)</f>
        <v>0.39700000000000002</v>
      </c>
    </row>
    <row r="79" spans="1:38" ht="15" customHeight="1">
      <c r="A79" s="21"/>
      <c r="B79" s="597" t="s">
        <v>973</v>
      </c>
      <c r="C79" s="21"/>
      <c r="D79" s="493">
        <f>'Exhibit G State'!D79+'Exhibit G Federal'!D49</f>
        <v>38.699999999999996</v>
      </c>
      <c r="E79" s="493"/>
      <c r="F79" s="493">
        <f>'Exhibit G State'!F79+'Exhibit G Federal'!F49</f>
        <v>78.699999999999989</v>
      </c>
      <c r="G79" s="493"/>
      <c r="H79" s="493">
        <f>'Exhibit G State'!H79+'Exhibit G Federal'!H49</f>
        <v>81.599999999999994</v>
      </c>
      <c r="J79" s="493">
        <f>'Exhibit G State'!J79+'Exhibit G Federal'!J49</f>
        <v>45.600000000000016</v>
      </c>
      <c r="L79" s="493">
        <f>'Exhibit G State'!L79+'Exhibit G Federal'!L49</f>
        <v>41.200000000000024</v>
      </c>
      <c r="N79" s="493">
        <f>'Exhibit G State'!N79+'Exhibit G Federal'!N49</f>
        <v>54.800000000000011</v>
      </c>
      <c r="P79" s="493">
        <f>'Exhibit G State'!P79+'Exhibit G Federal'!P49</f>
        <v>29.899999999999974</v>
      </c>
      <c r="R79" s="493">
        <f>'Exhibit G State'!R79+'Exhibit G Federal'!R49</f>
        <v>34.600000000000016</v>
      </c>
      <c r="S79" s="493"/>
      <c r="T79" s="493">
        <f>'Exhibit G State'!T79+'Exhibit G Federal'!T49</f>
        <v>40.999999999999986</v>
      </c>
      <c r="U79" s="493"/>
      <c r="V79" s="493">
        <f>'Exhibit G State'!V79+'Exhibit G Federal'!V49</f>
        <v>44.600000000000037</v>
      </c>
      <c r="W79" s="493"/>
      <c r="X79" s="493">
        <f>'Exhibit G State'!X79+'Exhibit G Federal'!X49</f>
        <v>52.19999999999991</v>
      </c>
      <c r="Y79" s="493"/>
      <c r="Z79" s="493">
        <f>'Exhibit G State'!Z79+'Exhibit G Federal'!Z49</f>
        <v>51.000000000000085</v>
      </c>
      <c r="AA79" s="493"/>
      <c r="AB79" s="36">
        <v>0</v>
      </c>
      <c r="AC79" s="37"/>
      <c r="AD79" s="467">
        <f t="shared" si="14"/>
        <v>593.9</v>
      </c>
      <c r="AE79" s="36"/>
      <c r="AF79" s="37"/>
      <c r="AG79" s="493">
        <f>'Exhibit G State'!AG79+'Exhibit G Federal'!AG49</f>
        <v>638.19999999999993</v>
      </c>
      <c r="AH79" s="194"/>
      <c r="AI79" s="36"/>
      <c r="AJ79" s="467">
        <f t="shared" si="20"/>
        <v>-44.3</v>
      </c>
      <c r="AK79" s="35"/>
      <c r="AL79" s="978">
        <f>ROUND(IF(AG79=0,0,AJ79/ABS(AG79)),3)</f>
        <v>-6.9000000000000006E-2</v>
      </c>
    </row>
    <row r="80" spans="1:38" ht="15" customHeight="1">
      <c r="A80" s="21"/>
      <c r="B80" s="597" t="s">
        <v>946</v>
      </c>
      <c r="C80" s="21"/>
      <c r="D80" s="493">
        <f>'Exhibit G State'!D80+'Exhibit G Federal'!D50</f>
        <v>0.8</v>
      </c>
      <c r="E80" s="493"/>
      <c r="F80" s="493">
        <f>'Exhibit G State'!F80+'Exhibit G Federal'!F50</f>
        <v>1.4000000000000001</v>
      </c>
      <c r="G80" s="493"/>
      <c r="H80" s="493">
        <f>'Exhibit G State'!H80+'Exhibit G Federal'!H50</f>
        <v>2.0999999999999996</v>
      </c>
      <c r="J80" s="493">
        <f>'Exhibit G State'!J80+'Exhibit G Federal'!J50</f>
        <v>2.2999999999999998</v>
      </c>
      <c r="L80" s="493">
        <f>'Exhibit G State'!L80+'Exhibit G Federal'!L50</f>
        <v>1.3000000000000005</v>
      </c>
      <c r="N80" s="493">
        <f>'Exhibit G State'!N80+'Exhibit G Federal'!N50</f>
        <v>0.99999999999999933</v>
      </c>
      <c r="P80" s="493">
        <f>'Exhibit G State'!P80+'Exhibit G Federal'!P50</f>
        <v>1.2999999999999987</v>
      </c>
      <c r="R80" s="493">
        <f>'Exhibit G State'!R80+'Exhibit G Federal'!R50</f>
        <v>0.5</v>
      </c>
      <c r="S80" s="493"/>
      <c r="T80" s="493">
        <f>'Exhibit G State'!T80+'Exhibit G Federal'!T50</f>
        <v>1.5</v>
      </c>
      <c r="U80" s="493"/>
      <c r="V80" s="493">
        <f>'Exhibit G State'!V80+'Exhibit G Federal'!V50</f>
        <v>0.90000000000000036</v>
      </c>
      <c r="W80" s="493"/>
      <c r="X80" s="493">
        <f>'Exhibit G State'!X80+'Exhibit G Federal'!X50</f>
        <v>3.799999999999998</v>
      </c>
      <c r="Y80" s="493"/>
      <c r="Z80" s="493">
        <f>'Exhibit G State'!Z80+'Exhibit G Federal'!Z50</f>
        <v>1.200000000000002</v>
      </c>
      <c r="AA80" s="493"/>
      <c r="AB80" s="36">
        <v>0</v>
      </c>
      <c r="AC80" s="37"/>
      <c r="AD80" s="36">
        <f t="shared" si="14"/>
        <v>18.100000000000001</v>
      </c>
      <c r="AE80" s="36"/>
      <c r="AF80" s="37"/>
      <c r="AG80" s="493">
        <f>'Exhibit G State'!AG80+'Exhibit G Federal'!AG50</f>
        <v>23.9</v>
      </c>
      <c r="AH80" s="194"/>
      <c r="AI80" s="36"/>
      <c r="AJ80" s="467">
        <f t="shared" si="20"/>
        <v>-5.8</v>
      </c>
      <c r="AK80" s="35"/>
      <c r="AL80" s="469">
        <f>ROUND(IF(AG80=0,0,AJ80/ABS(AG80)),3)</f>
        <v>-0.24299999999999999</v>
      </c>
    </row>
    <row r="81" spans="1:45" ht="15" customHeight="1">
      <c r="A81" s="21"/>
      <c r="B81" s="597" t="s">
        <v>947</v>
      </c>
      <c r="C81" s="21"/>
      <c r="D81" s="493">
        <f>'Exhibit G State'!D81+'Exhibit G Federal'!D51</f>
        <v>36.700000000000003</v>
      </c>
      <c r="E81" s="493"/>
      <c r="F81" s="493">
        <f>'Exhibit G State'!F81+'Exhibit G Federal'!F51</f>
        <v>-26.1</v>
      </c>
      <c r="G81" s="493"/>
      <c r="H81" s="493">
        <f>'Exhibit G State'!H81+'Exhibit G Federal'!H51</f>
        <v>54.100000000000009</v>
      </c>
      <c r="J81" s="493">
        <f>'Exhibit G State'!J81+'Exhibit G Federal'!J51</f>
        <v>25.399999999999984</v>
      </c>
      <c r="L81" s="493">
        <f>'Exhibit G State'!L81+'Exhibit G Federal'!L51</f>
        <v>98.200000000000031</v>
      </c>
      <c r="N81" s="493">
        <f>'Exhibit G State'!N81+'Exhibit G Federal'!N51</f>
        <v>415.49999999999989</v>
      </c>
      <c r="P81" s="493">
        <f>'Exhibit G State'!P81+'Exhibit G Federal'!P51</f>
        <v>96.700000000000045</v>
      </c>
      <c r="R81" s="493">
        <f>'Exhibit G State'!R81+'Exhibit G Federal'!R51</f>
        <v>71</v>
      </c>
      <c r="S81" s="493"/>
      <c r="T81" s="493">
        <f>'Exhibit G State'!T81+'Exhibit G Federal'!T51</f>
        <v>-25.600000000000023</v>
      </c>
      <c r="U81" s="493"/>
      <c r="V81" s="493">
        <f>'Exhibit G State'!V81+'Exhibit G Federal'!V51</f>
        <v>246.10000000000002</v>
      </c>
      <c r="W81" s="493"/>
      <c r="X81" s="493">
        <f>'Exhibit G State'!X81+'Exhibit G Federal'!X51</f>
        <v>293.89999999999998</v>
      </c>
      <c r="Y81" s="493"/>
      <c r="Z81" s="493">
        <f>'Exhibit G State'!Z81+'Exhibit G Federal'!Z51</f>
        <v>0.89999999999986358</v>
      </c>
      <c r="AA81" s="493"/>
      <c r="AB81" s="36">
        <v>0</v>
      </c>
      <c r="AC81" s="37"/>
      <c r="AD81" s="36">
        <f t="shared" si="14"/>
        <v>1286.8</v>
      </c>
      <c r="AE81" s="36"/>
      <c r="AF81" s="37"/>
      <c r="AG81" s="493">
        <f>'Exhibit G State'!AG81+'Exhibit G Federal'!AG51</f>
        <v>1244.2</v>
      </c>
      <c r="AH81" s="194"/>
      <c r="AI81" s="36"/>
      <c r="AJ81" s="467">
        <f t="shared" si="20"/>
        <v>42.6</v>
      </c>
      <c r="AK81" s="35"/>
      <c r="AL81" s="469">
        <f>ROUND(IF(AG81=0,0,AJ81/ABS(AG81)),3)</f>
        <v>3.4000000000000002E-2</v>
      </c>
    </row>
    <row r="82" spans="1:45" s="138" customFormat="1" ht="15" customHeight="1">
      <c r="A82" s="19"/>
      <c r="B82" s="217" t="s">
        <v>1102</v>
      </c>
      <c r="C82" s="19"/>
      <c r="D82" s="178">
        <f>ROUND(SUM(D42:D81),1)</f>
        <v>1478.5</v>
      </c>
      <c r="E82"/>
      <c r="F82" s="178">
        <f>ROUND(SUM(F42:F81),1)</f>
        <v>1366.9</v>
      </c>
      <c r="G82"/>
      <c r="H82" s="178">
        <f>ROUND(SUM(H42:H81),1)</f>
        <v>1620</v>
      </c>
      <c r="I82"/>
      <c r="J82" s="178">
        <f>ROUND(SUM(J42:J81),1)</f>
        <v>1565.4</v>
      </c>
      <c r="K82"/>
      <c r="L82" s="178">
        <f>ROUND(SUM(L42:L81),1)</f>
        <v>1743.8</v>
      </c>
      <c r="M82"/>
      <c r="N82" s="178">
        <f>ROUND(SUM(N42:N81),1)</f>
        <v>2095.8000000000002</v>
      </c>
      <c r="O82"/>
      <c r="P82" s="178">
        <f>ROUND(SUM(P42:P81),1)</f>
        <v>1713.4</v>
      </c>
      <c r="Q82"/>
      <c r="R82" s="178">
        <f>ROUND(SUM(R42:R81),1)</f>
        <v>1719.9</v>
      </c>
      <c r="S82"/>
      <c r="T82" s="178">
        <f>ROUND(SUM(T42:T81),1)</f>
        <v>1775.6</v>
      </c>
      <c r="U82"/>
      <c r="V82" s="178">
        <f>ROUND(SUM(V42:V81),1)</f>
        <v>2022.8</v>
      </c>
      <c r="W82"/>
      <c r="X82" s="178">
        <f>ROUND(SUM(X42:X81),1)</f>
        <v>2064.3000000000002</v>
      </c>
      <c r="Y82"/>
      <c r="Z82" s="178">
        <f>ROUND(SUM(Z42:Z81),1)</f>
        <v>2247.1999999999998</v>
      </c>
      <c r="AA82" s="42"/>
      <c r="AB82" s="41">
        <f>SUM(AB42:AB81)</f>
        <v>0</v>
      </c>
      <c r="AC82" s="44"/>
      <c r="AD82" s="178">
        <f>ROUND(SUM(AD42:AD81),1)</f>
        <v>21413.599999999999</v>
      </c>
      <c r="AE82" s="42"/>
      <c r="AF82" s="44"/>
      <c r="AG82" s="178">
        <f>ROUND(SUM(AG42:AG81),1)</f>
        <v>20172.599999999999</v>
      </c>
      <c r="AH82" s="197"/>
      <c r="AI82" s="42"/>
      <c r="AJ82" s="178">
        <f>ROUND(SUM(AJ42:AJ81),1)</f>
        <v>1241</v>
      </c>
      <c r="AK82" s="387"/>
      <c r="AL82" s="749">
        <f>ROUND(SUM(+AJ82/AG82),3)</f>
        <v>6.2E-2</v>
      </c>
    </row>
    <row r="83" spans="1:45" ht="15" customHeight="1">
      <c r="A83" s="21"/>
      <c r="B83" s="597"/>
      <c r="C83" s="21"/>
      <c r="D83" s="35"/>
      <c r="F83" s="35"/>
      <c r="H83" s="35"/>
      <c r="J83" s="467"/>
      <c r="L83" s="36"/>
      <c r="N83" s="36"/>
      <c r="P83" s="36"/>
      <c r="R83" s="36"/>
      <c r="T83" s="36"/>
      <c r="V83" s="46"/>
      <c r="X83" s="46"/>
      <c r="Z83" s="46"/>
      <c r="AA83" s="35"/>
      <c r="AB83" s="36"/>
      <c r="AC83" s="37"/>
      <c r="AD83" s="36"/>
      <c r="AE83" s="36"/>
      <c r="AF83" s="37"/>
      <c r="AG83" s="36"/>
      <c r="AH83" s="191"/>
      <c r="AI83" s="36"/>
      <c r="AJ83" s="467"/>
      <c r="AK83" s="35"/>
      <c r="AL83" s="488"/>
    </row>
    <row r="84" spans="1:45" ht="15" customHeight="1">
      <c r="A84" s="21"/>
      <c r="B84" s="195" t="s">
        <v>146</v>
      </c>
      <c r="C84" s="21"/>
      <c r="D84" s="493">
        <f>'Exhibit G State'!D84+'Exhibit G Federal'!D54</f>
        <v>6617.3</v>
      </c>
      <c r="E84" s="493"/>
      <c r="F84" s="493">
        <f>'Exhibit G State'!F84+'Exhibit G Federal'!F54</f>
        <v>7336.9000000000005</v>
      </c>
      <c r="G84" s="493"/>
      <c r="H84" s="493">
        <f>'Exhibit G State'!H84+'Exhibit G Federal'!H54</f>
        <v>8009.7999999999993</v>
      </c>
      <c r="J84" s="493">
        <f>'Exhibit G State'!J84+'Exhibit G Federal'!J54</f>
        <v>5495.6999999999989</v>
      </c>
      <c r="L84" s="493">
        <f>'Exhibit G State'!L84+'Exhibit G Federal'!L54</f>
        <v>5878.4999999999955</v>
      </c>
      <c r="N84" s="493">
        <f>'Exhibit G State'!N84+'Exhibit G Federal'!N54</f>
        <v>8639.8999999999978</v>
      </c>
      <c r="P84" s="493">
        <f>'Exhibit G State'!P84+'Exhibit G Federal'!P54</f>
        <v>5165.4000000000015</v>
      </c>
      <c r="R84" s="493">
        <f>'Exhibit G State'!R84+'Exhibit G Federal'!R54</f>
        <v>5169.1000000000004</v>
      </c>
      <c r="S84" s="493"/>
      <c r="T84" s="493">
        <f>'Exhibit G State'!T84+'Exhibit G Federal'!T54</f>
        <v>11071.900000000003</v>
      </c>
      <c r="U84" s="493"/>
      <c r="V84" s="493">
        <f>'Exhibit G State'!V84+'Exhibit G Federal'!V54</f>
        <v>7314.8999999999978</v>
      </c>
      <c r="W84" s="493"/>
      <c r="X84" s="493">
        <f>'Exhibit G State'!X84+'Exhibit G Federal'!X54</f>
        <v>5572.3000000000156</v>
      </c>
      <c r="Z84" s="493">
        <f>'Exhibit G State'!Z84+'Exhibit G Federal'!Z54</f>
        <v>8347.0999999999913</v>
      </c>
      <c r="AA84" s="493"/>
      <c r="AB84" s="1479">
        <v>0</v>
      </c>
      <c r="AC84" s="37"/>
      <c r="AD84" s="36">
        <f t="shared" si="14"/>
        <v>84618.8</v>
      </c>
      <c r="AE84" s="36"/>
      <c r="AF84" s="37"/>
      <c r="AG84" s="493">
        <f>'Exhibit G State'!AG84+'Exhibit G Federal'!AG54</f>
        <v>88672.700000000012</v>
      </c>
      <c r="AH84" s="191"/>
      <c r="AI84" s="36"/>
      <c r="AJ84" s="467">
        <f>ROUND(SUM(+AD84-AG84),1)</f>
        <v>-4053.9</v>
      </c>
      <c r="AK84" s="35"/>
      <c r="AL84" s="469">
        <f>ROUND(IF(AG84=0,0,AJ84/ABS(AG84)),3)</f>
        <v>-4.5999999999999999E-2</v>
      </c>
    </row>
    <row r="85" spans="1:45" ht="15" customHeight="1">
      <c r="A85" s="21"/>
      <c r="B85" s="21"/>
      <c r="C85" s="21"/>
      <c r="D85" s="61"/>
      <c r="F85" s="61"/>
      <c r="H85" s="61"/>
      <c r="J85" s="497"/>
      <c r="L85" s="61"/>
      <c r="N85" s="61"/>
      <c r="P85" s="61"/>
      <c r="R85" s="61"/>
      <c r="T85" s="61"/>
      <c r="V85" s="61"/>
      <c r="X85" s="61"/>
      <c r="Z85" s="61"/>
      <c r="AA85" s="36"/>
      <c r="AB85" s="1164"/>
      <c r="AC85" s="36"/>
      <c r="AD85" s="61"/>
      <c r="AE85" s="36"/>
      <c r="AF85" s="37"/>
      <c r="AG85" s="61"/>
      <c r="AH85" s="191"/>
      <c r="AI85" s="36"/>
      <c r="AJ85" s="948"/>
      <c r="AL85" s="963"/>
    </row>
    <row r="86" spans="1:45" ht="15" customHeight="1">
      <c r="A86" s="21"/>
      <c r="B86" s="19" t="s">
        <v>147</v>
      </c>
      <c r="C86" s="21"/>
      <c r="D86" s="42">
        <f>ROUND(SUM(D84+D82+D38),1)</f>
        <v>8588.2999999999993</v>
      </c>
      <c r="F86" s="42">
        <f>ROUND(SUM(F84+F82+F38),1)</f>
        <v>8939</v>
      </c>
      <c r="H86" s="42">
        <f>ROUND(SUM(H84+H82+H38),1)</f>
        <v>10203</v>
      </c>
      <c r="J86" s="42">
        <f>ROUND(SUM(J84+J82+J38),1)</f>
        <v>7304.8</v>
      </c>
      <c r="L86" s="42">
        <f>ROUND(SUM(L84+L82+L38),1)</f>
        <v>7845.8</v>
      </c>
      <c r="N86" s="42">
        <f>ROUND(SUM(N84+N82+N38),1)</f>
        <v>11324.9</v>
      </c>
      <c r="P86" s="42">
        <f>ROUND(SUM(P84+P82+P38),1)</f>
        <v>7122.2</v>
      </c>
      <c r="R86" s="42">
        <f>ROUND(SUM(R84+R82+R38),1)</f>
        <v>7085.5</v>
      </c>
      <c r="T86" s="42">
        <f>ROUND(SUM(T84+T82+T38),1)</f>
        <v>13459.6</v>
      </c>
      <c r="V86" s="42">
        <f>ROUND(SUM(V84+V82+V38),1)</f>
        <v>11363.1</v>
      </c>
      <c r="X86" s="42">
        <f>ROUND(SUM(X84+X82+X38),1)</f>
        <v>7886.3</v>
      </c>
      <c r="Z86" s="42">
        <f>ROUND(SUM(Z84+Z82+Z38),1)</f>
        <v>11270.4</v>
      </c>
      <c r="AA86" s="42"/>
      <c r="AB86" s="1480">
        <f>ROUND(SUM(AB84+AB82+AB38),1)</f>
        <v>0</v>
      </c>
      <c r="AC86" s="44"/>
      <c r="AD86" s="42">
        <f>ROUND(SUM(AD84+AD82+AD38),1)</f>
        <v>112392.9</v>
      </c>
      <c r="AE86" s="42"/>
      <c r="AF86" s="44"/>
      <c r="AG86" s="42">
        <f>ROUND(SUM(AG84+AG82+AG38),1)</f>
        <v>114899.6</v>
      </c>
      <c r="AH86" s="197"/>
      <c r="AI86" s="42"/>
      <c r="AJ86" s="50">
        <f>ROUND(SUM(AJ84+AJ82+AJ38),1)</f>
        <v>-2506.6999999999998</v>
      </c>
      <c r="AK86" s="198"/>
      <c r="AL86" s="653">
        <f>ROUND(SUM(+AJ86/AG86),3)</f>
        <v>-2.1999999999999999E-2</v>
      </c>
    </row>
    <row r="87" spans="1:45" ht="15" customHeight="1">
      <c r="A87" s="21"/>
      <c r="B87" s="21"/>
      <c r="C87" s="21"/>
      <c r="D87" s="61"/>
      <c r="F87" s="61"/>
      <c r="H87" s="61"/>
      <c r="J87" s="497"/>
      <c r="L87" s="61"/>
      <c r="N87" s="61"/>
      <c r="P87" s="61"/>
      <c r="R87" s="61"/>
      <c r="T87" s="61"/>
      <c r="V87" s="61"/>
      <c r="X87" s="61"/>
      <c r="Z87" s="61"/>
      <c r="AA87" s="36"/>
      <c r="AB87" s="36"/>
      <c r="AC87" s="37"/>
      <c r="AD87" s="61"/>
      <c r="AE87" s="36"/>
      <c r="AF87" s="37"/>
      <c r="AG87" s="61"/>
      <c r="AH87" s="191"/>
      <c r="AI87" s="36"/>
      <c r="AJ87" s="467"/>
      <c r="AL87" s="488"/>
    </row>
    <row r="88" spans="1:45" ht="15" customHeight="1">
      <c r="A88" s="21"/>
      <c r="B88" s="117" t="s">
        <v>22</v>
      </c>
      <c r="C88" s="21"/>
      <c r="D88" s="36"/>
      <c r="F88" s="36"/>
      <c r="H88" s="36"/>
      <c r="J88" s="467"/>
      <c r="L88" s="36"/>
      <c r="N88" s="36"/>
      <c r="P88" s="36"/>
      <c r="R88" s="36"/>
      <c r="T88" s="36"/>
      <c r="V88" s="36"/>
      <c r="X88" s="36"/>
      <c r="Z88" s="36"/>
      <c r="AA88" s="36"/>
      <c r="AB88" s="36"/>
      <c r="AC88" s="37"/>
      <c r="AD88" s="36"/>
      <c r="AE88" s="1778"/>
      <c r="AF88" s="1251"/>
      <c r="AG88" s="36"/>
      <c r="AH88" s="191"/>
      <c r="AI88" s="36"/>
      <c r="AJ88" s="467"/>
      <c r="AL88" s="488"/>
    </row>
    <row r="89" spans="1:45" ht="15" customHeight="1">
      <c r="A89" s="21"/>
      <c r="B89" s="499" t="s">
        <v>148</v>
      </c>
      <c r="C89" s="21"/>
      <c r="D89" s="35"/>
      <c r="F89" s="35"/>
      <c r="H89" s="35"/>
      <c r="J89" s="467"/>
      <c r="L89" s="36"/>
      <c r="N89" s="36"/>
      <c r="P89" s="36"/>
      <c r="R89" s="36"/>
      <c r="T89" s="36"/>
      <c r="V89" s="36"/>
      <c r="X89" s="36"/>
      <c r="Z89" s="46"/>
      <c r="AA89" s="35"/>
      <c r="AB89" s="36"/>
      <c r="AC89" s="37"/>
      <c r="AD89" s="36"/>
      <c r="AE89" s="36"/>
      <c r="AF89" s="37"/>
      <c r="AG89" s="36"/>
      <c r="AH89" s="191"/>
      <c r="AI89" s="36"/>
      <c r="AJ89" s="467"/>
      <c r="AL89" s="488"/>
    </row>
    <row r="90" spans="1:45" ht="15" customHeight="1">
      <c r="A90" s="21"/>
      <c r="B90" s="119" t="s">
        <v>24</v>
      </c>
      <c r="C90" s="21"/>
      <c r="D90" s="493">
        <f>'Exhibit G State'!D90+'Exhibit G Federal'!D60</f>
        <v>545.5</v>
      </c>
      <c r="E90" s="493"/>
      <c r="F90" s="493">
        <f>'Exhibit G State'!F90+'Exhibit G Federal'!F60</f>
        <v>758.80000000000007</v>
      </c>
      <c r="G90" s="493"/>
      <c r="H90" s="493">
        <f>'Exhibit G State'!H90+'Exhibit G Federal'!H60</f>
        <v>720.1</v>
      </c>
      <c r="J90" s="493">
        <f>'Exhibit G State'!J90+'Exhibit G Federal'!J60</f>
        <v>634.50000000000011</v>
      </c>
      <c r="L90" s="493">
        <f>'Exhibit G State'!L90+'Exhibit G Federal'!L60</f>
        <v>489.5999999999998</v>
      </c>
      <c r="N90" s="493">
        <f>'Exhibit G State'!N90+'Exhibit G Federal'!N60</f>
        <v>3241.7</v>
      </c>
      <c r="P90" s="493">
        <f>'Exhibit G State'!P90+'Exhibit G Federal'!P60</f>
        <v>412.90000000000055</v>
      </c>
      <c r="R90" s="493">
        <f>'Exhibit G State'!R90+'Exhibit G Federal'!R60</f>
        <v>646.09999999999968</v>
      </c>
      <c r="S90" s="493"/>
      <c r="T90" s="493">
        <f>'Exhibit G State'!T90+'Exhibit G Federal'!T60</f>
        <v>3151.4000000000005</v>
      </c>
      <c r="U90" s="493"/>
      <c r="V90" s="493">
        <f>'Exhibit G State'!V90+'Exhibit G Federal'!V60</f>
        <v>2330.0000000000009</v>
      </c>
      <c r="W90" s="493"/>
      <c r="X90" s="493">
        <f>'Exhibit G State'!X90+'Exhibit G Federal'!X60</f>
        <v>973.39999999999964</v>
      </c>
      <c r="Y90" s="493"/>
      <c r="Z90" s="493">
        <f>'Exhibit G State'!Z90+'Exhibit G Federal'!Z60</f>
        <v>1133.8000000000002</v>
      </c>
      <c r="AA90" s="493"/>
      <c r="AB90" s="36">
        <v>0</v>
      </c>
      <c r="AC90" s="37"/>
      <c r="AD90" s="36">
        <f>ROUND(SUM(D90:Z90),1)</f>
        <v>15037.8</v>
      </c>
      <c r="AE90" s="36"/>
      <c r="AF90" s="37"/>
      <c r="AG90" s="493">
        <f>'Exhibit G State'!AG90+'Exhibit G Federal'!AG60</f>
        <v>11862.7</v>
      </c>
      <c r="AH90" s="191"/>
      <c r="AI90" s="36"/>
      <c r="AJ90" s="467">
        <f>ROUND(SUM(+AD90-AG90),1)</f>
        <v>3175.1</v>
      </c>
      <c r="AK90" s="35"/>
      <c r="AL90" s="469">
        <f>ROUND(IF(AG90=0,0,AJ90/ABS(AG90)),3)</f>
        <v>0.26800000000000002</v>
      </c>
      <c r="AR90" s="39"/>
      <c r="AS90" s="1481"/>
    </row>
    <row r="91" spans="1:45" ht="15" customHeight="1">
      <c r="A91" s="21"/>
      <c r="B91" s="119" t="s">
        <v>25</v>
      </c>
      <c r="C91" s="21"/>
      <c r="D91" s="493">
        <f>'Exhibit G State'!D91+'Exhibit G Federal'!D61</f>
        <v>0</v>
      </c>
      <c r="E91" s="493"/>
      <c r="F91" s="493">
        <f>'Exhibit G State'!F91+'Exhibit G Federal'!F61</f>
        <v>0.2</v>
      </c>
      <c r="G91" s="493"/>
      <c r="H91" s="493">
        <f>'Exhibit G State'!H91+'Exhibit G Federal'!H61</f>
        <v>1.5</v>
      </c>
      <c r="J91" s="493">
        <f>'Exhibit G State'!J91+'Exhibit G Federal'!J61</f>
        <v>0.4</v>
      </c>
      <c r="L91" s="493">
        <f>'Exhibit G State'!L91+'Exhibit G Federal'!L61</f>
        <v>9.9999999999999811E-2</v>
      </c>
      <c r="N91" s="493">
        <f>'Exhibit G State'!N91+'Exhibit G Federal'!N61</f>
        <v>0</v>
      </c>
      <c r="P91" s="493">
        <f>'Exhibit G State'!P91+'Exhibit G Federal'!P61</f>
        <v>0.10000000000000009</v>
      </c>
      <c r="R91" s="493">
        <f>'Exhibit G State'!R91+'Exhibit G Federal'!R61</f>
        <v>2.9999999999999996</v>
      </c>
      <c r="S91" s="493"/>
      <c r="T91" s="493">
        <f>'Exhibit G State'!T91+'Exhibit G Federal'!T61</f>
        <v>0.40000000000000036</v>
      </c>
      <c r="U91" s="493"/>
      <c r="V91" s="493">
        <f>'Exhibit G State'!V91+'Exhibit G Federal'!V61</f>
        <v>0.19999999999999968</v>
      </c>
      <c r="W91" s="493"/>
      <c r="X91" s="493">
        <f>'Exhibit G State'!X91+'Exhibit G Federal'!X61</f>
        <v>0.60000000000000053</v>
      </c>
      <c r="Y91" s="493"/>
      <c r="Z91" s="493">
        <f>'Exhibit G State'!Z91+'Exhibit G Federal'!Z61</f>
        <v>0.2</v>
      </c>
      <c r="AA91" s="493"/>
      <c r="AB91" s="36">
        <v>0</v>
      </c>
      <c r="AC91" s="37"/>
      <c r="AD91" s="36">
        <f>ROUND(SUM(D91:Z91),1)</f>
        <v>6.7</v>
      </c>
      <c r="AE91" s="36"/>
      <c r="AF91" s="37"/>
      <c r="AG91" s="493">
        <f>'Exhibit G State'!AG91+'Exhibit G Federal'!AG61</f>
        <v>5.6999999999999993</v>
      </c>
      <c r="AH91" s="191"/>
      <c r="AI91" s="36"/>
      <c r="AJ91" s="467">
        <f>ROUND(SUM(+AD91-AG91),1)</f>
        <v>1</v>
      </c>
      <c r="AK91" s="35"/>
      <c r="AL91" s="978">
        <f>ROUND(IF(AG91=0,1,AJ91/ABS(AG91)),3)</f>
        <v>0.17499999999999999</v>
      </c>
      <c r="AR91" s="1481"/>
      <c r="AS91" s="1481"/>
    </row>
    <row r="92" spans="1:45" ht="15" customHeight="1">
      <c r="A92" s="21"/>
      <c r="B92" s="119" t="s">
        <v>26</v>
      </c>
      <c r="C92" s="21"/>
      <c r="D92" s="493">
        <f>'Exhibit G State'!D92+'Exhibit G Federal'!D62</f>
        <v>133</v>
      </c>
      <c r="E92" s="493"/>
      <c r="F92" s="493">
        <f>'Exhibit G State'!F92+'Exhibit G Federal'!F62</f>
        <v>41.799999999999983</v>
      </c>
      <c r="G92" s="493"/>
      <c r="H92" s="493">
        <f>'Exhibit G State'!H92+'Exhibit G Federal'!H62</f>
        <v>47.600000000000009</v>
      </c>
      <c r="J92" s="493">
        <f>'Exhibit G State'!J92+'Exhibit G Federal'!J62</f>
        <v>403.7</v>
      </c>
      <c r="L92" s="493">
        <f>'Exhibit G State'!L92+'Exhibit G Federal'!L62</f>
        <v>28.399999999999984</v>
      </c>
      <c r="N92" s="493">
        <f>'Exhibit G State'!N92+'Exhibit G Federal'!N62</f>
        <v>35.799999999999976</v>
      </c>
      <c r="P92" s="493">
        <f>'Exhibit G State'!P92+'Exhibit G Federal'!P62</f>
        <v>27.500000000000028</v>
      </c>
      <c r="R92" s="493">
        <f>'Exhibit G State'!R92+'Exhibit G Federal'!R62</f>
        <v>28.299999999999955</v>
      </c>
      <c r="S92" s="493"/>
      <c r="T92" s="493">
        <f>'Exhibit G State'!T92+'Exhibit G Federal'!T62</f>
        <v>21</v>
      </c>
      <c r="U92" s="493"/>
      <c r="V92" s="493">
        <f>'Exhibit G State'!V92+'Exhibit G Federal'!V62</f>
        <v>24.600000000000023</v>
      </c>
      <c r="W92" s="493"/>
      <c r="X92" s="493">
        <f>'Exhibit G State'!X92+'Exhibit G Federal'!X62</f>
        <v>31.200000000000045</v>
      </c>
      <c r="Y92" s="493"/>
      <c r="Z92" s="493">
        <f>'Exhibit G State'!Z92+'Exhibit G Federal'!Z62</f>
        <v>30.599999999999966</v>
      </c>
      <c r="AA92" s="493"/>
      <c r="AB92" s="36">
        <v>0</v>
      </c>
      <c r="AC92" s="37"/>
      <c r="AD92" s="36">
        <f>ROUND(SUM(D92:Z92),1)</f>
        <v>853.5</v>
      </c>
      <c r="AE92" s="36"/>
      <c r="AF92" s="37"/>
      <c r="AG92" s="493">
        <f>'Exhibit G State'!AG92+'Exhibit G Federal'!AG62</f>
        <v>740.5</v>
      </c>
      <c r="AH92" s="191"/>
      <c r="AI92" s="36"/>
      <c r="AJ92" s="467">
        <f>ROUND(SUM(+AD92-AG92),1)</f>
        <v>113</v>
      </c>
      <c r="AK92" s="35"/>
      <c r="AL92" s="2054">
        <f>ROUND(IF(AG92=0,0,AJ92/ABS(AG92)),3)</f>
        <v>0.153</v>
      </c>
      <c r="AR92" s="1481"/>
      <c r="AS92" s="1481"/>
    </row>
    <row r="93" spans="1:45" ht="15" customHeight="1">
      <c r="A93" s="21"/>
      <c r="B93" s="119" t="s">
        <v>27</v>
      </c>
      <c r="C93" s="21"/>
      <c r="D93" s="36"/>
      <c r="F93" s="36"/>
      <c r="H93" s="36"/>
      <c r="J93" s="36"/>
      <c r="L93" s="36"/>
      <c r="N93" s="36"/>
      <c r="P93" s="36"/>
      <c r="R93" s="36"/>
      <c r="S93" s="36"/>
      <c r="T93" s="36"/>
      <c r="U93" s="36"/>
      <c r="V93" s="36"/>
      <c r="W93" s="36"/>
      <c r="X93" s="36"/>
      <c r="Y93" s="36"/>
      <c r="Z93" s="36"/>
      <c r="AA93" s="36"/>
      <c r="AB93" s="36"/>
      <c r="AC93" s="37"/>
      <c r="AD93" s="36"/>
      <c r="AE93" s="36"/>
      <c r="AF93" s="37"/>
      <c r="AG93" s="36"/>
      <c r="AH93" s="191"/>
      <c r="AI93" s="36"/>
      <c r="AJ93" s="467" t="s">
        <v>14</v>
      </c>
      <c r="AK93" s="472" t="s">
        <v>14</v>
      </c>
      <c r="AL93" s="488" t="s">
        <v>14</v>
      </c>
      <c r="AR93" s="39"/>
      <c r="AS93" s="39"/>
    </row>
    <row r="94" spans="1:45" ht="15" customHeight="1">
      <c r="A94" s="21"/>
      <c r="B94" s="1141" t="s">
        <v>28</v>
      </c>
      <c r="C94" s="21"/>
      <c r="D94" s="493">
        <f>'Exhibit G State'!D94+'Exhibit G Federal'!D64</f>
        <v>5245.9000000000005</v>
      </c>
      <c r="E94" s="493"/>
      <c r="F94" s="493">
        <f>'Exhibit G State'!F94+'Exhibit G Federal'!F64</f>
        <v>4446.7999999999993</v>
      </c>
      <c r="G94" s="493"/>
      <c r="H94" s="493">
        <f>'Exhibit G State'!H94+'Exhibit G Federal'!H64</f>
        <v>4849.6000000000022</v>
      </c>
      <c r="J94" s="493">
        <f>'Exhibit G State'!J94+'Exhibit G Federal'!J64</f>
        <v>4480.2999999999984</v>
      </c>
      <c r="L94" s="493">
        <f>'Exhibit G State'!L94+'Exhibit G Federal'!L64</f>
        <v>4985.1999999999962</v>
      </c>
      <c r="N94" s="493">
        <f>'Exhibit G State'!N94+'Exhibit G Federal'!N64</f>
        <v>4077.3000000000047</v>
      </c>
      <c r="P94" s="493">
        <f>'Exhibit G State'!P94+'Exhibit G Federal'!P64</f>
        <v>4651.5999999999949</v>
      </c>
      <c r="R94" s="493">
        <f>'Exhibit G State'!R94+'Exhibit G Federal'!R64</f>
        <v>5446.1</v>
      </c>
      <c r="S94" s="493"/>
      <c r="T94" s="493">
        <f>'Exhibit G State'!T94+'Exhibit G Federal'!T64</f>
        <v>4986.4999999999991</v>
      </c>
      <c r="U94" s="493"/>
      <c r="V94" s="493">
        <f>'Exhibit G State'!V94+'Exhibit G Federal'!V64</f>
        <v>4265.9999999999964</v>
      </c>
      <c r="W94" s="493"/>
      <c r="X94" s="493">
        <f>'Exhibit G State'!X94+'Exhibit G Federal'!X64</f>
        <v>4279.6999999999989</v>
      </c>
      <c r="Y94" s="493"/>
      <c r="Z94" s="493">
        <f>'Exhibit G State'!Z94+'Exhibit G Federal'!Z64</f>
        <v>6923.0000000000009</v>
      </c>
      <c r="AA94" s="493"/>
      <c r="AB94" s="36">
        <v>0</v>
      </c>
      <c r="AC94" s="37"/>
      <c r="AD94" s="36">
        <f t="shared" ref="AD94:AD99" si="22">ROUND(SUM(D94:Z94),1)</f>
        <v>58638</v>
      </c>
      <c r="AE94" s="36"/>
      <c r="AF94" s="37"/>
      <c r="AG94" s="493">
        <f>'Exhibit G State'!AG94+'Exhibit G Federal'!AG64</f>
        <v>53333.2</v>
      </c>
      <c r="AH94" s="191"/>
      <c r="AI94" s="36"/>
      <c r="AJ94" s="467">
        <f t="shared" ref="AJ94:AJ99" si="23">ROUND(SUM(+AD94-AG94),1)</f>
        <v>5304.8</v>
      </c>
      <c r="AK94" s="35"/>
      <c r="AL94" s="469">
        <f>ROUND(IF(AG94=0,0,AJ94/ABS(AG94)),3)</f>
        <v>9.9000000000000005E-2</v>
      </c>
      <c r="AR94" s="39"/>
      <c r="AS94" s="39"/>
    </row>
    <row r="95" spans="1:45" ht="15" customHeight="1">
      <c r="A95" s="21"/>
      <c r="B95" s="119" t="s">
        <v>29</v>
      </c>
      <c r="C95" s="21"/>
      <c r="D95" s="493">
        <f>'Exhibit G State'!D95+'Exhibit G Federal'!D65</f>
        <v>527.5</v>
      </c>
      <c r="E95" s="493"/>
      <c r="F95" s="493">
        <f>'Exhibit G State'!F95+'Exhibit G Federal'!F65</f>
        <v>669.09999999999991</v>
      </c>
      <c r="G95" s="493"/>
      <c r="H95" s="493">
        <f>'Exhibit G State'!H95+'Exhibit G Federal'!H65</f>
        <v>1043.5000000000002</v>
      </c>
      <c r="J95" s="493">
        <f>'Exhibit G State'!J95+'Exhibit G Federal'!J65</f>
        <v>696.89999999999986</v>
      </c>
      <c r="L95" s="493">
        <f>'Exhibit G State'!L95+'Exhibit G Federal'!L65</f>
        <v>734.79999999999973</v>
      </c>
      <c r="N95" s="493">
        <f>'Exhibit G State'!N95+'Exhibit G Federal'!N65</f>
        <v>946.09999999999991</v>
      </c>
      <c r="P95" s="493">
        <f>'Exhibit G State'!P95+'Exhibit G Federal'!P65</f>
        <v>830.70000000000016</v>
      </c>
      <c r="R95" s="493">
        <f>'Exhibit G State'!R95+'Exhibit G Federal'!R65</f>
        <v>751.30000000000052</v>
      </c>
      <c r="S95" s="493"/>
      <c r="T95" s="493">
        <f>'Exhibit G State'!T95+'Exhibit G Federal'!T65</f>
        <v>1019</v>
      </c>
      <c r="U95" s="493"/>
      <c r="V95" s="493">
        <f>'Exhibit G State'!V95+'Exhibit G Federal'!V65</f>
        <v>753.80000000000098</v>
      </c>
      <c r="W95" s="493"/>
      <c r="X95" s="493">
        <f>'Exhibit G State'!X95+'Exhibit G Federal'!X65</f>
        <v>225.19999999999936</v>
      </c>
      <c r="Y95" s="493"/>
      <c r="Z95" s="493">
        <f>'Exhibit G State'!Z95+'Exhibit G Federal'!Z65</f>
        <v>1817.2000000000005</v>
      </c>
      <c r="AA95" s="493"/>
      <c r="AB95" s="36">
        <v>0</v>
      </c>
      <c r="AC95" s="37"/>
      <c r="AD95" s="36">
        <f t="shared" si="22"/>
        <v>10015.1</v>
      </c>
      <c r="AE95" s="36"/>
      <c r="AF95" s="37"/>
      <c r="AG95" s="493">
        <f>'Exhibit G State'!AG95+'Exhibit G Federal'!AG65</f>
        <v>8895.6</v>
      </c>
      <c r="AH95" s="191"/>
      <c r="AI95" s="36"/>
      <c r="AJ95" s="467">
        <f t="shared" si="23"/>
        <v>1119.5</v>
      </c>
      <c r="AK95" s="35"/>
      <c r="AL95" s="469">
        <f t="shared" ref="AL95:AL99" si="24">ROUND(IF(AG95=0,0,AJ95/ABS(AG95)),3)</f>
        <v>0.126</v>
      </c>
      <c r="AR95" s="39"/>
      <c r="AS95" s="39"/>
    </row>
    <row r="96" spans="1:45" ht="15" customHeight="1">
      <c r="A96" s="21"/>
      <c r="B96" s="119" t="s">
        <v>30</v>
      </c>
      <c r="C96" s="21"/>
      <c r="D96" s="493">
        <f>'Exhibit G State'!D96+'Exhibit G Federal'!D66</f>
        <v>73.8</v>
      </c>
      <c r="E96" s="493"/>
      <c r="F96" s="493">
        <f>'Exhibit G State'!F96+'Exhibit G Federal'!F66</f>
        <v>119.29999999999998</v>
      </c>
      <c r="G96" s="493"/>
      <c r="H96" s="493">
        <f>'Exhibit G State'!H96+'Exhibit G Federal'!H66</f>
        <v>212.90000000000003</v>
      </c>
      <c r="J96" s="493">
        <f>'Exhibit G State'!J96+'Exhibit G Federal'!J66</f>
        <v>89.800000000000011</v>
      </c>
      <c r="L96" s="493">
        <f>'Exhibit G State'!L96+'Exhibit G Federal'!L66</f>
        <v>243.89999999999998</v>
      </c>
      <c r="N96" s="493">
        <f>'Exhibit G State'!N96+'Exhibit G Federal'!N66</f>
        <v>109.9</v>
      </c>
      <c r="P96" s="493">
        <f>'Exhibit G State'!P96+'Exhibit G Federal'!P66</f>
        <v>192.99999999999994</v>
      </c>
      <c r="R96" s="493">
        <f>'Exhibit G State'!R96+'Exhibit G Federal'!R66</f>
        <v>124.60000000000005</v>
      </c>
      <c r="S96" s="493"/>
      <c r="T96" s="493">
        <f>'Exhibit G State'!T96+'Exhibit G Federal'!T66</f>
        <v>956.70000000000027</v>
      </c>
      <c r="U96" s="493"/>
      <c r="V96" s="493">
        <f>'Exhibit G State'!V96+'Exhibit G Federal'!V66</f>
        <v>200.50000000000003</v>
      </c>
      <c r="W96" s="493"/>
      <c r="X96" s="493">
        <f>'Exhibit G State'!X96+'Exhibit G Federal'!X66</f>
        <v>225.09999999999943</v>
      </c>
      <c r="Y96" s="493"/>
      <c r="Z96" s="493">
        <f>'Exhibit G State'!Z96+'Exhibit G Federal'!Z66</f>
        <v>843.80000000000007</v>
      </c>
      <c r="AA96" s="493"/>
      <c r="AB96" s="36">
        <v>0</v>
      </c>
      <c r="AC96" s="37"/>
      <c r="AD96" s="36">
        <f t="shared" si="22"/>
        <v>3393.3</v>
      </c>
      <c r="AE96" s="36"/>
      <c r="AF96" s="37"/>
      <c r="AG96" s="493">
        <f>'Exhibit G State'!AG96+'Exhibit G Federal'!AG66</f>
        <v>2034</v>
      </c>
      <c r="AH96" s="191"/>
      <c r="AI96" s="36"/>
      <c r="AJ96" s="467">
        <f t="shared" si="23"/>
        <v>1359.3</v>
      </c>
      <c r="AK96" s="35"/>
      <c r="AL96" s="469">
        <f t="shared" si="24"/>
        <v>0.66800000000000004</v>
      </c>
      <c r="AR96" s="39"/>
      <c r="AS96" s="39"/>
    </row>
    <row r="97" spans="1:45" ht="15" customHeight="1">
      <c r="A97" s="21"/>
      <c r="B97" s="119" t="s">
        <v>31</v>
      </c>
      <c r="C97" s="21"/>
      <c r="D97" s="493">
        <f>'Exhibit G State'!D97+'Exhibit G Federal'!D67</f>
        <v>442.4</v>
      </c>
      <c r="E97" s="493"/>
      <c r="F97" s="493">
        <f>'Exhibit G State'!F97+'Exhibit G Federal'!F67</f>
        <v>545.70000000000005</v>
      </c>
      <c r="G97" s="493"/>
      <c r="H97" s="493">
        <f>'Exhibit G State'!H97+'Exhibit G Federal'!H67</f>
        <v>679.39999999999986</v>
      </c>
      <c r="J97" s="493">
        <f>'Exhibit G State'!J97+'Exhibit G Federal'!J67</f>
        <v>740.30000000000007</v>
      </c>
      <c r="L97" s="493">
        <f>'Exhibit G State'!L97+'Exhibit G Federal'!L67</f>
        <v>329.20000000000005</v>
      </c>
      <c r="N97" s="493">
        <f>'Exhibit G State'!N97+'Exhibit G Federal'!N67</f>
        <v>496.39999999999992</v>
      </c>
      <c r="P97" s="493">
        <f>'Exhibit G State'!P97+'Exhibit G Federal'!P67</f>
        <v>578.00000000000023</v>
      </c>
      <c r="R97" s="493">
        <f>'Exhibit G State'!R97+'Exhibit G Federal'!R67</f>
        <v>291.19999999999965</v>
      </c>
      <c r="S97" s="493"/>
      <c r="T97" s="493">
        <f>'Exhibit G State'!T97+'Exhibit G Federal'!T67</f>
        <v>731.3000000000003</v>
      </c>
      <c r="U97" s="493"/>
      <c r="V97" s="493">
        <f>'Exhibit G State'!V97+'Exhibit G Federal'!V67</f>
        <v>280.8000000000003</v>
      </c>
      <c r="W97" s="493"/>
      <c r="X97" s="493">
        <f>'Exhibit G State'!X97+'Exhibit G Federal'!X67</f>
        <v>560.79999999999984</v>
      </c>
      <c r="Y97" s="493"/>
      <c r="Z97" s="493">
        <f>'Exhibit G State'!Z97+'Exhibit G Federal'!Z67</f>
        <v>777.10000000000059</v>
      </c>
      <c r="AA97" s="493"/>
      <c r="AB97" s="36">
        <v>0</v>
      </c>
      <c r="AC97" s="37"/>
      <c r="AD97" s="36">
        <f t="shared" si="22"/>
        <v>6452.6</v>
      </c>
      <c r="AE97" s="36"/>
      <c r="AF97" s="37"/>
      <c r="AG97" s="493">
        <f>'Exhibit G State'!AG97+'Exhibit G Federal'!AG67</f>
        <v>7564.2</v>
      </c>
      <c r="AH97" s="191"/>
      <c r="AI97" s="36"/>
      <c r="AJ97" s="467">
        <f t="shared" si="23"/>
        <v>-1111.5999999999999</v>
      </c>
      <c r="AK97" s="35"/>
      <c r="AL97" s="469">
        <f t="shared" si="24"/>
        <v>-0.14699999999999999</v>
      </c>
      <c r="AR97" s="39"/>
      <c r="AS97" s="39"/>
    </row>
    <row r="98" spans="1:45" ht="15" customHeight="1">
      <c r="A98" s="21"/>
      <c r="B98" s="119" t="s">
        <v>32</v>
      </c>
      <c r="C98" s="21"/>
      <c r="D98" s="493">
        <f>'Exhibit G State'!D98+'Exhibit G Federal'!D68</f>
        <v>2.2999999999999998</v>
      </c>
      <c r="E98" s="493"/>
      <c r="F98" s="493">
        <f>'Exhibit G State'!F98+'Exhibit G Federal'!F68</f>
        <v>2.1000000000000005</v>
      </c>
      <c r="G98" s="493"/>
      <c r="H98" s="493">
        <f>'Exhibit G State'!H98+'Exhibit G Federal'!H68</f>
        <v>0.79999999999999982</v>
      </c>
      <c r="J98" s="493">
        <f>'Exhibit G State'!J98+'Exhibit G Federal'!J68</f>
        <v>1</v>
      </c>
      <c r="L98" s="493">
        <f>'Exhibit G State'!L98+'Exhibit G Federal'!L68</f>
        <v>1.7</v>
      </c>
      <c r="N98" s="493">
        <f>'Exhibit G State'!N98+'Exhibit G Federal'!N68</f>
        <v>9.5</v>
      </c>
      <c r="P98" s="493">
        <f>'Exhibit G State'!P98+'Exhibit G Federal'!P68</f>
        <v>1.200000000000002</v>
      </c>
      <c r="R98" s="493">
        <f>'Exhibit G State'!R98+'Exhibit G Federal'!R68</f>
        <v>21.900000000000002</v>
      </c>
      <c r="S98" s="493"/>
      <c r="T98" s="493">
        <f>'Exhibit G State'!T98+'Exhibit G Federal'!T68</f>
        <v>40.6</v>
      </c>
      <c r="U98" s="493"/>
      <c r="V98" s="493">
        <f>'Exhibit G State'!V98+'Exhibit G Federal'!V68</f>
        <v>7.9999999999999911</v>
      </c>
      <c r="W98" s="493"/>
      <c r="X98" s="493">
        <f>'Exhibit G State'!X98+'Exhibit G Federal'!X68</f>
        <v>13.400000000000006</v>
      </c>
      <c r="Y98" s="493"/>
      <c r="Z98" s="493">
        <f>'Exhibit G State'!Z98+'Exhibit G Federal'!Z68</f>
        <v>11.700000000000006</v>
      </c>
      <c r="AA98" s="493"/>
      <c r="AB98" s="36">
        <v>0</v>
      </c>
      <c r="AC98" s="37"/>
      <c r="AD98" s="36">
        <f t="shared" si="22"/>
        <v>114.2</v>
      </c>
      <c r="AE98" s="36"/>
      <c r="AF98" s="37"/>
      <c r="AG98" s="493">
        <f>'Exhibit G State'!AG98+'Exhibit G Federal'!AG68</f>
        <v>79.399999999999991</v>
      </c>
      <c r="AH98" s="191"/>
      <c r="AI98" s="36"/>
      <c r="AJ98" s="467">
        <f t="shared" si="23"/>
        <v>34.799999999999997</v>
      </c>
      <c r="AK98" s="35"/>
      <c r="AL98" s="978">
        <f>ROUND(IF(AG98=0,0,AJ98/ABS(AG98)),3)</f>
        <v>0.438</v>
      </c>
      <c r="AR98" s="1481"/>
      <c r="AS98" s="1481"/>
    </row>
    <row r="99" spans="1:45" ht="15" customHeight="1">
      <c r="A99" s="21"/>
      <c r="B99" s="119" t="s">
        <v>33</v>
      </c>
      <c r="C99" s="21"/>
      <c r="D99" s="493">
        <f>'Exhibit G State'!D99+'Exhibit G Federal'!D69</f>
        <v>63.1</v>
      </c>
      <c r="E99" s="493"/>
      <c r="F99" s="493">
        <f>'Exhibit G State'!F99+'Exhibit G Federal'!F69</f>
        <v>555.9</v>
      </c>
      <c r="G99" s="493"/>
      <c r="H99" s="493">
        <f>'Exhibit G State'!H99+'Exhibit G Federal'!H69</f>
        <v>317.49999999999994</v>
      </c>
      <c r="J99" s="493">
        <f>'Exhibit G State'!J99+'Exhibit G Federal'!J69</f>
        <v>362.90000000000009</v>
      </c>
      <c r="L99" s="493">
        <f>'Exhibit G State'!L99+'Exhibit G Federal'!L69</f>
        <v>504.79999999999973</v>
      </c>
      <c r="N99" s="493">
        <f>'Exhibit G State'!N99+'Exhibit G Federal'!N69</f>
        <v>340.8000000000003</v>
      </c>
      <c r="P99" s="493">
        <f>'Exhibit G State'!P99+'Exhibit G Federal'!P69</f>
        <v>389.99999999999977</v>
      </c>
      <c r="R99" s="493">
        <f>'Exhibit G State'!R99+'Exhibit G Federal'!R69</f>
        <v>651.60000000000048</v>
      </c>
      <c r="S99" s="493"/>
      <c r="T99" s="493">
        <f>'Exhibit G State'!T99+'Exhibit G Federal'!T69</f>
        <v>1022.9999999999995</v>
      </c>
      <c r="U99" s="493"/>
      <c r="V99" s="493">
        <f>'Exhibit G State'!V99+'Exhibit G Federal'!V69</f>
        <v>83.299999999999571</v>
      </c>
      <c r="W99" s="493"/>
      <c r="X99" s="493">
        <f>'Exhibit G State'!X99+'Exhibit G Federal'!X69</f>
        <v>121.80000000000035</v>
      </c>
      <c r="Y99" s="493"/>
      <c r="Z99" s="493">
        <f>'Exhibit G State'!Z99+'Exhibit G Federal'!Z69</f>
        <v>65.599999999999824</v>
      </c>
      <c r="AA99" s="493"/>
      <c r="AB99" s="36">
        <v>0</v>
      </c>
      <c r="AC99" s="37"/>
      <c r="AD99" s="36">
        <f t="shared" si="22"/>
        <v>4480.3</v>
      </c>
      <c r="AE99" s="36"/>
      <c r="AF99" s="37"/>
      <c r="AG99" s="493">
        <f>'Exhibit G State'!AG99+'Exhibit G Federal'!AG69</f>
        <v>3714.4</v>
      </c>
      <c r="AH99" s="191"/>
      <c r="AI99" s="36"/>
      <c r="AJ99" s="467">
        <f t="shared" si="23"/>
        <v>765.9</v>
      </c>
      <c r="AK99" s="35"/>
      <c r="AL99" s="961">
        <f t="shared" si="24"/>
        <v>0.20599999999999999</v>
      </c>
      <c r="AM99" s="1482"/>
      <c r="AR99" s="39"/>
      <c r="AS99" s="39"/>
    </row>
    <row r="100" spans="1:45" ht="15" customHeight="1">
      <c r="A100" s="21"/>
      <c r="B100" s="19" t="s">
        <v>1070</v>
      </c>
      <c r="C100" s="21"/>
      <c r="D100" s="41">
        <f>ROUND(SUM(D90:D99),1)</f>
        <v>7033.5</v>
      </c>
      <c r="F100" s="41">
        <f>ROUND(SUM(F90:F99),1)</f>
        <v>7139.7</v>
      </c>
      <c r="H100" s="41">
        <f>ROUND(SUM(H90:H99),1)</f>
        <v>7872.9</v>
      </c>
      <c r="J100" s="1150">
        <f>ROUND(SUM(J90:J99),1)</f>
        <v>7409.8</v>
      </c>
      <c r="L100" s="41">
        <f t="shared" ref="L100" si="25">ROUND(SUM(L90:L99),1)</f>
        <v>7317.7</v>
      </c>
      <c r="N100" s="41">
        <f t="shared" ref="N100" si="26">ROUND(SUM(N90:N99),1)</f>
        <v>9257.5</v>
      </c>
      <c r="P100" s="41">
        <f t="shared" ref="P100" si="27">ROUND(SUM(P90:P99),1)</f>
        <v>7085</v>
      </c>
      <c r="R100" s="41">
        <f t="shared" ref="R100:T100" si="28">ROUND(SUM(R90:R99),1)</f>
        <v>7964.1</v>
      </c>
      <c r="T100" s="41">
        <f t="shared" si="28"/>
        <v>11929.9</v>
      </c>
      <c r="V100" s="41">
        <f t="shared" ref="V100:X100" si="29">ROUND(SUM(V90:V99),1)</f>
        <v>7947.2</v>
      </c>
      <c r="X100" s="41">
        <f t="shared" si="29"/>
        <v>6431.2</v>
      </c>
      <c r="Z100" s="41">
        <f t="shared" ref="Z100" si="30">ROUND(SUM(Z90:Z99),1)</f>
        <v>11603</v>
      </c>
      <c r="AA100" s="42"/>
      <c r="AB100" s="41">
        <f>ROUND(SUM(AB90:AB99),1)</f>
        <v>0</v>
      </c>
      <c r="AC100" s="44"/>
      <c r="AD100" s="41">
        <f>ROUND(SUM(AD90:AD99),1)</f>
        <v>98991.5</v>
      </c>
      <c r="AE100" s="42"/>
      <c r="AF100" s="44"/>
      <c r="AG100" s="41">
        <f>ROUND(SUM(AG90:AG99),1)</f>
        <v>88229.7</v>
      </c>
      <c r="AH100" s="197"/>
      <c r="AI100" s="42"/>
      <c r="AJ100" s="41">
        <f>ROUND(SUM(AJ90:AJ99),1)</f>
        <v>10761.8</v>
      </c>
      <c r="AK100" s="111"/>
      <c r="AL100" s="653">
        <f>ROUND(SUM(+AJ100/AG100),3)</f>
        <v>0.122</v>
      </c>
      <c r="AS100" s="39"/>
    </row>
    <row r="101" spans="1:45" ht="15" customHeight="1">
      <c r="A101" s="21"/>
      <c r="B101" s="21" t="s">
        <v>166</v>
      </c>
      <c r="C101" s="21"/>
      <c r="D101" s="36"/>
      <c r="F101" s="36"/>
      <c r="H101" s="36"/>
      <c r="J101" s="467"/>
      <c r="L101" s="36"/>
      <c r="N101" s="36"/>
      <c r="P101" s="36"/>
      <c r="R101" s="36"/>
      <c r="T101" s="36"/>
      <c r="V101" s="36"/>
      <c r="X101" s="36"/>
      <c r="Z101" s="36"/>
      <c r="AA101" s="36"/>
      <c r="AB101" s="36"/>
      <c r="AC101" s="37"/>
      <c r="AD101" s="36"/>
      <c r="AE101" s="36"/>
      <c r="AF101" s="37"/>
      <c r="AG101" s="36"/>
      <c r="AH101" s="191"/>
      <c r="AI101" s="36"/>
      <c r="AJ101" s="467"/>
      <c r="AL101" s="488"/>
      <c r="AS101" s="39"/>
    </row>
    <row r="102" spans="1:45" ht="15" customHeight="1">
      <c r="A102" s="21"/>
      <c r="B102" s="21" t="s">
        <v>150</v>
      </c>
      <c r="C102" s="21"/>
      <c r="D102" s="493">
        <f>'Exhibit G State'!D102+'Exhibit G Federal'!D72</f>
        <v>468.6</v>
      </c>
      <c r="E102" s="493"/>
      <c r="F102" s="493">
        <f>'Exhibit G State'!F102+'Exhibit G Federal'!F72</f>
        <v>458</v>
      </c>
      <c r="G102" s="493"/>
      <c r="H102" s="493">
        <f>'Exhibit G State'!H102+'Exhibit G Federal'!H72</f>
        <v>449.10000000000014</v>
      </c>
      <c r="J102" s="493">
        <f>'Exhibit G State'!J102+'Exhibit G Federal'!J72</f>
        <v>457.7999999999999</v>
      </c>
      <c r="L102" s="493">
        <f>'Exhibit G State'!L102+'Exhibit G Federal'!L72</f>
        <v>674.10000000000014</v>
      </c>
      <c r="N102" s="493">
        <f>'Exhibit G State'!N102+'Exhibit G Federal'!N72</f>
        <v>435.49999999999955</v>
      </c>
      <c r="P102" s="493">
        <f>'Exhibit G State'!P102+'Exhibit G Federal'!P72</f>
        <v>509.30000000000041</v>
      </c>
      <c r="R102" s="493">
        <f>'Exhibit G State'!R102+'Exhibit G Federal'!R72</f>
        <v>496.09999999999974</v>
      </c>
      <c r="S102" s="493"/>
      <c r="T102" s="493">
        <f>'Exhibit G State'!T102+'Exhibit G Federal'!T72</f>
        <v>475.59999999999991</v>
      </c>
      <c r="U102" s="493"/>
      <c r="V102" s="493">
        <f>'Exhibit G State'!V102+'Exhibit G Federal'!V72</f>
        <v>480.50000000000023</v>
      </c>
      <c r="W102" s="493"/>
      <c r="X102" s="493">
        <f>'Exhibit G State'!X102+'Exhibit G Federal'!X72</f>
        <v>481.19999999999993</v>
      </c>
      <c r="Y102" s="493"/>
      <c r="Z102" s="493">
        <f>'Exhibit G State'!Z102+'Exhibit G Federal'!Z72</f>
        <v>695.00000000000023</v>
      </c>
      <c r="AA102" s="493"/>
      <c r="AB102" s="36">
        <v>0</v>
      </c>
      <c r="AC102" s="37"/>
      <c r="AD102" s="36">
        <f>ROUND(SUM(D102:Z102),1)</f>
        <v>6080.8</v>
      </c>
      <c r="AE102" s="36"/>
      <c r="AF102" s="37"/>
      <c r="AG102" s="493">
        <f>'Exhibit G State'!AG102+'Exhibit G Federal'!AG72</f>
        <v>7030.9</v>
      </c>
      <c r="AH102" s="191"/>
      <c r="AI102" s="36"/>
      <c r="AJ102" s="467">
        <f>ROUND(SUM(+AD102-AG102),1)</f>
        <v>-950.1</v>
      </c>
      <c r="AK102" s="35"/>
      <c r="AL102" s="469">
        <f>ROUND(IF(AG102=0,0,AJ102/ABS(AG102)),3)</f>
        <v>-0.13500000000000001</v>
      </c>
    </row>
    <row r="103" spans="1:45" ht="15" customHeight="1">
      <c r="A103" s="21"/>
      <c r="B103" s="21" t="s">
        <v>167</v>
      </c>
      <c r="C103" s="21"/>
      <c r="D103" s="493">
        <f>'Exhibit G State'!D103+'Exhibit G Federal'!D73</f>
        <v>319.7</v>
      </c>
      <c r="E103" s="493"/>
      <c r="F103" s="493">
        <f>'Exhibit G State'!F103+'Exhibit G Federal'!F73</f>
        <v>401.7</v>
      </c>
      <c r="G103" s="493"/>
      <c r="H103" s="493">
        <f>'Exhibit G State'!H103+'Exhibit G Federal'!H73</f>
        <v>406.4</v>
      </c>
      <c r="J103" s="493">
        <f>'Exhibit G State'!J103+'Exhibit G Federal'!J73</f>
        <v>262.30000000000013</v>
      </c>
      <c r="L103" s="493">
        <f>'Exhibit G State'!L103+'Exhibit G Federal'!L73</f>
        <v>447.69999999999982</v>
      </c>
      <c r="N103" s="493">
        <f>'Exhibit G State'!N103+'Exhibit G Federal'!N73</f>
        <v>455.49999999999994</v>
      </c>
      <c r="P103" s="493">
        <f>'Exhibit G State'!P103+'Exhibit G Federal'!P73</f>
        <v>372.79999999999995</v>
      </c>
      <c r="R103" s="493">
        <f>'Exhibit G State'!R103+'Exhibit G Federal'!R73</f>
        <v>434.99999999999994</v>
      </c>
      <c r="S103" s="493"/>
      <c r="T103" s="493">
        <f>'Exhibit G State'!T103+'Exhibit G Federal'!T73</f>
        <v>361.40000000000009</v>
      </c>
      <c r="U103" s="493"/>
      <c r="V103" s="493">
        <f>'Exhibit G State'!V103+'Exhibit G Federal'!V73</f>
        <v>447.40000000000009</v>
      </c>
      <c r="W103" s="493"/>
      <c r="X103" s="493">
        <f>'Exhibit G State'!X103+'Exhibit G Federal'!X73</f>
        <v>491.30000000000024</v>
      </c>
      <c r="Y103" s="493"/>
      <c r="Z103" s="493">
        <f>'Exhibit G State'!Z103+'Exhibit G Federal'!Z73</f>
        <v>488.19999999999976</v>
      </c>
      <c r="AA103" s="493"/>
      <c r="AB103" s="36">
        <v>0</v>
      </c>
      <c r="AC103" s="37"/>
      <c r="AD103" s="36">
        <f>ROUND(SUM(D103:Z103),1)</f>
        <v>4889.3999999999996</v>
      </c>
      <c r="AE103" s="36"/>
      <c r="AF103" s="37"/>
      <c r="AG103" s="493">
        <f>'Exhibit G State'!AG103+'Exhibit G Federal'!AG73</f>
        <v>5590.9</v>
      </c>
      <c r="AH103" s="191"/>
      <c r="AI103" s="36"/>
      <c r="AJ103" s="467">
        <f>ROUND(SUM(+AD103-AG103),1)</f>
        <v>-701.5</v>
      </c>
      <c r="AK103" s="35"/>
      <c r="AL103" s="469">
        <f>ROUND(IF(AG103=0,0,AJ103/ABS(AG103)),3)</f>
        <v>-0.125</v>
      </c>
    </row>
    <row r="104" spans="1:45" ht="15" customHeight="1">
      <c r="A104" s="21"/>
      <c r="B104" s="21" t="s">
        <v>168</v>
      </c>
      <c r="C104" s="21"/>
      <c r="D104" s="493">
        <f>'Exhibit G State'!D104+'Exhibit G Federal'!D74</f>
        <v>92.300000000000011</v>
      </c>
      <c r="E104" s="493"/>
      <c r="F104" s="493">
        <f>'Exhibit G State'!F104+'Exhibit G Federal'!F74</f>
        <v>93.9</v>
      </c>
      <c r="G104" s="493"/>
      <c r="H104" s="493">
        <f>'Exhibit G State'!H104+'Exhibit G Federal'!H74</f>
        <v>129</v>
      </c>
      <c r="J104" s="493">
        <f>'Exhibit G State'!J104+'Exhibit G Federal'!J74</f>
        <v>139.6</v>
      </c>
      <c r="L104" s="493">
        <f>'Exhibit G State'!L104+'Exhibit G Federal'!L74</f>
        <v>155.49999999999994</v>
      </c>
      <c r="N104" s="493">
        <f>'Exhibit G State'!N104+'Exhibit G Federal'!N74</f>
        <v>86.8</v>
      </c>
      <c r="P104" s="493">
        <f>'Exhibit G State'!P104+'Exhibit G Federal'!P74</f>
        <v>102.10000000000008</v>
      </c>
      <c r="R104" s="493">
        <f>'Exhibit G State'!R104+'Exhibit G Federal'!R74</f>
        <v>135.89999999999992</v>
      </c>
      <c r="S104" s="493"/>
      <c r="T104" s="493">
        <f>'Exhibit G State'!T104+'Exhibit G Federal'!T74</f>
        <v>160.10000000000008</v>
      </c>
      <c r="U104" s="493"/>
      <c r="V104" s="493">
        <f>'Exhibit G State'!V104+'Exhibit G Federal'!V74</f>
        <v>152.19999999999999</v>
      </c>
      <c r="W104" s="493"/>
      <c r="X104" s="493">
        <f>'Exhibit G State'!X104+'Exhibit G Federal'!X74</f>
        <v>108.00000000000006</v>
      </c>
      <c r="Y104" s="493"/>
      <c r="Z104" s="493">
        <f>'Exhibit G State'!Z104+'Exhibit G Federal'!Z74</f>
        <v>117.2999999999999</v>
      </c>
      <c r="AA104" s="493"/>
      <c r="AB104" s="36">
        <v>0</v>
      </c>
      <c r="AC104" s="37"/>
      <c r="AD104" s="36">
        <f>ROUND(SUM(D104:Z104),1)</f>
        <v>1472.7</v>
      </c>
      <c r="AE104" s="36"/>
      <c r="AF104" s="37"/>
      <c r="AG104" s="493">
        <f>'Exhibit G State'!AG104+'Exhibit G Federal'!AG74</f>
        <v>2076.8000000000002</v>
      </c>
      <c r="AH104" s="191"/>
      <c r="AI104" s="36"/>
      <c r="AJ104" s="467">
        <f>ROUND(SUM(+AD104-AG104),1)</f>
        <v>-604.1</v>
      </c>
      <c r="AK104" s="35"/>
      <c r="AL104" s="469">
        <f>ROUND(IF(AG104=0,0,AJ104/ABS(AG104)),3)</f>
        <v>-0.29099999999999998</v>
      </c>
    </row>
    <row r="105" spans="1:45" ht="15" customHeight="1">
      <c r="A105" s="21"/>
      <c r="B105" s="151" t="s">
        <v>1262</v>
      </c>
      <c r="C105" s="21"/>
      <c r="D105" s="493"/>
      <c r="E105" s="493"/>
      <c r="F105" s="493"/>
      <c r="G105" s="493"/>
      <c r="H105" s="493"/>
      <c r="J105" s="493"/>
      <c r="L105" s="493"/>
      <c r="N105" s="493"/>
      <c r="P105" s="493"/>
      <c r="R105" s="493"/>
      <c r="S105" s="493"/>
      <c r="T105" s="493"/>
      <c r="U105" s="493"/>
      <c r="V105" s="493"/>
      <c r="W105" s="493"/>
      <c r="X105" s="493"/>
      <c r="Y105" s="493"/>
      <c r="Z105" s="493"/>
      <c r="AA105" s="493"/>
      <c r="AB105" s="36"/>
      <c r="AC105" s="37"/>
      <c r="AD105" s="36"/>
      <c r="AE105" s="36"/>
      <c r="AF105" s="37"/>
      <c r="AG105" s="493"/>
      <c r="AH105" s="191"/>
      <c r="AI105" s="36"/>
      <c r="AJ105" s="467"/>
      <c r="AK105" s="35"/>
      <c r="AL105" s="469"/>
    </row>
    <row r="106" spans="1:45" ht="15" customHeight="1">
      <c r="A106" s="21"/>
      <c r="B106" s="151" t="s">
        <v>1352</v>
      </c>
      <c r="C106" s="21"/>
      <c r="D106" s="493">
        <f>'Exhibit G Federal'!D76</f>
        <v>0</v>
      </c>
      <c r="E106" s="493"/>
      <c r="F106" s="493">
        <f>'Exhibit G Federal'!F76</f>
        <v>0</v>
      </c>
      <c r="G106" s="493"/>
      <c r="H106" s="493">
        <f>'Exhibit G Federal'!H76</f>
        <v>0</v>
      </c>
      <c r="J106" s="493">
        <f>'Exhibit G Federal'!J76</f>
        <v>0</v>
      </c>
      <c r="L106" s="493">
        <f>'Exhibit G Federal'!L76</f>
        <v>0</v>
      </c>
      <c r="N106" s="493">
        <f>'Exhibit G Federal'!N76</f>
        <v>0</v>
      </c>
      <c r="P106" s="493">
        <f>'Exhibit G Federal'!P76</f>
        <v>0</v>
      </c>
      <c r="R106" s="493">
        <f>'Exhibit G Federal'!R76</f>
        <v>0</v>
      </c>
      <c r="S106" s="493"/>
      <c r="T106" s="493">
        <f>'Exhibit G Federal'!T76</f>
        <v>0</v>
      </c>
      <c r="U106" s="493"/>
      <c r="V106" s="493">
        <f>'Exhibit G Federal'!V76</f>
        <v>0</v>
      </c>
      <c r="W106" s="493"/>
      <c r="X106" s="493">
        <f>'Exhibit G Federal'!X76</f>
        <v>0</v>
      </c>
      <c r="Y106" s="493"/>
      <c r="Z106" s="493">
        <f>'Exhibit G Federal'!Z76</f>
        <v>0</v>
      </c>
      <c r="AA106" s="493"/>
      <c r="AB106" s="36">
        <v>0</v>
      </c>
      <c r="AC106" s="37"/>
      <c r="AD106" s="36">
        <f>ROUND(SUM(D106:Z106),1)</f>
        <v>0</v>
      </c>
      <c r="AE106" s="36"/>
      <c r="AF106" s="37"/>
      <c r="AG106" s="493">
        <f>'Exhibit G Federal'!AG76</f>
        <v>42.3</v>
      </c>
      <c r="AH106" s="191"/>
      <c r="AI106" s="36"/>
      <c r="AJ106" s="467">
        <f>ROUND(SUM(+AD106-AG106),1)</f>
        <v>-42.3</v>
      </c>
      <c r="AK106" s="35"/>
      <c r="AL106" s="469">
        <f>ROUND(IF(AG106=0,0,AJ106/ABS(AG106)),3)</f>
        <v>-1</v>
      </c>
    </row>
    <row r="107" spans="1:45" ht="15" customHeight="1">
      <c r="A107" s="21"/>
      <c r="B107" s="21" t="s">
        <v>169</v>
      </c>
      <c r="C107" s="21"/>
      <c r="D107" s="493">
        <f>'Exhibit G State'!D105+'Exhibit G Federal'!D77</f>
        <v>0</v>
      </c>
      <c r="E107" s="493"/>
      <c r="F107" s="493">
        <f>'Exhibit G State'!F105+'Exhibit G Federal'!F77</f>
        <v>0</v>
      </c>
      <c r="G107" s="493"/>
      <c r="H107" s="493">
        <f>'Exhibit G State'!H105+'Exhibit G Federal'!H77</f>
        <v>0</v>
      </c>
      <c r="J107" s="493">
        <f>'Exhibit G State'!J105+'Exhibit G Federal'!J77</f>
        <v>0</v>
      </c>
      <c r="L107" s="493">
        <f>'Exhibit G State'!L105+'Exhibit G Federal'!L77</f>
        <v>0</v>
      </c>
      <c r="N107" s="493">
        <f>'Exhibit G State'!N105+'Exhibit G Federal'!N77</f>
        <v>0</v>
      </c>
      <c r="P107" s="493">
        <f>'Exhibit G State'!P105+'Exhibit G Federal'!P77</f>
        <v>0</v>
      </c>
      <c r="R107" s="493">
        <f>'Exhibit G State'!R105+'Exhibit G Federal'!R77</f>
        <v>0</v>
      </c>
      <c r="S107" s="493"/>
      <c r="T107" s="493">
        <f>'Exhibit G State'!T105+'Exhibit G Federal'!T77</f>
        <v>0</v>
      </c>
      <c r="U107" s="493"/>
      <c r="V107" s="493">
        <f>'Exhibit G State'!V105+'Exhibit G Federal'!V77</f>
        <v>0</v>
      </c>
      <c r="W107" s="493"/>
      <c r="X107" s="493">
        <f>'Exhibit G State'!X105+'Exhibit G Federal'!X77</f>
        <v>0</v>
      </c>
      <c r="Y107" s="493"/>
      <c r="Z107" s="493">
        <f>'Exhibit G State'!Z105+'Exhibit G Federal'!Z77</f>
        <v>0</v>
      </c>
      <c r="AA107" s="493"/>
      <c r="AB107" s="1479">
        <v>0</v>
      </c>
      <c r="AC107" s="37"/>
      <c r="AD107" s="36">
        <f>ROUND(SUM(D107:Z107),1)</f>
        <v>0</v>
      </c>
      <c r="AE107" s="36"/>
      <c r="AF107" s="37"/>
      <c r="AG107" s="493">
        <f>'Exhibit G State'!AG105+'Exhibit G Federal'!AG77</f>
        <v>0</v>
      </c>
      <c r="AH107" s="191"/>
      <c r="AI107" s="36"/>
      <c r="AJ107" s="467">
        <f>ROUND(SUM(+AD107-AG107),1)</f>
        <v>0</v>
      </c>
      <c r="AK107" s="35"/>
      <c r="AL107" s="469">
        <f>ROUND(IF(AG107=0,0,AJ107/ABS(AG107)),3)</f>
        <v>0</v>
      </c>
    </row>
    <row r="108" spans="1:45" ht="15" customHeight="1">
      <c r="A108" s="21"/>
      <c r="B108" s="21"/>
      <c r="C108" s="21"/>
      <c r="D108" s="61"/>
      <c r="F108" s="61"/>
      <c r="H108" s="61"/>
      <c r="J108" s="497"/>
      <c r="L108" s="61"/>
      <c r="N108" s="61"/>
      <c r="P108" s="61"/>
      <c r="R108" s="61"/>
      <c r="T108" s="61"/>
      <c r="V108" s="61"/>
      <c r="X108" s="61"/>
      <c r="Z108" s="61"/>
      <c r="AA108" s="36"/>
      <c r="AB108" s="36"/>
      <c r="AC108" s="37"/>
      <c r="AD108" s="61"/>
      <c r="AE108" s="36"/>
      <c r="AF108" s="37"/>
      <c r="AG108" s="61"/>
      <c r="AH108" s="191"/>
      <c r="AI108" s="36"/>
      <c r="AJ108" s="948"/>
      <c r="AL108" s="963"/>
    </row>
    <row r="109" spans="1:45" ht="15" customHeight="1">
      <c r="A109" s="21"/>
      <c r="B109" s="19" t="s">
        <v>153</v>
      </c>
      <c r="C109" s="21"/>
      <c r="D109" s="42">
        <f>ROUND(SUM(D100:D107),1)</f>
        <v>7914.1</v>
      </c>
      <c r="F109" s="42">
        <f>ROUND(SUM(F100:F107),1)</f>
        <v>8093.3</v>
      </c>
      <c r="H109" s="42">
        <f>ROUND(SUM(H100:H107),1)</f>
        <v>8857.4</v>
      </c>
      <c r="J109" s="42">
        <f>ROUND(SUM(J100:J107),1)</f>
        <v>8269.5</v>
      </c>
      <c r="L109" s="42">
        <f t="shared" ref="L109" si="31">ROUND(SUM(L100:L107),1)</f>
        <v>8595</v>
      </c>
      <c r="N109" s="42">
        <f t="shared" ref="N109" si="32">ROUND(SUM(N100:N107),1)</f>
        <v>10235.299999999999</v>
      </c>
      <c r="P109" s="42">
        <f t="shared" ref="P109" si="33">ROUND(SUM(P100:P107),1)</f>
        <v>8069.2</v>
      </c>
      <c r="R109" s="42">
        <f t="shared" ref="R109:T109" si="34">ROUND(SUM(R100:R107),1)</f>
        <v>9031.1</v>
      </c>
      <c r="T109" s="42">
        <f t="shared" si="34"/>
        <v>12927</v>
      </c>
      <c r="V109" s="42">
        <f t="shared" ref="V109:X109" si="35">ROUND(SUM(V100:V107),1)</f>
        <v>9027.2999999999993</v>
      </c>
      <c r="X109" s="42">
        <f t="shared" si="35"/>
        <v>7511.7</v>
      </c>
      <c r="Z109" s="42">
        <f t="shared" ref="Z109" si="36">ROUND(SUM(Z100:Z107),1)</f>
        <v>12903.5</v>
      </c>
      <c r="AA109" s="42"/>
      <c r="AB109" s="1480">
        <v>0</v>
      </c>
      <c r="AC109" s="44"/>
      <c r="AD109" s="42">
        <f>ROUND(SUM(AD100:AD107),1)</f>
        <v>111434.4</v>
      </c>
      <c r="AE109" s="42"/>
      <c r="AF109" s="44"/>
      <c r="AG109" s="42">
        <f>ROUND(SUM(AG100:AG107),1)</f>
        <v>102970.6</v>
      </c>
      <c r="AH109" s="197"/>
      <c r="AI109" s="42"/>
      <c r="AJ109" s="50">
        <f>ROUND(SUM(AJ100:AJ107),1)</f>
        <v>8463.7999999999993</v>
      </c>
      <c r="AK109" s="138"/>
      <c r="AL109" s="653">
        <f>ROUND(SUM(+AJ109/AG109),3)</f>
        <v>8.2000000000000003E-2</v>
      </c>
    </row>
    <row r="110" spans="1:45" ht="15" customHeight="1">
      <c r="A110" s="21"/>
      <c r="B110" s="21"/>
      <c r="C110" s="21"/>
      <c r="D110" s="61"/>
      <c r="F110" s="61"/>
      <c r="H110" s="61"/>
      <c r="J110" s="497"/>
      <c r="L110" s="61"/>
      <c r="N110" s="61"/>
      <c r="P110" s="61"/>
      <c r="R110" s="61"/>
      <c r="T110" s="61"/>
      <c r="V110" s="61"/>
      <c r="X110" s="61"/>
      <c r="Z110" s="61"/>
      <c r="AA110" s="36"/>
      <c r="AB110" s="36"/>
      <c r="AC110" s="37"/>
      <c r="AD110" s="61"/>
      <c r="AE110" s="36"/>
      <c r="AF110" s="37"/>
      <c r="AG110" s="61"/>
      <c r="AH110" s="191"/>
      <c r="AI110" s="36"/>
      <c r="AJ110" s="467"/>
      <c r="AL110" s="488"/>
    </row>
    <row r="111" spans="1:45" ht="15" customHeight="1">
      <c r="A111" s="21"/>
      <c r="B111" s="19" t="s">
        <v>154</v>
      </c>
      <c r="C111" s="21"/>
      <c r="D111" s="36"/>
      <c r="F111" s="36"/>
      <c r="H111" s="36"/>
      <c r="J111" s="467"/>
      <c r="L111" s="36"/>
      <c r="N111" s="36"/>
      <c r="P111" s="36"/>
      <c r="R111" s="36"/>
      <c r="T111" s="36"/>
      <c r="V111" s="36"/>
      <c r="X111" s="36"/>
      <c r="Z111" s="36"/>
      <c r="AA111" s="36"/>
      <c r="AB111" s="36"/>
      <c r="AC111" s="37"/>
      <c r="AD111" s="36" t="s">
        <v>155</v>
      </c>
      <c r="AE111" s="1875"/>
      <c r="AF111" s="1876"/>
      <c r="AG111" s="36"/>
      <c r="AH111" s="1886"/>
      <c r="AI111" s="38"/>
      <c r="AJ111" s="467"/>
      <c r="AL111" s="488"/>
    </row>
    <row r="112" spans="1:45" ht="15" customHeight="1">
      <c r="A112" s="21"/>
      <c r="B112" s="19" t="s">
        <v>44</v>
      </c>
      <c r="C112" s="21"/>
      <c r="D112" s="42">
        <f>ROUND(SUM(D86-D109),1)</f>
        <v>674.2</v>
      </c>
      <c r="F112" s="42">
        <f>ROUND(SUM(F86-F109),1)</f>
        <v>845.7</v>
      </c>
      <c r="G112" s="42">
        <f>ROUND(SUM(G86-G109),1)</f>
        <v>0</v>
      </c>
      <c r="H112" s="42">
        <f>ROUND(SUM(H86-H109),1)</f>
        <v>1345.6</v>
      </c>
      <c r="J112" s="42">
        <f>ROUND(SUM(J86-J109),1)</f>
        <v>-964.7</v>
      </c>
      <c r="L112" s="42">
        <f>ROUND(SUM(L86-L109),1)</f>
        <v>-749.2</v>
      </c>
      <c r="N112" s="42">
        <f>ROUND(SUM(N86-N109),1)</f>
        <v>1089.5999999999999</v>
      </c>
      <c r="P112" s="42">
        <f>ROUND(SUM(P86-P109),1)</f>
        <v>-947</v>
      </c>
      <c r="R112" s="42">
        <f>ROUND(SUM(R86-R109),1)</f>
        <v>-1945.6</v>
      </c>
      <c r="T112" s="42">
        <f>ROUND(SUM(T86-T109),1)</f>
        <v>532.6</v>
      </c>
      <c r="V112" s="42">
        <f>ROUND(SUM(V86-V109),1)</f>
        <v>2335.8000000000002</v>
      </c>
      <c r="X112" s="42">
        <f>ROUND(SUM(X86-X109),1)</f>
        <v>374.6</v>
      </c>
      <c r="Z112" s="42">
        <f>ROUND(SUM(Z86-Z109),1)</f>
        <v>-1633.1</v>
      </c>
      <c r="AA112" s="42"/>
      <c r="AB112" s="1480">
        <v>0</v>
      </c>
      <c r="AC112" s="44"/>
      <c r="AD112" s="42">
        <f>ROUND(SUM(AD86-AD109),1)</f>
        <v>958.5</v>
      </c>
      <c r="AE112" s="42"/>
      <c r="AF112" s="44"/>
      <c r="AG112" s="42">
        <f>ROUND(SUM(AG86-AG109),1)</f>
        <v>11929</v>
      </c>
      <c r="AH112" s="197"/>
      <c r="AI112" s="42"/>
      <c r="AJ112" s="603">
        <f>ROUND(SUM(AJ86-AJ109),1)</f>
        <v>-10970.5</v>
      </c>
      <c r="AK112" s="138"/>
      <c r="AL112" s="1163">
        <f>ROUND(SUM(+AJ112/ABS(AG112)),3)</f>
        <v>-0.92</v>
      </c>
    </row>
    <row r="113" spans="1:49" ht="15" customHeight="1">
      <c r="A113" s="21"/>
      <c r="B113" s="21"/>
      <c r="C113" s="21"/>
      <c r="D113" s="61"/>
      <c r="F113" s="61"/>
      <c r="H113" s="61"/>
      <c r="J113" s="497"/>
      <c r="L113" s="61"/>
      <c r="N113" s="61"/>
      <c r="P113" s="61"/>
      <c r="R113" s="61"/>
      <c r="T113" s="61"/>
      <c r="V113" s="61"/>
      <c r="X113" s="61"/>
      <c r="Z113" s="61"/>
      <c r="AA113" s="36"/>
      <c r="AB113" s="36"/>
      <c r="AC113" s="37"/>
      <c r="AD113" s="61"/>
      <c r="AE113" s="36"/>
      <c r="AF113" s="37"/>
      <c r="AG113" s="61"/>
      <c r="AH113" s="191"/>
      <c r="AI113" s="36"/>
      <c r="AJ113" s="467"/>
      <c r="AL113" s="488"/>
    </row>
    <row r="114" spans="1:49" ht="15" customHeight="1">
      <c r="A114" s="21"/>
      <c r="B114" s="19" t="s">
        <v>45</v>
      </c>
      <c r="C114" s="21"/>
      <c r="D114" s="36"/>
      <c r="F114" s="36"/>
      <c r="H114" s="36"/>
      <c r="J114" s="467"/>
      <c r="L114" s="36"/>
      <c r="N114" s="36"/>
      <c r="P114" s="36"/>
      <c r="R114" s="36"/>
      <c r="T114" s="36"/>
      <c r="V114" s="36"/>
      <c r="X114" s="36"/>
      <c r="Z114" s="467" t="s">
        <v>14</v>
      </c>
      <c r="AA114" s="36"/>
      <c r="AB114" s="36"/>
      <c r="AC114" s="37"/>
      <c r="AD114" s="36"/>
      <c r="AE114" s="36"/>
      <c r="AF114" s="37"/>
      <c r="AG114" s="36"/>
      <c r="AH114" s="191"/>
      <c r="AI114" s="36"/>
      <c r="AJ114" s="467"/>
      <c r="AL114" s="488"/>
    </row>
    <row r="115" spans="1:49" ht="15" customHeight="1">
      <c r="A115" s="21"/>
      <c r="B115" s="21" t="s">
        <v>170</v>
      </c>
      <c r="C115" s="21"/>
      <c r="D115" s="1483">
        <f>+'Exhibit G State'!D113+'Exhibit G Federal'!D85</f>
        <v>434.8</v>
      </c>
      <c r="E115" s="493"/>
      <c r="F115" s="1483">
        <f>+'Exhibit G State'!F113+'Exhibit G Federal'!F85</f>
        <v>522.79999999999995</v>
      </c>
      <c r="G115" s="493"/>
      <c r="H115" s="1483">
        <f>+'Exhibit G State'!H113+'Exhibit G Federal'!H85</f>
        <v>726.10000000000014</v>
      </c>
      <c r="I115" s="1483"/>
      <c r="J115" s="1483">
        <f>+'Exhibit G State'!J113+'Exhibit G Federal'!J85</f>
        <v>281.59999999999985</v>
      </c>
      <c r="L115" s="1483">
        <f>+'Exhibit G State'!L113+'Exhibit G Federal'!L85</f>
        <v>187.39999999999981</v>
      </c>
      <c r="N115" s="1483">
        <f>+'Exhibit G State'!N113+'Exhibit G Federal'!N85</f>
        <v>196.3000000000003</v>
      </c>
      <c r="P115" s="1483">
        <f>+'Exhibit G State'!P113+'Exhibit G Federal'!P85</f>
        <v>235.39999999999981</v>
      </c>
      <c r="R115" s="1483">
        <f>+'Exhibit G State'!R113+'Exhibit G Federal'!R85</f>
        <v>335.69999999999976</v>
      </c>
      <c r="S115" s="1483"/>
      <c r="T115" s="1483">
        <f>+'Exhibit G State'!T113+'Exhibit G Federal'!T85</f>
        <v>72.099999999999909</v>
      </c>
      <c r="U115" s="2237"/>
      <c r="V115" s="1483">
        <f>+'Exhibit G State'!V113+'Exhibit G Federal'!V85</f>
        <v>63.900000000000318</v>
      </c>
      <c r="W115" s="1483"/>
      <c r="X115" s="1483">
        <f>+'Exhibit G State'!X113+'Exhibit G Federal'!X85</f>
        <v>-26.199999999999818</v>
      </c>
      <c r="Y115" s="1483"/>
      <c r="Z115" s="1483">
        <f>+'Exhibit G State'!Z113+'Exhibit G Federal'!Z85</f>
        <v>751.49999999999955</v>
      </c>
      <c r="AA115" s="192"/>
      <c r="AB115" s="919">
        <v>-493</v>
      </c>
      <c r="AC115" s="37"/>
      <c r="AD115" s="36">
        <f>ROUND(SUM(D115:AB115),1)</f>
        <v>3288.4</v>
      </c>
      <c r="AE115" s="36"/>
      <c r="AF115" s="37"/>
      <c r="AG115" s="493">
        <f>'Exhibit G State'!AG113+'Exhibit G Federal'!AG85-555.2</f>
        <v>2535.1000000000004</v>
      </c>
      <c r="AH115" s="191"/>
      <c r="AI115" s="36"/>
      <c r="AJ115" s="467">
        <f>ROUND(SUM(+AD115-AG115),1)</f>
        <v>753.3</v>
      </c>
      <c r="AK115" s="35"/>
      <c r="AL115" s="469">
        <f>ROUND(IF(AG115=0,0,AJ115/ABS(AG115)),3)</f>
        <v>0.29699999999999999</v>
      </c>
    </row>
    <row r="116" spans="1:49" ht="15" customHeight="1">
      <c r="A116" s="21"/>
      <c r="B116" s="21" t="s">
        <v>171</v>
      </c>
      <c r="C116" s="21"/>
      <c r="D116" s="1483">
        <f>+'Exhibit G State'!D114+'Exhibit G Federal'!D86</f>
        <v>-241.5</v>
      </c>
      <c r="E116" s="493"/>
      <c r="F116" s="1483">
        <f>+'Exhibit G State'!F114+'Exhibit G Federal'!F86</f>
        <v>-142.19999999999996</v>
      </c>
      <c r="G116" s="493"/>
      <c r="H116" s="1483">
        <f>+'Exhibit G State'!H114+'Exhibit G Federal'!H86</f>
        <v>-417.40000000000003</v>
      </c>
      <c r="J116" s="1483">
        <f>+'Exhibit G State'!J114+'Exhibit G Federal'!J86</f>
        <v>-141.00000000000006</v>
      </c>
      <c r="L116" s="1483">
        <f>+'Exhibit G State'!L114+'Exhibit G Federal'!L86</f>
        <v>-39.800000000000026</v>
      </c>
      <c r="N116" s="1483">
        <f>+'Exhibit G State'!N114+'Exhibit G Federal'!N86</f>
        <v>-232.09999999999997</v>
      </c>
      <c r="P116" s="1483">
        <f>+'Exhibit G State'!P114+'Exhibit G Federal'!P86</f>
        <v>-131.80000000000001</v>
      </c>
      <c r="R116" s="1483">
        <f>+'Exhibit G State'!R114+'Exhibit G Federal'!R86</f>
        <v>-139.39999999999995</v>
      </c>
      <c r="S116" s="1483"/>
      <c r="T116" s="1483">
        <f>+'Exhibit G State'!T114+'Exhibit G Federal'!T86</f>
        <v>-209.09999999999988</v>
      </c>
      <c r="U116" s="2237"/>
      <c r="V116" s="1483">
        <f>+'Exhibit G State'!V114+'Exhibit G Federal'!V86</f>
        <v>-109.10000000000005</v>
      </c>
      <c r="W116" s="1483"/>
      <c r="X116" s="1483">
        <f>+'Exhibit G State'!X114+'Exhibit G Federal'!X86</f>
        <v>-200.69999999999996</v>
      </c>
      <c r="Y116" s="1483"/>
      <c r="Z116" s="1483">
        <f>+'Exhibit G State'!Z114+'Exhibit G Federal'!Z86</f>
        <v>-733.79999999999973</v>
      </c>
      <c r="AA116" s="192"/>
      <c r="AB116" s="2244">
        <v>493</v>
      </c>
      <c r="AC116" s="37"/>
      <c r="AD116" s="36">
        <f>ROUND(SUM(D116:AB116),1)</f>
        <v>-2244.9</v>
      </c>
      <c r="AE116" s="36"/>
      <c r="AF116" s="37"/>
      <c r="AG116" s="493">
        <f>'Exhibit G State'!AG114+'Exhibit G Federal'!AG86+555.2</f>
        <v>-3195.2</v>
      </c>
      <c r="AH116" s="191"/>
      <c r="AI116" s="36"/>
      <c r="AJ116" s="467">
        <f>ROUND(SUM(+AD116-AG116)*-1,1)</f>
        <v>-950.3</v>
      </c>
      <c r="AK116" s="35"/>
      <c r="AL116" s="469">
        <f>ROUND(IF(AG116=0,0,AJ116/ABS(AG116)),3)</f>
        <v>-0.29699999999999999</v>
      </c>
    </row>
    <row r="117" spans="1:49" ht="15" customHeight="1">
      <c r="A117" s="21"/>
      <c r="B117" s="21"/>
      <c r="C117" s="21"/>
      <c r="D117" s="61"/>
      <c r="F117" s="61"/>
      <c r="H117" s="61"/>
      <c r="J117" s="61"/>
      <c r="L117" s="61"/>
      <c r="N117" s="61"/>
      <c r="P117" s="61"/>
      <c r="R117" s="61"/>
      <c r="T117" s="61"/>
      <c r="V117" s="61"/>
      <c r="X117" s="61"/>
      <c r="Z117" s="61"/>
      <c r="AA117" s="36"/>
      <c r="AB117" s="36"/>
      <c r="AC117" s="37"/>
      <c r="AD117" s="61"/>
      <c r="AE117" s="36"/>
      <c r="AF117" s="37"/>
      <c r="AG117" s="61"/>
      <c r="AH117" s="191"/>
      <c r="AI117" s="36"/>
      <c r="AJ117" s="948"/>
      <c r="AL117" s="963"/>
    </row>
    <row r="118" spans="1:49" ht="15" customHeight="1">
      <c r="A118" s="21"/>
      <c r="B118" s="19" t="s">
        <v>1071</v>
      </c>
      <c r="C118" s="21"/>
      <c r="D118" s="42">
        <f>ROUND(SUM(D115:D116),1)</f>
        <v>193.3</v>
      </c>
      <c r="F118" s="42">
        <f>ROUND(SUM(F115:F116),1)</f>
        <v>380.6</v>
      </c>
      <c r="H118" s="42">
        <f>ROUND(SUM(H115:H116),1)</f>
        <v>308.7</v>
      </c>
      <c r="J118" s="42">
        <f>ROUND(SUM(J115:J116),1)</f>
        <v>140.6</v>
      </c>
      <c r="L118" s="42">
        <f>ROUND(SUM(L115:L116),1)</f>
        <v>147.6</v>
      </c>
      <c r="N118" s="42">
        <f>ROUND(SUM(N115:N116),1)</f>
        <v>-35.799999999999997</v>
      </c>
      <c r="P118" s="42">
        <f>ROUND(SUM(P115:P116),1)</f>
        <v>103.6</v>
      </c>
      <c r="R118" s="42">
        <f>ROUND(SUM(R115:R116),1)</f>
        <v>196.3</v>
      </c>
      <c r="T118" s="42">
        <f>ROUND(SUM(T115:T116),1)</f>
        <v>-137</v>
      </c>
      <c r="V118" s="42">
        <f>ROUND(SUM(V115:V116),1)</f>
        <v>-45.2</v>
      </c>
      <c r="X118" s="42">
        <f>ROUND(SUM(X115:X116),1)</f>
        <v>-226.9</v>
      </c>
      <c r="Z118" s="42">
        <f>ROUND(SUM(Z115:Z116),1)</f>
        <v>17.7</v>
      </c>
      <c r="AA118" s="42"/>
      <c r="AB118" s="1480">
        <f>ROUND(SUM(AB115:AB116),1)</f>
        <v>0</v>
      </c>
      <c r="AC118" s="44"/>
      <c r="AD118" s="42">
        <f>ROUND(SUM(AD115:AD116),1)</f>
        <v>1043.5</v>
      </c>
      <c r="AE118" s="42"/>
      <c r="AF118" s="44"/>
      <c r="AG118" s="42">
        <f>ROUND(SUM(AG115:AG116),1)</f>
        <v>-660.1</v>
      </c>
      <c r="AH118" s="197"/>
      <c r="AI118" s="42"/>
      <c r="AJ118" s="50">
        <f>ROUND(SUM(AD118-AG118),1)</f>
        <v>1703.6</v>
      </c>
      <c r="AK118" s="111"/>
      <c r="AL118" s="653">
        <f>-ROUND(SUM(+AJ118/AG118),3)</f>
        <v>2.581</v>
      </c>
    </row>
    <row r="119" spans="1:49" ht="15" customHeight="1">
      <c r="A119" s="21"/>
      <c r="B119" s="21"/>
      <c r="C119" s="21"/>
      <c r="D119" s="61"/>
      <c r="F119" s="61"/>
      <c r="H119" s="61"/>
      <c r="J119" s="61"/>
      <c r="L119" s="61"/>
      <c r="N119" s="61"/>
      <c r="P119" s="61"/>
      <c r="R119" s="61"/>
      <c r="T119" s="61"/>
      <c r="V119" s="61"/>
      <c r="X119" s="61"/>
      <c r="Z119" s="61"/>
      <c r="AA119" s="36"/>
      <c r="AB119" s="36"/>
      <c r="AC119" s="37"/>
      <c r="AD119" s="61"/>
      <c r="AE119" s="36"/>
      <c r="AF119" s="37"/>
      <c r="AG119" s="61"/>
      <c r="AH119" s="191"/>
      <c r="AI119" s="36"/>
      <c r="AJ119" s="467"/>
      <c r="AL119" s="488"/>
    </row>
    <row r="120" spans="1:49" ht="15" customHeight="1">
      <c r="A120" s="21"/>
      <c r="B120" s="19" t="s">
        <v>162</v>
      </c>
      <c r="C120" s="21"/>
      <c r="D120" s="36"/>
      <c r="F120" s="36"/>
      <c r="H120" s="36"/>
      <c r="J120" s="36"/>
      <c r="L120" s="36"/>
      <c r="N120" s="36"/>
      <c r="P120" s="36"/>
      <c r="R120" s="36"/>
      <c r="T120" s="36"/>
      <c r="V120" s="36"/>
      <c r="X120" s="36"/>
      <c r="Z120" s="36"/>
      <c r="AA120" s="36"/>
      <c r="AB120" s="36"/>
      <c r="AC120" s="37"/>
      <c r="AD120" s="36"/>
      <c r="AE120" s="36"/>
      <c r="AF120" s="37"/>
      <c r="AG120" s="36"/>
      <c r="AH120" s="191"/>
      <c r="AI120" s="36"/>
      <c r="AJ120" s="467"/>
      <c r="AL120" s="488"/>
    </row>
    <row r="121" spans="1:49" ht="15" customHeight="1">
      <c r="A121" s="21"/>
      <c r="B121" s="19" t="s">
        <v>163</v>
      </c>
      <c r="C121" s="21"/>
      <c r="D121" s="36"/>
      <c r="F121" s="36"/>
      <c r="H121" s="36"/>
      <c r="J121" s="36"/>
      <c r="L121" s="36"/>
      <c r="N121" s="36"/>
      <c r="P121" s="36"/>
      <c r="R121" s="36"/>
      <c r="T121" s="36"/>
      <c r="V121" s="36"/>
      <c r="X121" s="36"/>
      <c r="Z121" s="36"/>
      <c r="AA121" s="36"/>
      <c r="AB121" s="36"/>
      <c r="AC121" s="37"/>
      <c r="AD121" s="36"/>
      <c r="AE121" s="36"/>
      <c r="AF121" s="37"/>
      <c r="AG121" s="36"/>
      <c r="AH121" s="191"/>
      <c r="AI121" s="36"/>
      <c r="AJ121" s="467"/>
      <c r="AL121" s="488"/>
    </row>
    <row r="122" spans="1:49" ht="15" customHeight="1">
      <c r="A122" s="21"/>
      <c r="B122" s="19" t="s">
        <v>1072</v>
      </c>
      <c r="C122" s="21"/>
      <c r="D122" s="42">
        <f>ROUND(SUM(D112+D118),1)</f>
        <v>867.5</v>
      </c>
      <c r="F122" s="42">
        <f>ROUND(SUM(F112+F118),1)</f>
        <v>1226.3</v>
      </c>
      <c r="H122" s="42">
        <f>ROUND(SUM(H112+H118),1)</f>
        <v>1654.3</v>
      </c>
      <c r="J122" s="42">
        <f>ROUND(SUM(J112+J118),1)</f>
        <v>-824.1</v>
      </c>
      <c r="L122" s="42">
        <f>ROUND(SUM(L112+L118),1)</f>
        <v>-601.6</v>
      </c>
      <c r="N122" s="42">
        <f>ROUND(SUM(N112+N118),1)</f>
        <v>1053.8</v>
      </c>
      <c r="P122" s="42">
        <f>ROUND(SUM(P112+P118),1)</f>
        <v>-843.4</v>
      </c>
      <c r="R122" s="42">
        <f>ROUND(SUM(R112+R118),1)</f>
        <v>-1749.3</v>
      </c>
      <c r="T122" s="42">
        <f>ROUND(SUM(T112+T118),1)</f>
        <v>395.6</v>
      </c>
      <c r="V122" s="42">
        <f>ROUND(SUM(V112+V118),1)</f>
        <v>2290.6</v>
      </c>
      <c r="X122" s="42">
        <f>ROUND(SUM(X112+X118),1)</f>
        <v>147.69999999999999</v>
      </c>
      <c r="Z122" s="42">
        <f>ROUND(SUM(Z112+Z118),1)</f>
        <v>-1615.4</v>
      </c>
      <c r="AA122" s="42"/>
      <c r="AB122" s="1480">
        <f>ROUND(SUM(AB112+AB118),1)</f>
        <v>0</v>
      </c>
      <c r="AC122" s="44"/>
      <c r="AD122" s="42">
        <f>ROUND(SUM(AD112+AD118),1)</f>
        <v>2002</v>
      </c>
      <c r="AE122" s="42"/>
      <c r="AF122" s="44"/>
      <c r="AG122" s="42">
        <f>ROUND(SUM(AG112+AG118),1)</f>
        <v>11268.9</v>
      </c>
      <c r="AH122" s="197"/>
      <c r="AI122" s="42"/>
      <c r="AJ122" s="50">
        <f>ROUND(SUM(AD122-AG122),1)</f>
        <v>-9266.9</v>
      </c>
      <c r="AK122" s="138"/>
      <c r="AL122" s="1163">
        <f>ROUND(SUM(AJ122/ABS(AG122)),3)</f>
        <v>-0.82199999999999995</v>
      </c>
    </row>
    <row r="123" spans="1:49" ht="15" customHeight="1">
      <c r="A123" s="21"/>
      <c r="B123" s="21"/>
      <c r="C123" s="21"/>
      <c r="D123" s="29"/>
      <c r="F123" s="29"/>
      <c r="H123" s="29"/>
      <c r="J123" s="29"/>
      <c r="L123" s="29"/>
      <c r="N123" s="29"/>
      <c r="P123" s="29"/>
      <c r="R123" s="29"/>
      <c r="T123" s="29"/>
      <c r="V123" s="29"/>
      <c r="X123" s="29"/>
      <c r="Z123" s="29"/>
      <c r="AC123" s="140"/>
      <c r="AD123" s="29"/>
      <c r="AF123" s="140"/>
      <c r="AG123" s="29"/>
      <c r="AH123" s="190"/>
      <c r="AJ123" s="646"/>
      <c r="AL123" s="488"/>
    </row>
    <row r="124" spans="1:49" ht="15" customHeight="1" thickBot="1">
      <c r="A124" s="21"/>
      <c r="B124" s="19" t="s">
        <v>1073</v>
      </c>
      <c r="C124" s="21"/>
      <c r="D124" s="65">
        <f>ROUND(SUM(D13+D122),1)</f>
        <v>22805.7</v>
      </c>
      <c r="F124" s="65">
        <f>ROUND(SUM(F13+F122),1)</f>
        <v>24032</v>
      </c>
      <c r="H124" s="65">
        <f>ROUND(SUM(H13+H122),1)</f>
        <v>25686.3</v>
      </c>
      <c r="J124" s="65">
        <f>ROUND(SUM(J13+J122),1)</f>
        <v>24862.2</v>
      </c>
      <c r="L124" s="65">
        <f>ROUND(SUM(L13+L122),1)</f>
        <v>24260.6</v>
      </c>
      <c r="N124" s="65">
        <f>ROUND(SUM(N13+N122),1)</f>
        <v>25314.400000000001</v>
      </c>
      <c r="P124" s="65">
        <f>ROUND(SUM(P13+P122),1)</f>
        <v>24471</v>
      </c>
      <c r="R124" s="65">
        <f>ROUND(SUM(R13+R122),1)</f>
        <v>22721.7</v>
      </c>
      <c r="T124" s="65">
        <f>ROUND(SUM(T13+T122),1)</f>
        <v>23117.3</v>
      </c>
      <c r="V124" s="65">
        <f>ROUND(SUM(V13+V122),1)</f>
        <v>25407.9</v>
      </c>
      <c r="X124" s="65">
        <f>ROUND(SUM(X13+X122),1)</f>
        <v>25555.599999999999</v>
      </c>
      <c r="Z124" s="65">
        <f>ROUND(SUM(Z13+Z122),1)</f>
        <v>23940.2</v>
      </c>
      <c r="AA124" s="65"/>
      <c r="AB124" s="1484">
        <f>ROUND(SUM(AB13+AB122),1)</f>
        <v>0</v>
      </c>
      <c r="AC124" s="66"/>
      <c r="AD124" s="65">
        <f>ROUND(SUM(AD13+AD122),1)</f>
        <v>23940.2</v>
      </c>
      <c r="AE124" s="65"/>
      <c r="AF124" s="66"/>
      <c r="AG124" s="181">
        <f>ROUND(SUM(AG13+AG122),1)</f>
        <v>21938.2</v>
      </c>
      <c r="AH124" s="188"/>
      <c r="AI124" s="65"/>
      <c r="AJ124" s="181">
        <f>ROUND(SUM(AD124-AG124),1)</f>
        <v>2002</v>
      </c>
      <c r="AK124" s="122"/>
      <c r="AL124" s="200">
        <f>ROUND(SUM(+AJ124/AG124),3)</f>
        <v>9.0999999999999998E-2</v>
      </c>
      <c r="AM124" s="185"/>
      <c r="AN124" s="185"/>
      <c r="AO124" s="185"/>
      <c r="AP124" s="185"/>
      <c r="AQ124" s="185"/>
      <c r="AR124" s="185"/>
      <c r="AS124" s="185"/>
      <c r="AT124" s="185"/>
      <c r="AU124" s="185"/>
      <c r="AV124" s="185"/>
      <c r="AW124" s="185"/>
    </row>
    <row r="125" spans="1:49" ht="15" customHeight="1" thickTop="1">
      <c r="A125" s="21"/>
      <c r="B125" s="21"/>
      <c r="C125" s="21"/>
      <c r="D125" s="1485"/>
      <c r="F125" s="1485"/>
      <c r="H125" s="1485"/>
      <c r="J125" s="1485"/>
      <c r="L125" s="1485"/>
      <c r="N125" s="1485"/>
      <c r="P125" s="1485"/>
      <c r="R125" s="1485"/>
      <c r="T125" s="1485"/>
      <c r="V125" s="1485"/>
      <c r="X125" s="1485"/>
      <c r="Z125" s="1485"/>
      <c r="AA125" s="185"/>
      <c r="AB125" s="185"/>
      <c r="AC125" s="185"/>
      <c r="AD125" s="1485"/>
      <c r="AE125" s="185"/>
      <c r="AF125" s="185"/>
      <c r="AG125" s="185"/>
      <c r="AH125" s="185"/>
      <c r="AI125" s="185"/>
      <c r="AJ125" s="716"/>
      <c r="AK125" s="185"/>
      <c r="AL125" s="488"/>
      <c r="AM125" s="185"/>
      <c r="AN125" s="185"/>
      <c r="AO125" s="185"/>
      <c r="AP125" s="185"/>
      <c r="AQ125" s="185"/>
      <c r="AR125" s="185"/>
      <c r="AS125" s="185"/>
      <c r="AT125" s="185"/>
      <c r="AU125" s="185"/>
      <c r="AV125" s="185"/>
      <c r="AW125" s="185"/>
    </row>
    <row r="126" spans="1:49" ht="15" customHeight="1">
      <c r="A126" s="21"/>
      <c r="B126" s="21"/>
      <c r="C126" s="21"/>
      <c r="D126" s="185"/>
      <c r="F126" s="185"/>
      <c r="H126" s="185"/>
      <c r="J126" s="185"/>
      <c r="L126" s="185"/>
      <c r="N126" s="185"/>
      <c r="P126" s="185"/>
      <c r="R126" s="185"/>
      <c r="T126" s="185"/>
      <c r="V126" s="185"/>
      <c r="X126" s="185"/>
      <c r="Z126" s="185"/>
      <c r="AA126" s="185"/>
      <c r="AB126" s="716" t="s">
        <v>14</v>
      </c>
      <c r="AC126" s="185"/>
      <c r="AD126" s="185"/>
      <c r="AE126" s="185"/>
      <c r="AF126" s="185"/>
      <c r="AG126" s="185"/>
      <c r="AH126" s="185"/>
      <c r="AI126" s="185"/>
      <c r="AJ126" s="716"/>
      <c r="AK126" s="185"/>
      <c r="AL126" s="488"/>
      <c r="AM126" s="185"/>
      <c r="AN126" s="185"/>
      <c r="AO126" s="185"/>
      <c r="AP126" s="185"/>
      <c r="AQ126" s="185"/>
      <c r="AR126" s="185"/>
      <c r="AS126" s="185"/>
      <c r="AT126" s="185"/>
      <c r="AU126" s="185"/>
      <c r="AV126" s="185"/>
      <c r="AW126" s="185"/>
    </row>
    <row r="127" spans="1:49" ht="15" customHeight="1">
      <c r="B127" s="646" t="s">
        <v>1154</v>
      </c>
      <c r="D127" s="185"/>
      <c r="F127" s="185"/>
      <c r="H127" s="185"/>
      <c r="J127" s="185"/>
      <c r="L127" s="185"/>
      <c r="N127" s="185"/>
      <c r="P127" s="185"/>
      <c r="R127" s="185"/>
      <c r="T127" s="185"/>
      <c r="V127" s="185"/>
      <c r="X127" s="185"/>
      <c r="Z127" s="185"/>
      <c r="AA127" s="185"/>
      <c r="AB127" s="716" t="s">
        <v>14</v>
      </c>
      <c r="AC127" s="185"/>
      <c r="AD127" s="185"/>
      <c r="AE127" s="185"/>
      <c r="AF127" s="185"/>
      <c r="AG127" s="185"/>
      <c r="AH127" s="185"/>
      <c r="AI127" s="185"/>
      <c r="AJ127" s="716"/>
      <c r="AK127" s="185"/>
      <c r="AL127" s="488"/>
      <c r="AM127" s="185"/>
      <c r="AN127" s="185"/>
      <c r="AO127" s="185"/>
      <c r="AP127" s="185"/>
      <c r="AQ127" s="185"/>
      <c r="AR127" s="185"/>
      <c r="AS127" s="185"/>
      <c r="AT127" s="185"/>
      <c r="AU127" s="185"/>
      <c r="AV127" s="185"/>
      <c r="AW127" s="185"/>
    </row>
    <row r="128" spans="1:49" ht="15" customHeight="1">
      <c r="B128" s="141"/>
      <c r="D128" s="185"/>
      <c r="F128" s="185"/>
      <c r="H128" s="185"/>
      <c r="J128" s="185"/>
      <c r="L128" s="185"/>
      <c r="N128" s="185"/>
      <c r="P128" s="185"/>
      <c r="R128" s="185"/>
      <c r="T128" s="185"/>
      <c r="V128" s="185"/>
      <c r="X128" s="185"/>
      <c r="Z128" s="185"/>
      <c r="AA128" s="185"/>
      <c r="AB128" s="185"/>
      <c r="AC128" s="185"/>
      <c r="AD128" s="185"/>
      <c r="AE128" s="185"/>
      <c r="AF128" s="185"/>
      <c r="AG128" s="185"/>
      <c r="AH128" s="185"/>
      <c r="AI128" s="185"/>
      <c r="AJ128" s="716"/>
      <c r="AK128" s="185"/>
      <c r="AL128" s="488"/>
      <c r="AM128" s="185"/>
      <c r="AN128" s="185"/>
      <c r="AO128" s="185"/>
      <c r="AP128" s="185"/>
      <c r="AQ128" s="185"/>
      <c r="AR128" s="185"/>
      <c r="AS128" s="185"/>
      <c r="AT128" s="185"/>
      <c r="AU128" s="185"/>
      <c r="AV128" s="185"/>
      <c r="AW128" s="185"/>
    </row>
    <row r="129" spans="8:38" ht="15" customHeight="1">
      <c r="AJ129" s="646"/>
      <c r="AL129" s="488"/>
    </row>
    <row r="130" spans="8:38" ht="15" customHeight="1">
      <c r="AJ130" s="646"/>
      <c r="AL130" s="488"/>
    </row>
    <row r="131" spans="8:38" ht="15" customHeight="1">
      <c r="AJ131" s="646"/>
      <c r="AL131" s="488"/>
    </row>
    <row r="132" spans="8:38" ht="15" customHeight="1">
      <c r="H132" s="646" t="s">
        <v>14</v>
      </c>
      <c r="AJ132" s="646"/>
      <c r="AL132" s="488"/>
    </row>
    <row r="133" spans="8:38" ht="15" customHeight="1">
      <c r="H133" s="646" t="s">
        <v>14</v>
      </c>
      <c r="AJ133" s="646"/>
      <c r="AL133" s="488"/>
    </row>
    <row r="134" spans="8:38" ht="15" customHeight="1">
      <c r="AJ134" s="646"/>
      <c r="AL134" s="488"/>
    </row>
    <row r="135" spans="8:38" ht="15" customHeight="1">
      <c r="AJ135" s="646"/>
      <c r="AL135" s="488"/>
    </row>
    <row r="136" spans="8:38" ht="15" customHeight="1">
      <c r="AJ136" s="646"/>
      <c r="AL136" s="488"/>
    </row>
    <row r="137" spans="8:38" ht="15" customHeight="1">
      <c r="AJ137" s="646"/>
      <c r="AL137" s="488"/>
    </row>
    <row r="138" spans="8:38" ht="15" customHeight="1">
      <c r="AJ138" s="646"/>
      <c r="AL138" s="488"/>
    </row>
    <row r="139" spans="8:38" ht="15" customHeight="1">
      <c r="AJ139" s="646"/>
      <c r="AL139" s="488"/>
    </row>
    <row r="140" spans="8:38" ht="15" customHeight="1">
      <c r="AJ140" s="646"/>
      <c r="AL140" s="488"/>
    </row>
    <row r="141" spans="8:38" ht="15" customHeight="1">
      <c r="AJ141" s="646"/>
      <c r="AL141" s="488"/>
    </row>
    <row r="142" spans="8:38" ht="15" customHeight="1">
      <c r="AJ142" s="646"/>
      <c r="AL142" s="488"/>
    </row>
    <row r="143" spans="8:38" ht="15" customHeight="1">
      <c r="AJ143" s="646"/>
      <c r="AL143" s="488"/>
    </row>
    <row r="144" spans="8:38" ht="15" customHeight="1">
      <c r="AJ144" s="646"/>
      <c r="AL144" s="488"/>
    </row>
    <row r="145" spans="36:38" ht="15" customHeight="1">
      <c r="AJ145" s="646"/>
      <c r="AL145" s="488"/>
    </row>
    <row r="146" spans="36:38" ht="15" customHeight="1">
      <c r="AJ146" s="646"/>
      <c r="AL146" s="488"/>
    </row>
    <row r="147" spans="36:38" ht="15" customHeight="1">
      <c r="AJ147" s="646"/>
      <c r="AL147" s="488"/>
    </row>
    <row r="148" spans="36:38" ht="15" customHeight="1">
      <c r="AJ148" s="646"/>
      <c r="AL148" s="488"/>
    </row>
    <row r="149" spans="36:38" ht="15" customHeight="1">
      <c r="AJ149" s="646"/>
      <c r="AL149" s="488"/>
    </row>
    <row r="150" spans="36:38" ht="15" customHeight="1">
      <c r="AJ150" s="646"/>
      <c r="AL150" s="488"/>
    </row>
    <row r="151" spans="36:38" ht="15" customHeight="1">
      <c r="AJ151" s="646"/>
      <c r="AL151" s="488"/>
    </row>
    <row r="152" spans="36:38" ht="15" customHeight="1">
      <c r="AJ152" s="646"/>
      <c r="AL152" s="488"/>
    </row>
    <row r="153" spans="36:38" ht="15" customHeight="1">
      <c r="AJ153" s="646"/>
      <c r="AL153" s="488"/>
    </row>
    <row r="154" spans="36:38" ht="15" customHeight="1">
      <c r="AJ154" s="646"/>
      <c r="AL154" s="488"/>
    </row>
    <row r="155" spans="36:38" ht="15" customHeight="1">
      <c r="AJ155" s="646"/>
      <c r="AL155" s="488"/>
    </row>
    <row r="156" spans="36:38" ht="15" customHeight="1">
      <c r="AJ156" s="646"/>
      <c r="AL156" s="488"/>
    </row>
    <row r="157" spans="36:38" ht="15" customHeight="1">
      <c r="AJ157" s="646"/>
      <c r="AL157" s="488"/>
    </row>
    <row r="158" spans="36:38" ht="15" customHeight="1">
      <c r="AJ158" s="646"/>
      <c r="AL158" s="488"/>
    </row>
    <row r="159" spans="36:38" ht="15" customHeight="1">
      <c r="AJ159" s="646"/>
      <c r="AL159" s="488"/>
    </row>
    <row r="160" spans="36:38" ht="15" customHeight="1">
      <c r="AJ160" s="646"/>
      <c r="AL160" s="488"/>
    </row>
    <row r="161" spans="36:38" ht="15" customHeight="1">
      <c r="AJ161" s="646"/>
      <c r="AL161" s="488"/>
    </row>
    <row r="162" spans="36:38" ht="15" customHeight="1">
      <c r="AJ162" s="646"/>
      <c r="AL162" s="488"/>
    </row>
    <row r="163" spans="36:38" ht="15" customHeight="1">
      <c r="AJ163" s="646"/>
      <c r="AL163" s="488"/>
    </row>
    <row r="164" spans="36:38" ht="15" customHeight="1">
      <c r="AJ164" s="646"/>
      <c r="AL164" s="488"/>
    </row>
    <row r="165" spans="36:38" ht="15" customHeight="1">
      <c r="AJ165" s="646"/>
      <c r="AL165" s="488"/>
    </row>
    <row r="166" spans="36:38" ht="15" customHeight="1">
      <c r="AJ166" s="646"/>
      <c r="AL166" s="488"/>
    </row>
    <row r="167" spans="36:38" ht="15" customHeight="1">
      <c r="AJ167" s="646"/>
      <c r="AL167" s="488"/>
    </row>
    <row r="168" spans="36:38" ht="15" customHeight="1">
      <c r="AJ168" s="646"/>
      <c r="AL168" s="488"/>
    </row>
    <row r="169" spans="36:38" ht="15" customHeight="1">
      <c r="AJ169" s="646"/>
      <c r="AL169" s="488"/>
    </row>
    <row r="170" spans="36:38" ht="15" customHeight="1">
      <c r="AJ170" s="646"/>
      <c r="AL170" s="488"/>
    </row>
    <row r="171" spans="36:38" ht="15" customHeight="1"/>
    <row r="172" spans="36:38" ht="15" customHeight="1"/>
    <row r="173" spans="36:38" ht="15" customHeight="1"/>
    <row r="174" spans="36:38" ht="15" customHeight="1"/>
    <row r="175" spans="36:38" ht="15" customHeight="1"/>
    <row r="176" spans="36:38" ht="15" customHeight="1"/>
  </sheetData>
  <mergeCells count="1">
    <mergeCell ref="AC9:AL9"/>
  </mergeCells>
  <printOptions horizontalCentered="1"/>
  <pageMargins left="0.25" right="0.25" top="0.5" bottom="0.25" header="0" footer="0.25"/>
  <pageSetup scale="36" firstPageNumber="23" orientation="landscape" useFirstPageNumber="1" r:id="rId1"/>
  <headerFooter scaleWithDoc="0" alignWithMargins="0">
    <oddFooter>&amp;C&amp;8&amp;P</oddFooter>
  </headerFooter>
  <rowBreaks count="1" manualBreakCount="1">
    <brk id="87" min="1" max="37" man="1"/>
  </rowBreaks>
  <ignoredErrors>
    <ignoredError sqref="AL110:AL111 AL119:AL121 AL123 AL125 AL50:AL51 AL26 AL78:AL85 AL87:AL90 AL101:AL104 AL113:AL115 AL19:AL20 AL108 AL29:AL33 AL117 AL63 AL92:AL93 AL35:AL46 AL22 AL53:AL56 AL66:AL69 AL61 AL95:AL97 AL48 AL24" unlockedFormula="1"/>
    <ignoredError sqref="AL76:AL77 AL73 AL75 AL58" formula="1" unlockedFormula="1"/>
    <ignoredError sqref="AJ23:AL23 AL52 AL91 AL71:AL72 AL74 AL65 AL2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workbookViewId="0"/>
  </sheetViews>
  <sheetFormatPr defaultColWidth="8.84375" defaultRowHeight="10"/>
  <cols>
    <col min="1" max="1" width="35.07421875" style="1362" customWidth="1"/>
    <col min="2" max="2" width="9.07421875" style="1362" customWidth="1"/>
    <col min="3" max="3" width="5.53515625" style="1362" customWidth="1"/>
    <col min="4" max="4" width="12.84375" style="1363" bestFit="1" customWidth="1"/>
    <col min="5" max="5" width="1.84375" style="1362" customWidth="1"/>
    <col min="6" max="6" width="13.4609375" style="1362" customWidth="1"/>
    <col min="7" max="7" width="2.07421875" style="1362" customWidth="1"/>
    <col min="8" max="8" width="12.84375" style="1363" bestFit="1" customWidth="1"/>
    <col min="9" max="9" width="1.84375" style="1362" customWidth="1"/>
    <col min="10" max="10" width="13.84375" style="1362" customWidth="1"/>
    <col min="11" max="11" width="1.84375" style="1362" customWidth="1"/>
    <col min="12" max="12" width="11.84375" style="1363" customWidth="1"/>
    <col min="13" max="13" width="2" style="1362" customWidth="1"/>
    <col min="14" max="14" width="13.84375" style="1362" customWidth="1"/>
    <col min="15" max="15" width="1.84375" style="1362" customWidth="1"/>
    <col min="16" max="16" width="13" style="1362" customWidth="1"/>
    <col min="17" max="17" width="1.84375" style="1362" customWidth="1"/>
    <col min="18" max="18" width="13.07421875" style="1362" customWidth="1"/>
    <col min="19" max="21" width="1.07421875" style="1362" customWidth="1"/>
    <col min="22" max="22" width="12.84375" style="1363" bestFit="1" customWidth="1"/>
    <col min="23" max="23" width="1.84375" style="1362" customWidth="1"/>
    <col min="24" max="24" width="13.84375" style="1362" customWidth="1"/>
    <col min="25" max="27" width="1.07421875" style="1362" customWidth="1"/>
    <col min="28" max="28" width="12.07421875" style="1363" customWidth="1"/>
    <col min="29" max="29" width="1.84375" style="1362" customWidth="1"/>
    <col min="30" max="30" width="13.84375" style="1362" customWidth="1"/>
    <col min="31" max="32" width="1" style="1362" customWidth="1"/>
    <col min="33" max="33" width="13.07421875" style="1362" bestFit="1" customWidth="1"/>
    <col min="34" max="34" width="1.84375" style="1362" customWidth="1"/>
    <col min="35" max="35" width="12.84375" style="1364" customWidth="1"/>
    <col min="36" max="36" width="19.07421875" style="1362" customWidth="1"/>
    <col min="37" max="16384" width="8.84375" style="1362"/>
  </cols>
  <sheetData>
    <row r="1" spans="1:38" ht="15.5">
      <c r="A1" s="489" t="s">
        <v>868</v>
      </c>
    </row>
    <row r="2" spans="1:38" ht="15.5">
      <c r="A2" s="489"/>
    </row>
    <row r="3" spans="1:38" ht="20">
      <c r="A3" s="1365" t="s">
        <v>0</v>
      </c>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c r="AB3" s="1366"/>
      <c r="AC3" s="1366"/>
      <c r="AD3" s="1366"/>
      <c r="AE3" s="1366"/>
      <c r="AF3" s="1366"/>
      <c r="AG3" s="1366"/>
      <c r="AH3" s="1366"/>
      <c r="AI3" s="1367" t="s">
        <v>1434</v>
      </c>
      <c r="AJ3" s="958"/>
    </row>
    <row r="4" spans="1:38" ht="20.25" customHeight="1">
      <c r="A4" s="2294" t="s">
        <v>1</v>
      </c>
      <c r="B4" s="2295"/>
      <c r="C4" s="2295"/>
      <c r="D4" s="2295"/>
      <c r="E4" s="2295"/>
      <c r="F4" s="2295"/>
      <c r="G4" s="2295"/>
      <c r="H4" s="2295"/>
      <c r="I4" s="2295"/>
      <c r="J4" s="2295"/>
      <c r="K4" s="2295"/>
      <c r="L4" s="2295"/>
      <c r="M4" s="2295"/>
      <c r="N4" s="2295"/>
      <c r="O4" s="2295"/>
      <c r="P4" s="2295"/>
      <c r="Q4" s="2295"/>
      <c r="R4" s="2295"/>
      <c r="S4" s="2295"/>
      <c r="T4" s="2295"/>
      <c r="U4" s="2295"/>
      <c r="V4" s="2295"/>
      <c r="W4" s="2295"/>
      <c r="X4" s="2295"/>
      <c r="Y4" s="2295"/>
      <c r="Z4" s="2295"/>
      <c r="AA4" s="2295"/>
      <c r="AB4" s="2295"/>
      <c r="AC4" s="2295"/>
      <c r="AD4" s="2295"/>
      <c r="AE4" s="2295"/>
      <c r="AF4" s="2295"/>
      <c r="AG4" s="2295"/>
      <c r="AH4" s="2295"/>
      <c r="AI4" s="2295"/>
      <c r="AJ4" s="958"/>
    </row>
    <row r="5" spans="1:38" ht="20">
      <c r="A5" s="2294" t="s">
        <v>782</v>
      </c>
      <c r="B5" s="2296"/>
      <c r="C5" s="2296"/>
      <c r="D5" s="2296"/>
      <c r="E5" s="2296"/>
      <c r="F5" s="2296"/>
      <c r="G5" s="2296"/>
      <c r="H5" s="2296"/>
      <c r="I5" s="2296"/>
      <c r="J5" s="2296"/>
      <c r="K5" s="2296"/>
      <c r="L5" s="2296"/>
      <c r="M5" s="2296"/>
      <c r="N5" s="2296"/>
      <c r="O5" s="2296"/>
      <c r="P5" s="2296"/>
      <c r="Q5" s="2296"/>
      <c r="R5" s="2296"/>
      <c r="S5" s="2296"/>
      <c r="T5" s="2296"/>
      <c r="U5" s="2296"/>
      <c r="V5" s="2296"/>
      <c r="W5" s="2296"/>
      <c r="X5" s="2296"/>
      <c r="Y5" s="2296"/>
      <c r="Z5" s="2296"/>
      <c r="AA5" s="2296"/>
      <c r="AB5" s="2296"/>
      <c r="AC5" s="2296"/>
      <c r="AD5" s="2296"/>
      <c r="AE5" s="2295"/>
      <c r="AF5" s="2295"/>
      <c r="AG5" s="2295"/>
      <c r="AH5" s="2295"/>
      <c r="AI5" s="2295"/>
      <c r="AJ5" s="958"/>
    </row>
    <row r="6" spans="1:38" ht="21" customHeight="1">
      <c r="A6" s="2294" t="s">
        <v>1247</v>
      </c>
      <c r="B6" s="2295"/>
      <c r="C6" s="2295"/>
      <c r="D6" s="2295"/>
      <c r="E6" s="2295"/>
      <c r="F6" s="2295"/>
      <c r="G6" s="2295"/>
      <c r="H6" s="2295"/>
      <c r="I6" s="2295"/>
      <c r="J6" s="2295"/>
      <c r="K6" s="2295"/>
      <c r="L6" s="2295"/>
      <c r="M6" s="2295"/>
      <c r="N6" s="2295"/>
      <c r="O6" s="2295"/>
      <c r="P6" s="2295"/>
      <c r="Q6" s="2295"/>
      <c r="R6" s="2295"/>
      <c r="S6" s="2295"/>
      <c r="T6" s="2295"/>
      <c r="U6" s="2295"/>
      <c r="V6" s="2295"/>
      <c r="W6" s="2295"/>
      <c r="X6" s="2295"/>
      <c r="Y6" s="2295"/>
      <c r="Z6" s="2295"/>
      <c r="AA6" s="2295"/>
      <c r="AB6" s="2295"/>
      <c r="AC6" s="2295"/>
      <c r="AD6" s="2295"/>
      <c r="AE6" s="2295"/>
      <c r="AF6" s="2295"/>
      <c r="AG6" s="2295"/>
      <c r="AH6" s="2295"/>
      <c r="AI6" s="2295"/>
      <c r="AJ6" s="958"/>
    </row>
    <row r="7" spans="1:38" ht="15.5">
      <c r="A7" s="1"/>
      <c r="B7" s="1"/>
      <c r="C7" s="1"/>
      <c r="D7" s="1860"/>
      <c r="E7" s="1"/>
      <c r="F7" s="1"/>
      <c r="G7" s="1"/>
      <c r="H7" s="1368"/>
      <c r="I7" s="2"/>
      <c r="J7" s="2"/>
      <c r="K7" s="2"/>
      <c r="L7" s="1368"/>
      <c r="M7" s="1"/>
      <c r="N7" s="2"/>
      <c r="O7" s="2"/>
      <c r="P7" s="2"/>
      <c r="Q7" s="2"/>
      <c r="R7" s="2"/>
      <c r="S7" s="1"/>
      <c r="T7" s="1"/>
      <c r="U7" s="1"/>
      <c r="V7" s="1860"/>
      <c r="W7" s="1"/>
      <c r="X7" s="1" t="s">
        <v>14</v>
      </c>
      <c r="Y7" s="1"/>
      <c r="Z7" s="1"/>
      <c r="AA7" s="1"/>
      <c r="AB7" s="1860"/>
      <c r="AC7" s="1"/>
      <c r="AD7" s="1369"/>
      <c r="AE7" s="1369"/>
      <c r="AF7" s="1369"/>
      <c r="AG7" s="1369"/>
      <c r="AJ7" s="958"/>
      <c r="AK7" s="958"/>
      <c r="AL7" s="958"/>
    </row>
    <row r="8" spans="1:38" ht="16.399999999999999" customHeight="1">
      <c r="A8" s="2"/>
      <c r="B8" s="1"/>
      <c r="C8" s="1"/>
      <c r="D8" s="1368"/>
      <c r="E8" s="1"/>
      <c r="F8" s="1"/>
      <c r="G8" s="1"/>
      <c r="H8" s="1368"/>
      <c r="I8" s="2"/>
      <c r="J8" s="2"/>
      <c r="K8" s="2"/>
      <c r="L8" s="1368"/>
      <c r="M8" s="1"/>
      <c r="N8" s="2"/>
      <c r="O8" s="2"/>
      <c r="P8" s="2"/>
      <c r="Q8" s="2"/>
      <c r="R8" s="2"/>
      <c r="S8" s="1"/>
      <c r="T8" s="1"/>
      <c r="U8" s="1"/>
      <c r="V8" s="1860"/>
      <c r="W8" s="1"/>
      <c r="X8" s="1" t="s">
        <v>14</v>
      </c>
      <c r="Y8" s="1"/>
      <c r="Z8" s="1"/>
      <c r="AA8" s="1"/>
      <c r="AB8" s="1860"/>
      <c r="AC8" s="1"/>
      <c r="AD8" s="1370"/>
      <c r="AE8" s="1370"/>
      <c r="AF8" s="5"/>
      <c r="AG8" s="5"/>
      <c r="AI8" s="958"/>
      <c r="AJ8" s="958"/>
      <c r="AK8" s="958"/>
      <c r="AL8" s="958"/>
    </row>
    <row r="9" spans="1:38" ht="16.399999999999999" customHeight="1">
      <c r="A9" s="1"/>
      <c r="B9" s="1"/>
      <c r="C9" s="1"/>
      <c r="D9" s="1"/>
      <c r="E9" s="1"/>
      <c r="F9" s="1"/>
      <c r="G9" s="1"/>
      <c r="H9" s="2"/>
      <c r="I9" s="2"/>
      <c r="J9" s="2"/>
      <c r="K9" s="2"/>
      <c r="L9" s="2"/>
      <c r="M9" s="1"/>
      <c r="N9" s="2"/>
      <c r="O9" s="2"/>
      <c r="P9" s="2"/>
      <c r="Q9" s="2"/>
      <c r="R9" s="2"/>
      <c r="S9" s="1"/>
      <c r="T9" s="1"/>
      <c r="U9" s="1"/>
      <c r="V9" s="1"/>
      <c r="W9" s="1"/>
      <c r="X9" s="1"/>
      <c r="Y9" s="1"/>
      <c r="Z9" s="1"/>
      <c r="AA9" s="1"/>
      <c r="AB9" s="1"/>
      <c r="AC9" s="1"/>
      <c r="AD9" s="1371"/>
      <c r="AE9" s="1371"/>
      <c r="AF9" s="1371"/>
      <c r="AG9" s="1371"/>
      <c r="AI9" s="489"/>
      <c r="AJ9" s="958"/>
      <c r="AK9" s="958"/>
      <c r="AL9" s="958"/>
    </row>
    <row r="10" spans="1:38" ht="16.399999999999999" customHeight="1">
      <c r="A10" s="7"/>
      <c r="B10" s="7"/>
      <c r="C10" s="7"/>
      <c r="D10" s="3" t="s">
        <v>2</v>
      </c>
      <c r="E10" s="3"/>
      <c r="F10" s="3"/>
      <c r="G10" s="1371"/>
      <c r="H10" s="3" t="s">
        <v>3</v>
      </c>
      <c r="I10" s="3"/>
      <c r="J10" s="3"/>
      <c r="K10" s="1371"/>
      <c r="L10" s="3" t="s">
        <v>4</v>
      </c>
      <c r="M10" s="3"/>
      <c r="N10" s="3"/>
      <c r="O10" s="1371"/>
      <c r="P10" s="3" t="s">
        <v>5</v>
      </c>
      <c r="Q10" s="3"/>
      <c r="R10" s="3"/>
      <c r="S10" s="1371"/>
      <c r="T10" s="1371"/>
      <c r="U10" s="1371"/>
      <c r="V10" s="2297" t="s">
        <v>1347</v>
      </c>
      <c r="W10" s="2298"/>
      <c r="X10" s="2298"/>
      <c r="Y10" s="2298"/>
      <c r="Z10" s="2298"/>
      <c r="AA10" s="2298"/>
      <c r="AB10" s="2298"/>
      <c r="AC10" s="2298"/>
      <c r="AD10" s="2298"/>
      <c r="AE10" s="2298"/>
      <c r="AF10" s="2298"/>
      <c r="AG10" s="2298"/>
      <c r="AH10" s="2298"/>
      <c r="AI10" s="2298"/>
      <c r="AJ10" s="958"/>
      <c r="AK10" s="958"/>
      <c r="AL10" s="958"/>
    </row>
    <row r="11" spans="1:38" ht="16.399999999999999" customHeight="1">
      <c r="A11" s="7"/>
      <c r="B11" s="7"/>
      <c r="C11" s="7"/>
      <c r="D11" s="5" t="s">
        <v>6</v>
      </c>
      <c r="E11" s="5"/>
      <c r="F11" s="4" t="s">
        <v>1553</v>
      </c>
      <c r="G11" s="5"/>
      <c r="H11" s="5" t="s">
        <v>6</v>
      </c>
      <c r="I11" s="5"/>
      <c r="J11" s="5" t="str">
        <f>F11</f>
        <v>12 MOS. ENDED</v>
      </c>
      <c r="K11" s="5"/>
      <c r="L11" s="5" t="s">
        <v>6</v>
      </c>
      <c r="M11" s="5"/>
      <c r="N11" s="5" t="str">
        <f>F11</f>
        <v>12 MOS. ENDED</v>
      </c>
      <c r="O11" s="5"/>
      <c r="P11" s="5" t="s">
        <v>6</v>
      </c>
      <c r="Q11" s="5"/>
      <c r="R11" s="5" t="str">
        <f>J11</f>
        <v>12 MOS. ENDED</v>
      </c>
      <c r="S11" s="5"/>
      <c r="T11" s="5"/>
      <c r="U11" s="1372"/>
      <c r="V11" s="5" t="s">
        <v>6</v>
      </c>
      <c r="W11" s="5"/>
      <c r="X11" s="5" t="str">
        <f>F11</f>
        <v>12 MOS. ENDED</v>
      </c>
      <c r="Y11" s="5"/>
      <c r="Z11" s="5"/>
      <c r="AA11" s="5"/>
      <c r="AB11" s="5" t="s">
        <v>6</v>
      </c>
      <c r="AC11" s="5"/>
      <c r="AD11" s="5" t="str">
        <f>F11</f>
        <v>12 MOS. ENDED</v>
      </c>
      <c r="AE11" s="5"/>
      <c r="AF11" s="5"/>
      <c r="AG11" s="5" t="s">
        <v>7</v>
      </c>
      <c r="AH11" s="489"/>
      <c r="AI11" s="5" t="s">
        <v>8</v>
      </c>
      <c r="AJ11" s="958"/>
      <c r="AK11" s="958"/>
      <c r="AL11" s="958"/>
    </row>
    <row r="12" spans="1:38" ht="16.399999999999999" customHeight="1">
      <c r="A12" s="7"/>
      <c r="B12" s="7"/>
      <c r="C12" s="7"/>
      <c r="D12" s="657" t="s">
        <v>1551</v>
      </c>
      <c r="E12" s="5"/>
      <c r="F12" s="657" t="s">
        <v>1552</v>
      </c>
      <c r="G12" s="5"/>
      <c r="H12" s="6" t="str">
        <f>D12</f>
        <v>MAR. 2023</v>
      </c>
      <c r="I12" s="5"/>
      <c r="J12" s="6" t="str">
        <f>F12</f>
        <v>MAR. 31, 2023</v>
      </c>
      <c r="K12" s="5"/>
      <c r="L12" s="6" t="str">
        <f>D12</f>
        <v>MAR. 2023</v>
      </c>
      <c r="M12" s="5"/>
      <c r="N12" s="6" t="str">
        <f>F12</f>
        <v>MAR. 31, 2023</v>
      </c>
      <c r="O12" s="5"/>
      <c r="P12" s="6" t="str">
        <f>D12</f>
        <v>MAR. 2023</v>
      </c>
      <c r="Q12" s="5"/>
      <c r="R12" s="6" t="str">
        <f>J12</f>
        <v>MAR. 31, 2023</v>
      </c>
      <c r="S12" s="5"/>
      <c r="T12" s="5"/>
      <c r="U12" s="1372"/>
      <c r="V12" s="6" t="str">
        <f>D12</f>
        <v>MAR. 2023</v>
      </c>
      <c r="W12" s="5"/>
      <c r="X12" s="6" t="str">
        <f>F12</f>
        <v>MAR. 31, 2023</v>
      </c>
      <c r="Y12" s="5"/>
      <c r="Z12" s="5"/>
      <c r="AA12" s="5"/>
      <c r="AB12" s="657" t="s">
        <v>1554</v>
      </c>
      <c r="AC12" s="5"/>
      <c r="AD12" s="657" t="s">
        <v>1555</v>
      </c>
      <c r="AE12" s="4"/>
      <c r="AF12" s="4"/>
      <c r="AG12" s="6" t="s">
        <v>11</v>
      </c>
      <c r="AH12" s="489"/>
      <c r="AI12" s="657" t="s">
        <v>12</v>
      </c>
      <c r="AJ12" s="958"/>
      <c r="AK12" s="958"/>
      <c r="AL12" s="958"/>
    </row>
    <row r="13" spans="1:38" ht="16.399999999999999" customHeight="1">
      <c r="A13" s="1371" t="s">
        <v>13</v>
      </c>
      <c r="B13" s="7"/>
      <c r="C13" s="7"/>
      <c r="D13" s="1861" t="s">
        <v>14</v>
      </c>
      <c r="E13" s="7"/>
      <c r="F13" s="7"/>
      <c r="G13" s="7"/>
      <c r="H13" s="1861" t="s">
        <v>14</v>
      </c>
      <c r="I13" s="7"/>
      <c r="J13" s="7"/>
      <c r="K13" s="7"/>
      <c r="L13" s="1861" t="s">
        <v>14</v>
      </c>
      <c r="M13" s="7"/>
      <c r="N13" s="7"/>
      <c r="O13" s="7"/>
      <c r="P13" s="450" t="s">
        <v>14</v>
      </c>
      <c r="Q13" s="450"/>
      <c r="R13" s="450"/>
      <c r="S13" s="2211"/>
      <c r="T13" s="2211"/>
      <c r="U13" s="7"/>
      <c r="V13" s="1861"/>
      <c r="W13" s="7"/>
      <c r="X13" s="7"/>
      <c r="Y13" s="2211"/>
      <c r="Z13" s="1421"/>
      <c r="AA13" s="7"/>
      <c r="AB13" s="1861"/>
      <c r="AC13" s="7"/>
      <c r="AD13" s="7"/>
      <c r="AE13" s="7"/>
      <c r="AF13" s="2212"/>
      <c r="AG13" s="7"/>
      <c r="AI13" s="958"/>
      <c r="AJ13" s="958"/>
      <c r="AK13" s="958"/>
      <c r="AL13" s="958"/>
    </row>
    <row r="14" spans="1:38" ht="18" customHeight="1">
      <c r="A14" s="450" t="s">
        <v>1432</v>
      </c>
      <c r="B14" s="1378" t="s">
        <v>1526</v>
      </c>
      <c r="C14" s="7"/>
      <c r="D14" s="918">
        <f>+'Exhibit F'!Z26</f>
        <v>2067.1999999999998</v>
      </c>
      <c r="E14" s="1138" t="s">
        <v>14</v>
      </c>
      <c r="F14" s="478">
        <f>+'Exhibit F'!AC26</f>
        <v>27606.6</v>
      </c>
      <c r="G14" s="1138"/>
      <c r="H14" s="918">
        <f>'Exhibit G'!Z17</f>
        <v>51.600000000000136</v>
      </c>
      <c r="I14" s="2213"/>
      <c r="J14" s="478">
        <f>'Exhibit G'!AD17</f>
        <v>1781.2</v>
      </c>
      <c r="K14" s="1138"/>
      <c r="L14" s="2157">
        <f>+'Exhibit H'!X16</f>
        <v>2118.7999999999993</v>
      </c>
      <c r="M14" s="478"/>
      <c r="N14" s="478">
        <f>+'Exhibit H'!AA16</f>
        <v>29387.8</v>
      </c>
      <c r="O14" s="478"/>
      <c r="P14" s="1132">
        <v>0</v>
      </c>
      <c r="Q14" s="918"/>
      <c r="R14" s="1132">
        <v>0</v>
      </c>
      <c r="S14" s="2214"/>
      <c r="T14" s="2214"/>
      <c r="U14" s="478"/>
      <c r="V14" s="918">
        <f>ROUND(SUM(D14)+SUM(H14)+SUM(L14)+SUM(P14),1)</f>
        <v>4237.6000000000004</v>
      </c>
      <c r="W14" s="478" t="s">
        <v>14</v>
      </c>
      <c r="X14" s="478">
        <f>ROUND(SUM(F14)+SUM(J14)+SUM(N14)+SUM(R14),1)</f>
        <v>58775.6</v>
      </c>
      <c r="Y14" s="2127"/>
      <c r="Z14" s="2215"/>
      <c r="AA14" s="1138"/>
      <c r="AB14" s="479">
        <v>5172.7</v>
      </c>
      <c r="AC14" s="1138"/>
      <c r="AD14" s="1138">
        <f>'Exhibit F'!AF26+'Exhibit G'!AG17+'Exhibit H'!AD16</f>
        <v>70737.299999999988</v>
      </c>
      <c r="AE14" s="1138"/>
      <c r="AF14" s="2216"/>
      <c r="AG14" s="1138">
        <f t="shared" ref="AG14:AG19" si="0">ROUND(SUM(X14-AD14),1)</f>
        <v>-11961.7</v>
      </c>
      <c r="AH14" s="1373"/>
      <c r="AI14" s="955">
        <f t="shared" ref="AI14:AI19" si="1">ROUND(SUM((+X14-AD14)/ABS(AD14)),3)</f>
        <v>-0.16900000000000001</v>
      </c>
      <c r="AJ14" s="2125"/>
      <c r="AK14" s="958"/>
      <c r="AL14" s="958"/>
    </row>
    <row r="15" spans="1:38" ht="18" customHeight="1">
      <c r="A15" s="7" t="s">
        <v>16</v>
      </c>
      <c r="B15" s="2217" t="s">
        <v>14</v>
      </c>
      <c r="C15" s="7"/>
      <c r="D15" s="448">
        <f>+'Exhibit F'!Z37</f>
        <v>832.9</v>
      </c>
      <c r="E15" s="9"/>
      <c r="F15" s="9">
        <f>+'Exhibit F'!AC37</f>
        <v>7239.5</v>
      </c>
      <c r="G15" s="9"/>
      <c r="H15" s="448">
        <f>'Exhibit G'!Z29</f>
        <v>98.3</v>
      </c>
      <c r="I15" s="9"/>
      <c r="J15" s="9">
        <f>+'Exhibit G'!AD29</f>
        <v>1915.5</v>
      </c>
      <c r="K15" s="9"/>
      <c r="L15" s="954">
        <f>'Exhibit H'!X20</f>
        <v>806.1</v>
      </c>
      <c r="M15" s="9"/>
      <c r="N15" s="9">
        <f>+'Exhibit H'!AA20</f>
        <v>11053.4</v>
      </c>
      <c r="O15" s="9"/>
      <c r="P15" s="954">
        <f>'Exhibit I'!AA23</f>
        <v>48.8</v>
      </c>
      <c r="Q15" s="448"/>
      <c r="R15" s="954">
        <f>+'Exhibit I'!AF23</f>
        <v>376.8</v>
      </c>
      <c r="S15" s="1385"/>
      <c r="T15" s="1385"/>
      <c r="U15" s="9"/>
      <c r="V15" s="448">
        <f>ROUND(SUM(D15)+SUM(H15)+SUM(L15)+SUM(P15),1)</f>
        <v>1786.1</v>
      </c>
      <c r="W15" s="9" t="s">
        <v>14</v>
      </c>
      <c r="X15" s="9">
        <f t="shared" ref="X15:X19" si="2">ROUND(SUM(F15)+SUM(J15)+SUM(N15)+SUM(R15),1)</f>
        <v>20585.2</v>
      </c>
      <c r="Y15" s="1385"/>
      <c r="Z15" s="1386"/>
      <c r="AA15" s="9"/>
      <c r="AB15" s="467">
        <v>1793.5</v>
      </c>
      <c r="AC15" s="9"/>
      <c r="AD15" s="7">
        <f>'Exhibit F'!AF37+'Exhibit G'!AG29+'Exhibit H'!AD20+'Exhibit I'!AI23</f>
        <v>19621.3</v>
      </c>
      <c r="AE15" s="9"/>
      <c r="AF15" s="1746"/>
      <c r="AG15" s="9">
        <f t="shared" si="0"/>
        <v>963.9</v>
      </c>
      <c r="AI15" s="955">
        <f t="shared" si="1"/>
        <v>4.9000000000000002E-2</v>
      </c>
      <c r="AJ15" s="2125"/>
      <c r="AK15" s="958"/>
      <c r="AL15" s="958"/>
    </row>
    <row r="16" spans="1:38" ht="18" customHeight="1">
      <c r="A16" s="7" t="s">
        <v>17</v>
      </c>
      <c r="B16" s="1376"/>
      <c r="C16" s="7"/>
      <c r="D16" s="448">
        <f>+'Exhibit F'!Z45</f>
        <v>5065</v>
      </c>
      <c r="E16" s="9"/>
      <c r="F16" s="9">
        <f>+'Exhibit F'!AC45</f>
        <v>17855.8</v>
      </c>
      <c r="G16" s="9"/>
      <c r="H16" s="448">
        <f>'Exhibit G'!Z36</f>
        <v>526.20000000000005</v>
      </c>
      <c r="I16" s="9"/>
      <c r="J16" s="9">
        <f>'Exhibit G'!AD36</f>
        <v>2663.8</v>
      </c>
      <c r="K16" s="9"/>
      <c r="L16" s="954">
        <f>'Exhibit H'!X23</f>
        <v>2272.9</v>
      </c>
      <c r="M16" s="9"/>
      <c r="N16" s="9">
        <f>+'Exhibit H'!AA23</f>
        <v>7472.2</v>
      </c>
      <c r="O16" s="9"/>
      <c r="P16" s="954">
        <f>'Exhibit I'!AA28</f>
        <v>52.2</v>
      </c>
      <c r="Q16" s="448"/>
      <c r="R16" s="954">
        <f>'Exhibit I'!AF28</f>
        <v>624.6</v>
      </c>
      <c r="S16" s="1385"/>
      <c r="T16" s="1385"/>
      <c r="U16" s="9"/>
      <c r="V16" s="448">
        <f t="shared" ref="V16:V19" si="3">ROUND(SUM(D16)+SUM(H16)+SUM(L16)+SUM(P16),1)</f>
        <v>7916.3</v>
      </c>
      <c r="W16" s="9" t="s">
        <v>14</v>
      </c>
      <c r="X16" s="9">
        <f t="shared" si="2"/>
        <v>28616.400000000001</v>
      </c>
      <c r="Y16" s="1385"/>
      <c r="Z16" s="1386"/>
      <c r="AA16" s="9"/>
      <c r="AB16" s="467">
        <v>7882.9000000000005</v>
      </c>
      <c r="AC16" s="9"/>
      <c r="AD16" s="7">
        <f>'Exhibit F'!AF45+'Exhibit G'!AG36+'Exhibit I'!AI28+'Exhibit H'!AD22</f>
        <v>27724.6</v>
      </c>
      <c r="AE16" s="9"/>
      <c r="AF16" s="1746"/>
      <c r="AG16" s="9">
        <f t="shared" si="0"/>
        <v>891.8</v>
      </c>
      <c r="AI16" s="955">
        <f t="shared" si="1"/>
        <v>3.2000000000000001E-2</v>
      </c>
      <c r="AJ16" s="1374"/>
      <c r="AK16" s="958"/>
      <c r="AL16" s="958"/>
    </row>
    <row r="17" spans="1:38" ht="18" customHeight="1">
      <c r="A17" s="7" t="s">
        <v>18</v>
      </c>
      <c r="B17" s="2217" t="s">
        <v>14</v>
      </c>
      <c r="C17" s="7"/>
      <c r="D17" s="448">
        <f>+'Exhibit F'!Z53</f>
        <v>162.1</v>
      </c>
      <c r="E17" s="9"/>
      <c r="F17" s="9">
        <f>+'Exhibit F'!AC53</f>
        <v>2203.6</v>
      </c>
      <c r="G17" s="9"/>
      <c r="H17" s="448">
        <v>0</v>
      </c>
      <c r="I17" s="9"/>
      <c r="J17" s="9">
        <v>0</v>
      </c>
      <c r="K17" s="9"/>
      <c r="L17" s="954">
        <f>'Exhibit H'!X27</f>
        <v>41.8</v>
      </c>
      <c r="M17" s="9"/>
      <c r="N17" s="9">
        <f>+'Exhibit H'!AA27</f>
        <v>1217.9999999999998</v>
      </c>
      <c r="O17" s="9"/>
      <c r="P17" s="954">
        <f>'Exhibit I'!AA31</f>
        <v>25.7</v>
      </c>
      <c r="Q17" s="448"/>
      <c r="R17" s="954">
        <f>'Exhibit I'!AF31</f>
        <v>257.3</v>
      </c>
      <c r="S17" s="1385"/>
      <c r="T17" s="1385"/>
      <c r="U17" s="9"/>
      <c r="V17" s="448">
        <f t="shared" si="3"/>
        <v>229.6</v>
      </c>
      <c r="W17" s="9" t="s">
        <v>14</v>
      </c>
      <c r="X17" s="9">
        <f t="shared" si="2"/>
        <v>3678.9</v>
      </c>
      <c r="Y17" s="1385"/>
      <c r="Z17" s="1386"/>
      <c r="AA17" s="9"/>
      <c r="AB17" s="467">
        <v>203.4</v>
      </c>
      <c r="AC17" s="9"/>
      <c r="AD17" s="9">
        <f>'Exhibit F'!AF53+'Exhibit H'!AD27+'Exhibit I'!AI31</f>
        <v>3052.8</v>
      </c>
      <c r="AE17" s="9"/>
      <c r="AF17" s="1746"/>
      <c r="AG17" s="9">
        <f t="shared" si="0"/>
        <v>626.1</v>
      </c>
      <c r="AI17" s="955">
        <f t="shared" si="1"/>
        <v>0.20499999999999999</v>
      </c>
      <c r="AJ17" s="2125" t="s">
        <v>14</v>
      </c>
      <c r="AK17" s="958"/>
      <c r="AL17" s="958"/>
    </row>
    <row r="18" spans="1:38" ht="18" customHeight="1">
      <c r="A18" s="7" t="s">
        <v>19</v>
      </c>
      <c r="B18" s="2217" t="s">
        <v>14</v>
      </c>
      <c r="C18" s="7"/>
      <c r="D18" s="448">
        <f>+'Exhibit F'!Z96</f>
        <v>828.6</v>
      </c>
      <c r="E18" s="9"/>
      <c r="F18" s="9">
        <f>+'Exhibit F'!AC96</f>
        <v>3609.3</v>
      </c>
      <c r="G18" s="9"/>
      <c r="H18" s="448">
        <f>'Exhibit G'!Z82</f>
        <v>2247.1999999999998</v>
      </c>
      <c r="I18" s="9"/>
      <c r="J18" s="9">
        <f>+'Exhibit G'!AD82</f>
        <v>21413.599999999999</v>
      </c>
      <c r="K18" s="9"/>
      <c r="L18" s="954">
        <f>+'Exhibit H'!X50</f>
        <v>23.9</v>
      </c>
      <c r="M18" s="9"/>
      <c r="N18" s="9">
        <f>+'Exhibit H'!AA50</f>
        <v>455.6</v>
      </c>
      <c r="O18" s="9"/>
      <c r="P18" s="954">
        <f>+'Exhibit I'!AA61</f>
        <v>582.79999999999995</v>
      </c>
      <c r="Q18" s="448"/>
      <c r="R18" s="448">
        <f>+'Exhibit I'!AF61</f>
        <v>6362.6</v>
      </c>
      <c r="S18" s="1385"/>
      <c r="T18" s="1385"/>
      <c r="U18" s="9"/>
      <c r="V18" s="448">
        <f>ROUND(SUM(D18)+SUM(H18)+SUM(L18)+SUM(P18),1)</f>
        <v>3682.5</v>
      </c>
      <c r="W18" s="9" t="s">
        <v>14</v>
      </c>
      <c r="X18" s="9">
        <f t="shared" si="2"/>
        <v>31841.1</v>
      </c>
      <c r="Y18" s="1385"/>
      <c r="Z18" s="1386"/>
      <c r="AA18" s="9"/>
      <c r="AB18" s="467">
        <v>4212.3</v>
      </c>
      <c r="AC18" s="9"/>
      <c r="AD18" s="9">
        <f>'Exhibit F'!AF96+'Exhibit G'!AG82+'Exhibit H'!AD50+'Exhibit I'!AI61</f>
        <v>27932.199999999997</v>
      </c>
      <c r="AE18" s="9"/>
      <c r="AF18" s="1746"/>
      <c r="AG18" s="9">
        <f t="shared" si="0"/>
        <v>3908.9</v>
      </c>
      <c r="AI18" s="955">
        <f t="shared" si="1"/>
        <v>0.14000000000000001</v>
      </c>
      <c r="AJ18" s="2125"/>
      <c r="AK18" s="489"/>
      <c r="AL18" s="958"/>
    </row>
    <row r="19" spans="1:38" ht="18" customHeight="1">
      <c r="A19" s="7" t="s">
        <v>20</v>
      </c>
      <c r="B19" s="1378" t="s">
        <v>1581</v>
      </c>
      <c r="C19" s="7"/>
      <c r="D19" s="448">
        <f>+'Exhibit F'!Z98</f>
        <v>2350.0000000000005</v>
      </c>
      <c r="E19" s="9"/>
      <c r="F19" s="9">
        <f>+'Exhibit F'!AC98</f>
        <v>2350.6</v>
      </c>
      <c r="G19" s="9"/>
      <c r="H19" s="448">
        <f>'Exhibit G'!Z84</f>
        <v>8347.0999999999913</v>
      </c>
      <c r="I19" s="9"/>
      <c r="J19" s="9">
        <f>+'Exhibit G'!AD84</f>
        <v>84618.8</v>
      </c>
      <c r="K19" s="9"/>
      <c r="L19" s="954">
        <f>+'Exhibit H'!X52</f>
        <v>0</v>
      </c>
      <c r="M19" s="9"/>
      <c r="N19" s="9">
        <f>+'Exhibit H'!AA52</f>
        <v>71</v>
      </c>
      <c r="O19" s="9"/>
      <c r="P19" s="954">
        <f>+'Exhibit I'!AA63</f>
        <v>229.4000000000006</v>
      </c>
      <c r="Q19" s="448"/>
      <c r="R19" s="448">
        <f>+'Exhibit I'!AF63</f>
        <v>2522.6999999999998</v>
      </c>
      <c r="S19" s="1385"/>
      <c r="T19" s="1385"/>
      <c r="U19" s="9"/>
      <c r="V19" s="448">
        <f t="shared" si="3"/>
        <v>10926.5</v>
      </c>
      <c r="W19" s="9" t="s">
        <v>14</v>
      </c>
      <c r="X19" s="9">
        <f t="shared" si="2"/>
        <v>89563.1</v>
      </c>
      <c r="Y19" s="1385"/>
      <c r="Z19" s="1386"/>
      <c r="AA19" s="9"/>
      <c r="AB19" s="467">
        <v>8093.2</v>
      </c>
      <c r="AC19" s="9"/>
      <c r="AD19" s="9">
        <f>'Exhibit F'!AF98+'Exhibit G'!AG84+'Exhibit H'!AD52+'Exhibit I'!AI63</f>
        <v>95306.400000000009</v>
      </c>
      <c r="AE19" s="9"/>
      <c r="AF19" s="1746"/>
      <c r="AG19" s="9">
        <f t="shared" si="0"/>
        <v>-5743.3</v>
      </c>
      <c r="AI19" s="955">
        <f t="shared" si="1"/>
        <v>-0.06</v>
      </c>
      <c r="AJ19" s="1374"/>
      <c r="AK19" s="958"/>
      <c r="AL19" s="958"/>
    </row>
    <row r="20" spans="1:38" ht="18" customHeight="1">
      <c r="A20" s="1371" t="s">
        <v>21</v>
      </c>
      <c r="B20" s="7"/>
      <c r="C20" s="7"/>
      <c r="D20" s="11">
        <f>ROUND(SUM(D14:D19),1)</f>
        <v>11305.8</v>
      </c>
      <c r="E20" s="2218"/>
      <c r="F20" s="11">
        <f>ROUND(SUM(F14:F19),1)</f>
        <v>60865.4</v>
      </c>
      <c r="G20" s="16"/>
      <c r="H20" s="12">
        <f>ROUND(SUM(H14:H19),1)</f>
        <v>11270.4</v>
      </c>
      <c r="I20" s="16"/>
      <c r="J20" s="12">
        <f>ROUND(SUM(J14:J19),1)</f>
        <v>112392.9</v>
      </c>
      <c r="K20" s="16"/>
      <c r="L20" s="11">
        <f>ROUND(SUM(L14:L19),1)</f>
        <v>5263.5</v>
      </c>
      <c r="M20" s="16"/>
      <c r="N20" s="12">
        <f>ROUND(SUM(N14:N19),1)</f>
        <v>49658</v>
      </c>
      <c r="O20" s="16"/>
      <c r="P20" s="12">
        <f>ROUND(SUM(P14:P19),1)</f>
        <v>938.9</v>
      </c>
      <c r="Q20" s="16"/>
      <c r="R20" s="12">
        <f>ROUND(SUM(R14:R19),1)</f>
        <v>10144</v>
      </c>
      <c r="S20" s="1388"/>
      <c r="T20" s="1388"/>
      <c r="U20" s="16"/>
      <c r="V20" s="12">
        <f>ROUND(SUM(V14:V19),1)</f>
        <v>28778.6</v>
      </c>
      <c r="W20" s="16"/>
      <c r="X20" s="12">
        <f>ROUND(SUM(X14:X19),1)</f>
        <v>233060.3</v>
      </c>
      <c r="Y20" s="1388"/>
      <c r="Z20" s="1389"/>
      <c r="AA20" s="16"/>
      <c r="AB20" s="12">
        <f>ROUND(SUM(AB14:AB19),1)</f>
        <v>27358</v>
      </c>
      <c r="AC20" s="16"/>
      <c r="AD20" s="12">
        <f>ROUND(SUM(AD14:AD19),1)</f>
        <v>244374.6</v>
      </c>
      <c r="AE20" s="16"/>
      <c r="AF20" s="1747"/>
      <c r="AG20" s="12">
        <f>ROUND(SUM(AG14:AG19),1)</f>
        <v>-11314.3</v>
      </c>
      <c r="AH20" s="1377"/>
      <c r="AI20" s="962">
        <f>(+X20-AD20)/ABS(AD20)</f>
        <v>-4.6299001614734173E-2</v>
      </c>
      <c r="AJ20" s="1369" t="s">
        <v>14</v>
      </c>
      <c r="AK20" s="958"/>
      <c r="AL20" s="958"/>
    </row>
    <row r="21" spans="1:38" ht="16.399999999999999" customHeight="1">
      <c r="A21" s="1371"/>
      <c r="B21" s="7"/>
      <c r="C21" s="7"/>
      <c r="D21" s="448"/>
      <c r="E21" s="9"/>
      <c r="F21" s="9"/>
      <c r="G21" s="9"/>
      <c r="H21" s="448"/>
      <c r="I21" s="9"/>
      <c r="J21" s="9"/>
      <c r="K21" s="9"/>
      <c r="L21" s="448"/>
      <c r="M21" s="9"/>
      <c r="N21" s="9"/>
      <c r="O21" s="9"/>
      <c r="P21" s="448"/>
      <c r="Q21" s="448"/>
      <c r="R21" s="448" t="s">
        <v>14</v>
      </c>
      <c r="S21" s="1385"/>
      <c r="T21" s="1385"/>
      <c r="U21" s="9"/>
      <c r="V21" s="448"/>
      <c r="W21" s="9"/>
      <c r="X21" s="448"/>
      <c r="Y21" s="1385"/>
      <c r="Z21" s="1386"/>
      <c r="AA21" s="9"/>
      <c r="AB21" s="448"/>
      <c r="AC21" s="9"/>
      <c r="AD21" s="9"/>
      <c r="AE21" s="9"/>
      <c r="AF21" s="1746"/>
      <c r="AG21" s="9"/>
      <c r="AI21" s="958"/>
      <c r="AJ21" s="7"/>
      <c r="AK21" s="958"/>
      <c r="AL21" s="958"/>
    </row>
    <row r="22" spans="1:38" ht="16.399999999999999" customHeight="1">
      <c r="A22" s="1371" t="s">
        <v>22</v>
      </c>
      <c r="B22" s="7"/>
      <c r="C22" s="7"/>
      <c r="D22" s="448"/>
      <c r="E22" s="9"/>
      <c r="F22" s="9"/>
      <c r="G22" s="9"/>
      <c r="H22" s="448"/>
      <c r="I22" s="9"/>
      <c r="J22" s="9"/>
      <c r="K22" s="9"/>
      <c r="L22" s="448"/>
      <c r="M22" s="9"/>
      <c r="N22" s="9"/>
      <c r="O22" s="9"/>
      <c r="P22" s="448"/>
      <c r="Q22" s="448"/>
      <c r="R22" s="448" t="s">
        <v>14</v>
      </c>
      <c r="S22" s="1385"/>
      <c r="T22" s="1385"/>
      <c r="U22" s="9"/>
      <c r="V22" s="448"/>
      <c r="W22" s="9"/>
      <c r="X22" s="448" t="s">
        <v>14</v>
      </c>
      <c r="Y22" s="1385"/>
      <c r="Z22" s="1386"/>
      <c r="AA22" s="9"/>
      <c r="AB22" s="448"/>
      <c r="AC22" s="9"/>
      <c r="AD22" s="9"/>
      <c r="AE22" s="9"/>
      <c r="AF22" s="1746"/>
      <c r="AG22" s="9"/>
      <c r="AI22" s="958"/>
      <c r="AJ22" s="7"/>
      <c r="AK22" s="958"/>
      <c r="AL22" s="958"/>
    </row>
    <row r="23" spans="1:38" ht="16.399999999999999" customHeight="1">
      <c r="A23" s="7" t="s">
        <v>23</v>
      </c>
      <c r="B23" s="1378" t="s">
        <v>14</v>
      </c>
      <c r="C23" s="7"/>
      <c r="D23" s="453" t="s">
        <v>14</v>
      </c>
      <c r="E23" s="9"/>
      <c r="F23" s="10" t="s">
        <v>14</v>
      </c>
      <c r="G23" s="9"/>
      <c r="H23" s="452"/>
      <c r="I23" s="9"/>
      <c r="J23" s="14"/>
      <c r="K23" s="9"/>
      <c r="L23" s="452"/>
      <c r="M23" s="9"/>
      <c r="N23" s="14"/>
      <c r="O23" s="9"/>
      <c r="P23" s="452"/>
      <c r="Q23" s="448"/>
      <c r="R23" s="452"/>
      <c r="S23" s="1385"/>
      <c r="T23" s="1385"/>
      <c r="U23" s="9"/>
      <c r="V23" s="452"/>
      <c r="W23" s="9"/>
      <c r="X23" s="14"/>
      <c r="Y23" s="1385"/>
      <c r="Z23" s="1386"/>
      <c r="AA23" s="9"/>
      <c r="AB23" s="452"/>
      <c r="AC23" s="9"/>
      <c r="AD23" s="14"/>
      <c r="AE23" s="9"/>
      <c r="AF23" s="1746"/>
      <c r="AG23" s="14"/>
      <c r="AI23" s="1379"/>
      <c r="AJ23" s="7"/>
      <c r="AK23" s="958"/>
      <c r="AL23" s="958"/>
    </row>
    <row r="24" spans="1:38" ht="18" customHeight="1">
      <c r="A24" s="1380" t="s">
        <v>24</v>
      </c>
      <c r="B24" s="7"/>
      <c r="C24" s="7"/>
      <c r="D24" s="1130">
        <f>+'Exhibit F'!Z104</f>
        <v>10402.9</v>
      </c>
      <c r="E24" s="9"/>
      <c r="F24" s="9">
        <f>+'Exhibit F'!AC104</f>
        <v>30729</v>
      </c>
      <c r="G24" s="9"/>
      <c r="H24" s="954">
        <f>'Exhibit G'!Z90</f>
        <v>1133.8000000000002</v>
      </c>
      <c r="I24" s="9"/>
      <c r="J24" s="9">
        <f>+'Exhibit G'!AD90</f>
        <v>15037.8</v>
      </c>
      <c r="K24" s="9"/>
      <c r="L24" s="452">
        <v>0</v>
      </c>
      <c r="M24" s="9"/>
      <c r="N24" s="14">
        <v>0</v>
      </c>
      <c r="O24" s="9"/>
      <c r="P24" s="954">
        <f>'Exhibit I'!AA69</f>
        <v>8.9000000000000341</v>
      </c>
      <c r="Q24" s="954"/>
      <c r="R24" s="448">
        <f>+'Exhibit I'!AF69</f>
        <v>274.3</v>
      </c>
      <c r="S24" s="1385"/>
      <c r="T24" s="1385"/>
      <c r="U24" s="9"/>
      <c r="V24" s="448">
        <f>ROUND(SUM(D24)+SUM(H24)+SUM(L24)+SUM(P24),1)</f>
        <v>11545.6</v>
      </c>
      <c r="W24" s="9" t="s">
        <v>14</v>
      </c>
      <c r="X24" s="9">
        <f>ROUND(SUM(F24)+SUM(J24)+SUM(N24)+SUM(R24),1)</f>
        <v>46041.1</v>
      </c>
      <c r="Y24" s="1385"/>
      <c r="Z24" s="1386"/>
      <c r="AA24" s="9"/>
      <c r="AB24" s="467">
        <v>11548.6</v>
      </c>
      <c r="AC24" s="9"/>
      <c r="AD24" s="9">
        <f>'Exhibit F'!AF104+'Exhibit G'!AG90+'Exhibit I'!AI69</f>
        <v>41769.200000000004</v>
      </c>
      <c r="AE24" s="1844"/>
      <c r="AF24" s="2219"/>
      <c r="AG24" s="9">
        <f>ROUND(SUM(X24-AD24),1)</f>
        <v>4271.8999999999996</v>
      </c>
      <c r="AI24" s="955">
        <f>ROUND(SUM((+X24-AD24)/ABS(AD24)),3)</f>
        <v>0.10199999999999999</v>
      </c>
      <c r="AJ24" s="450"/>
      <c r="AK24" s="958"/>
      <c r="AL24" s="958"/>
    </row>
    <row r="25" spans="1:38" ht="18" customHeight="1">
      <c r="A25" s="1380" t="s">
        <v>25</v>
      </c>
      <c r="B25" s="1381"/>
      <c r="C25" s="7"/>
      <c r="D25" s="1130">
        <f>+'Exhibit F'!Z105</f>
        <v>0.59999999999999987</v>
      </c>
      <c r="E25" s="9"/>
      <c r="F25" s="9">
        <f>+'Exhibit F'!AC105</f>
        <v>2.2999999999999998</v>
      </c>
      <c r="G25" s="9"/>
      <c r="H25" s="954">
        <f>'Exhibit G'!Z91</f>
        <v>0.2</v>
      </c>
      <c r="I25" s="9"/>
      <c r="J25" s="9">
        <f>+'Exhibit G'!AD91</f>
        <v>6.7</v>
      </c>
      <c r="K25" s="9"/>
      <c r="L25" s="452">
        <v>0</v>
      </c>
      <c r="M25" s="9"/>
      <c r="N25" s="14">
        <v>0</v>
      </c>
      <c r="O25" s="9"/>
      <c r="P25" s="954">
        <f>'Exhibit I'!AA70</f>
        <v>176.39999999999998</v>
      </c>
      <c r="Q25" s="954"/>
      <c r="R25" s="448">
        <f>+'Exhibit I'!AF70</f>
        <v>492.2</v>
      </c>
      <c r="S25" s="1385"/>
      <c r="T25" s="1385"/>
      <c r="U25" s="9"/>
      <c r="V25" s="448">
        <f t="shared" ref="V25:V32" si="4">ROUND(SUM(D25)+SUM(H25)+SUM(L25)+SUM(P25),1)</f>
        <v>177.2</v>
      </c>
      <c r="W25" s="9" t="s">
        <v>14</v>
      </c>
      <c r="X25" s="9">
        <f t="shared" ref="X25:X32" si="5">ROUND(SUM(F25)+SUM(J25)+SUM(N25)+SUM(R25),1)</f>
        <v>501.2</v>
      </c>
      <c r="Y25" s="1385"/>
      <c r="Z25" s="1386"/>
      <c r="AA25" s="9"/>
      <c r="AB25" s="467">
        <v>67.599999999999994</v>
      </c>
      <c r="AC25" s="1844"/>
      <c r="AD25" s="9">
        <f>'Exhibit F'!AF105+'Exhibit G'!AG91+'Exhibit I'!AI70</f>
        <v>382.79999999999995</v>
      </c>
      <c r="AE25" s="9"/>
      <c r="AF25" s="1746"/>
      <c r="AG25" s="9">
        <f t="shared" ref="AG25:AG33" si="6">ROUND(SUM(X25-AD25),1)</f>
        <v>118.4</v>
      </c>
      <c r="AI25" s="955">
        <f t="shared" ref="AI25:AI32" si="7">ROUND(SUM((+X25-AD25)/ABS(AD25)),3)</f>
        <v>0.309</v>
      </c>
      <c r="AJ25" s="7"/>
      <c r="AK25" s="958"/>
      <c r="AL25" s="958"/>
    </row>
    <row r="26" spans="1:38" ht="18" customHeight="1">
      <c r="A26" s="1380" t="s">
        <v>26</v>
      </c>
      <c r="B26" s="1382"/>
      <c r="C26" s="7"/>
      <c r="D26" s="1130">
        <f>+'Exhibit F'!Z106</f>
        <v>88.999999999999716</v>
      </c>
      <c r="E26" s="9"/>
      <c r="F26" s="9">
        <f>+'Exhibit F'!AC106</f>
        <v>1063.0999999999999</v>
      </c>
      <c r="G26" s="9"/>
      <c r="H26" s="954">
        <f>'Exhibit G'!Z92</f>
        <v>30.599999999999966</v>
      </c>
      <c r="I26" s="9"/>
      <c r="J26" s="9">
        <f>+'Exhibit G'!AD92</f>
        <v>853.5</v>
      </c>
      <c r="K26" s="9"/>
      <c r="L26" s="452">
        <v>0</v>
      </c>
      <c r="M26" s="9"/>
      <c r="N26" s="14">
        <v>0</v>
      </c>
      <c r="O26" s="9"/>
      <c r="P26" s="954">
        <f>'Exhibit I'!AA71</f>
        <v>89.399999999999977</v>
      </c>
      <c r="Q26" s="954"/>
      <c r="R26" s="448">
        <f>+'Exhibit I'!AF71</f>
        <v>693.1</v>
      </c>
      <c r="S26" s="1385"/>
      <c r="T26" s="1385"/>
      <c r="U26" s="9"/>
      <c r="V26" s="448">
        <f t="shared" si="4"/>
        <v>209</v>
      </c>
      <c r="W26" s="9" t="s">
        <v>14</v>
      </c>
      <c r="X26" s="9">
        <f t="shared" si="5"/>
        <v>2609.6999999999998</v>
      </c>
      <c r="Y26" s="1385"/>
      <c r="Z26" s="1386"/>
      <c r="AA26" s="9"/>
      <c r="AB26" s="467">
        <v>183.5</v>
      </c>
      <c r="AC26" s="9"/>
      <c r="AD26" s="9">
        <f>'Exhibit F'!AF106+'Exhibit G'!AG92+'Exhibit I'!AI71</f>
        <v>2304.8000000000002</v>
      </c>
      <c r="AE26" s="9"/>
      <c r="AF26" s="1746"/>
      <c r="AG26" s="9">
        <f t="shared" si="6"/>
        <v>304.89999999999998</v>
      </c>
      <c r="AI26" s="955">
        <f t="shared" si="7"/>
        <v>0.13200000000000001</v>
      </c>
      <c r="AJ26" s="450"/>
      <c r="AK26" s="958"/>
      <c r="AL26" s="958"/>
    </row>
    <row r="27" spans="1:38" ht="18" customHeight="1">
      <c r="A27" s="1380" t="s">
        <v>27</v>
      </c>
      <c r="B27" s="1383"/>
      <c r="C27" s="7"/>
      <c r="D27" s="448"/>
      <c r="E27" s="9"/>
      <c r="F27" s="9"/>
      <c r="G27" s="9"/>
      <c r="H27" s="954"/>
      <c r="I27" s="9"/>
      <c r="J27" s="9" t="s">
        <v>14</v>
      </c>
      <c r="K27" s="9"/>
      <c r="L27" s="453" t="s">
        <v>14</v>
      </c>
      <c r="M27" s="9"/>
      <c r="N27" s="10" t="s">
        <v>14</v>
      </c>
      <c r="O27" s="9"/>
      <c r="P27" s="954"/>
      <c r="Q27" s="954"/>
      <c r="R27" s="448"/>
      <c r="S27" s="1385"/>
      <c r="T27" s="1385"/>
      <c r="U27" s="9"/>
      <c r="V27" s="448" t="s">
        <v>14</v>
      </c>
      <c r="W27" s="9"/>
      <c r="X27" s="448" t="s">
        <v>14</v>
      </c>
      <c r="Y27" s="1385"/>
      <c r="Z27" s="1386"/>
      <c r="AA27" s="9"/>
      <c r="AB27" s="448"/>
      <c r="AC27" s="9"/>
      <c r="AD27" s="9"/>
      <c r="AE27" s="9"/>
      <c r="AF27" s="1746"/>
      <c r="AG27" s="9"/>
      <c r="AI27" s="469" t="s">
        <v>14</v>
      </c>
      <c r="AJ27" s="7"/>
      <c r="AK27" s="958"/>
      <c r="AL27" s="958"/>
    </row>
    <row r="28" spans="1:38" ht="18" customHeight="1">
      <c r="A28" s="2220" t="s">
        <v>28</v>
      </c>
      <c r="B28" s="1375"/>
      <c r="C28" s="7"/>
      <c r="D28" s="1130">
        <f>+'Exhibit F'!Z108</f>
        <v>1489.0000000000036</v>
      </c>
      <c r="E28" s="9"/>
      <c r="F28" s="9">
        <f>+'Exhibit F'!AC108</f>
        <v>21685.599999999999</v>
      </c>
      <c r="G28" s="9"/>
      <c r="H28" s="954">
        <f>'Exhibit G'!Z94</f>
        <v>6923.0000000000009</v>
      </c>
      <c r="I28" s="9"/>
      <c r="J28" s="9">
        <f>+'Exhibit G'!AD94</f>
        <v>58638</v>
      </c>
      <c r="K28" s="9"/>
      <c r="L28" s="452">
        <v>0</v>
      </c>
      <c r="M28" s="9"/>
      <c r="N28" s="14">
        <v>0</v>
      </c>
      <c r="O28" s="9"/>
      <c r="P28" s="954">
        <f>'Exhibit I'!AA73</f>
        <v>0</v>
      </c>
      <c r="Q28" s="954"/>
      <c r="R28" s="452">
        <f>+'Exhibit I'!AF73</f>
        <v>0</v>
      </c>
      <c r="S28" s="1385"/>
      <c r="T28" s="1385"/>
      <c r="U28" s="9"/>
      <c r="V28" s="448">
        <f t="shared" si="4"/>
        <v>8412</v>
      </c>
      <c r="W28" s="9" t="s">
        <v>14</v>
      </c>
      <c r="X28" s="9">
        <f t="shared" si="5"/>
        <v>80323.600000000006</v>
      </c>
      <c r="Y28" s="1385"/>
      <c r="Z28" s="1386"/>
      <c r="AA28" s="9"/>
      <c r="AB28" s="467">
        <v>7269.5</v>
      </c>
      <c r="AC28" s="9"/>
      <c r="AD28" s="9">
        <f>'Exhibit F'!AF108+'Exhibit G'!AG94+'Exhibit I'!AI73</f>
        <v>72116.799999999988</v>
      </c>
      <c r="AE28" s="9"/>
      <c r="AF28" s="1746"/>
      <c r="AG28" s="9">
        <f t="shared" si="6"/>
        <v>8206.7999999999993</v>
      </c>
      <c r="AI28" s="955">
        <f t="shared" si="7"/>
        <v>0.114</v>
      </c>
      <c r="AJ28" s="450"/>
      <c r="AK28" s="959"/>
      <c r="AL28" s="958"/>
    </row>
    <row r="29" spans="1:38" ht="18" customHeight="1">
      <c r="A29" s="1380" t="s">
        <v>29</v>
      </c>
      <c r="B29" s="1375"/>
      <c r="C29" s="7"/>
      <c r="D29" s="1130">
        <f>+'Exhibit F'!Z109</f>
        <v>907.70000000000073</v>
      </c>
      <c r="E29" s="9"/>
      <c r="F29" s="9">
        <f>+'Exhibit F'!AC109</f>
        <v>3132.3</v>
      </c>
      <c r="G29" s="9"/>
      <c r="H29" s="954">
        <f>'Exhibit G'!Z95</f>
        <v>1817.2000000000005</v>
      </c>
      <c r="I29" s="9"/>
      <c r="J29" s="9">
        <f>+'Exhibit G'!AD95</f>
        <v>10015.1</v>
      </c>
      <c r="K29" s="9"/>
      <c r="L29" s="452">
        <v>0</v>
      </c>
      <c r="M29" s="9"/>
      <c r="N29" s="14">
        <v>0</v>
      </c>
      <c r="O29" s="9"/>
      <c r="P29" s="954">
        <f>'Exhibit I'!AA74</f>
        <v>83.9</v>
      </c>
      <c r="Q29" s="954"/>
      <c r="R29" s="448">
        <f>+'Exhibit I'!AF74</f>
        <v>508.7</v>
      </c>
      <c r="S29" s="1385"/>
      <c r="T29" s="1385"/>
      <c r="U29" s="9"/>
      <c r="V29" s="448">
        <f t="shared" si="4"/>
        <v>2808.8</v>
      </c>
      <c r="W29" s="9" t="s">
        <v>14</v>
      </c>
      <c r="X29" s="9">
        <f t="shared" si="5"/>
        <v>13656.1</v>
      </c>
      <c r="Y29" s="1385"/>
      <c r="Z29" s="1386"/>
      <c r="AA29" s="9"/>
      <c r="AB29" s="467">
        <v>1659.4</v>
      </c>
      <c r="AC29" s="9"/>
      <c r="AD29" s="9">
        <f>'Exhibit F'!AF109+'Exhibit G'!AG95+'Exhibit I'!AI74</f>
        <v>12303.1</v>
      </c>
      <c r="AE29" s="9"/>
      <c r="AF29" s="1746"/>
      <c r="AG29" s="9">
        <f t="shared" si="6"/>
        <v>1353</v>
      </c>
      <c r="AI29" s="955">
        <f t="shared" si="7"/>
        <v>0.11</v>
      </c>
      <c r="AJ29" s="7"/>
      <c r="AK29" s="958"/>
      <c r="AL29" s="958"/>
    </row>
    <row r="30" spans="1:38" ht="18" customHeight="1">
      <c r="A30" s="1380" t="s">
        <v>30</v>
      </c>
      <c r="B30" s="1383"/>
      <c r="C30" s="7"/>
      <c r="D30" s="1130">
        <f>+'Exhibit F'!Z110</f>
        <v>69.499999999999943</v>
      </c>
      <c r="E30" s="9"/>
      <c r="F30" s="9">
        <f>+'Exhibit F'!AC110</f>
        <v>264.7</v>
      </c>
      <c r="G30" s="9"/>
      <c r="H30" s="954">
        <f>'Exhibit G'!Z96</f>
        <v>843.80000000000007</v>
      </c>
      <c r="I30" s="9"/>
      <c r="J30" s="9">
        <f>+'Exhibit G'!AD96</f>
        <v>3393.3</v>
      </c>
      <c r="K30" s="9"/>
      <c r="L30" s="452">
        <v>0</v>
      </c>
      <c r="M30" s="9"/>
      <c r="N30" s="14">
        <v>0</v>
      </c>
      <c r="O30" s="9"/>
      <c r="P30" s="954">
        <f>'Exhibit I'!AA75</f>
        <v>-12.29999999999999</v>
      </c>
      <c r="Q30" s="954"/>
      <c r="R30" s="452">
        <f>+'Exhibit I'!AF75</f>
        <v>146.9</v>
      </c>
      <c r="S30" s="1385"/>
      <c r="T30" s="1385"/>
      <c r="U30" s="9"/>
      <c r="V30" s="448">
        <f t="shared" si="4"/>
        <v>901</v>
      </c>
      <c r="W30" s="9" t="s">
        <v>14</v>
      </c>
      <c r="X30" s="9">
        <f t="shared" si="5"/>
        <v>3804.9</v>
      </c>
      <c r="Y30" s="1385"/>
      <c r="Z30" s="1386"/>
      <c r="AA30" s="9"/>
      <c r="AB30" s="467">
        <v>183.29999999999998</v>
      </c>
      <c r="AC30" s="9"/>
      <c r="AD30" s="9">
        <f>'Exhibit F'!AF110+'Exhibit G'!AG96+'Exhibit I'!AI75</f>
        <v>2348.4</v>
      </c>
      <c r="AE30" s="9"/>
      <c r="AF30" s="1746"/>
      <c r="AG30" s="9">
        <f t="shared" si="6"/>
        <v>1456.5</v>
      </c>
      <c r="AI30" s="955">
        <f t="shared" si="7"/>
        <v>0.62</v>
      </c>
      <c r="AJ30" s="7"/>
      <c r="AK30" s="958"/>
      <c r="AL30" s="958"/>
    </row>
    <row r="31" spans="1:38" ht="18" customHeight="1">
      <c r="A31" s="1380" t="s">
        <v>31</v>
      </c>
      <c r="B31" s="7"/>
      <c r="C31" s="7"/>
      <c r="D31" s="1130">
        <f>+'Exhibit F'!Z111</f>
        <v>1783.4999999999986</v>
      </c>
      <c r="E31" s="9"/>
      <c r="F31" s="9">
        <f>+'Exhibit F'!AC111</f>
        <v>5017.3999999999996</v>
      </c>
      <c r="G31" s="9"/>
      <c r="H31" s="954">
        <f>'Exhibit G'!Z97</f>
        <v>777.10000000000059</v>
      </c>
      <c r="I31" s="9"/>
      <c r="J31" s="9">
        <f>+'Exhibit G'!AD97</f>
        <v>6452.6</v>
      </c>
      <c r="K31" s="9"/>
      <c r="L31" s="452">
        <v>0</v>
      </c>
      <c r="M31" s="9"/>
      <c r="N31" s="14">
        <v>0</v>
      </c>
      <c r="O31" s="9"/>
      <c r="P31" s="954">
        <f>'Exhibit I'!AA76</f>
        <v>91.100000000000009</v>
      </c>
      <c r="Q31" s="954"/>
      <c r="R31" s="448">
        <f>+'Exhibit I'!AF76</f>
        <v>729.7</v>
      </c>
      <c r="S31" s="1385"/>
      <c r="T31" s="1385"/>
      <c r="U31" s="9"/>
      <c r="V31" s="448">
        <f t="shared" si="4"/>
        <v>2651.7</v>
      </c>
      <c r="W31" s="9" t="s">
        <v>14</v>
      </c>
      <c r="X31" s="9">
        <f t="shared" si="5"/>
        <v>12199.7</v>
      </c>
      <c r="Y31" s="1385"/>
      <c r="Z31" s="1386"/>
      <c r="AA31" s="9"/>
      <c r="AB31" s="467">
        <v>1293.5</v>
      </c>
      <c r="AC31" s="9"/>
      <c r="AD31" s="9">
        <f>'Exhibit F'!AF111+'Exhibit G'!AG97+'Exhibit I'!AI76</f>
        <v>13306.999999999998</v>
      </c>
      <c r="AE31" s="9"/>
      <c r="AF31" s="1746"/>
      <c r="AG31" s="9">
        <f t="shared" si="6"/>
        <v>-1107.3</v>
      </c>
      <c r="AI31" s="955">
        <f t="shared" si="7"/>
        <v>-8.3000000000000004E-2</v>
      </c>
      <c r="AJ31" s="7"/>
      <c r="AK31" s="958"/>
      <c r="AL31" s="958"/>
    </row>
    <row r="32" spans="1:38" ht="18" customHeight="1">
      <c r="A32" s="1380" t="s">
        <v>32</v>
      </c>
      <c r="B32" s="1383"/>
      <c r="C32" s="7"/>
      <c r="D32" s="1130">
        <f>+'Exhibit F'!Z112</f>
        <v>45.899999999999977</v>
      </c>
      <c r="E32" s="9"/>
      <c r="F32" s="9">
        <f>+'Exhibit F'!AC112</f>
        <v>807.6</v>
      </c>
      <c r="G32" s="9"/>
      <c r="H32" s="954">
        <f>'Exhibit G'!Z98</f>
        <v>11.700000000000006</v>
      </c>
      <c r="I32" s="9"/>
      <c r="J32" s="9">
        <f>+'Exhibit G'!AD98</f>
        <v>114.2</v>
      </c>
      <c r="K32" s="9"/>
      <c r="L32" s="452">
        <v>0</v>
      </c>
      <c r="M32" s="9" t="s">
        <v>14</v>
      </c>
      <c r="N32" s="14">
        <v>0</v>
      </c>
      <c r="O32" s="9"/>
      <c r="P32" s="954">
        <f>'Exhibit I'!AA77</f>
        <v>202.69999999999993</v>
      </c>
      <c r="Q32" s="954"/>
      <c r="R32" s="448">
        <f>+'Exhibit I'!AF77</f>
        <v>689.5</v>
      </c>
      <c r="S32" s="1385"/>
      <c r="T32" s="1385"/>
      <c r="U32" s="9"/>
      <c r="V32" s="448">
        <f t="shared" si="4"/>
        <v>260.3</v>
      </c>
      <c r="W32" s="9" t="s">
        <v>14</v>
      </c>
      <c r="X32" s="9">
        <f t="shared" si="5"/>
        <v>1611.3</v>
      </c>
      <c r="Y32" s="1385"/>
      <c r="Z32" s="1386"/>
      <c r="AA32" s="9"/>
      <c r="AB32" s="467">
        <v>129.9</v>
      </c>
      <c r="AC32" s="9"/>
      <c r="AD32" s="9">
        <f>'Exhibit F'!AF112+'Exhibit G'!AG98+'Exhibit I'!AI77</f>
        <v>1520.4</v>
      </c>
      <c r="AE32" s="9"/>
      <c r="AF32" s="1746"/>
      <c r="AG32" s="9">
        <f t="shared" si="6"/>
        <v>90.9</v>
      </c>
      <c r="AI32" s="955">
        <f t="shared" si="7"/>
        <v>0.06</v>
      </c>
      <c r="AJ32" s="450"/>
      <c r="AK32" s="958"/>
      <c r="AL32" s="958"/>
    </row>
    <row r="33" spans="1:38" ht="18" customHeight="1">
      <c r="A33" s="1380" t="s">
        <v>33</v>
      </c>
      <c r="B33" s="7"/>
      <c r="C33" s="7"/>
      <c r="D33" s="1130">
        <f>+'Exhibit F'!Z113</f>
        <v>0.20000000000001705</v>
      </c>
      <c r="E33" s="9"/>
      <c r="F33" s="9">
        <f>+'Exhibit F'!AC113</f>
        <v>150.20000000000002</v>
      </c>
      <c r="G33" s="9"/>
      <c r="H33" s="954">
        <f>'Exhibit G'!Z99</f>
        <v>65.599999999999824</v>
      </c>
      <c r="I33" s="9"/>
      <c r="J33" s="9">
        <f>+'Exhibit G'!AD99</f>
        <v>4480.3</v>
      </c>
      <c r="K33" s="9"/>
      <c r="L33" s="452">
        <v>0</v>
      </c>
      <c r="M33" s="9"/>
      <c r="N33" s="14">
        <v>0</v>
      </c>
      <c r="O33" s="9"/>
      <c r="P33" s="954">
        <f>'Exhibit I'!AA78</f>
        <v>1325.1000000000001</v>
      </c>
      <c r="Q33" s="954"/>
      <c r="R33" s="448">
        <f>+'Exhibit I'!AF78</f>
        <v>2277.4</v>
      </c>
      <c r="S33" s="1385"/>
      <c r="T33" s="1385"/>
      <c r="U33" s="9"/>
      <c r="V33" s="448">
        <f>ROUND(SUM(D33)+SUM(H33)+SUM(L33)+SUM(P33),1)</f>
        <v>1390.9</v>
      </c>
      <c r="W33" s="9" t="s">
        <v>14</v>
      </c>
      <c r="X33" s="9">
        <f>ROUND(SUM(F33)+SUM(J33)+SUM(N33)+SUM(R33),1)</f>
        <v>6907.9</v>
      </c>
      <c r="Y33" s="1385"/>
      <c r="Z33" s="1386"/>
      <c r="AA33" s="9"/>
      <c r="AB33" s="467">
        <v>1625.3</v>
      </c>
      <c r="AC33" s="9"/>
      <c r="AD33" s="9">
        <f>'Exhibit F'!AF113+'Exhibit G'!AG99+'Exhibit I'!AI78</f>
        <v>7885.2999999999993</v>
      </c>
      <c r="AE33" s="9"/>
      <c r="AF33" s="1746"/>
      <c r="AG33" s="9">
        <f t="shared" si="6"/>
        <v>-977.4</v>
      </c>
      <c r="AI33" s="955">
        <f>ROUND(SUM((+X33-AD33)/ABS(AD33)),3)</f>
        <v>-0.124</v>
      </c>
      <c r="AJ33" s="450"/>
      <c r="AK33" s="958"/>
      <c r="AL33" s="958"/>
    </row>
    <row r="34" spans="1:38" ht="18" customHeight="1">
      <c r="A34" s="1371" t="s">
        <v>34</v>
      </c>
      <c r="B34" s="7"/>
      <c r="C34" s="7"/>
      <c r="D34" s="12">
        <f>ROUND(SUM(D24:D33),1)</f>
        <v>14788.3</v>
      </c>
      <c r="E34" s="16"/>
      <c r="F34" s="12">
        <f>ROUND(SUM(F24:F33),1)</f>
        <v>62852.2</v>
      </c>
      <c r="G34" s="16"/>
      <c r="H34" s="12">
        <f>ROUND(SUM(H24:H33),1)</f>
        <v>11603</v>
      </c>
      <c r="I34" s="16"/>
      <c r="J34" s="12">
        <f>ROUND(SUM(J24:J33),1)</f>
        <v>98991.5</v>
      </c>
      <c r="K34" s="16"/>
      <c r="L34" s="12">
        <f>ROUND(SUM(L24:L33),1)</f>
        <v>0</v>
      </c>
      <c r="M34" s="16"/>
      <c r="N34" s="2129">
        <f>ROUND(SUM(N24:N33),1)</f>
        <v>0</v>
      </c>
      <c r="O34" s="16"/>
      <c r="P34" s="11">
        <f>ROUND(SUM(P24:P33),1)</f>
        <v>1965.2</v>
      </c>
      <c r="Q34" s="16"/>
      <c r="R34" s="11">
        <f>ROUND(SUM(R24:R33),1)</f>
        <v>5811.8</v>
      </c>
      <c r="S34" s="1388"/>
      <c r="T34" s="1388"/>
      <c r="U34" s="16"/>
      <c r="V34" s="12">
        <f>ROUND(SUM(V24:V33),1)</f>
        <v>28356.5</v>
      </c>
      <c r="W34" s="16"/>
      <c r="X34" s="12">
        <f>ROUND(SUM(X24:X33),1)</f>
        <v>167655.5</v>
      </c>
      <c r="Y34" s="1388"/>
      <c r="Z34" s="1389"/>
      <c r="AA34" s="16"/>
      <c r="AB34" s="12">
        <f>ROUND(SUM(AB23:AB33),1)</f>
        <v>23960.6</v>
      </c>
      <c r="AC34" s="16"/>
      <c r="AD34" s="12">
        <f>ROUND(SUM(AD23:AD33),1)</f>
        <v>153937.79999999999</v>
      </c>
      <c r="AE34" s="16"/>
      <c r="AF34" s="1747"/>
      <c r="AG34" s="12">
        <f>ROUND(SUM(AG24:AG33),1)</f>
        <v>13717.7</v>
      </c>
      <c r="AH34" s="1377"/>
      <c r="AI34" s="962">
        <f>ROUND(SUM((+X34-AD34)/ABS(AD34)),3)</f>
        <v>8.8999999999999996E-2</v>
      </c>
      <c r="AJ34" s="1371"/>
      <c r="AK34" s="958"/>
      <c r="AL34" s="958"/>
    </row>
    <row r="35" spans="1:38" ht="18" customHeight="1">
      <c r="A35" s="7" t="s">
        <v>35</v>
      </c>
      <c r="B35" s="1382"/>
      <c r="C35" s="7"/>
      <c r="D35" s="448"/>
      <c r="E35" s="9"/>
      <c r="F35" s="9"/>
      <c r="G35" s="9"/>
      <c r="H35" s="448"/>
      <c r="I35" s="9"/>
      <c r="J35" s="9"/>
      <c r="K35" s="9"/>
      <c r="L35" s="448"/>
      <c r="M35" s="9"/>
      <c r="N35" s="9"/>
      <c r="O35" s="9"/>
      <c r="P35" s="448"/>
      <c r="Q35" s="448"/>
      <c r="R35" s="448"/>
      <c r="S35" s="1385"/>
      <c r="T35" s="1385"/>
      <c r="U35" s="9"/>
      <c r="V35" s="448"/>
      <c r="W35" s="9"/>
      <c r="X35" s="448" t="s">
        <v>14</v>
      </c>
      <c r="Y35" s="1385"/>
      <c r="Z35" s="1386"/>
      <c r="AA35" s="9"/>
      <c r="AB35" s="448"/>
      <c r="AC35" s="9"/>
      <c r="AD35" s="9"/>
      <c r="AE35" s="9"/>
      <c r="AF35" s="1746"/>
      <c r="AG35" s="9"/>
      <c r="AI35" s="958"/>
      <c r="AJ35" s="7"/>
      <c r="AK35" s="958"/>
      <c r="AL35" s="958"/>
    </row>
    <row r="36" spans="1:38" ht="18" customHeight="1">
      <c r="A36" s="7" t="s">
        <v>36</v>
      </c>
      <c r="B36" s="1381"/>
      <c r="C36" s="7"/>
      <c r="D36" s="448">
        <f>+'Exhibit F'!Z116</f>
        <v>971.30000000000109</v>
      </c>
      <c r="E36" s="9"/>
      <c r="F36" s="9">
        <f>+'Exhibit F'!AC116</f>
        <v>9463.7000000000007</v>
      </c>
      <c r="G36" s="9"/>
      <c r="H36" s="954">
        <f>'Exhibit G'!Z102</f>
        <v>695.00000000000023</v>
      </c>
      <c r="I36" s="9"/>
      <c r="J36" s="9">
        <f>+'Exhibit G'!AD102</f>
        <v>6080.8</v>
      </c>
      <c r="K36" s="9"/>
      <c r="L36" s="453">
        <v>0</v>
      </c>
      <c r="M36" s="9"/>
      <c r="N36" s="10">
        <v>0</v>
      </c>
      <c r="O36" s="9"/>
      <c r="P36" s="453">
        <f>'Exhibit I'!AA81</f>
        <v>0</v>
      </c>
      <c r="Q36" s="448"/>
      <c r="R36" s="453">
        <f>+'Exhibit I'!AF81</f>
        <v>0</v>
      </c>
      <c r="S36" s="1385"/>
      <c r="T36" s="1385"/>
      <c r="U36" s="9"/>
      <c r="V36" s="448">
        <f>ROUND(SUM(D36)+SUM(H36)+SUM(L36)+SUM(P36),1)</f>
        <v>1666.3</v>
      </c>
      <c r="W36" s="9" t="s">
        <v>14</v>
      </c>
      <c r="X36" s="9">
        <f>ROUND(SUM(F36)+SUM(J36)+SUM(N36)+SUM(R36),1)</f>
        <v>15544.5</v>
      </c>
      <c r="Y36" s="1385"/>
      <c r="Z36" s="1386"/>
      <c r="AA36" s="9"/>
      <c r="AB36" s="467">
        <v>1483.5</v>
      </c>
      <c r="AC36" s="1845"/>
      <c r="AD36" s="9">
        <f>'Exhibit F'!AF116+'Exhibit G'!AG102+'Exhibit I'!AI81</f>
        <v>15094.2</v>
      </c>
      <c r="AE36" s="9"/>
      <c r="AF36" s="1746"/>
      <c r="AG36" s="9">
        <f>ROUND(SUM(X36-AD36),1)</f>
        <v>450.3</v>
      </c>
      <c r="AI36" s="955">
        <f>ROUND(SUM((+X36-AD36)/ABS(AD36)),3)</f>
        <v>0.03</v>
      </c>
      <c r="AJ36" s="7"/>
      <c r="AK36" s="958"/>
      <c r="AL36" s="958"/>
    </row>
    <row r="37" spans="1:38" ht="18" customHeight="1">
      <c r="A37" s="7" t="s">
        <v>37</v>
      </c>
      <c r="B37" s="1382"/>
      <c r="C37" s="7"/>
      <c r="D37" s="448">
        <f>+'Exhibit F'!Z117</f>
        <v>486.69999999999982</v>
      </c>
      <c r="E37" s="9"/>
      <c r="F37" s="9">
        <f>+'Exhibit F'!AC117</f>
        <v>3042.9</v>
      </c>
      <c r="G37" s="9"/>
      <c r="H37" s="954">
        <f>'Exhibit G'!Z103</f>
        <v>488.19999999999976</v>
      </c>
      <c r="I37" s="9"/>
      <c r="J37" s="9">
        <f>+'Exhibit G'!AD103</f>
        <v>4889.3999999999996</v>
      </c>
      <c r="K37" s="9"/>
      <c r="L37" s="954">
        <f>+'Exhibit H'!X58</f>
        <v>17.000000000000004</v>
      </c>
      <c r="M37" s="9"/>
      <c r="N37" s="9">
        <f>+'Exhibit H'!AA58</f>
        <v>47.6</v>
      </c>
      <c r="O37" s="9" t="s">
        <v>14</v>
      </c>
      <c r="P37" s="453">
        <f>'Exhibit I'!AA82</f>
        <v>0</v>
      </c>
      <c r="Q37" s="448"/>
      <c r="R37" s="453">
        <f>+'Exhibit I'!AF82</f>
        <v>0</v>
      </c>
      <c r="S37" s="1385"/>
      <c r="T37" s="1385"/>
      <c r="U37" s="9"/>
      <c r="V37" s="448">
        <f>ROUND(SUM(D37)+SUM(H37)+SUM(L37)+SUM(P37),1)</f>
        <v>991.9</v>
      </c>
      <c r="W37" s="9" t="s">
        <v>14</v>
      </c>
      <c r="X37" s="9">
        <f>ROUND(SUM(F37)+SUM(J37)+SUM(N37)+SUM(R37),1)</f>
        <v>7979.9</v>
      </c>
      <c r="Y37" s="1385"/>
      <c r="Z37" s="1386"/>
      <c r="AA37" s="9"/>
      <c r="AB37" s="467">
        <v>1536.2</v>
      </c>
      <c r="AC37" s="1845"/>
      <c r="AD37" s="9">
        <f>'Exhibit F'!AF117+'Exhibit G'!AG103+'Exhibit I'!AI82+'Exhibit H'!AD58</f>
        <v>9279.6</v>
      </c>
      <c r="AE37" s="9"/>
      <c r="AF37" s="1746"/>
      <c r="AG37" s="9">
        <f>ROUND(SUM(X37-AD37),1)</f>
        <v>-1299.7</v>
      </c>
      <c r="AI37" s="955">
        <f>ROUND(SUM((+X37-AD37)/ABS(AD37)),3)</f>
        <v>-0.14000000000000001</v>
      </c>
      <c r="AJ37" s="450"/>
      <c r="AK37" s="489"/>
      <c r="AL37" s="958"/>
    </row>
    <row r="38" spans="1:38" ht="18" customHeight="1">
      <c r="A38" s="7" t="s">
        <v>38</v>
      </c>
      <c r="B38" s="1383"/>
      <c r="C38" s="7"/>
      <c r="D38" s="448">
        <f>+'Exhibit F'!Z118</f>
        <v>1931.0999999999983</v>
      </c>
      <c r="E38" s="9"/>
      <c r="F38" s="9">
        <f>+'Exhibit F'!AC118</f>
        <v>9115.2999999999993</v>
      </c>
      <c r="G38" s="2221"/>
      <c r="H38" s="954">
        <f>'Exhibit G'!Z104</f>
        <v>117.2999999999999</v>
      </c>
      <c r="I38" s="9"/>
      <c r="J38" s="9">
        <f>+'Exhibit G'!AD104</f>
        <v>1472.7</v>
      </c>
      <c r="K38" s="9"/>
      <c r="L38" s="453">
        <v>0</v>
      </c>
      <c r="M38" s="9"/>
      <c r="N38" s="10">
        <v>0</v>
      </c>
      <c r="O38" s="9"/>
      <c r="P38" s="453">
        <f>'Exhibit I'!AA83</f>
        <v>0</v>
      </c>
      <c r="Q38" s="448"/>
      <c r="R38" s="453">
        <f>+'Exhibit I'!AF83</f>
        <v>0</v>
      </c>
      <c r="S38" s="1385"/>
      <c r="T38" s="1385"/>
      <c r="U38" s="9"/>
      <c r="V38" s="448">
        <f>ROUND(SUM(D38)+SUM(H38)+SUM(L38)+SUM(P38),1)</f>
        <v>2048.4</v>
      </c>
      <c r="W38" s="9" t="s">
        <v>14</v>
      </c>
      <c r="X38" s="9">
        <f>ROUND(SUM(F38)+SUM(J38)+SUM(N38)+SUM(R38),1)</f>
        <v>10588</v>
      </c>
      <c r="Y38" s="1385"/>
      <c r="Z38" s="1386"/>
      <c r="AA38" s="9"/>
      <c r="AB38" s="467">
        <v>1992.5</v>
      </c>
      <c r="AC38" s="9"/>
      <c r="AD38" s="9">
        <f>'Exhibit F'!AF118+'Exhibit G'!AG104+'Exhibit I'!AI83</f>
        <v>11060.2</v>
      </c>
      <c r="AE38" s="9"/>
      <c r="AF38" s="1746"/>
      <c r="AG38" s="9">
        <f>ROUND(SUM(X38-AD38),1)</f>
        <v>-472.2</v>
      </c>
      <c r="AI38" s="955">
        <f>ROUND(SUM((+X38-AD38)/ABS(AD38)),3)</f>
        <v>-4.2999999999999997E-2</v>
      </c>
      <c r="AJ38" s="7"/>
      <c r="AK38" s="958"/>
      <c r="AL38" s="958"/>
    </row>
    <row r="39" spans="1:38" ht="18" customHeight="1">
      <c r="A39" s="7" t="s">
        <v>39</v>
      </c>
      <c r="B39" s="7"/>
      <c r="C39" s="7"/>
      <c r="D39" s="448"/>
      <c r="E39" s="9"/>
      <c r="F39" s="9"/>
      <c r="G39" s="9"/>
      <c r="H39" s="448"/>
      <c r="I39" s="9"/>
      <c r="J39" s="2130"/>
      <c r="K39" s="9"/>
      <c r="L39" s="448"/>
      <c r="M39" s="9"/>
      <c r="N39" s="9"/>
      <c r="O39" s="9"/>
      <c r="P39" s="453"/>
      <c r="Q39" s="448"/>
      <c r="R39" s="448"/>
      <c r="S39" s="1385"/>
      <c r="T39" s="1385"/>
      <c r="U39" s="9"/>
      <c r="V39" s="448"/>
      <c r="W39" s="9"/>
      <c r="X39" s="9"/>
      <c r="Y39" s="1385"/>
      <c r="Z39" s="1386"/>
      <c r="AA39" s="9"/>
      <c r="AB39" s="448"/>
      <c r="AC39" s="9"/>
      <c r="AD39" s="9"/>
      <c r="AE39" s="9"/>
      <c r="AF39" s="1746"/>
      <c r="AG39" s="9"/>
      <c r="AI39" s="955"/>
      <c r="AJ39" s="7"/>
      <c r="AK39" s="958"/>
      <c r="AL39" s="958"/>
    </row>
    <row r="40" spans="1:38" ht="18" customHeight="1">
      <c r="A40" s="7" t="s">
        <v>40</v>
      </c>
      <c r="B40" s="1378"/>
      <c r="C40" s="7"/>
      <c r="D40" s="453">
        <v>0</v>
      </c>
      <c r="E40" s="9"/>
      <c r="F40" s="10">
        <v>0</v>
      </c>
      <c r="G40" s="9"/>
      <c r="H40" s="954">
        <f>'Exhibit G'!Z106</f>
        <v>0</v>
      </c>
      <c r="I40" s="9"/>
      <c r="J40" s="10">
        <f>'Exhibit G'!AD106</f>
        <v>0</v>
      </c>
      <c r="K40" s="9"/>
      <c r="L40" s="448">
        <f>+'Exhibit H'!X60</f>
        <v>8567.2000000000007</v>
      </c>
      <c r="M40" s="9"/>
      <c r="N40" s="9">
        <f>+'Exhibit H'!AA60</f>
        <v>10480.9</v>
      </c>
      <c r="O40" s="9" t="s">
        <v>14</v>
      </c>
      <c r="P40" s="453">
        <v>0</v>
      </c>
      <c r="Q40" s="448"/>
      <c r="R40" s="453">
        <v>0</v>
      </c>
      <c r="S40" s="1385"/>
      <c r="T40" s="1385"/>
      <c r="U40" s="9"/>
      <c r="V40" s="448">
        <f>ROUND(SUM(D40)+SUM(H40)+SUM(L40)+SUM(P40),1)</f>
        <v>8567.2000000000007</v>
      </c>
      <c r="W40" s="9" t="s">
        <v>14</v>
      </c>
      <c r="X40" s="9">
        <f>ROUND(SUM(F40)+SUM(J40)+SUM(N40)+SUM(R40),1)</f>
        <v>10480.9</v>
      </c>
      <c r="Y40" s="1385"/>
      <c r="Z40" s="1386"/>
      <c r="AA40" s="9"/>
      <c r="AB40" s="467">
        <v>10321.4</v>
      </c>
      <c r="AC40" s="9"/>
      <c r="AD40" s="9">
        <f>'Exhibit H'!AD60+'Exhibit G Federal'!AG76</f>
        <v>12587.199999999999</v>
      </c>
      <c r="AE40" s="9"/>
      <c r="AF40" s="1746"/>
      <c r="AG40" s="9">
        <f>ROUND(SUM(X40-AD40),1)</f>
        <v>-2106.3000000000002</v>
      </c>
      <c r="AI40" s="955">
        <f>ROUND(SUM((+X40-AD40)/ABS(AD40)),3)</f>
        <v>-0.16700000000000001</v>
      </c>
      <c r="AJ40" s="1384"/>
      <c r="AK40" s="958"/>
      <c r="AL40" s="958"/>
    </row>
    <row r="41" spans="1:38" ht="18" customHeight="1">
      <c r="A41" s="7" t="s">
        <v>41</v>
      </c>
      <c r="B41" s="1383" t="s">
        <v>854</v>
      </c>
      <c r="C41" s="7"/>
      <c r="D41" s="453">
        <v>0</v>
      </c>
      <c r="E41" s="9"/>
      <c r="F41" s="10">
        <v>0</v>
      </c>
      <c r="G41" s="9"/>
      <c r="H41" s="954">
        <f>'Exhibit G'!Z107</f>
        <v>0</v>
      </c>
      <c r="I41" s="9"/>
      <c r="J41" s="9">
        <f>+'Exhibit G'!AD107</f>
        <v>0</v>
      </c>
      <c r="K41" s="9"/>
      <c r="L41" s="453">
        <v>0</v>
      </c>
      <c r="M41" s="9"/>
      <c r="N41" s="10">
        <v>0</v>
      </c>
      <c r="O41" s="9"/>
      <c r="P41" s="954">
        <f>'Exhibit I'!AA84</f>
        <v>902.70000000000073</v>
      </c>
      <c r="Q41" s="448"/>
      <c r="R41" s="2131">
        <f>+'Exhibit I'!AF84</f>
        <v>8212.2000000000007</v>
      </c>
      <c r="S41" s="1385"/>
      <c r="T41" s="1385"/>
      <c r="U41" s="9"/>
      <c r="V41" s="448">
        <f>ROUND(SUM(D41)+SUM(H41)+SUM(L41)+SUM(P41),1)</f>
        <v>902.7</v>
      </c>
      <c r="W41" s="9" t="s">
        <v>14</v>
      </c>
      <c r="X41" s="9">
        <f>ROUND(SUM(F41)+SUM(J41)+SUM(N41)+SUM(R41),1)</f>
        <v>8212.2000000000007</v>
      </c>
      <c r="Y41" s="1385"/>
      <c r="Z41" s="1386"/>
      <c r="AA41" s="9"/>
      <c r="AB41" s="467">
        <v>740.3</v>
      </c>
      <c r="AC41" s="9"/>
      <c r="AD41" s="9">
        <f>'Exhibit G'!AG107+'Exhibit I'!AI84</f>
        <v>7380.4</v>
      </c>
      <c r="AE41" s="9"/>
      <c r="AF41" s="1746"/>
      <c r="AG41" s="9">
        <f>ROUND(SUM(X41-AD41),1)</f>
        <v>831.8</v>
      </c>
      <c r="AI41" s="955">
        <f>ROUND(SUM((+X41-AD41)/ABS(AD41)),3)</f>
        <v>0.113</v>
      </c>
      <c r="AJ41" s="1372"/>
      <c r="AK41" s="489" t="s">
        <v>14</v>
      </c>
      <c r="AL41" s="958"/>
    </row>
    <row r="42" spans="1:38" ht="18" customHeight="1">
      <c r="A42" s="1371" t="s">
        <v>42</v>
      </c>
      <c r="B42" s="7"/>
      <c r="C42" s="7"/>
      <c r="D42" s="12">
        <f>ROUND(SUM(D34:D41),1)</f>
        <v>18177.400000000001</v>
      </c>
      <c r="E42" s="16"/>
      <c r="F42" s="12">
        <f>ROUND(SUM(F34:F41),1)</f>
        <v>84474.1</v>
      </c>
      <c r="G42" s="16"/>
      <c r="H42" s="12">
        <f>ROUND(SUM(H34:H41),1)</f>
        <v>12903.5</v>
      </c>
      <c r="I42" s="16"/>
      <c r="J42" s="12">
        <f>ROUND(SUM(J34:J41),1)</f>
        <v>111434.4</v>
      </c>
      <c r="K42" s="16"/>
      <c r="L42" s="12">
        <f>ROUND(SUM(L34:L41),1)</f>
        <v>8584.2000000000007</v>
      </c>
      <c r="M42" s="16"/>
      <c r="N42" s="12">
        <f>ROUND(SUM(N34:N41),1)</f>
        <v>10528.5</v>
      </c>
      <c r="O42" s="16"/>
      <c r="P42" s="12">
        <f>ROUND(SUM(P34:P41),1)</f>
        <v>2867.9</v>
      </c>
      <c r="Q42" s="16"/>
      <c r="R42" s="12">
        <f>ROUND(SUM(R34:R41),1)</f>
        <v>14024</v>
      </c>
      <c r="S42" s="1388"/>
      <c r="T42" s="1388"/>
      <c r="U42" s="16"/>
      <c r="V42" s="12">
        <f>ROUND(SUM(V34:V41),1)</f>
        <v>42533</v>
      </c>
      <c r="W42" s="16"/>
      <c r="X42" s="12">
        <f>ROUND(SUM(X34:X41),1)</f>
        <v>220461</v>
      </c>
      <c r="Y42" s="1388"/>
      <c r="Z42" s="1389"/>
      <c r="AA42" s="16"/>
      <c r="AB42" s="12">
        <f>ROUND(SUM(AB34:AB41),1)</f>
        <v>40034.5</v>
      </c>
      <c r="AC42" s="16"/>
      <c r="AD42" s="12">
        <f>ROUND(SUM(AD34:AD41),1)</f>
        <v>209339.4</v>
      </c>
      <c r="AE42" s="16"/>
      <c r="AF42" s="1747"/>
      <c r="AG42" s="12">
        <f>ROUND(SUM(AG34:AG41),1)</f>
        <v>11121.6</v>
      </c>
      <c r="AH42" s="1377"/>
      <c r="AI42" s="962">
        <f>ROUND(SUM((+X42-AD42)/ABS(AD42)),3)</f>
        <v>5.2999999999999999E-2</v>
      </c>
      <c r="AJ42" s="1371"/>
      <c r="AK42" s="958"/>
      <c r="AL42" s="958"/>
    </row>
    <row r="43" spans="1:38" ht="16.399999999999999" customHeight="1">
      <c r="A43" s="1371"/>
      <c r="B43" s="7"/>
      <c r="C43" s="7"/>
      <c r="D43" s="448"/>
      <c r="E43" s="9"/>
      <c r="F43" s="9"/>
      <c r="G43" s="9"/>
      <c r="H43" s="448"/>
      <c r="I43" s="9"/>
      <c r="J43" s="9"/>
      <c r="K43" s="9"/>
      <c r="L43" s="448"/>
      <c r="M43" s="9"/>
      <c r="N43" s="9"/>
      <c r="O43" s="9"/>
      <c r="P43" s="954"/>
      <c r="Q43" s="448"/>
      <c r="R43" s="448"/>
      <c r="S43" s="1385"/>
      <c r="T43" s="1385"/>
      <c r="U43" s="9"/>
      <c r="V43" s="448"/>
      <c r="W43" s="9"/>
      <c r="X43" s="9"/>
      <c r="Y43" s="1385"/>
      <c r="Z43" s="1386"/>
      <c r="AA43" s="9"/>
      <c r="AB43" s="448" t="s">
        <v>14</v>
      </c>
      <c r="AC43" s="9"/>
      <c r="AD43" s="9"/>
      <c r="AE43" s="9"/>
      <c r="AF43" s="1746"/>
      <c r="AG43" s="9"/>
      <c r="AI43" s="958"/>
      <c r="AJ43" s="7"/>
      <c r="AK43" s="958"/>
      <c r="AL43" s="958"/>
    </row>
    <row r="44" spans="1:38" ht="16.399999999999999" customHeight="1">
      <c r="A44" s="1371" t="s">
        <v>43</v>
      </c>
      <c r="B44" s="1371"/>
      <c r="C44" s="7"/>
      <c r="D44" s="448"/>
      <c r="E44" s="9"/>
      <c r="F44" s="9"/>
      <c r="G44" s="9"/>
      <c r="H44" s="448"/>
      <c r="I44" s="9"/>
      <c r="J44" s="9"/>
      <c r="K44" s="9"/>
      <c r="L44" s="448" t="s">
        <v>14</v>
      </c>
      <c r="M44" s="9"/>
      <c r="N44" s="9"/>
      <c r="O44" s="9"/>
      <c r="P44" s="954"/>
      <c r="Q44" s="448"/>
      <c r="R44" s="448"/>
      <c r="S44" s="1385"/>
      <c r="T44" s="1385"/>
      <c r="U44" s="9"/>
      <c r="V44" s="448"/>
      <c r="W44" s="9"/>
      <c r="X44" s="9"/>
      <c r="Y44" s="1385"/>
      <c r="Z44" s="1386"/>
      <c r="AA44" s="9"/>
      <c r="AB44" s="448"/>
      <c r="AC44" s="9"/>
      <c r="AD44" s="9"/>
      <c r="AE44" s="9"/>
      <c r="AF44" s="1746"/>
      <c r="AG44" s="9"/>
      <c r="AI44" s="958"/>
      <c r="AJ44" s="7"/>
      <c r="AK44" s="958"/>
      <c r="AL44" s="958"/>
    </row>
    <row r="45" spans="1:38" ht="16.399999999999999" customHeight="1">
      <c r="A45" s="1371" t="s">
        <v>44</v>
      </c>
      <c r="B45" s="1371"/>
      <c r="C45" s="7"/>
      <c r="D45" s="15">
        <f>ROUND(SUM(D20-D42),1)</f>
        <v>-6871.6</v>
      </c>
      <c r="E45" s="16"/>
      <c r="F45" s="15">
        <f>ROUND(SUM(F20-F42),1)</f>
        <v>-23608.7</v>
      </c>
      <c r="G45" s="16"/>
      <c r="H45" s="15">
        <f>ROUND(SUM(H20-H42),1)</f>
        <v>-1633.1</v>
      </c>
      <c r="I45" s="16"/>
      <c r="J45" s="15">
        <f>ROUND(SUM(J20-J42),1)</f>
        <v>958.5</v>
      </c>
      <c r="K45" s="16"/>
      <c r="L45" s="15">
        <f>ROUND(SUM(L20-L42),1)</f>
        <v>-3320.7</v>
      </c>
      <c r="M45" s="16" t="s">
        <v>14</v>
      </c>
      <c r="N45" s="15">
        <f>ROUND(SUM(N20-N42),1)</f>
        <v>39129.5</v>
      </c>
      <c r="O45" s="16" t="s">
        <v>14</v>
      </c>
      <c r="P45" s="2132">
        <f>ROUND(SUM(P20-P42),1)</f>
        <v>-1929</v>
      </c>
      <c r="Q45" s="16" t="s">
        <v>14</v>
      </c>
      <c r="R45" s="2132">
        <f>ROUND(SUM(R20-R42),1)</f>
        <v>-3880</v>
      </c>
      <c r="S45" s="1388"/>
      <c r="T45" s="1388"/>
      <c r="U45" s="16"/>
      <c r="V45" s="15">
        <f>ROUND(SUM(V20-V42),1)</f>
        <v>-13754.4</v>
      </c>
      <c r="W45" s="16" t="s">
        <v>14</v>
      </c>
      <c r="X45" s="15">
        <f>ROUND(SUM(X20-X42),1)</f>
        <v>12599.3</v>
      </c>
      <c r="Y45" s="1388"/>
      <c r="Z45" s="1389"/>
      <c r="AA45" s="16"/>
      <c r="AB45" s="15">
        <f>ROUND(SUM(AB20-AB42),1)</f>
        <v>-12676.5</v>
      </c>
      <c r="AC45" s="16"/>
      <c r="AD45" s="15">
        <f>ROUND(SUM(AD20-AD42),1)</f>
        <v>35035.199999999997</v>
      </c>
      <c r="AE45" s="16"/>
      <c r="AF45" s="1747"/>
      <c r="AG45" s="15">
        <f>ROUND(SUM(X45-AD45),1)</f>
        <v>-22435.9</v>
      </c>
      <c r="AH45" s="1377"/>
      <c r="AI45" s="957">
        <f>ROUND(SUM((+X45-AD45)/ABS(AD45)),3)</f>
        <v>-0.64</v>
      </c>
      <c r="AJ45" s="1371"/>
      <c r="AK45" s="958"/>
      <c r="AL45" s="958"/>
    </row>
    <row r="46" spans="1:38" ht="16.399999999999999" customHeight="1">
      <c r="A46" s="7"/>
      <c r="B46" s="7"/>
      <c r="C46" s="7"/>
      <c r="D46" s="448"/>
      <c r="E46" s="9"/>
      <c r="F46" s="9"/>
      <c r="G46" s="9"/>
      <c r="H46" s="448"/>
      <c r="I46" s="9"/>
      <c r="J46" s="9"/>
      <c r="K46" s="9"/>
      <c r="L46" s="448"/>
      <c r="M46" s="9"/>
      <c r="N46" s="9"/>
      <c r="O46" s="9"/>
      <c r="P46" s="954"/>
      <c r="Q46" s="448"/>
      <c r="R46" s="448"/>
      <c r="S46" s="1385"/>
      <c r="T46" s="1385"/>
      <c r="U46" s="9"/>
      <c r="V46" s="448"/>
      <c r="W46" s="9"/>
      <c r="X46" s="9"/>
      <c r="Y46" s="1385"/>
      <c r="Z46" s="1386"/>
      <c r="AA46" s="9"/>
      <c r="AB46" s="448"/>
      <c r="AC46" s="9"/>
      <c r="AD46" s="9"/>
      <c r="AE46" s="9"/>
      <c r="AF46" s="1746"/>
      <c r="AG46" s="9"/>
      <c r="AI46" s="958"/>
      <c r="AJ46" s="7"/>
      <c r="AK46" s="958"/>
      <c r="AL46" s="958"/>
    </row>
    <row r="47" spans="1:38" ht="16.399999999999999" customHeight="1">
      <c r="A47" s="1371" t="s">
        <v>45</v>
      </c>
      <c r="B47" s="1371"/>
      <c r="C47" s="7"/>
      <c r="D47" s="448"/>
      <c r="E47" s="9"/>
      <c r="F47" s="9"/>
      <c r="G47" s="9"/>
      <c r="H47" s="448"/>
      <c r="I47" s="9"/>
      <c r="J47" s="9"/>
      <c r="K47" s="9"/>
      <c r="L47" s="448"/>
      <c r="M47" s="9"/>
      <c r="N47" s="9"/>
      <c r="O47" s="9"/>
      <c r="P47" s="954"/>
      <c r="Q47" s="448"/>
      <c r="R47" s="448"/>
      <c r="S47" s="1385"/>
      <c r="T47" s="1385"/>
      <c r="U47" s="9"/>
      <c r="V47" s="448"/>
      <c r="W47" s="9"/>
      <c r="X47" s="9"/>
      <c r="Y47" s="1385"/>
      <c r="Z47" s="1386"/>
      <c r="AA47" s="9"/>
      <c r="AB47" s="448"/>
      <c r="AC47" s="9"/>
      <c r="AD47" s="9"/>
      <c r="AE47" s="9"/>
      <c r="AF47" s="1746"/>
      <c r="AG47" s="9"/>
      <c r="AI47" s="958"/>
      <c r="AJ47" s="7"/>
      <c r="AK47" s="958"/>
      <c r="AL47" s="958"/>
    </row>
    <row r="48" spans="1:38" ht="18" customHeight="1">
      <c r="A48" s="450" t="s">
        <v>1335</v>
      </c>
      <c r="B48" s="7"/>
      <c r="C48" s="7"/>
      <c r="D48" s="453">
        <v>0</v>
      </c>
      <c r="E48" s="9"/>
      <c r="F48" s="10">
        <v>0</v>
      </c>
      <c r="G48" s="9"/>
      <c r="H48" s="453">
        <v>0</v>
      </c>
      <c r="I48" s="9"/>
      <c r="J48" s="10">
        <v>0</v>
      </c>
      <c r="K48" s="9"/>
      <c r="L48" s="453">
        <v>0</v>
      </c>
      <c r="M48" s="9"/>
      <c r="N48" s="10">
        <v>0</v>
      </c>
      <c r="O48" s="9"/>
      <c r="P48" s="453">
        <f>+'Exhibit I'!AA92</f>
        <v>0</v>
      </c>
      <c r="Q48" s="448"/>
      <c r="R48" s="453">
        <f>'Exhibit I'!AF92</f>
        <v>0</v>
      </c>
      <c r="S48" s="1385"/>
      <c r="T48" s="1385"/>
      <c r="U48" s="9"/>
      <c r="V48" s="448">
        <f>ROUND(SUM(D48)+SUM(H48)+SUM(L48)+SUM(P48),1)</f>
        <v>0</v>
      </c>
      <c r="W48" s="10"/>
      <c r="X48" s="9">
        <f>ROUND(SUM(F48)+SUM(J48)+SUM(N48)+SUM(R48),1)</f>
        <v>0</v>
      </c>
      <c r="Y48" s="1385"/>
      <c r="Z48" s="1386"/>
      <c r="AA48" s="9"/>
      <c r="AB48" s="467">
        <v>0</v>
      </c>
      <c r="AC48" s="10"/>
      <c r="AD48" s="14">
        <f>'Exhibit I'!AI92</f>
        <v>0</v>
      </c>
      <c r="AE48" s="10"/>
      <c r="AF48" s="2222"/>
      <c r="AG48" s="9">
        <f>X48-AD48</f>
        <v>0</v>
      </c>
      <c r="AI48" s="955">
        <f>ROUND(IF(AD48=0,0,AG48/ABS(AD48)),3)</f>
        <v>0</v>
      </c>
      <c r="AJ48" s="1384"/>
      <c r="AK48" s="958"/>
      <c r="AL48" s="958"/>
    </row>
    <row r="49" spans="1:40" ht="18" customHeight="1">
      <c r="A49" s="7" t="s">
        <v>46</v>
      </c>
      <c r="B49" s="1378" t="s">
        <v>1137</v>
      </c>
      <c r="C49" s="7"/>
      <c r="D49" s="448">
        <f>+'Exhibit F'!Z127+'Exhibit F'!Z128+'Exhibit F'!Z129+'Exhibit F'!Z130</f>
        <v>3161.1999999999939</v>
      </c>
      <c r="E49" s="9"/>
      <c r="F49" s="9">
        <f>+'Exhibit F'!AC127+'Exhibit F'!AC128+'Exhibit F'!AC129+'Exhibit F'!AC130</f>
        <v>42331.7</v>
      </c>
      <c r="G49" s="9"/>
      <c r="H49" s="448">
        <f>'Exhibit G'!Z115-24.3</f>
        <v>727.19999999999959</v>
      </c>
      <c r="I49" s="9"/>
      <c r="J49" s="9">
        <f>+'Exhibit G'!AD115</f>
        <v>3288.4</v>
      </c>
      <c r="K49" s="9"/>
      <c r="L49" s="448">
        <f>+'Exhibit H'!X68</f>
        <v>145.89999999999986</v>
      </c>
      <c r="M49" s="9"/>
      <c r="N49" s="9">
        <f>+'Exhibit H'!AA68</f>
        <v>1641.6</v>
      </c>
      <c r="O49" s="9"/>
      <c r="P49" s="453">
        <f>'Exhibit I'!AA93</f>
        <v>2733.0000000000009</v>
      </c>
      <c r="Q49" s="448"/>
      <c r="R49" s="448">
        <f>+'Exhibit I'!AF93</f>
        <v>5062.1000000000004</v>
      </c>
      <c r="S49" s="1385"/>
      <c r="T49" s="1385"/>
      <c r="U49" s="9"/>
      <c r="V49" s="448">
        <f>ROUND(SUM(D49)+SUM(H49)+SUM(L49)+SUM(P49),1)</f>
        <v>6767.3</v>
      </c>
      <c r="W49" s="9" t="s">
        <v>14</v>
      </c>
      <c r="X49" s="9">
        <f>ROUND(SUM(F49)+SUM(J49)+SUM(N49)+SUM(R49),1)</f>
        <v>52323.8</v>
      </c>
      <c r="Y49" s="1385"/>
      <c r="Z49" s="1386"/>
      <c r="AA49" s="9"/>
      <c r="AB49" s="467">
        <v>7624.2999999999993</v>
      </c>
      <c r="AC49" s="9"/>
      <c r="AD49" s="9">
        <f>'Exhibit F'!AF127+'Exhibit F'!AF128+'Exhibit F'!AF129+'Exhibit F'!AF130+'Exhibit G'!AG115+'Exhibit H'!AD68+'Exhibit I'!AI93</f>
        <v>61298.199999999983</v>
      </c>
      <c r="AE49" s="9"/>
      <c r="AF49" s="1746"/>
      <c r="AG49" s="9">
        <f>ROUND(SUM(X49-AD49),1)</f>
        <v>-8974.4</v>
      </c>
      <c r="AI49" s="955">
        <f>ROUND(SUM((+X49-AD49)/ABS(AD49)),3)</f>
        <v>-0.14599999999999999</v>
      </c>
      <c r="AJ49" s="450"/>
      <c r="AK49" s="958"/>
      <c r="AL49" s="958"/>
    </row>
    <row r="50" spans="1:40" ht="18" customHeight="1">
      <c r="A50" s="7" t="s">
        <v>47</v>
      </c>
      <c r="B50" s="1378" t="s">
        <v>1137</v>
      </c>
      <c r="C50" s="7"/>
      <c r="D50" s="448">
        <f>+'Exhibit F'!Z131+'Exhibit F'!Z133+'Exhibit F'!Z134+'Exhibit F'!Z132</f>
        <v>-3259.8999999999996</v>
      </c>
      <c r="E50" s="9"/>
      <c r="F50" s="9">
        <f>+'Exhibit F'!AC131+'Exhibit F'!AC133+'Exhibit F'!AC134+'Exhibit F'!AC132</f>
        <v>-8325.1</v>
      </c>
      <c r="G50" s="9"/>
      <c r="H50" s="448">
        <f>'Exhibit G'!Z116+24.3</f>
        <v>-709.49999999999977</v>
      </c>
      <c r="I50" s="9"/>
      <c r="J50" s="9">
        <f>+'Exhibit G'!AD116</f>
        <v>-2244.9</v>
      </c>
      <c r="K50" s="9"/>
      <c r="L50" s="448">
        <f>+'Exhibit H'!X69</f>
        <v>-1994.8999999999942</v>
      </c>
      <c r="M50" s="9"/>
      <c r="N50" s="9">
        <f>+'Exhibit H'!AA69</f>
        <v>-40713.699999999997</v>
      </c>
      <c r="O50" s="9"/>
      <c r="P50" s="453">
        <f>'Exhibit I'!AA94</f>
        <v>-909.1</v>
      </c>
      <c r="Q50" s="448"/>
      <c r="R50" s="448">
        <f>+'Exhibit I'!AF94</f>
        <v>-1232.7</v>
      </c>
      <c r="S50" s="1385"/>
      <c r="T50" s="1385"/>
      <c r="U50" s="9"/>
      <c r="V50" s="448">
        <f>ROUND(SUM(D50)+SUM(H50)+SUM(L50)+SUM(P50),1)</f>
        <v>-6873.4</v>
      </c>
      <c r="W50" s="9" t="s">
        <v>14</v>
      </c>
      <c r="X50" s="9">
        <f>ROUND(SUM(F50)+SUM(J50)+SUM(N50)+SUM(R50),1)</f>
        <v>-52516.4</v>
      </c>
      <c r="Y50" s="1385"/>
      <c r="Z50" s="1386"/>
      <c r="AA50" s="9"/>
      <c r="AB50" s="467">
        <v>-7770.2</v>
      </c>
      <c r="AC50" s="9"/>
      <c r="AD50" s="9">
        <f>'Exhibit F'!AF131+'Exhibit F'!AF132+'Exhibit F'!AF133+'Exhibit F'!AF134+'Exhibit G'!AG116+'Exhibit H'!AD69+'Exhibit I'!AI94</f>
        <v>-61535.499999999993</v>
      </c>
      <c r="AE50" s="9"/>
      <c r="AF50" s="1746"/>
      <c r="AG50" s="2223">
        <f>ROUND(SUM(X50-AD50),1)*-1</f>
        <v>-9019.1</v>
      </c>
      <c r="AI50" s="956">
        <f>-ROUND(SUM((+X50-AD50)/ABS(AD50)),3)</f>
        <v>-0.14699999999999999</v>
      </c>
      <c r="AJ50" s="450"/>
      <c r="AK50" s="958"/>
      <c r="AL50" s="958"/>
    </row>
    <row r="51" spans="1:40" ht="18" customHeight="1">
      <c r="A51" s="1371" t="s">
        <v>48</v>
      </c>
      <c r="B51" s="1371"/>
      <c r="C51" s="7"/>
      <c r="D51" s="12">
        <f>ROUND(SUM(D48:D50),1)</f>
        <v>-98.7</v>
      </c>
      <c r="E51" s="9"/>
      <c r="F51" s="12">
        <f>ROUND(SUM(F48:F50),1)</f>
        <v>34006.6</v>
      </c>
      <c r="G51" s="16"/>
      <c r="H51" s="12">
        <f>ROUND(SUM(H48:H50),1)</f>
        <v>17.7</v>
      </c>
      <c r="I51" s="16"/>
      <c r="J51" s="12">
        <f>ROUND(SUM(J48:J50),1)</f>
        <v>1043.5</v>
      </c>
      <c r="K51" s="16"/>
      <c r="L51" s="12">
        <f>ROUND(SUM(L48:L50),1)</f>
        <v>-1849</v>
      </c>
      <c r="M51" s="16"/>
      <c r="N51" s="12">
        <f>ROUND(SUM(N48:N50),1)</f>
        <v>-39072.1</v>
      </c>
      <c r="O51" s="16"/>
      <c r="P51" s="12">
        <f>ROUND(SUM(P48:P50),1)</f>
        <v>1823.9</v>
      </c>
      <c r="Q51" s="16"/>
      <c r="R51" s="12">
        <f>ROUND(SUM(R48:R50),1)</f>
        <v>3829.4</v>
      </c>
      <c r="S51" s="1388"/>
      <c r="T51" s="1388"/>
      <c r="U51" s="16"/>
      <c r="V51" s="1387">
        <f>ROUND(SUM(V48+V49+V50),1)</f>
        <v>-106.1</v>
      </c>
      <c r="W51" s="16"/>
      <c r="X51" s="1387">
        <f>ROUND(SUM(+X48+X49+X50),1)</f>
        <v>-192.6</v>
      </c>
      <c r="Y51" s="1388"/>
      <c r="Z51" s="1389"/>
      <c r="AA51" s="16"/>
      <c r="AB51" s="1387">
        <f>ROUND(SUM(+AB48+AB49+AB50),1)</f>
        <v>-145.9</v>
      </c>
      <c r="AC51" s="16"/>
      <c r="AD51" s="1387">
        <f>ROUND(SUM(+AD48+AD49+AD50),1)</f>
        <v>-237.3</v>
      </c>
      <c r="AE51" s="2133"/>
      <c r="AF51" s="1747"/>
      <c r="AG51" s="11">
        <f>ROUND(SUM(+AG49-AG50+AG48),1)</f>
        <v>44.7</v>
      </c>
      <c r="AH51" s="1377"/>
      <c r="AI51" s="957">
        <f>-ROUND(SUM(AG51/AD51),3)</f>
        <v>0.188</v>
      </c>
      <c r="AJ51" s="1371" t="s">
        <v>14</v>
      </c>
      <c r="AK51" s="958"/>
      <c r="AL51" s="958"/>
    </row>
    <row r="52" spans="1:40" ht="16.399999999999999" customHeight="1">
      <c r="A52" s="7"/>
      <c r="B52" s="7"/>
      <c r="C52" s="7"/>
      <c r="D52" s="448"/>
      <c r="E52" s="9"/>
      <c r="F52" s="448" t="s">
        <v>14</v>
      </c>
      <c r="G52" s="9"/>
      <c r="H52" s="448" t="s">
        <v>14</v>
      </c>
      <c r="I52" s="9"/>
      <c r="J52" s="9"/>
      <c r="K52" s="9"/>
      <c r="L52" s="448" t="s">
        <v>14</v>
      </c>
      <c r="M52" s="9"/>
      <c r="N52" s="9"/>
      <c r="O52" s="9"/>
      <c r="P52" s="448" t="s">
        <v>14</v>
      </c>
      <c r="Q52" s="448"/>
      <c r="R52" s="448" t="s">
        <v>14</v>
      </c>
      <c r="S52" s="1385"/>
      <c r="T52" s="1385"/>
      <c r="U52" s="9"/>
      <c r="V52" s="448"/>
      <c r="W52" s="9"/>
      <c r="X52" s="9"/>
      <c r="Y52" s="1385"/>
      <c r="Z52" s="1386"/>
      <c r="AA52" s="9"/>
      <c r="AB52" s="448"/>
      <c r="AC52" s="9"/>
      <c r="AD52" s="9"/>
      <c r="AE52" s="9"/>
      <c r="AF52" s="1746"/>
      <c r="AG52" s="9"/>
      <c r="AI52" s="958"/>
      <c r="AJ52" s="7"/>
      <c r="AK52" s="958"/>
      <c r="AL52" s="958"/>
    </row>
    <row r="53" spans="1:40" ht="18" customHeight="1">
      <c r="A53" s="1371" t="s">
        <v>43</v>
      </c>
      <c r="B53" s="1371"/>
      <c r="C53" s="7"/>
      <c r="D53" s="448" t="s">
        <v>14</v>
      </c>
      <c r="E53" s="9"/>
      <c r="F53" s="448" t="s">
        <v>14</v>
      </c>
      <c r="G53" s="9"/>
      <c r="H53" s="448" t="s">
        <v>14</v>
      </c>
      <c r="I53" s="9"/>
      <c r="J53" s="9"/>
      <c r="K53" s="9"/>
      <c r="L53" s="448" t="s">
        <v>14</v>
      </c>
      <c r="M53" s="9"/>
      <c r="N53" s="9"/>
      <c r="O53" s="9"/>
      <c r="P53" s="448" t="s">
        <v>14</v>
      </c>
      <c r="Q53" s="448"/>
      <c r="R53" s="448"/>
      <c r="S53" s="1385"/>
      <c r="T53" s="1385"/>
      <c r="U53" s="9"/>
      <c r="V53" s="448" t="s">
        <v>14</v>
      </c>
      <c r="W53" s="9"/>
      <c r="X53" s="9"/>
      <c r="Y53" s="1385"/>
      <c r="Z53" s="1386"/>
      <c r="AA53" s="9"/>
      <c r="AB53" s="448"/>
      <c r="AC53" s="9"/>
      <c r="AD53" s="9"/>
      <c r="AE53" s="9"/>
      <c r="AF53" s="1746"/>
      <c r="AG53" s="9"/>
      <c r="AI53" s="959"/>
      <c r="AJ53" s="7"/>
      <c r="AK53" s="958"/>
      <c r="AL53" s="958"/>
    </row>
    <row r="54" spans="1:40" ht="18" customHeight="1">
      <c r="A54" s="1371" t="s">
        <v>49</v>
      </c>
      <c r="B54" s="1371"/>
      <c r="C54" s="7"/>
      <c r="D54" s="448"/>
      <c r="E54" s="9"/>
      <c r="F54" s="9"/>
      <c r="G54" s="9"/>
      <c r="H54" s="448"/>
      <c r="I54" s="9"/>
      <c r="J54" s="9"/>
      <c r="K54" s="9"/>
      <c r="L54" s="448"/>
      <c r="M54" s="9"/>
      <c r="N54" s="9"/>
      <c r="O54" s="9"/>
      <c r="P54" s="448"/>
      <c r="Q54" s="448"/>
      <c r="R54" s="448"/>
      <c r="S54" s="1385"/>
      <c r="T54" s="1385"/>
      <c r="U54" s="9"/>
      <c r="V54" s="448" t="s">
        <v>14</v>
      </c>
      <c r="W54" s="9"/>
      <c r="X54" s="9"/>
      <c r="Y54" s="1385"/>
      <c r="Z54" s="1386"/>
      <c r="AA54" s="9"/>
      <c r="AB54" s="448"/>
      <c r="AC54" s="9"/>
      <c r="AD54" s="9"/>
      <c r="AE54" s="9"/>
      <c r="AF54" s="1746"/>
      <c r="AG54" s="9"/>
      <c r="AI54" s="958"/>
      <c r="AJ54" s="7"/>
      <c r="AK54" s="958"/>
      <c r="AL54" s="958"/>
    </row>
    <row r="55" spans="1:40" ht="18" customHeight="1">
      <c r="A55" s="1371" t="s">
        <v>50</v>
      </c>
      <c r="B55" s="1371"/>
      <c r="C55" s="7"/>
      <c r="D55" s="16">
        <f>ROUND(SUM(D45+D51),1)</f>
        <v>-6970.3</v>
      </c>
      <c r="E55" s="16"/>
      <c r="F55" s="16">
        <f>ROUND(SUM(F45)+SUM(F51),1)</f>
        <v>10397.9</v>
      </c>
      <c r="G55" s="16"/>
      <c r="H55" s="16">
        <f>ROUND(SUM(H45+H51),1)</f>
        <v>-1615.4</v>
      </c>
      <c r="I55" s="16"/>
      <c r="J55" s="16">
        <f>ROUND(SUM(J45)+SUM(J51),1)</f>
        <v>2002</v>
      </c>
      <c r="K55" s="16"/>
      <c r="L55" s="16">
        <f>ROUND(SUM(L45+L51),1)</f>
        <v>-5169.7</v>
      </c>
      <c r="M55" s="16"/>
      <c r="N55" s="16">
        <f>ROUND(SUM(N45+N51),1)</f>
        <v>57.4</v>
      </c>
      <c r="O55" s="16"/>
      <c r="P55" s="16">
        <f>ROUND(SUM(P45+P51),1)</f>
        <v>-105.1</v>
      </c>
      <c r="Q55" s="16"/>
      <c r="R55" s="16">
        <f>ROUND(SUM(R45+R51),1)</f>
        <v>-50.6</v>
      </c>
      <c r="S55" s="1388"/>
      <c r="T55" s="1388"/>
      <c r="U55" s="16"/>
      <c r="V55" s="16">
        <f>ROUND(SUM(V45)+SUM(V51),1)</f>
        <v>-13860.5</v>
      </c>
      <c r="W55" s="16"/>
      <c r="X55" s="16">
        <f>ROUND(SUM(X45)+SUM(X51),1)</f>
        <v>12406.7</v>
      </c>
      <c r="Y55" s="1388"/>
      <c r="Z55" s="1389"/>
      <c r="AA55" s="16"/>
      <c r="AB55" s="16">
        <f>ROUND(SUM(AB45)+SUM(AB51),1)</f>
        <v>-12822.4</v>
      </c>
      <c r="AC55" s="16"/>
      <c r="AD55" s="16">
        <f>ROUND(SUM(AD45)+SUM(AD51),1)</f>
        <v>34797.9</v>
      </c>
      <c r="AE55" s="16"/>
      <c r="AF55" s="1747"/>
      <c r="AG55" s="16">
        <f>ROUND(SUM(+AG45+AG51),1)</f>
        <v>-22391.200000000001</v>
      </c>
      <c r="AH55" s="1377"/>
      <c r="AI55" s="981">
        <f>ROUND(SUM((+X55-AD55)/ABS(AD55)),3)</f>
        <v>-0.64300000000000002</v>
      </c>
      <c r="AJ55" s="1371"/>
      <c r="AK55" s="490"/>
      <c r="AL55" s="958"/>
    </row>
    <row r="56" spans="1:40" ht="16.399999999999999" customHeight="1">
      <c r="A56" s="1371"/>
      <c r="B56" s="1371"/>
      <c r="C56" s="7"/>
      <c r="D56" s="448"/>
      <c r="E56" s="9"/>
      <c r="F56" s="9"/>
      <c r="G56" s="9"/>
      <c r="H56" s="448"/>
      <c r="I56" s="9"/>
      <c r="J56" s="9"/>
      <c r="K56" s="9"/>
      <c r="L56" s="448"/>
      <c r="M56" s="9"/>
      <c r="N56" s="9"/>
      <c r="O56" s="9"/>
      <c r="P56" s="448"/>
      <c r="Q56" s="448"/>
      <c r="R56" s="448"/>
      <c r="S56" s="1385"/>
      <c r="T56" s="1385"/>
      <c r="U56" s="9"/>
      <c r="V56" s="448"/>
      <c r="W56" s="9"/>
      <c r="X56" s="9"/>
      <c r="Y56" s="1385"/>
      <c r="Z56" s="1386"/>
      <c r="AA56" s="9"/>
      <c r="AB56" s="448"/>
      <c r="AC56" s="9"/>
      <c r="AD56" s="9"/>
      <c r="AE56" s="9"/>
      <c r="AF56" s="1746"/>
      <c r="AG56" s="9"/>
      <c r="AI56" s="958"/>
      <c r="AJ56" s="7"/>
      <c r="AK56" s="958"/>
      <c r="AL56" s="958"/>
    </row>
    <row r="57" spans="1:40" ht="18" customHeight="1">
      <c r="A57" s="1391" t="s">
        <v>51</v>
      </c>
      <c r="B57" s="1383"/>
      <c r="C57" s="7"/>
      <c r="D57" s="15">
        <f>+'Exhibit F'!Z12</f>
        <v>50420.9</v>
      </c>
      <c r="E57" s="16"/>
      <c r="F57" s="15">
        <f>'Exhibit F'!D12</f>
        <v>33052.699999999997</v>
      </c>
      <c r="G57" s="16"/>
      <c r="H57" s="15">
        <f>+'Exhibit G'!Z13</f>
        <v>25555.599999999999</v>
      </c>
      <c r="I57" s="16"/>
      <c r="J57" s="15">
        <f>'Exhibit G'!D13</f>
        <v>21938.2</v>
      </c>
      <c r="K57" s="16"/>
      <c r="L57" s="15">
        <f>'Exhibit H'!X12</f>
        <v>5329.1</v>
      </c>
      <c r="M57" s="16"/>
      <c r="N57" s="15">
        <f>'Exhibit H'!B12</f>
        <v>102</v>
      </c>
      <c r="O57" s="16"/>
      <c r="P57" s="15">
        <f>+'Exhibit I'!AA15</f>
        <v>-1489.4</v>
      </c>
      <c r="Q57" s="16"/>
      <c r="R57" s="15">
        <f>'Exhibit I'!E15</f>
        <v>-1543.9</v>
      </c>
      <c r="S57" s="1388"/>
      <c r="T57" s="1388"/>
      <c r="U57" s="16"/>
      <c r="V57" s="15">
        <f>D57+H57+L57+P57</f>
        <v>79816.200000000012</v>
      </c>
      <c r="W57" s="16"/>
      <c r="X57" s="15">
        <f>F57+J57+N57+R57</f>
        <v>53548.999999999993</v>
      </c>
      <c r="Y57" s="1388"/>
      <c r="Z57" s="1389"/>
      <c r="AA57" s="16"/>
      <c r="AB57" s="77">
        <v>66371.399999999994</v>
      </c>
      <c r="AC57" s="16"/>
      <c r="AD57" s="15">
        <f>'Exhibit F'!AF12+'Exhibit G'!AG13+'Exhibit H'!AD12+'Exhibit I'!AI15</f>
        <v>18751.099999999999</v>
      </c>
      <c r="AE57" s="16"/>
      <c r="AF57" s="1747"/>
      <c r="AG57" s="15">
        <f>ROUND(SUM(X57-AD57),1)</f>
        <v>34797.9</v>
      </c>
      <c r="AH57" s="1377"/>
      <c r="AI57" s="1390">
        <f>ROUND(SUM((+X57-AD57)/ABS(AD57)),3)</f>
        <v>1.8560000000000001</v>
      </c>
      <c r="AJ57" s="1371"/>
      <c r="AK57" s="958"/>
      <c r="AL57" s="958"/>
    </row>
    <row r="58" spans="1:40" ht="16.399999999999999" customHeight="1">
      <c r="A58" s="7"/>
      <c r="B58" s="7"/>
      <c r="C58" s="7"/>
      <c r="D58" s="448"/>
      <c r="E58" s="9"/>
      <c r="F58" s="9"/>
      <c r="G58" s="9"/>
      <c r="H58" s="448"/>
      <c r="I58" s="9"/>
      <c r="J58" s="9"/>
      <c r="K58" s="9"/>
      <c r="L58" s="448"/>
      <c r="M58" s="9"/>
      <c r="N58" s="9"/>
      <c r="O58" s="9"/>
      <c r="P58" s="448"/>
      <c r="Q58" s="448"/>
      <c r="R58" s="448"/>
      <c r="S58" s="1385"/>
      <c r="T58" s="1385"/>
      <c r="U58" s="9"/>
      <c r="V58" s="448"/>
      <c r="W58" s="9"/>
      <c r="X58" s="9"/>
      <c r="Y58" s="1385"/>
      <c r="Z58" s="1386"/>
      <c r="AA58" s="9"/>
      <c r="AB58" s="448"/>
      <c r="AC58" s="9"/>
      <c r="AD58" s="9"/>
      <c r="AE58" s="9"/>
      <c r="AF58" s="1746"/>
      <c r="AG58" s="9"/>
      <c r="AI58" s="958"/>
      <c r="AJ58" s="7"/>
      <c r="AK58" s="958"/>
      <c r="AL58" s="958"/>
    </row>
    <row r="59" spans="1:40" ht="18" customHeight="1" thickBot="1">
      <c r="A59" s="1391" t="s">
        <v>52</v>
      </c>
      <c r="B59" s="1381"/>
      <c r="C59" s="955"/>
      <c r="D59" s="18">
        <f>ROUND(SUM(D55+D57),1)</f>
        <v>43450.6</v>
      </c>
      <c r="E59" s="1392"/>
      <c r="F59" s="18">
        <f>ROUND(SUM(F55+F57),1)</f>
        <v>43450.6</v>
      </c>
      <c r="G59" s="1392"/>
      <c r="H59" s="18">
        <f>ROUND(SUM(H55+H57),1)</f>
        <v>23940.2</v>
      </c>
      <c r="I59" s="1392"/>
      <c r="J59" s="18">
        <f>ROUND(SUM(J55)+SUM(J57),1)</f>
        <v>23940.2</v>
      </c>
      <c r="K59" s="1392"/>
      <c r="L59" s="18">
        <f>ROUND(SUM(L55+L57),1)</f>
        <v>159.4</v>
      </c>
      <c r="M59" s="1392"/>
      <c r="N59" s="18">
        <f>ROUND(SUM(N55+N57),1)</f>
        <v>159.4</v>
      </c>
      <c r="O59" s="1392"/>
      <c r="P59" s="18">
        <f>ROUND(SUM(P55+P57),1)</f>
        <v>-1594.5</v>
      </c>
      <c r="Q59" s="1392"/>
      <c r="R59" s="18">
        <f>ROUND(SUM(R55+R57),1)</f>
        <v>-1594.5</v>
      </c>
      <c r="S59" s="1393"/>
      <c r="T59" s="1393"/>
      <c r="U59" s="1392"/>
      <c r="V59" s="18">
        <f>ROUND(SUM(V55+V57),1)</f>
        <v>65955.7</v>
      </c>
      <c r="W59" s="1392"/>
      <c r="X59" s="18">
        <f>ROUND(SUM(X55+X57),1)</f>
        <v>65955.7</v>
      </c>
      <c r="Y59" s="1393"/>
      <c r="Z59" s="1394"/>
      <c r="AA59" s="1392"/>
      <c r="AB59" s="18">
        <f>ROUND(SUM(AB55+AB57),1)</f>
        <v>53549</v>
      </c>
      <c r="AC59" s="1392"/>
      <c r="AD59" s="18">
        <f>ROUND(SUM(AD55+AD57),1)</f>
        <v>53549</v>
      </c>
      <c r="AE59" s="1392"/>
      <c r="AF59" s="1744"/>
      <c r="AG59" s="18">
        <f>ROUND(SUM(AG55+AG57),1)</f>
        <v>12406.7</v>
      </c>
      <c r="AH59" s="1377"/>
      <c r="AI59" s="1395">
        <f>ROUND(SUM((+X59-AD59)/ABS(AD59)),3)</f>
        <v>0.23200000000000001</v>
      </c>
      <c r="AJ59" s="1396"/>
      <c r="AK59" s="490"/>
      <c r="AL59" s="490"/>
      <c r="AM59" s="1745"/>
      <c r="AN59" s="1377"/>
    </row>
    <row r="60" spans="1:40" ht="16" thickTop="1">
      <c r="A60" s="1397"/>
      <c r="B60" s="1397"/>
      <c r="C60" s="1397"/>
      <c r="D60" s="1861"/>
      <c r="E60" s="450"/>
      <c r="F60" s="450"/>
      <c r="G60" s="450"/>
      <c r="H60" s="1861"/>
      <c r="I60" s="450"/>
      <c r="J60" s="450"/>
      <c r="K60" s="450"/>
      <c r="L60" s="1861"/>
      <c r="M60" s="450"/>
      <c r="N60" s="450"/>
      <c r="O60" s="450"/>
      <c r="P60" s="450"/>
      <c r="Q60" s="450"/>
      <c r="R60" s="450"/>
      <c r="S60" s="1398"/>
      <c r="T60" s="1398"/>
      <c r="U60" s="1398"/>
      <c r="V60" s="1399"/>
      <c r="W60" s="1398"/>
      <c r="X60" s="450"/>
      <c r="Y60" s="1398"/>
      <c r="Z60" s="1398"/>
      <c r="AA60" s="1398"/>
      <c r="AB60" s="1399"/>
      <c r="AC60" s="1398"/>
      <c r="AD60" s="1398"/>
      <c r="AE60" s="1398"/>
      <c r="AF60" s="1398"/>
      <c r="AG60" s="1398"/>
      <c r="AI60" s="1400"/>
      <c r="AJ60" s="958"/>
      <c r="AK60" s="958"/>
      <c r="AL60" s="958"/>
    </row>
    <row r="61" spans="1:40" ht="15.5">
      <c r="A61" s="490"/>
      <c r="B61" s="1377"/>
      <c r="C61" s="1377"/>
      <c r="F61" s="1362" t="s">
        <v>14</v>
      </c>
      <c r="P61" s="490"/>
      <c r="T61" s="1362" t="s">
        <v>14</v>
      </c>
      <c r="V61" s="1363" t="s">
        <v>14</v>
      </c>
      <c r="X61" s="489"/>
      <c r="AI61" s="1400"/>
      <c r="AJ61" s="958"/>
      <c r="AK61" s="958"/>
      <c r="AL61" s="958"/>
    </row>
    <row r="62" spans="1:40" ht="15.5">
      <c r="V62" s="1363" t="s">
        <v>14</v>
      </c>
      <c r="AB62" s="1862"/>
      <c r="AD62" s="489"/>
      <c r="AI62" s="1400"/>
      <c r="AJ62" s="958"/>
      <c r="AK62" s="958"/>
      <c r="AL62" s="958"/>
    </row>
    <row r="63" spans="1:40" ht="15.5">
      <c r="V63" s="1363" t="s">
        <v>14</v>
      </c>
      <c r="AB63" s="1862"/>
      <c r="AI63" s="1400"/>
      <c r="AJ63" s="958"/>
      <c r="AK63" s="958"/>
      <c r="AL63" s="958"/>
    </row>
    <row r="64" spans="1:40" ht="15.5">
      <c r="A64" s="2224"/>
      <c r="AI64" s="1400"/>
      <c r="AJ64" s="958"/>
      <c r="AK64" s="958"/>
      <c r="AL64" s="958"/>
    </row>
    <row r="65" spans="1:38" ht="15.5">
      <c r="A65" s="2224"/>
      <c r="AB65" s="1862"/>
      <c r="AI65" s="1400"/>
      <c r="AJ65" s="958"/>
      <c r="AK65" s="958"/>
      <c r="AL65" s="958"/>
    </row>
    <row r="66" spans="1:38" ht="15.5">
      <c r="A66" s="1401"/>
      <c r="B66" s="1402"/>
      <c r="C66" s="490"/>
      <c r="D66" s="1403"/>
      <c r="E66" s="1404"/>
      <c r="F66" s="1404"/>
      <c r="G66" s="1404"/>
      <c r="H66" s="1403"/>
      <c r="I66" s="1404"/>
      <c r="J66" s="1404"/>
      <c r="K66" s="1404"/>
      <c r="L66" s="1403"/>
      <c r="AI66" s="1400"/>
      <c r="AJ66" s="958"/>
      <c r="AK66" s="958"/>
      <c r="AL66" s="958"/>
    </row>
    <row r="67" spans="1:38" ht="15.5">
      <c r="A67" s="958"/>
      <c r="B67" s="958"/>
      <c r="C67" s="958"/>
      <c r="D67" s="1405"/>
      <c r="E67" s="958"/>
      <c r="F67" s="958"/>
      <c r="G67" s="958"/>
      <c r="H67" s="1405"/>
      <c r="I67" s="958"/>
      <c r="J67" s="958"/>
      <c r="K67" s="958"/>
      <c r="L67" s="1405"/>
      <c r="N67" s="1362" t="s">
        <v>14</v>
      </c>
      <c r="AI67" s="1400"/>
      <c r="AJ67" s="958"/>
      <c r="AK67" s="958"/>
      <c r="AL67" s="958"/>
    </row>
    <row r="68" spans="1:38" ht="15.5">
      <c r="A68" s="958"/>
      <c r="B68" s="958"/>
      <c r="C68" s="958"/>
      <c r="D68" s="1405"/>
      <c r="E68" s="958"/>
      <c r="F68" s="958"/>
      <c r="G68" s="958"/>
      <c r="H68" s="1405"/>
      <c r="I68" s="958"/>
      <c r="J68" s="958"/>
      <c r="K68" s="958"/>
      <c r="L68" s="1405"/>
      <c r="N68" s="1362" t="s">
        <v>14</v>
      </c>
      <c r="AI68" s="1400"/>
      <c r="AJ68" s="958"/>
      <c r="AK68" s="958"/>
      <c r="AL68" s="958"/>
    </row>
    <row r="69" spans="1:38" ht="15.5">
      <c r="A69" s="958"/>
      <c r="B69" s="958"/>
      <c r="C69" s="958"/>
      <c r="D69" s="1405"/>
      <c r="E69" s="958"/>
      <c r="F69" s="958"/>
      <c r="G69" s="958"/>
      <c r="H69" s="1405"/>
      <c r="I69" s="958"/>
      <c r="J69" s="958"/>
      <c r="K69" s="958"/>
      <c r="L69" s="1405"/>
      <c r="AI69" s="1400"/>
      <c r="AJ69" s="958"/>
      <c r="AK69" s="958"/>
      <c r="AL69" s="958"/>
    </row>
    <row r="70" spans="1:38" ht="15.5">
      <c r="AI70" s="1400"/>
      <c r="AJ70" s="958"/>
      <c r="AK70" s="958"/>
      <c r="AL70" s="958"/>
    </row>
    <row r="71" spans="1:38" ht="15.5">
      <c r="AI71" s="1400"/>
      <c r="AJ71" s="958"/>
      <c r="AK71" s="958"/>
      <c r="AL71" s="958"/>
    </row>
    <row r="72" spans="1:38" ht="15.5">
      <c r="AI72" s="1400"/>
      <c r="AJ72" s="958"/>
      <c r="AK72" s="958"/>
      <c r="AL72" s="958"/>
    </row>
    <row r="73" spans="1:38" ht="15.5">
      <c r="AI73" s="1400"/>
      <c r="AJ73" s="958"/>
      <c r="AK73" s="958"/>
      <c r="AL73" s="958"/>
    </row>
    <row r="74" spans="1:38" ht="15.5">
      <c r="AI74" s="1400"/>
      <c r="AJ74" s="958"/>
      <c r="AK74" s="958"/>
      <c r="AL74" s="958"/>
    </row>
    <row r="75" spans="1:38" ht="15.5">
      <c r="AI75" s="1400"/>
      <c r="AJ75" s="958"/>
      <c r="AK75" s="958"/>
      <c r="AL75" s="958"/>
    </row>
    <row r="76" spans="1:38" ht="15.5">
      <c r="AI76" s="1400"/>
      <c r="AJ76" s="958"/>
      <c r="AK76" s="958"/>
      <c r="AL76" s="958"/>
    </row>
    <row r="77" spans="1:38" ht="15.5">
      <c r="AI77" s="1400"/>
      <c r="AJ77" s="958"/>
      <c r="AK77" s="958"/>
      <c r="AL77" s="958"/>
    </row>
    <row r="78" spans="1:38" ht="15.5">
      <c r="AI78" s="1400"/>
      <c r="AJ78" s="958"/>
      <c r="AK78" s="958"/>
      <c r="AL78" s="958"/>
    </row>
    <row r="79" spans="1:38" ht="15.5">
      <c r="AI79" s="1400"/>
      <c r="AJ79" s="958"/>
      <c r="AK79" s="958"/>
      <c r="AL79" s="958"/>
    </row>
    <row r="80" spans="1:38" ht="15.5">
      <c r="AI80" s="1400"/>
      <c r="AJ80" s="958"/>
      <c r="AK80" s="958"/>
      <c r="AL80" s="958"/>
    </row>
    <row r="81" spans="35:38" ht="15.5">
      <c r="AI81" s="1400"/>
      <c r="AJ81" s="958"/>
      <c r="AK81" s="958"/>
      <c r="AL81" s="958"/>
    </row>
    <row r="82" spans="35:38" ht="15.5">
      <c r="AI82" s="1400"/>
      <c r="AJ82" s="958"/>
      <c r="AK82" s="958"/>
      <c r="AL82" s="958"/>
    </row>
    <row r="83" spans="35:38" ht="15.5">
      <c r="AI83" s="1400"/>
      <c r="AJ83" s="958"/>
      <c r="AK83" s="958"/>
      <c r="AL83" s="958"/>
    </row>
    <row r="84" spans="35:38" ht="15.5">
      <c r="AI84" s="1400"/>
      <c r="AJ84" s="958"/>
      <c r="AK84" s="958"/>
      <c r="AL84" s="958"/>
    </row>
    <row r="85" spans="35:38" ht="15.5">
      <c r="AI85" s="1400"/>
      <c r="AJ85" s="958"/>
      <c r="AK85" s="958"/>
      <c r="AL85" s="958"/>
    </row>
    <row r="86" spans="35:38" ht="15.5">
      <c r="AI86" s="1400"/>
      <c r="AJ86" s="958"/>
      <c r="AK86" s="958"/>
      <c r="AL86" s="958"/>
    </row>
    <row r="87" spans="35:38" ht="15.5">
      <c r="AI87" s="1400"/>
      <c r="AJ87" s="958"/>
      <c r="AK87" s="958"/>
      <c r="AL87" s="958"/>
    </row>
    <row r="88" spans="35:38" ht="15.5">
      <c r="AI88" s="1400"/>
      <c r="AJ88" s="958"/>
      <c r="AK88" s="958"/>
      <c r="AL88" s="958"/>
    </row>
    <row r="89" spans="35:38" ht="15.5">
      <c r="AI89" s="1400"/>
      <c r="AJ89" s="958"/>
      <c r="AK89" s="958"/>
      <c r="AL89" s="958"/>
    </row>
    <row r="90" spans="35:38" ht="15.5">
      <c r="AI90" s="1400"/>
      <c r="AJ90" s="958"/>
      <c r="AK90" s="958"/>
      <c r="AL90" s="958"/>
    </row>
    <row r="91" spans="35:38" ht="15.5">
      <c r="AI91" s="1400"/>
      <c r="AJ91" s="958"/>
      <c r="AK91" s="958"/>
      <c r="AL91" s="958"/>
    </row>
    <row r="92" spans="35:38" ht="15.5">
      <c r="AI92" s="1400"/>
      <c r="AJ92" s="958"/>
      <c r="AK92" s="958"/>
      <c r="AL92" s="958"/>
    </row>
    <row r="93" spans="35:38" ht="15.5">
      <c r="AI93" s="1400"/>
      <c r="AJ93" s="958"/>
      <c r="AK93" s="958"/>
      <c r="AL93" s="958"/>
    </row>
    <row r="94" spans="35:38" ht="15.5">
      <c r="AI94" s="1400"/>
      <c r="AJ94" s="958"/>
      <c r="AK94" s="958"/>
      <c r="AL94" s="958"/>
    </row>
    <row r="95" spans="35:38" ht="15.5">
      <c r="AI95" s="1400"/>
      <c r="AJ95" s="958"/>
      <c r="AK95" s="958"/>
      <c r="AL95" s="958"/>
    </row>
    <row r="96" spans="35:38" ht="15.5">
      <c r="AI96" s="1400"/>
      <c r="AJ96" s="958"/>
      <c r="AK96" s="958"/>
      <c r="AL96" s="958"/>
    </row>
    <row r="97" spans="35:38" ht="15.5">
      <c r="AI97" s="1400"/>
      <c r="AJ97" s="958"/>
      <c r="AK97" s="958"/>
      <c r="AL97" s="958"/>
    </row>
    <row r="98" spans="35:38" ht="15.5">
      <c r="AI98" s="1400"/>
      <c r="AJ98" s="958"/>
      <c r="AK98" s="958"/>
      <c r="AL98" s="958"/>
    </row>
    <row r="99" spans="35:38" ht="15.5">
      <c r="AI99" s="1400"/>
      <c r="AJ99" s="958"/>
      <c r="AK99" s="958"/>
      <c r="AL99" s="958"/>
    </row>
    <row r="100" spans="35:38" ht="15.5">
      <c r="AI100" s="1400"/>
      <c r="AJ100" s="958"/>
      <c r="AK100" s="958"/>
      <c r="AL100" s="958"/>
    </row>
    <row r="101" spans="35:38" ht="15.5">
      <c r="AI101" s="1400"/>
      <c r="AJ101" s="958"/>
      <c r="AK101" s="958"/>
      <c r="AL101" s="958"/>
    </row>
    <row r="102" spans="35:38" ht="15.5">
      <c r="AI102" s="1400"/>
      <c r="AJ102" s="958"/>
      <c r="AK102" s="958"/>
      <c r="AL102" s="958"/>
    </row>
    <row r="103" spans="35:38" ht="15.5">
      <c r="AI103" s="1400"/>
      <c r="AJ103" s="958"/>
      <c r="AK103" s="958"/>
      <c r="AL103" s="958"/>
    </row>
    <row r="104" spans="35:38" ht="15.5">
      <c r="AI104" s="1400"/>
      <c r="AJ104" s="958"/>
      <c r="AK104" s="958"/>
      <c r="AL104" s="958"/>
    </row>
    <row r="105" spans="35:38" ht="15.5">
      <c r="AI105" s="1400"/>
      <c r="AJ105" s="958"/>
      <c r="AK105" s="958"/>
      <c r="AL105" s="958"/>
    </row>
    <row r="106" spans="35:38" ht="15.5">
      <c r="AI106" s="1400"/>
      <c r="AJ106" s="958"/>
      <c r="AK106" s="958"/>
      <c r="AL106" s="958"/>
    </row>
  </sheetData>
  <mergeCells count="4">
    <mergeCell ref="A4:AI4"/>
    <mergeCell ref="A5:AI5"/>
    <mergeCell ref="A6:AI6"/>
    <mergeCell ref="V10:AI10"/>
  </mergeCells>
  <printOptions horizontalCentered="1"/>
  <pageMargins left="0.25" right="0.25" top="0.5" bottom="0.25" header="0" footer="0.25"/>
  <pageSetup scale="42" firstPageNumber="2" orientation="landscape" useFirstPageNumber="1" r:id="rId1"/>
  <headerFooter scaleWithDoc="0" alignWithMargins="0">
    <oddFooter>&amp;C&amp;8&amp;P</oddFooter>
  </headerFooter>
  <ignoredErrors>
    <ignoredError sqref="E12 I12 M12 AG20:AH20 S59:AA59 S55:U55 S51:U51 S45:AG45 S42:AD42 S34:W34 S20:AF20 S56:AI56 S52:W52 S46:AI47 S44:AI44 S23:AI23 S35:W35 G12 AE14:AG14 AE19:AH19 AE24:AH24 AE25:AH25 AE26:AH26 AE28:AH28 AE29:AH29 AE30:AH30 AE31:AH31 AE32:AH32 S39:AA39 AE36:AH36 AE37:AH37 AE38:AH38 AE40:AH40 W14 S58:AI58 AE49:AF49 S14:U14 S40:AA40 S15:U15 S16:AA16 S18:U18 S19:AA19 S24:AA24 S25:AA25 S26:AA26 S29:AA29 S31:AA31 S32:AA32 S33:W33 S41:AA41 S49:U49 S50:U50 S57:U57 S27:AA27 S28:AA28 S30:AA30 S36:AA36 S38:AA38 S37:AA37 S48:AA48 R17:AA17 E17:G17 E16:G16 E15:G15 E27:G27 E34 E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W43 AC43:AI43 Y49:AA49 AH57 W50:AA50 K12 O12 Q12 S12:U12 W12 W18:AA18 AC51 AE51:AF51 E48 E41:F41 I52:K52 M52:O52 I53:K53 M53:O53 AC59:AH59 W55:AA55 K40 D52:E52 E53 Q52 Q53:R53 S54:AI54 S53:U53 W53:AI53 K32:O32 Q21 Q22 K50 O50 AC55 AE55:AH55 Y52:AI52 S21:W21 Y21:AI21 S22:W22 Y22:AI22 Y43:AA43 Y33:AA33 Y35:AI35 Y34:AA34 AC34:AH34 G14" unlockedFormula="1"/>
    <ignoredError sqref="B41:B48 B51:B56 B49:B50 B14 B19"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2"/>
  <sheetViews>
    <sheetView showGridLines="0" zoomScale="80" workbookViewId="0"/>
  </sheetViews>
  <sheetFormatPr defaultColWidth="8.84375" defaultRowHeight="12.5"/>
  <cols>
    <col min="1" max="1" width="1.84375" style="169" customWidth="1"/>
    <col min="2" max="2" width="40.84375" style="169" customWidth="1"/>
    <col min="3" max="3" width="1.84375" style="169" customWidth="1"/>
    <col min="4" max="4" width="12.07421875" style="169" customWidth="1"/>
    <col min="5" max="5" width="1.84375" style="169" customWidth="1"/>
    <col min="6" max="6" width="12" style="169" customWidth="1"/>
    <col min="7" max="7" width="1.84375" style="169" customWidth="1"/>
    <col min="8" max="8" width="13.07421875" style="169" customWidth="1"/>
    <col min="9" max="9" width="1.84375" style="169" customWidth="1"/>
    <col min="10" max="10" width="13.07421875" style="169" customWidth="1"/>
    <col min="11" max="11" width="1.84375" style="169" customWidth="1"/>
    <col min="12" max="12" width="13.07421875" style="169" customWidth="1"/>
    <col min="13" max="13" width="1.84375" style="169" customWidth="1"/>
    <col min="14" max="14" width="14" style="169" customWidth="1"/>
    <col min="15" max="15" width="1.84375" style="169" customWidth="1"/>
    <col min="16" max="16" width="11.84375" style="169" customWidth="1"/>
    <col min="17" max="17" width="1.84375" style="169" customWidth="1"/>
    <col min="18" max="18" width="11.53515625" style="169" customWidth="1"/>
    <col min="19" max="19" width="1.84375" style="169" customWidth="1"/>
    <col min="20" max="20" width="12.07421875" style="169" customWidth="1"/>
    <col min="21" max="21" width="1.84375" style="169" customWidth="1"/>
    <col min="22" max="22" width="13" style="169" customWidth="1"/>
    <col min="23" max="23" width="1.84375" style="169" customWidth="1"/>
    <col min="24" max="24" width="12.07421875" style="169" customWidth="1"/>
    <col min="25" max="25" width="1.84375" style="169" customWidth="1"/>
    <col min="26" max="26" width="11.4609375" style="169" customWidth="1"/>
    <col min="27" max="27" width="1.07421875" style="169" customWidth="1"/>
    <col min="28" max="29" width="1.84375" style="169" customWidth="1"/>
    <col min="30" max="30" width="15.84375" style="169" customWidth="1"/>
    <col min="31" max="32" width="1.4609375" style="169" customWidth="1"/>
    <col min="33" max="33" width="12.84375" style="169" bestFit="1" customWidth="1"/>
    <col min="34" max="34" width="1.53515625" style="169" customWidth="1"/>
    <col min="35" max="35" width="0.84375" style="169" customWidth="1"/>
    <col min="36" max="36" width="14.84375" style="169" customWidth="1"/>
    <col min="37" max="37" width="0.84375" style="169" customWidth="1"/>
    <col min="38" max="38" width="12.07421875" style="169" customWidth="1"/>
    <col min="39" max="16384" width="8.84375" style="169"/>
  </cols>
  <sheetData>
    <row r="1" spans="1:40" ht="15.5">
      <c r="B1" s="468" t="s">
        <v>868</v>
      </c>
    </row>
    <row r="2" spans="1:40" ht="15.5">
      <c r="M2" s="19"/>
      <c r="N2" s="19"/>
      <c r="O2" s="183"/>
    </row>
    <row r="3" spans="1:40" ht="20.25" customHeight="1">
      <c r="B3" s="171" t="s">
        <v>0</v>
      </c>
      <c r="M3" s="19"/>
      <c r="N3" s="19"/>
      <c r="O3" s="183"/>
      <c r="AF3" s="71"/>
      <c r="AG3" s="71"/>
      <c r="AH3" s="71"/>
      <c r="AI3" s="71"/>
      <c r="AJ3" s="71"/>
      <c r="AK3" s="71"/>
      <c r="AL3" s="276" t="s">
        <v>165</v>
      </c>
    </row>
    <row r="4" spans="1:40" ht="18">
      <c r="B4" s="171" t="s">
        <v>172</v>
      </c>
      <c r="L4" s="19"/>
      <c r="M4" s="19"/>
      <c r="O4" s="183"/>
    </row>
    <row r="5" spans="1:40" ht="18">
      <c r="B5" s="128" t="s">
        <v>145</v>
      </c>
      <c r="L5" s="183"/>
      <c r="M5" s="183"/>
      <c r="O5" s="183"/>
      <c r="X5" s="201"/>
    </row>
    <row r="6" spans="1:40" ht="20">
      <c r="B6" s="974" t="str">
        <f>'Cashflow Governmental'!A6</f>
        <v xml:space="preserve">FISCAL YEAR 2022-2023   </v>
      </c>
      <c r="L6" s="183"/>
      <c r="M6" s="183"/>
      <c r="O6" s="183"/>
      <c r="AL6" s="186"/>
    </row>
    <row r="7" spans="1:40" ht="18">
      <c r="B7" s="171" t="s">
        <v>1250</v>
      </c>
      <c r="AI7" s="99"/>
      <c r="AJ7" s="99"/>
      <c r="AK7" s="99"/>
      <c r="AL7" s="99"/>
    </row>
    <row r="8" spans="1:40" ht="13.5" customHeight="1">
      <c r="D8" s="1319"/>
      <c r="L8" s="183"/>
      <c r="M8" s="183"/>
      <c r="N8" s="183"/>
      <c r="O8" s="183"/>
      <c r="AC8" s="99"/>
      <c r="AD8" s="183"/>
      <c r="AE8" s="183"/>
      <c r="AF8" s="99"/>
      <c r="AG8" s="99"/>
      <c r="AH8" s="99"/>
      <c r="AI8" s="183"/>
      <c r="AJ8" s="183"/>
      <c r="AK8" s="183"/>
      <c r="AL8" s="183"/>
    </row>
    <row r="9" spans="1:40" ht="20.25" customHeight="1">
      <c r="M9" s="183"/>
      <c r="N9" s="183"/>
      <c r="O9" s="183"/>
      <c r="AC9" s="2317" t="str">
        <f>'Exhibit G'!AC9:AL9</f>
        <v>12 Months Ended March 31</v>
      </c>
      <c r="AD9" s="2317"/>
      <c r="AE9" s="2317"/>
      <c r="AF9" s="2317"/>
      <c r="AG9" s="2317"/>
      <c r="AH9" s="2317"/>
      <c r="AI9" s="2317"/>
      <c r="AJ9" s="2317"/>
      <c r="AK9" s="2317"/>
      <c r="AL9" s="2317"/>
    </row>
    <row r="10" spans="1:40" ht="15.5">
      <c r="B10" s="20"/>
      <c r="C10" s="20"/>
      <c r="D10" s="537" t="str">
        <f>'Cashflow Governmental'!C13</f>
        <v>2022</v>
      </c>
      <c r="E10" s="19"/>
      <c r="F10" s="19"/>
      <c r="G10" s="19"/>
      <c r="H10" s="19"/>
      <c r="I10" s="19"/>
      <c r="J10" s="19"/>
      <c r="K10" s="19"/>
      <c r="L10" s="19"/>
      <c r="M10" s="19"/>
      <c r="N10" s="19"/>
      <c r="O10" s="19"/>
      <c r="P10" s="19"/>
      <c r="Q10" s="19"/>
      <c r="R10" s="19"/>
      <c r="S10" s="19"/>
      <c r="T10" s="19"/>
      <c r="U10" s="19"/>
      <c r="V10" s="537">
        <f>'Cashflow Governmental'!U13</f>
        <v>2023</v>
      </c>
      <c r="W10" s="19"/>
      <c r="X10" s="19"/>
      <c r="Y10" s="19"/>
      <c r="Z10" s="19"/>
      <c r="AA10" s="19"/>
      <c r="AB10" s="19"/>
      <c r="AC10" s="19"/>
      <c r="AD10" s="138"/>
      <c r="AE10" s="138"/>
      <c r="AF10" s="138"/>
      <c r="AG10" s="138"/>
      <c r="AH10" s="138"/>
      <c r="AI10" s="138"/>
      <c r="AJ10" s="545" t="s">
        <v>7</v>
      </c>
      <c r="AK10" s="545"/>
      <c r="AL10" s="545" t="s">
        <v>8</v>
      </c>
      <c r="AM10" s="548"/>
      <c r="AN10" s="548"/>
    </row>
    <row r="11" spans="1:40" ht="15.5">
      <c r="B11" s="20"/>
      <c r="C11" s="20"/>
      <c r="D11" s="745" t="s">
        <v>122</v>
      </c>
      <c r="E11" s="19"/>
      <c r="F11" s="745" t="s">
        <v>123</v>
      </c>
      <c r="G11" s="19"/>
      <c r="H11" s="745" t="s">
        <v>124</v>
      </c>
      <c r="I11" s="19"/>
      <c r="J11" s="745" t="s">
        <v>125</v>
      </c>
      <c r="K11" s="19"/>
      <c r="L11" s="745" t="s">
        <v>126</v>
      </c>
      <c r="M11" s="19"/>
      <c r="N11" s="745" t="s">
        <v>141</v>
      </c>
      <c r="O11" s="19"/>
      <c r="P11" s="745" t="s">
        <v>142</v>
      </c>
      <c r="Q11" s="19"/>
      <c r="R11" s="745" t="s">
        <v>129</v>
      </c>
      <c r="S11" s="19"/>
      <c r="T11" s="745" t="s">
        <v>130</v>
      </c>
      <c r="U11" s="19"/>
      <c r="V11" s="745" t="s">
        <v>131</v>
      </c>
      <c r="W11" s="19"/>
      <c r="X11" s="745" t="s">
        <v>132</v>
      </c>
      <c r="Y11" s="19"/>
      <c r="Z11" s="745" t="s">
        <v>182</v>
      </c>
      <c r="AA11" s="132"/>
      <c r="AB11" s="19"/>
      <c r="AC11" s="19"/>
      <c r="AD11" s="1770">
        <f>'Cashflow Governmental'!AB14</f>
        <v>2023</v>
      </c>
      <c r="AE11" s="537"/>
      <c r="AF11" s="132" t="s">
        <v>14</v>
      </c>
      <c r="AG11" s="1770">
        <f>'Cashflow Governmental'!AE14</f>
        <v>2022</v>
      </c>
      <c r="AH11" s="537"/>
      <c r="AI11" s="138"/>
      <c r="AJ11" s="747" t="s">
        <v>11</v>
      </c>
      <c r="AK11" s="545"/>
      <c r="AL11" s="747" t="s">
        <v>12</v>
      </c>
      <c r="AM11" s="548"/>
      <c r="AN11" s="548" t="s">
        <v>14</v>
      </c>
    </row>
    <row r="12" spans="1:40" ht="5.25" customHeight="1">
      <c r="B12" s="20"/>
      <c r="C12" s="20"/>
      <c r="D12" s="132"/>
      <c r="E12" s="19"/>
      <c r="F12" s="132"/>
      <c r="G12" s="19"/>
      <c r="H12" s="132"/>
      <c r="I12" s="19"/>
      <c r="J12" s="132"/>
      <c r="K12" s="19"/>
      <c r="L12" s="132"/>
      <c r="M12" s="19"/>
      <c r="N12" s="132"/>
      <c r="O12" s="19"/>
      <c r="P12" s="132"/>
      <c r="Q12" s="19"/>
      <c r="R12" s="132"/>
      <c r="S12" s="19"/>
      <c r="T12" s="132"/>
      <c r="U12" s="19"/>
      <c r="V12" s="132"/>
      <c r="W12" s="19"/>
      <c r="X12" s="132"/>
      <c r="Y12" s="19"/>
      <c r="Z12" s="132"/>
      <c r="AA12" s="132"/>
      <c r="AB12" s="19"/>
      <c r="AC12" s="19"/>
      <c r="AD12" s="537"/>
      <c r="AE12" s="537"/>
      <c r="AF12" s="132"/>
      <c r="AG12" s="537"/>
      <c r="AH12" s="537"/>
      <c r="AI12" s="138"/>
      <c r="AJ12" s="545"/>
      <c r="AK12" s="545"/>
      <c r="AL12" s="545"/>
      <c r="AM12" s="548"/>
      <c r="AN12" s="548"/>
    </row>
    <row r="13" spans="1:40" ht="15.5">
      <c r="B13" s="19" t="s">
        <v>1146</v>
      </c>
      <c r="C13" s="20"/>
      <c r="D13" s="216">
        <v>7612.5</v>
      </c>
      <c r="E13" s="19"/>
      <c r="F13" s="90">
        <f>D122</f>
        <v>8528.2000000000007</v>
      </c>
      <c r="G13" s="19"/>
      <c r="H13" s="90">
        <f>F122</f>
        <v>8754.1</v>
      </c>
      <c r="I13" s="19"/>
      <c r="J13" s="90">
        <f>H122</f>
        <v>9576.9</v>
      </c>
      <c r="K13" s="19"/>
      <c r="L13" s="90">
        <f>J122</f>
        <v>9907</v>
      </c>
      <c r="M13" s="19"/>
      <c r="N13" s="90">
        <f>L122</f>
        <v>9782.7000000000007</v>
      </c>
      <c r="O13" s="19"/>
      <c r="P13" s="90">
        <f>N122</f>
        <v>7875.9</v>
      </c>
      <c r="Q13" s="19"/>
      <c r="R13" s="90">
        <f>P122</f>
        <v>7930.1</v>
      </c>
      <c r="S13" s="90"/>
      <c r="T13" s="90">
        <f t="shared" ref="T13" si="0">R122</f>
        <v>7763.8</v>
      </c>
      <c r="U13" s="90"/>
      <c r="V13" s="90">
        <f t="shared" ref="V13" si="1">T122</f>
        <v>7457.9</v>
      </c>
      <c r="W13" s="90"/>
      <c r="X13" s="90">
        <f t="shared" ref="X13" si="2">V122</f>
        <v>8075.5</v>
      </c>
      <c r="Y13" s="90"/>
      <c r="Z13" s="90">
        <f t="shared" ref="Z13" si="3">X122</f>
        <v>8236.2999999999993</v>
      </c>
      <c r="AA13" s="132"/>
      <c r="AB13" s="19"/>
      <c r="AC13" s="1317"/>
      <c r="AD13" s="1771">
        <f>D13</f>
        <v>7612.5</v>
      </c>
      <c r="AE13" s="537"/>
      <c r="AF13" s="1773"/>
      <c r="AG13" s="65">
        <v>5708.6</v>
      </c>
      <c r="AH13" s="537"/>
      <c r="AI13" s="187"/>
      <c r="AJ13" s="1160">
        <f>ROUND(SUM(+AD13-AG13),1)</f>
        <v>1903.9</v>
      </c>
      <c r="AK13" s="42"/>
      <c r="AL13" s="189">
        <f>ROUND(IF(AG13=0,1,AJ13/ABS(AG13)),3)</f>
        <v>0.33400000000000002</v>
      </c>
      <c r="AM13" s="548"/>
      <c r="AN13" s="548" t="s">
        <v>14</v>
      </c>
    </row>
    <row r="14" spans="1:40" ht="15.5">
      <c r="B14" s="19"/>
      <c r="C14" s="20"/>
      <c r="D14" s="132"/>
      <c r="E14" s="19"/>
      <c r="F14" s="132"/>
      <c r="G14" s="19"/>
      <c r="H14" s="132"/>
      <c r="I14" s="19"/>
      <c r="J14" s="132"/>
      <c r="K14" s="19"/>
      <c r="L14" s="132"/>
      <c r="M14" s="19"/>
      <c r="N14" s="132"/>
      <c r="O14" s="19"/>
      <c r="P14" s="132"/>
      <c r="Q14" s="19"/>
      <c r="R14" s="132"/>
      <c r="S14" s="19"/>
      <c r="T14" s="132"/>
      <c r="U14" s="19"/>
      <c r="V14" s="132"/>
      <c r="W14" s="19"/>
      <c r="X14" s="132"/>
      <c r="Y14" s="19"/>
      <c r="Z14" s="132"/>
      <c r="AA14" s="132"/>
      <c r="AB14" s="19"/>
      <c r="AC14" s="1317"/>
      <c r="AD14" s="537"/>
      <c r="AE14" s="537"/>
      <c r="AF14" s="1773"/>
      <c r="AG14" s="537"/>
      <c r="AH14" s="537"/>
      <c r="AI14" s="187"/>
      <c r="AJ14" s="545"/>
      <c r="AK14" s="545"/>
      <c r="AL14" s="545"/>
      <c r="AM14" s="548"/>
      <c r="AN14" s="548"/>
    </row>
    <row r="15" spans="1:40" ht="15" customHeight="1">
      <c r="A15" s="99"/>
      <c r="B15" s="19" t="s">
        <v>13</v>
      </c>
      <c r="C15" s="21"/>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746"/>
      <c r="AD15" s="20"/>
      <c r="AE15" s="20"/>
      <c r="AF15" s="746"/>
      <c r="AG15" s="20"/>
      <c r="AH15" s="20"/>
      <c r="AI15" s="187"/>
      <c r="AJ15" s="20"/>
      <c r="AK15" s="20"/>
      <c r="AL15" s="20"/>
    </row>
    <row r="16" spans="1:40" ht="15" customHeight="1">
      <c r="A16" s="99"/>
      <c r="B16" s="117" t="s">
        <v>978</v>
      </c>
      <c r="C16" s="21"/>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3"/>
      <c r="AD16" s="20"/>
      <c r="AE16" s="20"/>
      <c r="AF16" s="203"/>
      <c r="AG16" s="20"/>
      <c r="AH16" s="190"/>
      <c r="AI16" s="20"/>
      <c r="AJ16" s="20"/>
      <c r="AK16" s="20"/>
      <c r="AL16" s="20"/>
    </row>
    <row r="17" spans="1:38" s="548" customFormat="1" ht="15" customHeight="1">
      <c r="A17" s="750"/>
      <c r="B17" s="739" t="s">
        <v>981</v>
      </c>
      <c r="C17" s="19"/>
      <c r="D17" s="649">
        <v>0</v>
      </c>
      <c r="E17" s="467"/>
      <c r="F17" s="649">
        <v>0</v>
      </c>
      <c r="G17" s="467"/>
      <c r="H17" s="649">
        <v>0</v>
      </c>
      <c r="I17" s="467"/>
      <c r="J17" s="649">
        <v>0</v>
      </c>
      <c r="K17" s="1011"/>
      <c r="L17" s="649">
        <v>0</v>
      </c>
      <c r="M17" s="1131"/>
      <c r="N17" s="649">
        <v>0</v>
      </c>
      <c r="O17" s="1131"/>
      <c r="P17" s="649">
        <v>1.1000000000000001</v>
      </c>
      <c r="Q17" s="1131"/>
      <c r="R17" s="649">
        <v>0</v>
      </c>
      <c r="S17" s="649"/>
      <c r="T17" s="649">
        <v>17.5</v>
      </c>
      <c r="U17" s="649">
        <f t="shared" ref="U17" si="4">$AD17-$D17-$F17-$H17-$J17-$L17-$N17-$P17-$R17</f>
        <v>1780.1000000000001</v>
      </c>
      <c r="V17" s="649">
        <v>1711</v>
      </c>
      <c r="W17" s="1131"/>
      <c r="X17" s="649">
        <v>0</v>
      </c>
      <c r="Y17" s="649"/>
      <c r="Z17" s="649">
        <f>$AD17-$D17-$F17-$H17-$J17-$L17-$N17-$P17-$R17-$T17-$V17-$X17</f>
        <v>51.600000000000136</v>
      </c>
      <c r="AA17" s="685"/>
      <c r="AB17" s="479"/>
      <c r="AC17" s="1249"/>
      <c r="AD17" s="919">
        <v>1781.2</v>
      </c>
      <c r="AE17" s="481"/>
      <c r="AF17" s="713"/>
      <c r="AG17" s="919">
        <v>1904.2</v>
      </c>
      <c r="AH17" s="1143"/>
      <c r="AI17" s="479"/>
      <c r="AJ17" s="467">
        <f>ROUND(SUM(+AD17-AG17),1)</f>
        <v>-123</v>
      </c>
      <c r="AK17" s="467"/>
      <c r="AL17" s="488">
        <f>ROUND(IF(AG17=0,0,AJ17/ABS(AG17)),3)</f>
        <v>-6.5000000000000002E-2</v>
      </c>
    </row>
    <row r="18" spans="1:38" s="548" customFormat="1" ht="6" customHeight="1">
      <c r="A18" s="750"/>
      <c r="B18" s="739"/>
      <c r="C18" s="19"/>
      <c r="D18" s="649" t="s">
        <v>14</v>
      </c>
      <c r="E18" s="65"/>
      <c r="F18" s="649"/>
      <c r="G18" s="65"/>
      <c r="H18" s="649"/>
      <c r="I18" s="65"/>
      <c r="J18" s="649"/>
      <c r="K18" s="65"/>
      <c r="L18" s="649"/>
      <c r="M18" s="65"/>
      <c r="N18" s="649" t="s">
        <v>14</v>
      </c>
      <c r="O18" s="65"/>
      <c r="P18" s="919"/>
      <c r="Q18" s="65"/>
      <c r="R18" s="649" t="s">
        <v>14</v>
      </c>
      <c r="S18" s="65"/>
      <c r="T18" s="649"/>
      <c r="U18" s="65"/>
      <c r="V18" s="649"/>
      <c r="W18" s="65"/>
      <c r="X18" s="649"/>
      <c r="Y18" s="65"/>
      <c r="Z18" s="649"/>
      <c r="AA18" s="121"/>
      <c r="AB18" s="65"/>
      <c r="AC18" s="1250"/>
      <c r="AD18" s="65"/>
      <c r="AE18" s="481"/>
      <c r="AF18" s="1774"/>
      <c r="AG18" s="65"/>
      <c r="AH18" s="1143"/>
      <c r="AI18" s="479"/>
      <c r="AJ18" s="65"/>
      <c r="AK18" s="42"/>
      <c r="AL18" s="1144"/>
    </row>
    <row r="19" spans="1:38" ht="15" customHeight="1">
      <c r="A19" s="99"/>
      <c r="B19" s="739" t="s">
        <v>1037</v>
      </c>
      <c r="C19" s="21"/>
      <c r="D19" s="649" t="s">
        <v>14</v>
      </c>
      <c r="E19" s="467"/>
      <c r="F19" s="649"/>
      <c r="G19" s="467"/>
      <c r="H19" s="649"/>
      <c r="I19" s="467"/>
      <c r="J19" s="649"/>
      <c r="K19" s="36"/>
      <c r="L19" s="649"/>
      <c r="M19" s="36"/>
      <c r="N19" s="649" t="s">
        <v>14</v>
      </c>
      <c r="O19" s="36"/>
      <c r="P19" s="919"/>
      <c r="Q19" s="36"/>
      <c r="R19" s="649" t="s">
        <v>14</v>
      </c>
      <c r="S19" s="36"/>
      <c r="T19" s="649"/>
      <c r="U19" s="36"/>
      <c r="V19" s="649"/>
      <c r="W19" s="36"/>
      <c r="X19" s="649"/>
      <c r="Y19" s="36"/>
      <c r="Z19" s="649"/>
      <c r="AA19" s="36"/>
      <c r="AB19" s="36"/>
      <c r="AC19" s="752"/>
      <c r="AD19" s="36"/>
      <c r="AE19" s="36"/>
      <c r="AF19" s="1251"/>
      <c r="AG19" s="36"/>
      <c r="AH19" s="191"/>
      <c r="AI19" s="36"/>
      <c r="AJ19" s="467"/>
      <c r="AK19" s="646"/>
      <c r="AL19" s="663"/>
    </row>
    <row r="20" spans="1:38" ht="15" customHeight="1">
      <c r="A20" s="99"/>
      <c r="B20" s="755" t="s">
        <v>993</v>
      </c>
      <c r="C20" s="21"/>
      <c r="D20" s="649">
        <v>135.1</v>
      </c>
      <c r="E20" s="1151"/>
      <c r="F20" s="649">
        <v>87</v>
      </c>
      <c r="G20" s="1151"/>
      <c r="H20" s="649">
        <v>128.00000000000003</v>
      </c>
      <c r="I20" s="1151"/>
      <c r="J20" s="649">
        <v>93.4</v>
      </c>
      <c r="K20" s="1011"/>
      <c r="L20" s="649">
        <v>90.500000000000028</v>
      </c>
      <c r="M20" s="1011"/>
      <c r="N20" s="649">
        <v>123.89999999999992</v>
      </c>
      <c r="O20" s="1011"/>
      <c r="P20" s="649">
        <v>97.000000000000028</v>
      </c>
      <c r="Q20" s="1011"/>
      <c r="R20" s="649">
        <v>94.9</v>
      </c>
      <c r="S20" s="1011"/>
      <c r="T20" s="649">
        <v>120.70000000000005</v>
      </c>
      <c r="U20" s="1011"/>
      <c r="V20" s="649">
        <v>105.09999999999988</v>
      </c>
      <c r="W20" s="1011"/>
      <c r="X20" s="649">
        <v>90.000000000000142</v>
      </c>
      <c r="Y20" s="1011"/>
      <c r="Z20" s="649">
        <f t="shared" ref="Z20:Z28" si="5">$AD20-$D20-$F20-$H20-$J20-$L20-$N20-$P20-$R20-$T20-$V20-$X20</f>
        <v>51.400000000000091</v>
      </c>
      <c r="AA20" s="496"/>
      <c r="AB20" s="467"/>
      <c r="AC20" s="940"/>
      <c r="AD20" s="919">
        <v>1217</v>
      </c>
      <c r="AE20" s="493"/>
      <c r="AF20" s="722"/>
      <c r="AG20" s="919">
        <v>1089</v>
      </c>
      <c r="AH20" s="191"/>
      <c r="AI20" s="36"/>
      <c r="AJ20" s="467">
        <f t="shared" ref="AJ20:AJ28" si="6">ROUND(SUM(+AD20-AG20),1)</f>
        <v>128</v>
      </c>
      <c r="AK20" s="646"/>
      <c r="AL20" s="1142">
        <f t="shared" ref="AL20:AL29" si="7">ROUND(IF(AG20=0,0,AJ20/ABS(AG20)),3)</f>
        <v>0.11799999999999999</v>
      </c>
    </row>
    <row r="21" spans="1:38" ht="15" customHeight="1">
      <c r="A21" s="99"/>
      <c r="B21" s="755" t="s">
        <v>994</v>
      </c>
      <c r="C21" s="21"/>
      <c r="D21" s="649">
        <v>1.8</v>
      </c>
      <c r="E21" s="1151"/>
      <c r="F21" s="649">
        <v>0</v>
      </c>
      <c r="G21" s="1151"/>
      <c r="H21" s="649">
        <v>6.3</v>
      </c>
      <c r="I21" s="1151"/>
      <c r="J21" s="649">
        <v>0</v>
      </c>
      <c r="K21" s="1011"/>
      <c r="L21" s="649">
        <v>0</v>
      </c>
      <c r="M21" s="1011"/>
      <c r="N21" s="649">
        <v>8.8999999999999986</v>
      </c>
      <c r="O21" s="1011"/>
      <c r="P21" s="649">
        <v>0</v>
      </c>
      <c r="Q21" s="1011"/>
      <c r="R21" s="649">
        <v>0</v>
      </c>
      <c r="S21" s="1011"/>
      <c r="T21" s="649">
        <v>7</v>
      </c>
      <c r="U21" s="1011"/>
      <c r="V21" s="649">
        <v>0</v>
      </c>
      <c r="W21" s="1011"/>
      <c r="X21" s="649">
        <v>0.10000000000000142</v>
      </c>
      <c r="Y21" s="1011"/>
      <c r="Z21" s="649">
        <f t="shared" si="5"/>
        <v>3.8999999999999986</v>
      </c>
      <c r="AA21" s="496"/>
      <c r="AB21" s="467"/>
      <c r="AC21" s="940"/>
      <c r="AD21" s="919">
        <v>28</v>
      </c>
      <c r="AE21" s="493"/>
      <c r="AF21" s="722"/>
      <c r="AG21" s="919">
        <v>22</v>
      </c>
      <c r="AH21" s="191"/>
      <c r="AI21" s="36"/>
      <c r="AJ21" s="467">
        <f t="shared" si="6"/>
        <v>6</v>
      </c>
      <c r="AK21" s="646"/>
      <c r="AL21" s="2292">
        <f>ROUND(IF(AG21=0,1,AJ21/ABS(AG21)),3)</f>
        <v>0.27300000000000002</v>
      </c>
    </row>
    <row r="22" spans="1:38" ht="15" customHeight="1">
      <c r="A22" s="99"/>
      <c r="B22" s="755" t="s">
        <v>995</v>
      </c>
      <c r="C22" s="21"/>
      <c r="D22" s="649">
        <v>57.699999999999996</v>
      </c>
      <c r="E22" s="1151"/>
      <c r="F22" s="649">
        <v>51.70000000000001</v>
      </c>
      <c r="G22" s="1151"/>
      <c r="H22" s="649">
        <v>56.599999999999987</v>
      </c>
      <c r="I22" s="1151"/>
      <c r="J22" s="649">
        <v>52.9</v>
      </c>
      <c r="K22" s="1011"/>
      <c r="L22" s="649">
        <v>57.999999999999964</v>
      </c>
      <c r="M22" s="1011"/>
      <c r="N22" s="649">
        <v>50.800000000000018</v>
      </c>
      <c r="O22" s="1011"/>
      <c r="P22" s="649">
        <v>53.400000000000055</v>
      </c>
      <c r="Q22" s="1011"/>
      <c r="R22" s="649">
        <v>49.999999999999979</v>
      </c>
      <c r="S22" s="1011"/>
      <c r="T22" s="649">
        <v>47.000000000000078</v>
      </c>
      <c r="U22" s="1011"/>
      <c r="V22" s="649">
        <v>54.299999999999962</v>
      </c>
      <c r="W22" s="1011"/>
      <c r="X22" s="649">
        <v>34.700000000000067</v>
      </c>
      <c r="Y22" s="1011"/>
      <c r="Z22" s="649">
        <f t="shared" si="5"/>
        <v>27.39999999999992</v>
      </c>
      <c r="AA22" s="496"/>
      <c r="AB22" s="467"/>
      <c r="AC22" s="940"/>
      <c r="AD22" s="919">
        <v>594.5</v>
      </c>
      <c r="AE22" s="493"/>
      <c r="AF22" s="722"/>
      <c r="AG22" s="919">
        <v>664.6</v>
      </c>
      <c r="AH22" s="191"/>
      <c r="AI22" s="36"/>
      <c r="AJ22" s="467">
        <f t="shared" si="6"/>
        <v>-70.099999999999994</v>
      </c>
      <c r="AK22" s="646"/>
      <c r="AL22" s="1142">
        <f t="shared" si="7"/>
        <v>-0.105</v>
      </c>
    </row>
    <row r="23" spans="1:38" ht="15" customHeight="1">
      <c r="A23" s="99"/>
      <c r="B23" s="489" t="s">
        <v>1442</v>
      </c>
      <c r="C23" s="21"/>
      <c r="D23" s="649">
        <v>1</v>
      </c>
      <c r="E23" s="1151"/>
      <c r="F23" s="649">
        <v>1.2000000000000002</v>
      </c>
      <c r="G23" s="1151"/>
      <c r="H23" s="649">
        <v>1</v>
      </c>
      <c r="I23" s="1151"/>
      <c r="J23" s="649">
        <v>1</v>
      </c>
      <c r="K23" s="1011"/>
      <c r="L23" s="649">
        <v>0.89999999999999947</v>
      </c>
      <c r="M23" s="1011"/>
      <c r="N23" s="649">
        <v>1</v>
      </c>
      <c r="O23" s="1011"/>
      <c r="P23" s="649">
        <v>0.90000000000000036</v>
      </c>
      <c r="Q23" s="1011"/>
      <c r="R23" s="649">
        <v>0.90000000000000036</v>
      </c>
      <c r="S23" s="1011"/>
      <c r="T23" s="649">
        <v>1</v>
      </c>
      <c r="U23" s="1011"/>
      <c r="V23" s="649">
        <v>1.0999999999999996</v>
      </c>
      <c r="W23" s="1011"/>
      <c r="X23" s="649">
        <v>0.8000000000000016</v>
      </c>
      <c r="Y23" s="1011"/>
      <c r="Z23" s="649">
        <f t="shared" si="5"/>
        <v>1.7999999999999972</v>
      </c>
      <c r="AA23" s="496"/>
      <c r="AB23" s="467"/>
      <c r="AC23" s="940"/>
      <c r="AD23" s="919">
        <v>12.6</v>
      </c>
      <c r="AE23" s="493"/>
      <c r="AF23" s="722"/>
      <c r="AG23" s="919">
        <v>12.9</v>
      </c>
      <c r="AH23" s="191"/>
      <c r="AI23" s="36"/>
      <c r="AJ23" s="467">
        <f t="shared" si="6"/>
        <v>-0.3</v>
      </c>
      <c r="AK23" s="646"/>
      <c r="AL23" s="469">
        <f>ROUND(IF(AG23=0,1,AJ23/ABS(AG23)),3)</f>
        <v>-2.3E-2</v>
      </c>
    </row>
    <row r="24" spans="1:38" ht="15" customHeight="1">
      <c r="A24" s="99"/>
      <c r="B24" s="755" t="s">
        <v>996</v>
      </c>
      <c r="C24" s="21"/>
      <c r="D24" s="649">
        <v>6</v>
      </c>
      <c r="E24" s="1151"/>
      <c r="F24" s="649">
        <v>8</v>
      </c>
      <c r="G24" s="1151"/>
      <c r="H24" s="649">
        <v>4.3000000000000007</v>
      </c>
      <c r="I24" s="1151"/>
      <c r="J24" s="649">
        <v>-0.30000000000000071</v>
      </c>
      <c r="K24" s="1011"/>
      <c r="L24" s="649">
        <v>-0.30000000000000071</v>
      </c>
      <c r="M24" s="1011"/>
      <c r="N24" s="649">
        <v>-0.30000000000000071</v>
      </c>
      <c r="O24" s="1011"/>
      <c r="P24" s="649">
        <v>-0.29999999999999716</v>
      </c>
      <c r="Q24" s="1011"/>
      <c r="R24" s="649">
        <v>-0.40000000000000213</v>
      </c>
      <c r="S24" s="1011"/>
      <c r="T24" s="649">
        <v>0</v>
      </c>
      <c r="U24" s="1011"/>
      <c r="V24" s="649">
        <v>5.1000000000000014</v>
      </c>
      <c r="W24" s="1011"/>
      <c r="X24" s="649">
        <v>8.1999999999999993</v>
      </c>
      <c r="Y24" s="1011"/>
      <c r="Z24" s="649">
        <f t="shared" si="5"/>
        <v>8</v>
      </c>
      <c r="AA24" s="496"/>
      <c r="AB24" s="467"/>
      <c r="AC24" s="940"/>
      <c r="AD24" s="919">
        <v>38</v>
      </c>
      <c r="AE24" s="493"/>
      <c r="AF24" s="722"/>
      <c r="AG24" s="919">
        <v>105.6</v>
      </c>
      <c r="AH24" s="191"/>
      <c r="AI24" s="36"/>
      <c r="AJ24" s="467">
        <f t="shared" si="6"/>
        <v>-67.599999999999994</v>
      </c>
      <c r="AK24" s="646"/>
      <c r="AL24" s="1142">
        <f t="shared" si="7"/>
        <v>-0.64</v>
      </c>
    </row>
    <row r="25" spans="1:38" ht="15" customHeight="1">
      <c r="A25" s="99"/>
      <c r="B25" s="755" t="s">
        <v>1537</v>
      </c>
      <c r="C25" s="21"/>
      <c r="D25" s="649">
        <v>0</v>
      </c>
      <c r="E25" s="1151"/>
      <c r="F25" s="649">
        <v>0</v>
      </c>
      <c r="G25" s="1151"/>
      <c r="H25" s="649">
        <v>0</v>
      </c>
      <c r="I25" s="1151"/>
      <c r="J25" s="649">
        <v>0</v>
      </c>
      <c r="K25" s="1011"/>
      <c r="L25" s="649">
        <v>0</v>
      </c>
      <c r="M25" s="1011"/>
      <c r="N25" s="649">
        <v>0</v>
      </c>
      <c r="O25" s="1011"/>
      <c r="P25" s="649">
        <v>0</v>
      </c>
      <c r="Q25" s="1011"/>
      <c r="R25" s="649">
        <v>0</v>
      </c>
      <c r="S25" s="1011"/>
      <c r="T25" s="649">
        <v>0.1</v>
      </c>
      <c r="U25" s="1011"/>
      <c r="V25" s="649">
        <v>0</v>
      </c>
      <c r="W25" s="1011"/>
      <c r="X25" s="649">
        <v>0</v>
      </c>
      <c r="Y25" s="1011"/>
      <c r="Z25" s="649">
        <f>$AD25-$D25-$F25-$H25-$J25-$L25-$N25-$P25-$R25-$T25-$V25-$X25</f>
        <v>-0.1</v>
      </c>
      <c r="AA25" s="496"/>
      <c r="AB25" s="467"/>
      <c r="AC25" s="719"/>
      <c r="AD25" s="919">
        <v>0</v>
      </c>
      <c r="AE25" s="493"/>
      <c r="AF25" s="722"/>
      <c r="AG25" s="919">
        <v>0</v>
      </c>
      <c r="AH25" s="191"/>
      <c r="AI25" s="36"/>
      <c r="AJ25" s="467">
        <f t="shared" ref="AJ25" si="8">ROUND(SUM(+AD25-AG25),1)</f>
        <v>0</v>
      </c>
      <c r="AK25" s="646"/>
      <c r="AL25" s="488">
        <f>ROUND(IF(AG25=0,0,AJ25/ABS(AG25)),3)</f>
        <v>0</v>
      </c>
    </row>
    <row r="26" spans="1:38" ht="15" customHeight="1">
      <c r="A26" s="99"/>
      <c r="B26" s="755" t="s">
        <v>997</v>
      </c>
      <c r="C26" s="21"/>
      <c r="D26" s="649">
        <v>0</v>
      </c>
      <c r="E26" s="1151"/>
      <c r="F26" s="649">
        <v>0</v>
      </c>
      <c r="G26" s="1151"/>
      <c r="H26" s="649">
        <v>0</v>
      </c>
      <c r="I26" s="1151"/>
      <c r="J26" s="649">
        <v>0</v>
      </c>
      <c r="K26" s="1011"/>
      <c r="L26" s="649">
        <v>0</v>
      </c>
      <c r="M26" s="1011"/>
      <c r="N26" s="649">
        <v>0</v>
      </c>
      <c r="O26" s="1011"/>
      <c r="P26" s="649">
        <v>0</v>
      </c>
      <c r="Q26" s="1011"/>
      <c r="R26" s="649">
        <v>0</v>
      </c>
      <c r="S26" s="1011"/>
      <c r="T26" s="649">
        <v>0</v>
      </c>
      <c r="U26" s="1011"/>
      <c r="V26" s="649">
        <v>0</v>
      </c>
      <c r="W26" s="1011"/>
      <c r="X26" s="649">
        <v>0</v>
      </c>
      <c r="Y26" s="1011"/>
      <c r="Z26" s="649">
        <f t="shared" si="5"/>
        <v>0</v>
      </c>
      <c r="AA26" s="496"/>
      <c r="AB26" s="467"/>
      <c r="AC26" s="940"/>
      <c r="AD26" s="919">
        <v>0</v>
      </c>
      <c r="AE26" s="493"/>
      <c r="AF26" s="722"/>
      <c r="AG26" s="919">
        <v>0</v>
      </c>
      <c r="AH26" s="191"/>
      <c r="AI26" s="36"/>
      <c r="AJ26" s="467">
        <f t="shared" si="6"/>
        <v>0</v>
      </c>
      <c r="AK26" s="646"/>
      <c r="AL26" s="1142">
        <f t="shared" si="7"/>
        <v>0</v>
      </c>
    </row>
    <row r="27" spans="1:38" ht="15" customHeight="1">
      <c r="A27" s="99"/>
      <c r="B27" s="755" t="s">
        <v>998</v>
      </c>
      <c r="C27" s="21"/>
      <c r="D27" s="649">
        <v>0.1</v>
      </c>
      <c r="E27" s="1151"/>
      <c r="F27" s="649">
        <v>0</v>
      </c>
      <c r="G27" s="1151"/>
      <c r="H27" s="649">
        <v>0.1</v>
      </c>
      <c r="I27" s="1151"/>
      <c r="J27" s="649">
        <v>0</v>
      </c>
      <c r="K27" s="1011"/>
      <c r="L27" s="649">
        <v>9.9999999999999978E-2</v>
      </c>
      <c r="M27" s="1011"/>
      <c r="N27" s="649">
        <v>0</v>
      </c>
      <c r="O27" s="1011"/>
      <c r="P27" s="649">
        <v>0.10000000000000006</v>
      </c>
      <c r="Q27" s="1011"/>
      <c r="R27" s="649">
        <v>0</v>
      </c>
      <c r="S27" s="1011"/>
      <c r="T27" s="649">
        <v>0.1</v>
      </c>
      <c r="U27" s="1011"/>
      <c r="V27" s="649">
        <v>0</v>
      </c>
      <c r="W27" s="1011"/>
      <c r="X27" s="649">
        <v>9.9999999999999978E-2</v>
      </c>
      <c r="Y27" s="1011"/>
      <c r="Z27" s="649">
        <f t="shared" si="5"/>
        <v>0</v>
      </c>
      <c r="AA27" s="496"/>
      <c r="AB27" s="467"/>
      <c r="AC27" s="940"/>
      <c r="AD27" s="919">
        <v>0.6</v>
      </c>
      <c r="AE27" s="493"/>
      <c r="AF27" s="722"/>
      <c r="AG27" s="919">
        <v>1.8</v>
      </c>
      <c r="AH27" s="191"/>
      <c r="AI27" s="36"/>
      <c r="AJ27" s="467">
        <f t="shared" si="6"/>
        <v>-1.2</v>
      </c>
      <c r="AK27" s="646"/>
      <c r="AL27" s="1145">
        <f>ROUND(IF(AG27=0,1,AJ27/ABS(AG27)),3)</f>
        <v>-0.66700000000000004</v>
      </c>
    </row>
    <row r="28" spans="1:38" ht="15" customHeight="1">
      <c r="A28" s="99"/>
      <c r="B28" s="489" t="s">
        <v>1308</v>
      </c>
      <c r="C28" s="21"/>
      <c r="D28" s="649">
        <v>-0.1</v>
      </c>
      <c r="E28" s="1151"/>
      <c r="F28" s="649">
        <v>0.1</v>
      </c>
      <c r="G28" s="1151"/>
      <c r="H28" s="649">
        <v>6.2</v>
      </c>
      <c r="I28" s="1151"/>
      <c r="J28" s="649">
        <v>0</v>
      </c>
      <c r="K28" s="1011"/>
      <c r="L28" s="649">
        <v>9.9999999999999645E-2</v>
      </c>
      <c r="M28" s="1011"/>
      <c r="N28" s="649">
        <v>6.3</v>
      </c>
      <c r="O28" s="1011"/>
      <c r="P28" s="649">
        <v>9.9999999999999645E-2</v>
      </c>
      <c r="Q28" s="1011"/>
      <c r="R28" s="649">
        <v>0</v>
      </c>
      <c r="S28" s="1011"/>
      <c r="T28" s="649">
        <v>6.2</v>
      </c>
      <c r="U28" s="1011"/>
      <c r="V28" s="649">
        <v>0</v>
      </c>
      <c r="W28" s="1011"/>
      <c r="X28" s="649">
        <v>0</v>
      </c>
      <c r="Y28" s="1011"/>
      <c r="Z28" s="649">
        <f t="shared" si="5"/>
        <v>5.8999999999999995</v>
      </c>
      <c r="AA28" s="496"/>
      <c r="AB28" s="467"/>
      <c r="AC28" s="940"/>
      <c r="AD28" s="919">
        <v>24.8</v>
      </c>
      <c r="AE28" s="493"/>
      <c r="AF28" s="722"/>
      <c r="AG28" s="919">
        <v>29.1</v>
      </c>
      <c r="AH28" s="191"/>
      <c r="AI28" s="36"/>
      <c r="AJ28" s="467">
        <f t="shared" si="6"/>
        <v>-4.3</v>
      </c>
      <c r="AK28" s="646"/>
      <c r="AL28" s="1145">
        <f>ROUND(IF(AG28=0,1,AJ28/ABS(AG28)),3)</f>
        <v>-0.14799999999999999</v>
      </c>
    </row>
    <row r="29" spans="1:38" s="548" customFormat="1" ht="15" customHeight="1">
      <c r="A29" s="750"/>
      <c r="B29" s="19" t="s">
        <v>1103</v>
      </c>
      <c r="C29" s="19"/>
      <c r="D29" s="1150">
        <f>ROUND(SUM(D20:D28),1)</f>
        <v>201.6</v>
      </c>
      <c r="E29" s="42"/>
      <c r="F29" s="1150">
        <f>ROUND(SUM(F20:F28),1)</f>
        <v>148</v>
      </c>
      <c r="G29" s="42"/>
      <c r="H29" s="1150">
        <f>ROUND(SUM(H20:H28),1)</f>
        <v>202.5</v>
      </c>
      <c r="I29" s="42"/>
      <c r="J29" s="1150">
        <f>ROUND(SUM(J20:J28),1)</f>
        <v>147</v>
      </c>
      <c r="K29" s="42"/>
      <c r="L29" s="41">
        <f>ROUND(SUM(L20:L28),1)</f>
        <v>149.30000000000001</v>
      </c>
      <c r="M29" s="42"/>
      <c r="N29" s="41">
        <f>ROUND(SUM(N20:N28),1)</f>
        <v>190.6</v>
      </c>
      <c r="O29" s="42"/>
      <c r="P29" s="41">
        <f>ROUND(SUM(P20:P28),1)</f>
        <v>151.19999999999999</v>
      </c>
      <c r="Q29" s="42"/>
      <c r="R29" s="41">
        <f>ROUND(SUM(R20:R28),1)</f>
        <v>145.4</v>
      </c>
      <c r="S29" s="41"/>
      <c r="T29" s="41">
        <f t="shared" ref="T29" si="9">ROUND(SUM(T20:T28),1)</f>
        <v>182.1</v>
      </c>
      <c r="U29" s="42"/>
      <c r="V29" s="41">
        <f>ROUND(SUM(V20:V28),1)</f>
        <v>165.6</v>
      </c>
      <c r="W29" s="42"/>
      <c r="X29" s="41">
        <f>ROUND(SUM(X20:X28),1)</f>
        <v>133.9</v>
      </c>
      <c r="Y29" s="42"/>
      <c r="Z29" s="41">
        <f>ROUND(SUM(Z20:Z28),1)</f>
        <v>98.3</v>
      </c>
      <c r="AA29" s="42"/>
      <c r="AB29" s="42"/>
      <c r="AC29" s="1247"/>
      <c r="AD29" s="41">
        <f>ROUND(SUM(AD20:AD28),1)</f>
        <v>1915.5</v>
      </c>
      <c r="AE29" s="42"/>
      <c r="AF29" s="1775"/>
      <c r="AG29" s="41">
        <f>ROUND(SUM(AG20:AG28),1)</f>
        <v>1925</v>
      </c>
      <c r="AH29" s="197"/>
      <c r="AI29" s="42"/>
      <c r="AJ29" s="41">
        <f>ROUND(SUM(AJ20:AJ28),1)</f>
        <v>-9.5</v>
      </c>
      <c r="AK29" s="138"/>
      <c r="AL29" s="738">
        <f t="shared" si="7"/>
        <v>-5.0000000000000001E-3</v>
      </c>
    </row>
    <row r="30" spans="1:38" ht="15" customHeight="1">
      <c r="A30" s="99"/>
      <c r="B30" s="739" t="s">
        <v>982</v>
      </c>
      <c r="C30" s="21"/>
      <c r="D30" s="467"/>
      <c r="E30" s="467"/>
      <c r="F30" s="467"/>
      <c r="G30" s="467"/>
      <c r="H30" s="467"/>
      <c r="I30" s="467"/>
      <c r="J30" s="467"/>
      <c r="K30" s="36"/>
      <c r="L30" s="36"/>
      <c r="M30" s="36"/>
      <c r="N30" s="36"/>
      <c r="O30" s="36"/>
      <c r="P30" s="36"/>
      <c r="Q30" s="36"/>
      <c r="R30" s="36"/>
      <c r="S30" s="36"/>
      <c r="T30" s="36"/>
      <c r="U30" s="36"/>
      <c r="V30" s="36"/>
      <c r="W30" s="36"/>
      <c r="X30" s="36"/>
      <c r="Y30" s="36"/>
      <c r="Z30" s="36"/>
      <c r="AA30" s="36"/>
      <c r="AB30" s="36"/>
      <c r="AC30" s="752"/>
      <c r="AD30" s="36"/>
      <c r="AE30" s="36"/>
      <c r="AF30" s="1251"/>
      <c r="AG30" s="36"/>
      <c r="AH30" s="191"/>
      <c r="AI30" s="36"/>
      <c r="AJ30" s="467"/>
      <c r="AK30" s="646"/>
      <c r="AL30" s="646"/>
    </row>
    <row r="31" spans="1:38" ht="15" customHeight="1">
      <c r="A31" s="99"/>
      <c r="B31" s="755" t="s">
        <v>1000</v>
      </c>
      <c r="C31" s="21"/>
      <c r="D31" s="649">
        <v>228.9</v>
      </c>
      <c r="E31" s="1151"/>
      <c r="F31" s="649">
        <v>43.999999999999972</v>
      </c>
      <c r="G31" s="1151"/>
      <c r="H31" s="649">
        <v>252.80000000000004</v>
      </c>
      <c r="I31" s="467"/>
      <c r="J31" s="649">
        <v>56.399999999999949</v>
      </c>
      <c r="K31" s="1011"/>
      <c r="L31" s="649">
        <v>28.999999999999972</v>
      </c>
      <c r="M31" s="1011"/>
      <c r="N31" s="649">
        <v>281.79999999999995</v>
      </c>
      <c r="O31" s="1011"/>
      <c r="P31" s="649">
        <v>50.300000000000068</v>
      </c>
      <c r="Q31" s="1011"/>
      <c r="R31" s="649">
        <v>33.799999999999955</v>
      </c>
      <c r="S31" s="1011"/>
      <c r="T31" s="649">
        <v>289.69999999999993</v>
      </c>
      <c r="U31" s="1011"/>
      <c r="V31" s="649">
        <v>87.599999999999909</v>
      </c>
      <c r="W31" s="1011"/>
      <c r="X31" s="649">
        <v>17.900000000000091</v>
      </c>
      <c r="Y31" s="1011"/>
      <c r="Z31" s="649">
        <f t="shared" ref="Z31:Z35" si="10">$AD31-$D31-$F31-$H31-$J31-$L31-$N31-$P31-$R31-$T31-$V31-$X31</f>
        <v>354.00000000000023</v>
      </c>
      <c r="AA31" s="496"/>
      <c r="AB31" s="467"/>
      <c r="AC31" s="940"/>
      <c r="AD31" s="919">
        <v>1726.2</v>
      </c>
      <c r="AE31" s="493"/>
      <c r="AF31" s="722"/>
      <c r="AG31" s="919">
        <v>1417.1</v>
      </c>
      <c r="AH31" s="191"/>
      <c r="AI31" s="36"/>
      <c r="AJ31" s="467">
        <f>ROUND(SUM(+AD31-AG31),1)</f>
        <v>309.10000000000002</v>
      </c>
      <c r="AK31" s="646"/>
      <c r="AL31" s="1142">
        <f t="shared" ref="AL31:AL36" si="11">ROUND(IF(AG31=0,0,AJ31/ABS(AG31)),3)</f>
        <v>0.218</v>
      </c>
    </row>
    <row r="32" spans="1:38" ht="15" customHeight="1">
      <c r="A32" s="99"/>
      <c r="B32" s="755" t="s">
        <v>1001</v>
      </c>
      <c r="C32" s="21"/>
      <c r="D32" s="649">
        <v>6.6</v>
      </c>
      <c r="E32" s="1151"/>
      <c r="F32" s="649">
        <v>0.5</v>
      </c>
      <c r="G32" s="1151"/>
      <c r="H32" s="649">
        <v>18.399999999999999</v>
      </c>
      <c r="I32" s="467"/>
      <c r="J32" s="649">
        <v>0.90000000000000036</v>
      </c>
      <c r="K32" s="1011"/>
      <c r="L32" s="649">
        <v>0.40000000000000036</v>
      </c>
      <c r="M32" s="1011"/>
      <c r="N32" s="649">
        <v>16.300000000000004</v>
      </c>
      <c r="O32" s="1011"/>
      <c r="P32" s="649">
        <v>1.6000000000000014</v>
      </c>
      <c r="Q32" s="1011"/>
      <c r="R32" s="649">
        <v>8.1999999999999957</v>
      </c>
      <c r="S32" s="1011"/>
      <c r="T32" s="649">
        <v>16.699999999999996</v>
      </c>
      <c r="U32" s="1011"/>
      <c r="V32" s="649">
        <v>-0.29999999999999716</v>
      </c>
      <c r="W32" s="1011"/>
      <c r="X32" s="649">
        <v>4.2000000000000099</v>
      </c>
      <c r="Y32" s="1011"/>
      <c r="Z32" s="649">
        <f t="shared" si="10"/>
        <v>33.29999999999999</v>
      </c>
      <c r="AA32" s="496"/>
      <c r="AB32" s="467"/>
      <c r="AC32" s="940"/>
      <c r="AD32" s="919">
        <v>106.8</v>
      </c>
      <c r="AE32" s="493"/>
      <c r="AF32" s="722"/>
      <c r="AG32" s="919">
        <v>111.4</v>
      </c>
      <c r="AH32" s="191"/>
      <c r="AI32" s="36"/>
      <c r="AJ32" s="467">
        <f>ROUND(SUM(+AD32-AG32),1)</f>
        <v>-4.5999999999999996</v>
      </c>
      <c r="AK32" s="646"/>
      <c r="AL32" s="1142">
        <f t="shared" si="11"/>
        <v>-4.1000000000000002E-2</v>
      </c>
    </row>
    <row r="33" spans="1:39" ht="15" customHeight="1">
      <c r="A33" s="99"/>
      <c r="B33" s="755" t="s">
        <v>1002</v>
      </c>
      <c r="C33" s="21"/>
      <c r="D33" s="649">
        <v>18.2</v>
      </c>
      <c r="E33" s="1151"/>
      <c r="F33" s="649">
        <v>3.3000000000000007</v>
      </c>
      <c r="G33" s="1151"/>
      <c r="H33" s="649">
        <v>57.599999999999994</v>
      </c>
      <c r="I33" s="467"/>
      <c r="J33" s="649">
        <v>0.90000000000000568</v>
      </c>
      <c r="K33" s="1011"/>
      <c r="L33" s="649">
        <v>3.4000000000000057</v>
      </c>
      <c r="M33" s="1011"/>
      <c r="N33" s="649">
        <v>55.400000000000006</v>
      </c>
      <c r="O33" s="1011"/>
      <c r="P33" s="649">
        <v>0.79999999999998295</v>
      </c>
      <c r="Q33" s="1011"/>
      <c r="R33" s="649">
        <v>-30.399999999999991</v>
      </c>
      <c r="S33" s="1011"/>
      <c r="T33" s="649">
        <v>64.499999999999986</v>
      </c>
      <c r="U33" s="1011"/>
      <c r="V33" s="649">
        <v>24.100000000000023</v>
      </c>
      <c r="W33" s="1011"/>
      <c r="X33" s="649">
        <v>1.0999999999999943</v>
      </c>
      <c r="Y33" s="1011"/>
      <c r="Z33" s="649">
        <f t="shared" si="10"/>
        <v>100.90000000000002</v>
      </c>
      <c r="AA33" s="496"/>
      <c r="AB33" s="467"/>
      <c r="AC33" s="940"/>
      <c r="AD33" s="919">
        <v>299.8</v>
      </c>
      <c r="AE33" s="493"/>
      <c r="AF33" s="722"/>
      <c r="AG33" s="919">
        <v>238.9</v>
      </c>
      <c r="AH33" s="191"/>
      <c r="AI33" s="36"/>
      <c r="AJ33" s="467">
        <f>ROUND(SUM(+AD33-AG33),1)</f>
        <v>60.9</v>
      </c>
      <c r="AK33" s="646"/>
      <c r="AL33" s="1145">
        <f>ROUND(IF(AG33=0,0,AJ33/ABS(AG33)),3)</f>
        <v>0.255</v>
      </c>
    </row>
    <row r="34" spans="1:39" ht="15" customHeight="1">
      <c r="A34" s="99"/>
      <c r="B34" s="755" t="s">
        <v>1003</v>
      </c>
      <c r="C34" s="21"/>
      <c r="D34" s="649">
        <v>0</v>
      </c>
      <c r="E34" s="1151"/>
      <c r="F34" s="649">
        <v>0</v>
      </c>
      <c r="G34" s="1151"/>
      <c r="H34" s="649">
        <v>0</v>
      </c>
      <c r="I34" s="467"/>
      <c r="J34" s="649">
        <v>-0.6</v>
      </c>
      <c r="K34" s="1011"/>
      <c r="L34" s="649">
        <v>9.9999999999999978E-2</v>
      </c>
      <c r="M34" s="1011"/>
      <c r="N34" s="649">
        <v>0</v>
      </c>
      <c r="O34" s="1011"/>
      <c r="P34" s="649">
        <v>-0.30000000000000004</v>
      </c>
      <c r="Q34" s="1011"/>
      <c r="R34" s="649">
        <v>0</v>
      </c>
      <c r="S34" s="1011"/>
      <c r="T34" s="649">
        <v>0</v>
      </c>
      <c r="U34" s="1011"/>
      <c r="V34" s="649">
        <v>-9.9999999999999978E-2</v>
      </c>
      <c r="W34" s="1011"/>
      <c r="X34" s="649">
        <v>51.6</v>
      </c>
      <c r="Y34" s="1011"/>
      <c r="Z34" s="649">
        <f t="shared" si="10"/>
        <v>0</v>
      </c>
      <c r="AA34" s="496"/>
      <c r="AB34" s="467"/>
      <c r="AC34" s="940"/>
      <c r="AD34" s="919">
        <v>50.7</v>
      </c>
      <c r="AE34" s="493"/>
      <c r="AF34" s="722"/>
      <c r="AG34" s="919">
        <v>3.7</v>
      </c>
      <c r="AH34" s="191"/>
      <c r="AI34" s="36"/>
      <c r="AJ34" s="467">
        <f>ROUND(SUM(+AD34-AG34),1)</f>
        <v>47</v>
      </c>
      <c r="AK34" s="646"/>
      <c r="AL34" s="1145">
        <f>ROUND(IF(AG34=0,0,AJ34/ABS(AG34)),3)</f>
        <v>12.702999999999999</v>
      </c>
    </row>
    <row r="35" spans="1:39" ht="15" customHeight="1">
      <c r="A35" s="99"/>
      <c r="B35" s="755" t="s">
        <v>1004</v>
      </c>
      <c r="C35" s="21"/>
      <c r="D35" s="649">
        <v>37.200000000000003</v>
      </c>
      <c r="E35" s="1151"/>
      <c r="F35" s="649">
        <v>39.399999999999991</v>
      </c>
      <c r="G35" s="1151"/>
      <c r="H35" s="649">
        <v>41.900000000000006</v>
      </c>
      <c r="I35" s="467"/>
      <c r="J35" s="649">
        <v>39.099999999999994</v>
      </c>
      <c r="K35" s="1011"/>
      <c r="L35" s="649">
        <v>41.300000000000011</v>
      </c>
      <c r="M35" s="1011"/>
      <c r="N35" s="649">
        <v>45.100000000000023</v>
      </c>
      <c r="O35" s="1011"/>
      <c r="P35" s="649">
        <v>38.699999999999989</v>
      </c>
      <c r="Q35" s="1011"/>
      <c r="R35" s="649">
        <v>39.5</v>
      </c>
      <c r="S35" s="1011"/>
      <c r="T35" s="649">
        <v>41.600000000000023</v>
      </c>
      <c r="U35" s="1011"/>
      <c r="V35" s="649">
        <v>37.500000000000028</v>
      </c>
      <c r="W35" s="1011"/>
      <c r="X35" s="649">
        <v>40.999999999999972</v>
      </c>
      <c r="Y35" s="1011"/>
      <c r="Z35" s="649">
        <f t="shared" si="10"/>
        <v>38</v>
      </c>
      <c r="AA35" s="496"/>
      <c r="AB35" s="467"/>
      <c r="AC35" s="940"/>
      <c r="AD35" s="919">
        <v>480.3</v>
      </c>
      <c r="AE35" s="493"/>
      <c r="AF35" s="722"/>
      <c r="AG35" s="919">
        <v>454</v>
      </c>
      <c r="AH35" s="191"/>
      <c r="AI35" s="36"/>
      <c r="AJ35" s="467">
        <f>ROUND(SUM(+AD35-AG35),1)</f>
        <v>26.3</v>
      </c>
      <c r="AK35" s="646"/>
      <c r="AL35" s="1142">
        <f t="shared" si="11"/>
        <v>5.8000000000000003E-2</v>
      </c>
    </row>
    <row r="36" spans="1:39" s="548" customFormat="1" ht="15" customHeight="1">
      <c r="A36" s="750"/>
      <c r="B36" s="19" t="s">
        <v>1106</v>
      </c>
      <c r="C36" s="19"/>
      <c r="D36" s="1150">
        <f>ROUND(SUM(D31:D35),1)</f>
        <v>290.89999999999998</v>
      </c>
      <c r="E36" s="42"/>
      <c r="F36" s="1150">
        <f>ROUND(SUM(F31:F35),1)</f>
        <v>87.2</v>
      </c>
      <c r="G36" s="42"/>
      <c r="H36" s="1150">
        <f>ROUND(SUM(H31:H35),1)</f>
        <v>370.7</v>
      </c>
      <c r="I36" s="42"/>
      <c r="J36" s="1150">
        <f>ROUND(SUM(J31:J35),1)</f>
        <v>96.7</v>
      </c>
      <c r="K36" s="42"/>
      <c r="L36" s="41">
        <f>ROUND(SUM(L31:L35),1)</f>
        <v>74.2</v>
      </c>
      <c r="M36" s="42"/>
      <c r="N36" s="41">
        <f>ROUND(SUM(N31:N35),1)</f>
        <v>398.6</v>
      </c>
      <c r="O36" s="42"/>
      <c r="P36" s="41">
        <f>ROUND(SUM(P31:P35),1)</f>
        <v>91.1</v>
      </c>
      <c r="Q36" s="42"/>
      <c r="R36" s="41">
        <f>ROUND(SUM(R31:R35),1)</f>
        <v>51.1</v>
      </c>
      <c r="S36" s="41"/>
      <c r="T36" s="41">
        <f t="shared" ref="T36" si="12">ROUND(SUM(T31:T35),1)</f>
        <v>412.5</v>
      </c>
      <c r="U36" s="42"/>
      <c r="V36" s="41">
        <f>ROUND(SUM(V31:V35),1)</f>
        <v>148.80000000000001</v>
      </c>
      <c r="W36" s="42"/>
      <c r="X36" s="41">
        <f>ROUND(SUM(X31:X35),1)</f>
        <v>115.8</v>
      </c>
      <c r="Y36" s="42"/>
      <c r="Z36" s="41">
        <f>ROUND(SUM(Z31:Z35),1)</f>
        <v>526.20000000000005</v>
      </c>
      <c r="AA36" s="42"/>
      <c r="AB36" s="42"/>
      <c r="AC36" s="1247"/>
      <c r="AD36" s="41">
        <f>ROUND(SUM(AD31:AD35),1)</f>
        <v>2663.8</v>
      </c>
      <c r="AE36" s="42"/>
      <c r="AF36" s="1775"/>
      <c r="AG36" s="41">
        <f>ROUND(SUM(AG31:AG35),1)</f>
        <v>2225.1</v>
      </c>
      <c r="AH36" s="197"/>
      <c r="AI36" s="42"/>
      <c r="AJ36" s="41">
        <f>ROUND(SUM(AJ31:AJ35),1)</f>
        <v>438.7</v>
      </c>
      <c r="AK36" s="138"/>
      <c r="AL36" s="13">
        <f t="shared" si="11"/>
        <v>0.19700000000000001</v>
      </c>
    </row>
    <row r="37" spans="1:39" ht="15" customHeight="1">
      <c r="A37" s="99"/>
      <c r="B37" s="19"/>
      <c r="C37" s="21"/>
      <c r="D37" s="467"/>
      <c r="E37" s="467"/>
      <c r="F37" s="467"/>
      <c r="G37" s="467"/>
      <c r="H37" s="467"/>
      <c r="I37" s="467"/>
      <c r="J37" s="467"/>
      <c r="K37" s="36"/>
      <c r="L37" s="36"/>
      <c r="M37" s="36"/>
      <c r="N37" s="36"/>
      <c r="O37" s="36"/>
      <c r="P37" s="36"/>
      <c r="Q37" s="36"/>
      <c r="R37" s="36"/>
      <c r="S37" s="36"/>
      <c r="T37" s="36"/>
      <c r="U37" s="36"/>
      <c r="V37" s="36"/>
      <c r="W37" s="36"/>
      <c r="X37" s="649"/>
      <c r="Y37" s="36"/>
      <c r="Z37" s="36"/>
      <c r="AA37" s="36"/>
      <c r="AB37" s="36"/>
      <c r="AC37" s="1251"/>
      <c r="AD37" s="36"/>
      <c r="AE37" s="36"/>
      <c r="AF37" s="1251"/>
      <c r="AG37" s="36"/>
      <c r="AH37" s="191"/>
      <c r="AI37" s="36"/>
      <c r="AJ37" s="467"/>
      <c r="AK37" s="646"/>
      <c r="AL37" s="646"/>
    </row>
    <row r="38" spans="1:39" ht="15" customHeight="1">
      <c r="A38" s="99"/>
      <c r="B38" s="217" t="s">
        <v>979</v>
      </c>
      <c r="C38" s="21"/>
      <c r="D38" s="1914">
        <f>ROUND(SUM(D17+D29+D36),1)</f>
        <v>492.5</v>
      </c>
      <c r="E38" s="467"/>
      <c r="F38" s="1914">
        <f>ROUND(SUM(F17+F29+F36),1)</f>
        <v>235.2</v>
      </c>
      <c r="G38" s="467"/>
      <c r="H38" s="1914">
        <f>ROUND(SUM(H17+H29+H36),1)</f>
        <v>573.20000000000005</v>
      </c>
      <c r="I38" s="467"/>
      <c r="J38" s="1914">
        <f>ROUND(SUM(J17+J29+J36),1)</f>
        <v>243.7</v>
      </c>
      <c r="K38" s="36"/>
      <c r="L38" s="1914">
        <f>ROUND(SUM(L17+L29+L36),1)</f>
        <v>223.5</v>
      </c>
      <c r="M38" s="467"/>
      <c r="N38" s="1914">
        <f>ROUND(SUM(N17+N29+N36),1)</f>
        <v>589.20000000000005</v>
      </c>
      <c r="O38" s="467"/>
      <c r="P38" s="1914">
        <f>ROUND(SUM(P17+P29+P36),1)</f>
        <v>243.4</v>
      </c>
      <c r="Q38" s="467"/>
      <c r="R38" s="1914">
        <f>ROUND(SUM(R17+R29+R36),1)</f>
        <v>196.5</v>
      </c>
      <c r="S38" s="1914"/>
      <c r="T38" s="1914">
        <f t="shared" ref="T38" si="13">ROUND(SUM(T17+T29+T36),1)</f>
        <v>612.1</v>
      </c>
      <c r="U38" s="467"/>
      <c r="V38" s="1914">
        <f>ROUND(SUM(V17+V29+V36),1)</f>
        <v>2025.4</v>
      </c>
      <c r="W38" s="467"/>
      <c r="X38" s="1914">
        <f>ROUND(SUM(X17+X29+X36),1)</f>
        <v>249.7</v>
      </c>
      <c r="Y38" s="467"/>
      <c r="Z38" s="1914">
        <f>ROUND(SUM(Z17+Z29+Z36),1)</f>
        <v>676.1</v>
      </c>
      <c r="AA38" s="1253"/>
      <c r="AB38" s="36"/>
      <c r="AC38" s="37"/>
      <c r="AD38" s="1914">
        <f>ROUND(SUM(AD17+AD29+AD36),1)</f>
        <v>6360.5</v>
      </c>
      <c r="AE38" s="36"/>
      <c r="AF38" s="37"/>
      <c r="AG38" s="1914">
        <f>ROUND(SUM(AG17+AG29+AG36),1)</f>
        <v>6054.3</v>
      </c>
      <c r="AH38" s="194"/>
      <c r="AI38" s="36"/>
      <c r="AJ38" s="1914">
        <f>ROUND(SUM(AJ17+AJ29+AJ36),1)</f>
        <v>306.2</v>
      </c>
      <c r="AK38" s="467"/>
      <c r="AL38" s="1915">
        <f>ROUND(IF(AG38=0,0,AJ38/ABS(AG38)),3)</f>
        <v>5.0999999999999997E-2</v>
      </c>
      <c r="AM38" s="567"/>
    </row>
    <row r="39" spans="1:39" ht="15" customHeight="1">
      <c r="A39" s="99"/>
      <c r="B39" s="21"/>
      <c r="C39" s="21"/>
      <c r="D39" s="493"/>
      <c r="E39" s="467"/>
      <c r="F39" s="493"/>
      <c r="G39" s="467"/>
      <c r="H39" s="467"/>
      <c r="I39" s="467"/>
      <c r="J39" s="493"/>
      <c r="K39" s="36"/>
      <c r="L39" s="46"/>
      <c r="M39" s="36"/>
      <c r="N39" s="46"/>
      <c r="O39" s="36"/>
      <c r="P39" s="46"/>
      <c r="Q39" s="36"/>
      <c r="R39" s="46"/>
      <c r="S39" s="36"/>
      <c r="T39" s="46"/>
      <c r="U39" s="36"/>
      <c r="V39" s="46"/>
      <c r="W39" s="36"/>
      <c r="X39" s="649"/>
      <c r="Y39" s="36"/>
      <c r="Z39" s="46"/>
      <c r="AA39" s="46"/>
      <c r="AB39" s="36"/>
      <c r="AC39" s="37"/>
      <c r="AD39" s="192"/>
      <c r="AE39" s="40"/>
      <c r="AF39" s="752"/>
      <c r="AG39" s="192"/>
      <c r="AH39" s="194"/>
      <c r="AI39" s="36"/>
      <c r="AJ39" s="467"/>
      <c r="AK39" s="467"/>
      <c r="AL39" s="488"/>
      <c r="AM39" s="567"/>
    </row>
    <row r="40" spans="1:39" ht="15" customHeight="1">
      <c r="A40" s="99"/>
      <c r="B40" s="117" t="s">
        <v>916</v>
      </c>
      <c r="C40" s="21"/>
      <c r="D40" s="493"/>
      <c r="E40" s="467"/>
      <c r="F40" s="493"/>
      <c r="G40" s="467"/>
      <c r="H40" s="467"/>
      <c r="I40" s="467"/>
      <c r="J40" s="493"/>
      <c r="K40" s="36"/>
      <c r="L40" s="46"/>
      <c r="M40" s="36"/>
      <c r="N40" s="46"/>
      <c r="O40" s="36"/>
      <c r="P40" s="46"/>
      <c r="Q40" s="36"/>
      <c r="R40" s="46"/>
      <c r="S40" s="36"/>
      <c r="T40" s="46"/>
      <c r="U40" s="36"/>
      <c r="V40" s="46"/>
      <c r="W40" s="36"/>
      <c r="X40" s="649"/>
      <c r="Y40" s="36"/>
      <c r="Z40" s="46"/>
      <c r="AA40" s="46"/>
      <c r="AB40" s="36"/>
      <c r="AC40" s="37"/>
      <c r="AD40" s="36"/>
      <c r="AE40" s="36"/>
      <c r="AF40" s="752"/>
      <c r="AG40" s="36"/>
      <c r="AH40" s="191"/>
      <c r="AI40" s="36"/>
      <c r="AJ40" s="467"/>
      <c r="AK40" s="467"/>
      <c r="AL40" s="488"/>
      <c r="AM40" s="567"/>
    </row>
    <row r="41" spans="1:39" ht="15" customHeight="1">
      <c r="A41" s="99"/>
      <c r="B41" s="597" t="s">
        <v>1031</v>
      </c>
      <c r="C41" s="21"/>
      <c r="D41" s="493"/>
      <c r="E41" s="467"/>
      <c r="F41" s="493"/>
      <c r="G41" s="467"/>
      <c r="H41" s="467"/>
      <c r="I41" s="467"/>
      <c r="J41" s="493"/>
      <c r="K41" s="36"/>
      <c r="L41" s="46"/>
      <c r="M41" s="36"/>
      <c r="N41" s="46"/>
      <c r="O41" s="36"/>
      <c r="P41" s="46"/>
      <c r="Q41" s="36"/>
      <c r="R41" s="46"/>
      <c r="S41" s="36"/>
      <c r="T41" s="46"/>
      <c r="U41" s="36"/>
      <c r="V41" s="46"/>
      <c r="W41" s="36"/>
      <c r="X41" s="649"/>
      <c r="Y41" s="36"/>
      <c r="Z41" s="46"/>
      <c r="AA41" s="46"/>
      <c r="AB41" s="36"/>
      <c r="AC41" s="37"/>
      <c r="AD41" s="36"/>
      <c r="AE41" s="36"/>
      <c r="AF41" s="752"/>
      <c r="AG41" s="36"/>
      <c r="AH41" s="191"/>
      <c r="AI41" s="36"/>
      <c r="AJ41" s="467"/>
      <c r="AK41" s="467"/>
      <c r="AL41" s="488"/>
      <c r="AM41" s="567"/>
    </row>
    <row r="42" spans="1:39" ht="15" customHeight="1">
      <c r="A42" s="99"/>
      <c r="B42" s="597" t="s">
        <v>948</v>
      </c>
      <c r="C42" s="21"/>
      <c r="D42" s="649">
        <v>0.9</v>
      </c>
      <c r="E42" s="467"/>
      <c r="F42" s="649">
        <v>0.9</v>
      </c>
      <c r="G42" s="467"/>
      <c r="H42" s="649">
        <v>0.99999999999999989</v>
      </c>
      <c r="I42" s="467"/>
      <c r="J42" s="649">
        <v>0.90000000000000024</v>
      </c>
      <c r="K42" s="1011"/>
      <c r="L42" s="649">
        <v>1.2999999999999998</v>
      </c>
      <c r="M42" s="1011"/>
      <c r="N42" s="649">
        <v>0.99999999999999911</v>
      </c>
      <c r="O42" s="1011"/>
      <c r="P42" s="649">
        <v>1.0999999999999996</v>
      </c>
      <c r="Q42" s="1011"/>
      <c r="R42" s="649">
        <v>1</v>
      </c>
      <c r="S42" s="1011"/>
      <c r="T42" s="649">
        <v>1.0999999999999996</v>
      </c>
      <c r="U42" s="1011"/>
      <c r="V42" s="649">
        <v>0.90000000000000036</v>
      </c>
      <c r="W42" s="1011"/>
      <c r="X42" s="649">
        <v>1.4000000000000004</v>
      </c>
      <c r="Y42" s="1011"/>
      <c r="Z42" s="649">
        <f t="shared" ref="Z42:Z81" si="14">$AD42-$D42-$F42-$H42-$J42-$L42-$N42-$P42-$R42-$T42-$V42-$X42</f>
        <v>5.8999999999999986</v>
      </c>
      <c r="AA42" s="496"/>
      <c r="AB42" s="467"/>
      <c r="AC42" s="940"/>
      <c r="AD42" s="919">
        <v>17.399999999999999</v>
      </c>
      <c r="AE42" s="493"/>
      <c r="AF42" s="722"/>
      <c r="AG42" s="919">
        <v>16.8</v>
      </c>
      <c r="AH42" s="191"/>
      <c r="AI42" s="36"/>
      <c r="AJ42" s="467">
        <f>ROUND(SUM(+AD42-AG42),1)</f>
        <v>0.6</v>
      </c>
      <c r="AK42" s="467"/>
      <c r="AL42" s="488">
        <f>ROUND(IF(AG42=0,0,AJ42/ABS(AG42)),3)</f>
        <v>3.5999999999999997E-2</v>
      </c>
      <c r="AM42" s="567"/>
    </row>
    <row r="43" spans="1:39" ht="15" customHeight="1">
      <c r="A43" s="99"/>
      <c r="B43" s="597" t="s">
        <v>1032</v>
      </c>
      <c r="C43" s="21"/>
      <c r="D43" s="649" t="s">
        <v>14</v>
      </c>
      <c r="E43" s="467"/>
      <c r="F43" s="649"/>
      <c r="G43" s="467"/>
      <c r="H43" s="649"/>
      <c r="I43" s="467"/>
      <c r="J43" s="649"/>
      <c r="K43" s="36"/>
      <c r="L43" s="649"/>
      <c r="M43" s="467"/>
      <c r="N43" s="649" t="s">
        <v>14</v>
      </c>
      <c r="O43" s="36"/>
      <c r="P43" s="649" t="s">
        <v>14</v>
      </c>
      <c r="Q43" s="36"/>
      <c r="R43" s="649" t="s">
        <v>14</v>
      </c>
      <c r="S43" s="36"/>
      <c r="T43" s="649"/>
      <c r="U43" s="36"/>
      <c r="V43" s="649"/>
      <c r="W43" s="36"/>
      <c r="X43" s="649"/>
      <c r="Y43" s="36"/>
      <c r="Z43" s="649"/>
      <c r="AA43" s="46"/>
      <c r="AB43" s="36"/>
      <c r="AC43" s="37"/>
      <c r="AD43" s="36"/>
      <c r="AE43" s="36"/>
      <c r="AF43" s="752"/>
      <c r="AG43" s="36"/>
      <c r="AH43" s="191"/>
      <c r="AI43" s="36"/>
      <c r="AJ43" s="467"/>
      <c r="AK43" s="467"/>
      <c r="AL43" s="488"/>
      <c r="AM43" s="567"/>
    </row>
    <row r="44" spans="1:39" ht="15" customHeight="1">
      <c r="A44" s="99"/>
      <c r="B44" s="597" t="s">
        <v>950</v>
      </c>
      <c r="C44" s="21"/>
      <c r="D44" s="649">
        <v>128.19999999999999</v>
      </c>
      <c r="E44" s="467"/>
      <c r="F44" s="649">
        <v>-1.1999999999999886</v>
      </c>
      <c r="G44" s="467"/>
      <c r="H44" s="649">
        <v>38.599999999999994</v>
      </c>
      <c r="I44" s="467"/>
      <c r="J44" s="649">
        <v>92.200000000000017</v>
      </c>
      <c r="K44" s="1011"/>
      <c r="L44" s="649">
        <v>46.999999999999943</v>
      </c>
      <c r="M44" s="1011"/>
      <c r="N44" s="649">
        <v>83.200000000000045</v>
      </c>
      <c r="O44" s="1011"/>
      <c r="P44" s="649">
        <v>51.599999999999994</v>
      </c>
      <c r="Q44" s="1011"/>
      <c r="R44" s="649">
        <v>-23.999999999999972</v>
      </c>
      <c r="S44" s="1011"/>
      <c r="T44" s="649">
        <v>110.49999999999994</v>
      </c>
      <c r="U44" s="1011"/>
      <c r="V44" s="649">
        <v>110.5</v>
      </c>
      <c r="W44" s="1011"/>
      <c r="X44" s="649">
        <v>10.899999999999977</v>
      </c>
      <c r="Y44" s="1011"/>
      <c r="Z44" s="649">
        <f t="shared" si="14"/>
        <v>172.40000000000015</v>
      </c>
      <c r="AA44" s="496"/>
      <c r="AB44" s="467"/>
      <c r="AC44" s="940"/>
      <c r="AD44" s="919">
        <v>819.9</v>
      </c>
      <c r="AE44" s="493"/>
      <c r="AF44" s="722"/>
      <c r="AG44" s="919">
        <v>674</v>
      </c>
      <c r="AH44" s="191"/>
      <c r="AI44" s="36"/>
      <c r="AJ44" s="467">
        <f>ROUND(SUM(+AD44-AG44),1)</f>
        <v>145.9</v>
      </c>
      <c r="AK44" s="467"/>
      <c r="AL44" s="488">
        <f>ROUND(IF(AG44=0,0,AJ44/ABS(AG44)),3)</f>
        <v>0.216</v>
      </c>
      <c r="AM44" s="567"/>
    </row>
    <row r="45" spans="1:39" ht="15" customHeight="1">
      <c r="A45" s="99"/>
      <c r="B45" s="597" t="s">
        <v>951</v>
      </c>
      <c r="C45" s="21"/>
      <c r="D45" s="649">
        <v>535.29999999999995</v>
      </c>
      <c r="E45" s="467"/>
      <c r="F45" s="649">
        <v>530.60000000000014</v>
      </c>
      <c r="G45" s="467"/>
      <c r="H45" s="649">
        <v>564.19999999999982</v>
      </c>
      <c r="I45" s="467"/>
      <c r="J45" s="649">
        <v>574.09999999999991</v>
      </c>
      <c r="K45" s="1011"/>
      <c r="L45" s="649">
        <v>533.80000000000018</v>
      </c>
      <c r="M45" s="1011"/>
      <c r="N45" s="649">
        <v>574.69999999999936</v>
      </c>
      <c r="O45" s="1011"/>
      <c r="P45" s="649">
        <v>535.80000000000018</v>
      </c>
      <c r="Q45" s="1011"/>
      <c r="R45" s="649">
        <v>531.79999999999927</v>
      </c>
      <c r="S45" s="1011"/>
      <c r="T45" s="649">
        <v>598.40000000000055</v>
      </c>
      <c r="U45" s="1011"/>
      <c r="V45" s="649">
        <v>560.5</v>
      </c>
      <c r="W45" s="1011"/>
      <c r="X45" s="649">
        <v>586.5</v>
      </c>
      <c r="Y45" s="1011"/>
      <c r="Z45" s="649">
        <f t="shared" si="14"/>
        <v>597.60000000000082</v>
      </c>
      <c r="AA45" s="496"/>
      <c r="AB45" s="467"/>
      <c r="AC45" s="940"/>
      <c r="AD45" s="919">
        <v>6723.3</v>
      </c>
      <c r="AE45" s="493"/>
      <c r="AF45" s="722"/>
      <c r="AG45" s="919">
        <v>6321.4</v>
      </c>
      <c r="AH45" s="191"/>
      <c r="AI45" s="36"/>
      <c r="AJ45" s="467">
        <f>ROUND(SUM(+AD45-AG45),1)</f>
        <v>401.9</v>
      </c>
      <c r="AK45" s="467"/>
      <c r="AL45" s="488">
        <f>ROUND(IF(AG45=0,0,AJ45/ABS(AG45)),3)</f>
        <v>6.4000000000000001E-2</v>
      </c>
      <c r="AM45" s="567"/>
    </row>
    <row r="46" spans="1:39" ht="15" customHeight="1">
      <c r="A46" s="99"/>
      <c r="B46" s="597" t="s">
        <v>952</v>
      </c>
      <c r="C46" s="21"/>
      <c r="D46" s="649">
        <v>4.5999999999999996</v>
      </c>
      <c r="E46" s="467"/>
      <c r="F46" s="649">
        <v>0</v>
      </c>
      <c r="G46" s="467"/>
      <c r="H46" s="649">
        <v>0.30000000000000071</v>
      </c>
      <c r="I46" s="467"/>
      <c r="J46" s="649">
        <v>0</v>
      </c>
      <c r="K46" s="1011"/>
      <c r="L46" s="649">
        <v>0.19999999999999929</v>
      </c>
      <c r="M46" s="1011"/>
      <c r="N46" s="649">
        <v>59.499999999999986</v>
      </c>
      <c r="O46" s="1011"/>
      <c r="P46" s="649">
        <v>-0.19999999999998863</v>
      </c>
      <c r="Q46" s="1011"/>
      <c r="R46" s="649">
        <v>-0.20000000000000284</v>
      </c>
      <c r="S46" s="1011"/>
      <c r="T46" s="649">
        <v>-0.40000000000000568</v>
      </c>
      <c r="U46" s="1011"/>
      <c r="V46" s="649">
        <v>0.20000000000000284</v>
      </c>
      <c r="W46" s="1011"/>
      <c r="X46" s="649">
        <v>-9.9999999999994316E-2</v>
      </c>
      <c r="Y46" s="1011"/>
      <c r="Z46" s="649">
        <f t="shared" si="14"/>
        <v>64.100000000000009</v>
      </c>
      <c r="AA46" s="496"/>
      <c r="AB46" s="467"/>
      <c r="AC46" s="940"/>
      <c r="AD46" s="919">
        <v>128</v>
      </c>
      <c r="AE46" s="493"/>
      <c r="AF46" s="722"/>
      <c r="AG46" s="919">
        <v>95.1</v>
      </c>
      <c r="AH46" s="191"/>
      <c r="AI46" s="36"/>
      <c r="AJ46" s="467">
        <f>ROUND(SUM(+AD46-AG46),1)</f>
        <v>32.9</v>
      </c>
      <c r="AK46" s="467"/>
      <c r="AL46" s="1145">
        <f>ROUND(IF(AG46=0,0,AJ46/ABS(AG46)),3)</f>
        <v>0.34599999999999997</v>
      </c>
      <c r="AM46" s="567"/>
    </row>
    <row r="47" spans="1:39" ht="15" customHeight="1">
      <c r="A47" s="99"/>
      <c r="B47" s="597" t="s">
        <v>953</v>
      </c>
      <c r="C47" s="21"/>
      <c r="D47" s="649">
        <v>0</v>
      </c>
      <c r="E47" s="467"/>
      <c r="F47" s="649">
        <v>0</v>
      </c>
      <c r="G47" s="467"/>
      <c r="H47" s="649">
        <v>0.1</v>
      </c>
      <c r="I47" s="467"/>
      <c r="J47" s="649">
        <v>0</v>
      </c>
      <c r="K47" s="1011"/>
      <c r="L47" s="649">
        <v>0</v>
      </c>
      <c r="M47" s="1011"/>
      <c r="N47" s="649">
        <v>0</v>
      </c>
      <c r="O47" s="1011"/>
      <c r="P47" s="649">
        <v>0.1</v>
      </c>
      <c r="Q47" s="1011"/>
      <c r="R47" s="649">
        <v>0</v>
      </c>
      <c r="S47" s="1011"/>
      <c r="T47" s="649">
        <v>0</v>
      </c>
      <c r="U47" s="1011"/>
      <c r="V47" s="649">
        <v>0</v>
      </c>
      <c r="W47" s="1011"/>
      <c r="X47" s="649">
        <v>9.9999999999999978E-2</v>
      </c>
      <c r="Y47" s="1011"/>
      <c r="Z47" s="649">
        <f t="shared" si="14"/>
        <v>0</v>
      </c>
      <c r="AA47" s="496"/>
      <c r="AB47" s="467"/>
      <c r="AC47" s="940"/>
      <c r="AD47" s="919">
        <v>0.3</v>
      </c>
      <c r="AE47" s="493"/>
      <c r="AF47" s="722"/>
      <c r="AG47" s="919">
        <v>-0.7</v>
      </c>
      <c r="AH47" s="191"/>
      <c r="AI47" s="36"/>
      <c r="AJ47" s="467">
        <f>ROUND(SUM(+AD47-AG47),1)</f>
        <v>1</v>
      </c>
      <c r="AK47" s="467"/>
      <c r="AL47" s="488">
        <f>ROUND(IF(AG47=0,1,AJ47/ABS(AG47)),3)</f>
        <v>1.429</v>
      </c>
      <c r="AM47" s="567"/>
    </row>
    <row r="48" spans="1:39" ht="15" customHeight="1">
      <c r="A48" s="99"/>
      <c r="B48" s="597" t="s">
        <v>1036</v>
      </c>
      <c r="C48" s="21"/>
      <c r="D48" s="649" t="s">
        <v>14</v>
      </c>
      <c r="E48" s="467"/>
      <c r="F48" s="649"/>
      <c r="G48" s="467"/>
      <c r="H48" s="649"/>
      <c r="I48" s="467"/>
      <c r="J48" s="649"/>
      <c r="K48" s="36"/>
      <c r="L48" s="649"/>
      <c r="M48" s="36"/>
      <c r="N48" s="649" t="s">
        <v>14</v>
      </c>
      <c r="O48" s="36"/>
      <c r="P48" s="649" t="s">
        <v>14</v>
      </c>
      <c r="Q48" s="36"/>
      <c r="R48" s="649" t="s">
        <v>14</v>
      </c>
      <c r="S48" s="36"/>
      <c r="T48" s="649"/>
      <c r="U48" s="36"/>
      <c r="V48" s="649"/>
      <c r="W48" s="36"/>
      <c r="X48" s="649"/>
      <c r="Y48" s="36"/>
      <c r="Z48" s="649"/>
      <c r="AA48" s="46"/>
      <c r="AB48" s="36"/>
      <c r="AC48" s="37"/>
      <c r="AD48" s="38"/>
      <c r="AE48" s="36"/>
      <c r="AF48" s="752"/>
      <c r="AG48" s="38"/>
      <c r="AH48" s="191"/>
      <c r="AI48" s="36"/>
      <c r="AJ48" s="467"/>
      <c r="AK48" s="467"/>
      <c r="AL48" s="488"/>
      <c r="AM48" s="567"/>
    </row>
    <row r="49" spans="1:39" ht="15" customHeight="1">
      <c r="A49" s="99"/>
      <c r="B49" s="597" t="s">
        <v>1125</v>
      </c>
      <c r="C49" s="21"/>
      <c r="D49" s="649">
        <v>0</v>
      </c>
      <c r="E49" s="467"/>
      <c r="F49" s="649">
        <v>0.2</v>
      </c>
      <c r="G49" s="467"/>
      <c r="H49" s="649">
        <v>1.3</v>
      </c>
      <c r="I49" s="467"/>
      <c r="J49" s="649">
        <v>0.39999999999999986</v>
      </c>
      <c r="K49" s="1011"/>
      <c r="L49" s="649">
        <v>0.20000000000000012</v>
      </c>
      <c r="M49" s="1011"/>
      <c r="N49" s="649">
        <v>9.9999999999999978E-2</v>
      </c>
      <c r="O49" s="1011"/>
      <c r="P49" s="649">
        <v>0</v>
      </c>
      <c r="Q49" s="1011"/>
      <c r="R49" s="649">
        <v>9.9999999999999645E-2</v>
      </c>
      <c r="S49" s="1011"/>
      <c r="T49" s="649">
        <v>0.10000000000000009</v>
      </c>
      <c r="U49" s="1011"/>
      <c r="V49" s="649">
        <v>0</v>
      </c>
      <c r="W49" s="1011"/>
      <c r="X49" s="649">
        <v>0</v>
      </c>
      <c r="Y49" s="1011"/>
      <c r="Z49" s="649">
        <f t="shared" si="14"/>
        <v>0</v>
      </c>
      <c r="AA49" s="496"/>
      <c r="AB49" s="467"/>
      <c r="AC49" s="940"/>
      <c r="AD49" s="919">
        <v>2.4</v>
      </c>
      <c r="AE49" s="493"/>
      <c r="AF49" s="722"/>
      <c r="AG49" s="919">
        <v>2.5</v>
      </c>
      <c r="AH49" s="191"/>
      <c r="AI49" s="36"/>
      <c r="AJ49" s="467">
        <f t="shared" ref="AJ49:AJ55" si="15">ROUND(SUM(+AD49-AG49),1)</f>
        <v>-0.1</v>
      </c>
      <c r="AK49" s="467"/>
      <c r="AL49" s="469">
        <f>ROUND(IF(AG49=0,1,AJ49/ABS(AG49)),3)</f>
        <v>-0.04</v>
      </c>
      <c r="AM49" s="567"/>
    </row>
    <row r="50" spans="1:39" ht="15" customHeight="1">
      <c r="A50" s="99"/>
      <c r="B50" s="597" t="s">
        <v>954</v>
      </c>
      <c r="C50" s="21"/>
      <c r="D50" s="649">
        <v>32.9</v>
      </c>
      <c r="E50" s="467"/>
      <c r="F50" s="649">
        <v>36.300000000000004</v>
      </c>
      <c r="G50" s="467"/>
      <c r="H50" s="649">
        <v>92.799999999999983</v>
      </c>
      <c r="I50" s="467"/>
      <c r="J50" s="649">
        <v>53.800000000000018</v>
      </c>
      <c r="K50" s="1011"/>
      <c r="L50" s="649">
        <v>41.399999999999984</v>
      </c>
      <c r="M50" s="1011"/>
      <c r="N50" s="649">
        <v>70.000000000000028</v>
      </c>
      <c r="O50" s="1011"/>
      <c r="P50" s="649">
        <v>67.400000000000034</v>
      </c>
      <c r="Q50" s="1011"/>
      <c r="R50" s="649">
        <v>45.299999999999926</v>
      </c>
      <c r="S50" s="1011"/>
      <c r="T50" s="649">
        <v>81.100000000000023</v>
      </c>
      <c r="U50" s="1011"/>
      <c r="V50" s="649">
        <v>72.400000000000063</v>
      </c>
      <c r="W50" s="1011"/>
      <c r="X50" s="649">
        <v>35.200000000000045</v>
      </c>
      <c r="Y50" s="1011"/>
      <c r="Z50" s="649">
        <f t="shared" si="14"/>
        <v>102.10000000000005</v>
      </c>
      <c r="AA50" s="496"/>
      <c r="AB50" s="467"/>
      <c r="AC50" s="940"/>
      <c r="AD50" s="919">
        <v>730.7</v>
      </c>
      <c r="AE50" s="493"/>
      <c r="AF50" s="722"/>
      <c r="AG50" s="919">
        <v>721.2</v>
      </c>
      <c r="AH50" s="191"/>
      <c r="AI50" s="36"/>
      <c r="AJ50" s="467">
        <f t="shared" si="15"/>
        <v>9.5</v>
      </c>
      <c r="AK50" s="467"/>
      <c r="AL50" s="488">
        <f t="shared" ref="AL50:AL55" si="16">ROUND(IF(AG50=0,0,AJ50/ABS(AG50)),3)</f>
        <v>1.2999999999999999E-2</v>
      </c>
      <c r="AM50" s="567"/>
    </row>
    <row r="51" spans="1:39" ht="15" customHeight="1">
      <c r="A51" s="99"/>
      <c r="B51" s="597" t="s">
        <v>955</v>
      </c>
      <c r="C51" s="21"/>
      <c r="D51" s="649">
        <v>5</v>
      </c>
      <c r="E51" s="467"/>
      <c r="F51" s="649">
        <v>4.6999999999999993</v>
      </c>
      <c r="G51" s="467"/>
      <c r="H51" s="649">
        <v>5</v>
      </c>
      <c r="I51" s="467"/>
      <c r="J51" s="649">
        <v>4.6999999999999993</v>
      </c>
      <c r="K51" s="1011"/>
      <c r="L51" s="649">
        <v>5.6000000000000014</v>
      </c>
      <c r="M51" s="1011"/>
      <c r="N51" s="649">
        <v>4.1999999999999993</v>
      </c>
      <c r="O51" s="1011"/>
      <c r="P51" s="649">
        <v>5.9000000000000021</v>
      </c>
      <c r="Q51" s="1011"/>
      <c r="R51" s="649">
        <v>4.8999999999999986</v>
      </c>
      <c r="S51" s="1011"/>
      <c r="T51" s="649">
        <v>3.9999999999999964</v>
      </c>
      <c r="U51" s="1011"/>
      <c r="V51" s="649">
        <v>4</v>
      </c>
      <c r="W51" s="1011"/>
      <c r="X51" s="649">
        <v>4.600000000000005</v>
      </c>
      <c r="Y51" s="1011"/>
      <c r="Z51" s="649">
        <f t="shared" si="14"/>
        <v>3.8999999999999915</v>
      </c>
      <c r="AA51" s="496"/>
      <c r="AB51" s="467"/>
      <c r="AC51" s="940"/>
      <c r="AD51" s="919">
        <v>56.5</v>
      </c>
      <c r="AE51" s="493"/>
      <c r="AF51" s="722"/>
      <c r="AG51" s="919">
        <v>63.2</v>
      </c>
      <c r="AH51" s="191"/>
      <c r="AI51" s="36"/>
      <c r="AJ51" s="467">
        <f t="shared" si="15"/>
        <v>-6.7</v>
      </c>
      <c r="AK51" s="467"/>
      <c r="AL51" s="488">
        <f t="shared" si="16"/>
        <v>-0.106</v>
      </c>
      <c r="AM51" s="567"/>
    </row>
    <row r="52" spans="1:39" ht="15" customHeight="1">
      <c r="A52" s="99"/>
      <c r="B52" s="597" t="s">
        <v>956</v>
      </c>
      <c r="C52" s="21"/>
      <c r="D52" s="649">
        <v>0.7</v>
      </c>
      <c r="E52" s="467"/>
      <c r="F52" s="649">
        <v>0.20000000000000007</v>
      </c>
      <c r="G52" s="467"/>
      <c r="H52" s="649">
        <v>0.49999999999999978</v>
      </c>
      <c r="I52" s="467"/>
      <c r="J52" s="649">
        <v>0.40000000000000013</v>
      </c>
      <c r="K52" s="1011"/>
      <c r="L52" s="649">
        <v>0.99999999999999978</v>
      </c>
      <c r="M52" s="1011"/>
      <c r="N52" s="649">
        <v>0.10000000000000031</v>
      </c>
      <c r="O52" s="1011"/>
      <c r="P52" s="649">
        <v>0.29999999999999982</v>
      </c>
      <c r="Q52" s="1011"/>
      <c r="R52" s="649">
        <v>0</v>
      </c>
      <c r="S52" s="1011"/>
      <c r="T52" s="649">
        <v>0.69999999999999973</v>
      </c>
      <c r="U52" s="1011"/>
      <c r="V52" s="649">
        <v>0</v>
      </c>
      <c r="W52" s="1011"/>
      <c r="X52" s="649">
        <v>0.39999999999999947</v>
      </c>
      <c r="Y52" s="1011"/>
      <c r="Z52" s="649">
        <f t="shared" si="14"/>
        <v>0.99999999999999956</v>
      </c>
      <c r="AA52" s="496"/>
      <c r="AB52" s="467"/>
      <c r="AC52" s="940"/>
      <c r="AD52" s="919">
        <v>5.3</v>
      </c>
      <c r="AE52" s="493"/>
      <c r="AF52" s="722"/>
      <c r="AG52" s="919">
        <v>5.5</v>
      </c>
      <c r="AH52" s="191"/>
      <c r="AI52" s="36"/>
      <c r="AJ52" s="467">
        <f t="shared" si="15"/>
        <v>-0.2</v>
      </c>
      <c r="AK52" s="467"/>
      <c r="AL52" s="488">
        <f>ROUND(IF(AG52=0,1,AJ52/ABS(AG52)),3)</f>
        <v>-3.5999999999999997E-2</v>
      </c>
      <c r="AM52" s="567"/>
    </row>
    <row r="53" spans="1:39" ht="15" customHeight="1">
      <c r="A53" s="99"/>
      <c r="B53" s="597" t="s">
        <v>957</v>
      </c>
      <c r="C53" s="21"/>
      <c r="D53" s="649">
        <v>16.7</v>
      </c>
      <c r="E53" s="467"/>
      <c r="F53" s="649">
        <v>16.3</v>
      </c>
      <c r="G53" s="467"/>
      <c r="H53" s="649">
        <v>24.500000000000004</v>
      </c>
      <c r="I53" s="467"/>
      <c r="J53" s="649">
        <v>15.200000000000003</v>
      </c>
      <c r="K53" s="1011"/>
      <c r="L53" s="649">
        <v>14.299999999999997</v>
      </c>
      <c r="M53" s="1011"/>
      <c r="N53" s="649">
        <v>15.099999999999994</v>
      </c>
      <c r="O53" s="1011"/>
      <c r="P53" s="649">
        <v>57.800000000000026</v>
      </c>
      <c r="Q53" s="1011"/>
      <c r="R53" s="649">
        <v>20.799999999999969</v>
      </c>
      <c r="S53" s="1011"/>
      <c r="T53" s="649">
        <v>21.700000000000003</v>
      </c>
      <c r="U53" s="1011"/>
      <c r="V53" s="649">
        <v>15.40000000000002</v>
      </c>
      <c r="W53" s="1011"/>
      <c r="X53" s="649">
        <v>19.799999999999955</v>
      </c>
      <c r="Y53" s="1011"/>
      <c r="Z53" s="649">
        <f t="shared" si="14"/>
        <v>29.500000000000057</v>
      </c>
      <c r="AA53" s="496"/>
      <c r="AB53" s="467"/>
      <c r="AC53" s="940"/>
      <c r="AD53" s="919">
        <v>267.10000000000002</v>
      </c>
      <c r="AE53" s="493"/>
      <c r="AF53" s="722"/>
      <c r="AG53" s="919">
        <v>322.3</v>
      </c>
      <c r="AH53" s="191"/>
      <c r="AI53" s="36"/>
      <c r="AJ53" s="467">
        <f t="shared" si="15"/>
        <v>-55.2</v>
      </c>
      <c r="AK53" s="467"/>
      <c r="AL53" s="488">
        <f t="shared" si="16"/>
        <v>-0.17100000000000001</v>
      </c>
      <c r="AM53" s="567"/>
    </row>
    <row r="54" spans="1:39" ht="15" customHeight="1">
      <c r="A54" s="99"/>
      <c r="B54" s="597" t="s">
        <v>958</v>
      </c>
      <c r="C54" s="21"/>
      <c r="D54" s="649">
        <v>39</v>
      </c>
      <c r="E54" s="467"/>
      <c r="F54" s="649">
        <v>77.5</v>
      </c>
      <c r="G54" s="467"/>
      <c r="H54" s="649">
        <v>77.599999999999994</v>
      </c>
      <c r="I54" s="467"/>
      <c r="J54" s="649">
        <v>107.6</v>
      </c>
      <c r="K54" s="1011"/>
      <c r="L54" s="649">
        <v>79.19999999999996</v>
      </c>
      <c r="M54" s="1011"/>
      <c r="N54" s="649">
        <v>144.70000000000005</v>
      </c>
      <c r="O54" s="1011"/>
      <c r="P54" s="649">
        <v>74.399999999999949</v>
      </c>
      <c r="Q54" s="1011"/>
      <c r="R54" s="649">
        <v>94.600000000000051</v>
      </c>
      <c r="S54" s="1011"/>
      <c r="T54" s="649">
        <v>61.600000000000023</v>
      </c>
      <c r="U54" s="1011"/>
      <c r="V54" s="649">
        <v>112.09999999999988</v>
      </c>
      <c r="W54" s="1011"/>
      <c r="X54" s="649">
        <v>113.3000000000001</v>
      </c>
      <c r="Y54" s="1011"/>
      <c r="Z54" s="649">
        <f t="shared" si="14"/>
        <v>82.300000000000068</v>
      </c>
      <c r="AA54" s="496"/>
      <c r="AB54" s="467"/>
      <c r="AC54" s="940"/>
      <c r="AD54" s="919">
        <v>1063.9000000000001</v>
      </c>
      <c r="AE54" s="493"/>
      <c r="AF54" s="722"/>
      <c r="AG54" s="919">
        <v>1045.2</v>
      </c>
      <c r="AH54" s="191"/>
      <c r="AI54" s="36"/>
      <c r="AJ54" s="467">
        <f t="shared" si="15"/>
        <v>18.7</v>
      </c>
      <c r="AK54" s="467"/>
      <c r="AL54" s="488">
        <f t="shared" si="16"/>
        <v>1.7999999999999999E-2</v>
      </c>
      <c r="AM54" s="567"/>
    </row>
    <row r="55" spans="1:39" ht="15" customHeight="1">
      <c r="A55" s="99"/>
      <c r="B55" s="597" t="s">
        <v>917</v>
      </c>
      <c r="C55" s="21"/>
      <c r="D55" s="649">
        <v>4.4000000000000004</v>
      </c>
      <c r="E55" s="467"/>
      <c r="F55" s="649">
        <v>8.6999999999999993</v>
      </c>
      <c r="G55" s="467"/>
      <c r="H55" s="649">
        <v>2.9000000000000004</v>
      </c>
      <c r="I55" s="467"/>
      <c r="J55" s="649">
        <v>9.7999999999999989</v>
      </c>
      <c r="K55" s="1011"/>
      <c r="L55" s="649">
        <v>8.1000000000000032</v>
      </c>
      <c r="M55" s="1011"/>
      <c r="N55" s="649">
        <v>5.399999999999995</v>
      </c>
      <c r="O55" s="1011"/>
      <c r="P55" s="649">
        <v>5.9000000000000146</v>
      </c>
      <c r="Q55" s="1011"/>
      <c r="R55" s="649">
        <v>6.3999999999999932</v>
      </c>
      <c r="S55" s="1011"/>
      <c r="T55" s="649">
        <v>27.9</v>
      </c>
      <c r="U55" s="1011"/>
      <c r="V55" s="649">
        <v>6.7999999999999829</v>
      </c>
      <c r="W55" s="1011"/>
      <c r="X55" s="649">
        <v>17.700000000000003</v>
      </c>
      <c r="Y55" s="1011"/>
      <c r="Z55" s="649">
        <f t="shared" si="14"/>
        <v>11.899999999999999</v>
      </c>
      <c r="AA55" s="496"/>
      <c r="AB55" s="467"/>
      <c r="AC55" s="940"/>
      <c r="AD55" s="919">
        <v>115.9</v>
      </c>
      <c r="AE55" s="493"/>
      <c r="AF55" s="722"/>
      <c r="AG55" s="919">
        <v>96</v>
      </c>
      <c r="AH55" s="191"/>
      <c r="AI55" s="36"/>
      <c r="AJ55" s="467">
        <f t="shared" si="15"/>
        <v>19.899999999999999</v>
      </c>
      <c r="AK55" s="467"/>
      <c r="AL55" s="978">
        <f t="shared" si="16"/>
        <v>0.20699999999999999</v>
      </c>
      <c r="AM55" s="567"/>
    </row>
    <row r="56" spans="1:39" ht="15" customHeight="1">
      <c r="A56" s="99"/>
      <c r="B56" s="597" t="s">
        <v>1033</v>
      </c>
      <c r="C56" s="21"/>
      <c r="D56" s="649" t="s">
        <v>14</v>
      </c>
      <c r="E56" s="467"/>
      <c r="F56" s="649"/>
      <c r="G56" s="467"/>
      <c r="H56" s="649"/>
      <c r="I56" s="467"/>
      <c r="J56" s="649"/>
      <c r="K56" s="36"/>
      <c r="L56" s="649"/>
      <c r="M56" s="36"/>
      <c r="N56" s="649" t="s">
        <v>14</v>
      </c>
      <c r="O56" s="36"/>
      <c r="P56" s="649" t="s">
        <v>14</v>
      </c>
      <c r="Q56" s="36"/>
      <c r="R56" s="649" t="s">
        <v>14</v>
      </c>
      <c r="S56" s="36"/>
      <c r="T56" s="649"/>
      <c r="U56" s="36"/>
      <c r="V56" s="649"/>
      <c r="W56" s="36"/>
      <c r="X56" s="649"/>
      <c r="Y56" s="36"/>
      <c r="Z56" s="649"/>
      <c r="AA56" s="46"/>
      <c r="AB56" s="36"/>
      <c r="AC56" s="37"/>
      <c r="AD56" s="36"/>
      <c r="AE56" s="36"/>
      <c r="AF56" s="752"/>
      <c r="AG56" s="36"/>
      <c r="AH56" s="191"/>
      <c r="AI56" s="36"/>
      <c r="AJ56" s="467"/>
      <c r="AK56" s="467"/>
      <c r="AL56" s="488"/>
      <c r="AM56" s="567"/>
    </row>
    <row r="57" spans="1:39" ht="15" customHeight="1">
      <c r="A57" s="99"/>
      <c r="B57" s="597" t="s">
        <v>959</v>
      </c>
      <c r="C57" s="21"/>
      <c r="D57" s="649">
        <v>39.6</v>
      </c>
      <c r="E57" s="467"/>
      <c r="F57" s="649">
        <v>11.5</v>
      </c>
      <c r="G57" s="467"/>
      <c r="H57" s="649">
        <v>41.1</v>
      </c>
      <c r="I57" s="467"/>
      <c r="J57" s="649">
        <v>35.70000000000001</v>
      </c>
      <c r="K57" s="1011"/>
      <c r="L57" s="649">
        <v>18.199999999999982</v>
      </c>
      <c r="M57" s="1011"/>
      <c r="N57" s="649">
        <v>42.800000000000026</v>
      </c>
      <c r="O57" s="1011"/>
      <c r="P57" s="649">
        <v>36.299999999999969</v>
      </c>
      <c r="Q57" s="1011"/>
      <c r="R57" s="649">
        <v>19.800000000000011</v>
      </c>
      <c r="S57" s="1011"/>
      <c r="T57" s="649">
        <v>41.5</v>
      </c>
      <c r="U57" s="1011"/>
      <c r="V57" s="649">
        <v>35.600000000000009</v>
      </c>
      <c r="W57" s="1011"/>
      <c r="X57" s="649">
        <v>13.399999999999977</v>
      </c>
      <c r="Y57" s="1011"/>
      <c r="Z57" s="649">
        <f t="shared" si="14"/>
        <v>44.199999999999946</v>
      </c>
      <c r="AA57" s="496"/>
      <c r="AB57" s="467"/>
      <c r="AC57" s="940"/>
      <c r="AD57" s="919">
        <v>379.7</v>
      </c>
      <c r="AE57" s="493"/>
      <c r="AF57" s="722"/>
      <c r="AG57" s="919">
        <v>828.7</v>
      </c>
      <c r="AH57" s="191"/>
      <c r="AI57" s="36"/>
      <c r="AJ57" s="467">
        <f t="shared" ref="AJ57:AJ62" si="17">ROUND(SUM(+AD57-AG57),1)</f>
        <v>-449</v>
      </c>
      <c r="AK57" s="467"/>
      <c r="AL57" s="978">
        <f>ROUND(IF(AG57=0,1,AJ57/ABS(AG57)),3)</f>
        <v>-0.54200000000000004</v>
      </c>
      <c r="AM57" s="567"/>
    </row>
    <row r="58" spans="1:39" ht="15" customHeight="1">
      <c r="A58" s="99"/>
      <c r="B58" s="597" t="s">
        <v>1471</v>
      </c>
      <c r="C58" s="21"/>
      <c r="D58" s="649">
        <v>186.3</v>
      </c>
      <c r="E58" s="467"/>
      <c r="F58" s="649">
        <v>189.59999999999997</v>
      </c>
      <c r="G58" s="467"/>
      <c r="H58" s="649">
        <v>232.80000000000007</v>
      </c>
      <c r="I58" s="467"/>
      <c r="J58" s="649">
        <v>191.69999999999993</v>
      </c>
      <c r="K58" s="1011"/>
      <c r="L58" s="649">
        <v>248.69999999999993</v>
      </c>
      <c r="M58" s="1011"/>
      <c r="N58" s="649">
        <v>176.50000000000011</v>
      </c>
      <c r="O58" s="1011"/>
      <c r="P58" s="649">
        <v>184.60000000000014</v>
      </c>
      <c r="Q58" s="1011"/>
      <c r="R58" s="649">
        <v>285.20000000000016</v>
      </c>
      <c r="S58" s="1011"/>
      <c r="T58" s="649">
        <v>179.19999999999993</v>
      </c>
      <c r="U58" s="1011"/>
      <c r="V58" s="649">
        <v>222.3000000000003</v>
      </c>
      <c r="W58" s="1011"/>
      <c r="X58" s="649">
        <v>201.39999999999975</v>
      </c>
      <c r="Y58" s="1011"/>
      <c r="Z58" s="649">
        <f t="shared" si="14"/>
        <v>393.39999999999964</v>
      </c>
      <c r="AA58" s="496"/>
      <c r="AB58" s="467"/>
      <c r="AC58" s="940"/>
      <c r="AD58" s="919">
        <v>2691.7</v>
      </c>
      <c r="AE58" s="493"/>
      <c r="AF58" s="722"/>
      <c r="AG58" s="919">
        <v>2563</v>
      </c>
      <c r="AH58" s="191"/>
      <c r="AI58" s="36"/>
      <c r="AJ58" s="467">
        <f t="shared" si="17"/>
        <v>128.69999999999999</v>
      </c>
      <c r="AK58" s="467"/>
      <c r="AL58" s="488">
        <f>ROUND(IF(AG58=0,0,AJ58/ABS(AG58)),3)</f>
        <v>0.05</v>
      </c>
      <c r="AM58" s="567"/>
    </row>
    <row r="59" spans="1:39" ht="15" customHeight="1">
      <c r="A59" s="99"/>
      <c r="B59" s="597" t="s">
        <v>1472</v>
      </c>
      <c r="C59" s="21"/>
      <c r="D59" s="649">
        <v>38.6</v>
      </c>
      <c r="E59" s="467"/>
      <c r="F59" s="649">
        <v>53.4</v>
      </c>
      <c r="G59" s="467"/>
      <c r="H59" s="649">
        <v>38.599999999999987</v>
      </c>
      <c r="I59" s="467"/>
      <c r="J59" s="649">
        <v>33.499999999999993</v>
      </c>
      <c r="K59" s="1011"/>
      <c r="L59" s="649">
        <v>53.599999999999987</v>
      </c>
      <c r="M59" s="1011"/>
      <c r="N59" s="649">
        <v>67.699999999999989</v>
      </c>
      <c r="O59" s="1011"/>
      <c r="P59" s="649">
        <v>67.100000000000023</v>
      </c>
      <c r="Q59" s="1011"/>
      <c r="R59" s="649">
        <v>92.000000000000028</v>
      </c>
      <c r="S59" s="1011"/>
      <c r="T59" s="649">
        <v>63.500000000000028</v>
      </c>
      <c r="U59" s="1011"/>
      <c r="V59" s="649">
        <v>81.299999999999955</v>
      </c>
      <c r="W59" s="1011"/>
      <c r="X59" s="649">
        <v>55.099999999999966</v>
      </c>
      <c r="Y59" s="1011"/>
      <c r="Z59" s="649">
        <f t="shared" si="14"/>
        <v>78.000000000000028</v>
      </c>
      <c r="AA59" s="496"/>
      <c r="AB59" s="467"/>
      <c r="AC59" s="719"/>
      <c r="AD59" s="919">
        <v>722.4</v>
      </c>
      <c r="AE59" s="493"/>
      <c r="AF59" s="722"/>
      <c r="AG59" s="919">
        <v>357.5</v>
      </c>
      <c r="AH59" s="191"/>
      <c r="AI59" s="36"/>
      <c r="AJ59" s="467">
        <f t="shared" si="17"/>
        <v>364.9</v>
      </c>
      <c r="AK59" s="467"/>
      <c r="AL59" s="488">
        <f>ROUND(IF(AG59=0,1,AJ59/ABS(AG59)),3)</f>
        <v>1.0209999999999999</v>
      </c>
      <c r="AM59" s="567"/>
    </row>
    <row r="60" spans="1:39" ht="15" customHeight="1">
      <c r="A60" s="99"/>
      <c r="B60" s="597" t="s">
        <v>960</v>
      </c>
      <c r="C60" s="21"/>
      <c r="D60" s="649">
        <v>73.400000000000006</v>
      </c>
      <c r="E60" s="467"/>
      <c r="F60" s="649">
        <v>71.299999999999983</v>
      </c>
      <c r="G60" s="467"/>
      <c r="H60" s="649">
        <v>90.9</v>
      </c>
      <c r="I60" s="467"/>
      <c r="J60" s="649">
        <v>79.400000000000006</v>
      </c>
      <c r="K60" s="1011"/>
      <c r="L60" s="649">
        <v>98.799999999999983</v>
      </c>
      <c r="M60" s="1011"/>
      <c r="N60" s="649">
        <v>77.300000000000097</v>
      </c>
      <c r="O60" s="1011"/>
      <c r="P60" s="649">
        <v>77.400000000000006</v>
      </c>
      <c r="Q60" s="1011"/>
      <c r="R60" s="649">
        <v>95.4</v>
      </c>
      <c r="S60" s="1011"/>
      <c r="T60" s="649">
        <v>68.500000000000028</v>
      </c>
      <c r="U60" s="1011"/>
      <c r="V60" s="649">
        <v>88.500000000000028</v>
      </c>
      <c r="W60" s="1011"/>
      <c r="X60" s="649">
        <v>83.300000000000097</v>
      </c>
      <c r="Y60" s="1011"/>
      <c r="Z60" s="649">
        <f t="shared" si="14"/>
        <v>108.59999999999997</v>
      </c>
      <c r="AA60" s="496"/>
      <c r="AB60" s="467"/>
      <c r="AC60" s="940"/>
      <c r="AD60" s="919">
        <v>1012.8</v>
      </c>
      <c r="AE60" s="493"/>
      <c r="AF60" s="722"/>
      <c r="AG60" s="919">
        <v>1005.4</v>
      </c>
      <c r="AH60" s="191"/>
      <c r="AI60" s="36"/>
      <c r="AJ60" s="467">
        <f t="shared" si="17"/>
        <v>7.4</v>
      </c>
      <c r="AK60" s="467"/>
      <c r="AL60" s="1145">
        <f>ROUND(IF(AG60=0,1,AJ60/ABS(AG60)),3)</f>
        <v>7.0000000000000001E-3</v>
      </c>
      <c r="AM60" s="567"/>
    </row>
    <row r="61" spans="1:39" ht="15" customHeight="1">
      <c r="A61" s="99"/>
      <c r="B61" s="597" t="s">
        <v>918</v>
      </c>
      <c r="C61" s="21"/>
      <c r="D61" s="649">
        <v>4.7</v>
      </c>
      <c r="E61" s="467"/>
      <c r="F61" s="649">
        <v>5.8</v>
      </c>
      <c r="G61" s="467"/>
      <c r="H61" s="649">
        <v>8.8999999999999986</v>
      </c>
      <c r="I61" s="467"/>
      <c r="J61" s="649">
        <v>11.3</v>
      </c>
      <c r="K61" s="1011"/>
      <c r="L61" s="649">
        <v>17.699999999999996</v>
      </c>
      <c r="M61" s="1011"/>
      <c r="N61" s="649">
        <v>21.500000000000007</v>
      </c>
      <c r="O61" s="1011"/>
      <c r="P61" s="649">
        <v>25.400000000000006</v>
      </c>
      <c r="Q61" s="1011"/>
      <c r="R61" s="649">
        <v>32.199999999999982</v>
      </c>
      <c r="S61" s="1011"/>
      <c r="T61" s="649">
        <v>37.300000000000018</v>
      </c>
      <c r="U61" s="1011"/>
      <c r="V61" s="649">
        <v>44.099999999999987</v>
      </c>
      <c r="W61" s="1011"/>
      <c r="X61" s="649">
        <v>47.79999999999999</v>
      </c>
      <c r="Y61" s="1011"/>
      <c r="Z61" s="649">
        <f t="shared" si="14"/>
        <v>47.100000000000044</v>
      </c>
      <c r="AA61" s="496"/>
      <c r="AB61" s="467"/>
      <c r="AC61" s="940"/>
      <c r="AD61" s="919">
        <v>303.8</v>
      </c>
      <c r="AE61" s="493"/>
      <c r="AF61" s="722"/>
      <c r="AG61" s="919">
        <v>39.299999999999997</v>
      </c>
      <c r="AH61" s="191"/>
      <c r="AI61" s="36"/>
      <c r="AJ61" s="467">
        <f t="shared" si="17"/>
        <v>264.5</v>
      </c>
      <c r="AK61" s="467"/>
      <c r="AL61" s="488">
        <f>ROUND(IF(AG61=0,0,AJ61/ABS(AG61)),3)</f>
        <v>6.73</v>
      </c>
      <c r="AM61" s="567"/>
    </row>
    <row r="62" spans="1:39" ht="15" customHeight="1">
      <c r="A62" s="99"/>
      <c r="B62" s="597" t="s">
        <v>935</v>
      </c>
      <c r="C62" s="21"/>
      <c r="D62" s="649">
        <v>7.2</v>
      </c>
      <c r="E62" s="467"/>
      <c r="F62" s="649">
        <v>1.8999999999999995</v>
      </c>
      <c r="G62" s="467"/>
      <c r="H62" s="649">
        <v>5.1000000000000005</v>
      </c>
      <c r="I62" s="467"/>
      <c r="J62" s="649">
        <v>3.4000000000000012</v>
      </c>
      <c r="K62" s="1011"/>
      <c r="L62" s="649">
        <v>76.499999999999986</v>
      </c>
      <c r="M62" s="1011"/>
      <c r="N62" s="649">
        <v>4.7000000000000028</v>
      </c>
      <c r="O62" s="1011"/>
      <c r="P62" s="649">
        <v>3.2000000000000028</v>
      </c>
      <c r="Q62" s="1011"/>
      <c r="R62" s="649">
        <v>1.2999999999999972</v>
      </c>
      <c r="S62" s="1011"/>
      <c r="T62" s="649">
        <v>5.5</v>
      </c>
      <c r="U62" s="1011"/>
      <c r="V62" s="649">
        <v>2.6000000000000085</v>
      </c>
      <c r="W62" s="1011"/>
      <c r="X62" s="649">
        <v>111</v>
      </c>
      <c r="Y62" s="1011"/>
      <c r="Z62" s="649">
        <f t="shared" si="14"/>
        <v>1.4000000000000341</v>
      </c>
      <c r="AA62" s="496"/>
      <c r="AB62" s="467"/>
      <c r="AC62" s="940"/>
      <c r="AD62" s="919">
        <v>223.8</v>
      </c>
      <c r="AE62" s="493"/>
      <c r="AF62" s="722"/>
      <c r="AG62" s="919">
        <v>322</v>
      </c>
      <c r="AH62" s="191"/>
      <c r="AI62" s="36"/>
      <c r="AJ62" s="467">
        <f t="shared" si="17"/>
        <v>-98.2</v>
      </c>
      <c r="AK62" s="467"/>
      <c r="AL62" s="488">
        <f>ROUND(IF(AG62=0,0,AJ62/ABS(AG62)),3)</f>
        <v>-0.30499999999999999</v>
      </c>
      <c r="AM62" s="567"/>
    </row>
    <row r="63" spans="1:39" ht="15" customHeight="1">
      <c r="A63" s="99"/>
      <c r="B63" s="597" t="s">
        <v>1034</v>
      </c>
      <c r="C63" s="21"/>
      <c r="D63" s="649" t="s">
        <v>14</v>
      </c>
      <c r="E63" s="467"/>
      <c r="F63" s="649"/>
      <c r="G63" s="467"/>
      <c r="H63" s="649"/>
      <c r="I63" s="467"/>
      <c r="J63" s="649"/>
      <c r="K63" s="36"/>
      <c r="L63" s="649"/>
      <c r="M63" s="36"/>
      <c r="N63" s="649" t="s">
        <v>14</v>
      </c>
      <c r="O63" s="36"/>
      <c r="P63" s="649" t="s">
        <v>14</v>
      </c>
      <c r="Q63" s="36"/>
      <c r="R63" s="649" t="s">
        <v>14</v>
      </c>
      <c r="S63" s="36"/>
      <c r="T63" s="649"/>
      <c r="U63" s="36"/>
      <c r="V63" s="919"/>
      <c r="W63" s="36"/>
      <c r="X63" s="649"/>
      <c r="Y63" s="36"/>
      <c r="Z63" s="649"/>
      <c r="AA63" s="46"/>
      <c r="AB63" s="36"/>
      <c r="AC63" s="37"/>
      <c r="AD63" s="36"/>
      <c r="AE63" s="36"/>
      <c r="AF63" s="752"/>
      <c r="AG63" s="36"/>
      <c r="AH63" s="191"/>
      <c r="AI63" s="36"/>
      <c r="AJ63" s="467"/>
      <c r="AK63" s="467"/>
      <c r="AL63" s="488"/>
      <c r="AM63" s="567"/>
    </row>
    <row r="64" spans="1:39" ht="15" customHeight="1">
      <c r="A64" s="99"/>
      <c r="B64" s="597" t="s">
        <v>961</v>
      </c>
      <c r="C64" s="21"/>
      <c r="D64" s="649">
        <v>0</v>
      </c>
      <c r="E64" s="467"/>
      <c r="F64" s="649">
        <v>0</v>
      </c>
      <c r="G64" s="467"/>
      <c r="H64" s="649">
        <v>0</v>
      </c>
      <c r="I64" s="467"/>
      <c r="J64" s="649">
        <v>0</v>
      </c>
      <c r="K64" s="1011"/>
      <c r="L64" s="649">
        <v>0</v>
      </c>
      <c r="M64" s="1011"/>
      <c r="N64" s="649">
        <v>0</v>
      </c>
      <c r="O64" s="1011"/>
      <c r="P64" s="649">
        <v>0</v>
      </c>
      <c r="Q64" s="1011"/>
      <c r="R64" s="649">
        <v>0</v>
      </c>
      <c r="S64" s="1011"/>
      <c r="T64" s="649">
        <v>0</v>
      </c>
      <c r="U64" s="1011"/>
      <c r="V64" s="649">
        <v>0</v>
      </c>
      <c r="W64" s="1011"/>
      <c r="X64" s="649">
        <v>0</v>
      </c>
      <c r="Y64" s="1011"/>
      <c r="Z64" s="649">
        <f t="shared" si="14"/>
        <v>0</v>
      </c>
      <c r="AA64" s="496"/>
      <c r="AB64" s="467"/>
      <c r="AC64" s="940"/>
      <c r="AD64" s="919">
        <v>0</v>
      </c>
      <c r="AE64" s="493"/>
      <c r="AF64" s="722"/>
      <c r="AG64" s="919">
        <v>0</v>
      </c>
      <c r="AH64" s="191"/>
      <c r="AI64" s="36"/>
      <c r="AJ64" s="467">
        <f t="shared" ref="AJ64:AJ68" si="18">ROUND(SUM(+AD64-AG64),1)</f>
        <v>0</v>
      </c>
      <c r="AK64" s="467"/>
      <c r="AL64" s="488">
        <f>ROUND(IF(AG64=0,0,AJ64/ABS(AG64)),3)</f>
        <v>0</v>
      </c>
      <c r="AM64" s="567"/>
    </row>
    <row r="65" spans="1:39" ht="15" customHeight="1">
      <c r="A65" s="99"/>
      <c r="B65" s="597" t="s">
        <v>962</v>
      </c>
      <c r="C65" s="21"/>
      <c r="D65" s="649">
        <v>14.2</v>
      </c>
      <c r="E65" s="467"/>
      <c r="F65" s="649">
        <v>0</v>
      </c>
      <c r="G65" s="467"/>
      <c r="H65" s="649">
        <v>0</v>
      </c>
      <c r="I65" s="467"/>
      <c r="J65" s="649">
        <v>6.1999999999999993</v>
      </c>
      <c r="K65" s="1011"/>
      <c r="L65" s="649">
        <v>0</v>
      </c>
      <c r="M65" s="1011"/>
      <c r="N65" s="649">
        <v>0</v>
      </c>
      <c r="O65" s="1011"/>
      <c r="P65" s="649">
        <v>0</v>
      </c>
      <c r="Q65" s="1011"/>
      <c r="R65" s="649">
        <v>0</v>
      </c>
      <c r="S65" s="1011"/>
      <c r="T65" s="649">
        <v>0</v>
      </c>
      <c r="U65" s="1011"/>
      <c r="V65" s="649">
        <v>0</v>
      </c>
      <c r="W65" s="1011"/>
      <c r="X65" s="649">
        <v>0</v>
      </c>
      <c r="Y65" s="1011"/>
      <c r="Z65" s="649">
        <f t="shared" si="14"/>
        <v>0</v>
      </c>
      <c r="AA65" s="496"/>
      <c r="AB65" s="467"/>
      <c r="AC65" s="940"/>
      <c r="AD65" s="919">
        <v>20.399999999999999</v>
      </c>
      <c r="AE65" s="493"/>
      <c r="AF65" s="722"/>
      <c r="AG65" s="919">
        <v>10.199999999999999</v>
      </c>
      <c r="AH65" s="191"/>
      <c r="AI65" s="36"/>
      <c r="AJ65" s="467">
        <f t="shared" si="18"/>
        <v>10.199999999999999</v>
      </c>
      <c r="AK65" s="467"/>
      <c r="AL65" s="488">
        <f>ROUND(IF(AG65=0,1,AJ65/ABS(AG65)),3)</f>
        <v>1</v>
      </c>
      <c r="AM65" s="567"/>
    </row>
    <row r="66" spans="1:39" ht="15" customHeight="1">
      <c r="A66" s="99"/>
      <c r="B66" s="597" t="s">
        <v>963</v>
      </c>
      <c r="C66" s="21"/>
      <c r="D66" s="649">
        <v>2.8</v>
      </c>
      <c r="E66" s="467"/>
      <c r="F66" s="649">
        <v>3.7</v>
      </c>
      <c r="G66" s="467"/>
      <c r="H66" s="649">
        <v>0.70000000000000018</v>
      </c>
      <c r="I66" s="467"/>
      <c r="J66" s="649">
        <v>0</v>
      </c>
      <c r="K66" s="1011"/>
      <c r="L66" s="649">
        <v>0</v>
      </c>
      <c r="M66" s="1011"/>
      <c r="N66" s="649">
        <v>0</v>
      </c>
      <c r="O66" s="1011"/>
      <c r="P66" s="649">
        <v>0</v>
      </c>
      <c r="Q66" s="1011"/>
      <c r="R66" s="649">
        <v>0</v>
      </c>
      <c r="S66" s="1011"/>
      <c r="T66" s="649">
        <v>0</v>
      </c>
      <c r="U66" s="1011"/>
      <c r="V66" s="649">
        <v>0</v>
      </c>
      <c r="W66" s="1011"/>
      <c r="X66" s="649">
        <v>0</v>
      </c>
      <c r="Y66" s="1011"/>
      <c r="Z66" s="649">
        <f t="shared" si="14"/>
        <v>0</v>
      </c>
      <c r="AA66" s="496"/>
      <c r="AB66" s="467"/>
      <c r="AC66" s="940"/>
      <c r="AD66" s="919">
        <v>7.2</v>
      </c>
      <c r="AE66" s="493"/>
      <c r="AF66" s="722"/>
      <c r="AG66" s="919">
        <v>7.2</v>
      </c>
      <c r="AH66" s="191"/>
      <c r="AI66" s="36"/>
      <c r="AJ66" s="467">
        <f t="shared" si="18"/>
        <v>0</v>
      </c>
      <c r="AK66" s="467"/>
      <c r="AL66" s="1145">
        <f>ROUND(IF(AG66=0,0,AJ66/ABS(AG66)),3)</f>
        <v>0</v>
      </c>
      <c r="AM66" s="567"/>
    </row>
    <row r="67" spans="1:39" ht="15" customHeight="1">
      <c r="A67" s="99"/>
      <c r="B67" s="597" t="s">
        <v>964</v>
      </c>
      <c r="C67" s="21"/>
      <c r="D67" s="649">
        <v>4.9000000000000004</v>
      </c>
      <c r="E67" s="467"/>
      <c r="F67" s="649">
        <v>11.200000000000001</v>
      </c>
      <c r="G67" s="467"/>
      <c r="H67" s="649">
        <v>0</v>
      </c>
      <c r="I67" s="467"/>
      <c r="J67" s="649">
        <v>9.3999999999999986</v>
      </c>
      <c r="K67" s="1011"/>
      <c r="L67" s="649">
        <v>4.6000000000000014</v>
      </c>
      <c r="M67" s="1011"/>
      <c r="N67" s="649">
        <v>0.1000000000000032</v>
      </c>
      <c r="O67" s="1011"/>
      <c r="P67" s="649">
        <v>7.8999999999999968</v>
      </c>
      <c r="Q67" s="1011"/>
      <c r="R67" s="649">
        <v>0</v>
      </c>
      <c r="S67" s="1011"/>
      <c r="T67" s="649">
        <v>8.9</v>
      </c>
      <c r="U67" s="1011"/>
      <c r="V67" s="649">
        <v>4.7000000000000028</v>
      </c>
      <c r="W67" s="1011"/>
      <c r="X67" s="649">
        <v>6.7999999999999954</v>
      </c>
      <c r="Y67" s="1011"/>
      <c r="Z67" s="649">
        <f t="shared" si="14"/>
        <v>4.5</v>
      </c>
      <c r="AA67" s="496"/>
      <c r="AB67" s="467"/>
      <c r="AC67" s="940"/>
      <c r="AD67" s="919">
        <v>63</v>
      </c>
      <c r="AE67" s="493"/>
      <c r="AF67" s="722"/>
      <c r="AG67" s="919">
        <v>47.6</v>
      </c>
      <c r="AH67" s="191"/>
      <c r="AI67" s="36"/>
      <c r="AJ67" s="467">
        <f t="shared" si="18"/>
        <v>15.4</v>
      </c>
      <c r="AK67" s="467"/>
      <c r="AL67" s="1145">
        <f t="shared" ref="AL67:AL68" si="19">ROUND(IF(AG67=0,0,AJ67/ABS(AG67)),3)</f>
        <v>0.32400000000000001</v>
      </c>
      <c r="AM67" s="567"/>
    </row>
    <row r="68" spans="1:39" ht="15" customHeight="1">
      <c r="A68" s="99"/>
      <c r="B68" s="597" t="s">
        <v>936</v>
      </c>
      <c r="C68" s="21"/>
      <c r="D68" s="649">
        <v>33.299999999999997</v>
      </c>
      <c r="E68" s="467"/>
      <c r="F68" s="649">
        <v>20.6</v>
      </c>
      <c r="G68" s="467"/>
      <c r="H68" s="649">
        <v>21.300000000000004</v>
      </c>
      <c r="I68" s="467"/>
      <c r="J68" s="649">
        <v>0.89999999999999147</v>
      </c>
      <c r="K68" s="1011"/>
      <c r="L68" s="649">
        <v>10.800000000000018</v>
      </c>
      <c r="M68" s="1011"/>
      <c r="N68" s="649">
        <v>-1.8000000000000185</v>
      </c>
      <c r="O68" s="1011"/>
      <c r="P68" s="649">
        <v>0.60000000000000853</v>
      </c>
      <c r="Q68" s="1011"/>
      <c r="R68" s="649">
        <v>67.499999999999957</v>
      </c>
      <c r="S68" s="1011"/>
      <c r="T68" s="649">
        <v>18.900000000000034</v>
      </c>
      <c r="U68" s="1011"/>
      <c r="V68" s="649">
        <v>21.800000000000011</v>
      </c>
      <c r="W68" s="1011"/>
      <c r="X68" s="649">
        <v>91.999999999999943</v>
      </c>
      <c r="Y68" s="1011"/>
      <c r="Z68" s="649">
        <f t="shared" si="14"/>
        <v>99.100000000000023</v>
      </c>
      <c r="AA68" s="496"/>
      <c r="AB68" s="467"/>
      <c r="AC68" s="940"/>
      <c r="AD68" s="919">
        <v>385</v>
      </c>
      <c r="AE68" s="493"/>
      <c r="AF68" s="722"/>
      <c r="AG68" s="919">
        <v>459.9</v>
      </c>
      <c r="AH68" s="191"/>
      <c r="AI68" s="36"/>
      <c r="AJ68" s="467">
        <f t="shared" si="18"/>
        <v>-74.900000000000006</v>
      </c>
      <c r="AK68" s="467"/>
      <c r="AL68" s="1145">
        <f t="shared" si="19"/>
        <v>-0.16300000000000001</v>
      </c>
      <c r="AM68" s="567"/>
    </row>
    <row r="69" spans="1:39" ht="17.25" customHeight="1">
      <c r="A69" s="99"/>
      <c r="B69" s="597" t="s">
        <v>1035</v>
      </c>
      <c r="C69" s="21"/>
      <c r="D69" s="649" t="s">
        <v>14</v>
      </c>
      <c r="E69" s="467"/>
      <c r="F69" s="649"/>
      <c r="G69" s="467"/>
      <c r="H69" s="649"/>
      <c r="I69" s="467"/>
      <c r="J69" s="649"/>
      <c r="K69" s="36"/>
      <c r="L69" s="649"/>
      <c r="M69" s="36"/>
      <c r="N69" s="649" t="s">
        <v>14</v>
      </c>
      <c r="O69" s="36"/>
      <c r="P69" s="649" t="s">
        <v>14</v>
      </c>
      <c r="Q69" s="36"/>
      <c r="R69" s="649" t="s">
        <v>14</v>
      </c>
      <c r="S69" s="36"/>
      <c r="T69" s="649"/>
      <c r="U69" s="36"/>
      <c r="V69" s="649"/>
      <c r="W69" s="36"/>
      <c r="X69" s="649"/>
      <c r="Y69" s="36"/>
      <c r="Z69" s="649"/>
      <c r="AA69" s="46"/>
      <c r="AB69" s="36"/>
      <c r="AC69" s="37"/>
      <c r="AD69" s="36"/>
      <c r="AE69" s="36"/>
      <c r="AF69" s="752"/>
      <c r="AG69" s="36"/>
      <c r="AH69" s="191"/>
      <c r="AI69" s="36"/>
      <c r="AJ69" s="467"/>
      <c r="AK69" s="467"/>
      <c r="AL69" s="488"/>
      <c r="AM69" s="567"/>
    </row>
    <row r="70" spans="1:39" ht="15" customHeight="1">
      <c r="A70" s="99"/>
      <c r="B70" s="597" t="s">
        <v>965</v>
      </c>
      <c r="C70" s="21"/>
      <c r="D70" s="649">
        <v>31.9</v>
      </c>
      <c r="E70" s="467"/>
      <c r="F70" s="649">
        <v>8.6000000000000014</v>
      </c>
      <c r="G70" s="467"/>
      <c r="H70" s="649">
        <v>8.2999999999999972</v>
      </c>
      <c r="I70" s="467"/>
      <c r="J70" s="649">
        <v>24.299999999999997</v>
      </c>
      <c r="K70" s="1011"/>
      <c r="L70" s="649">
        <v>9</v>
      </c>
      <c r="M70" s="1011"/>
      <c r="N70" s="649">
        <v>8.3000000000000114</v>
      </c>
      <c r="O70" s="1011"/>
      <c r="P70" s="649">
        <v>23</v>
      </c>
      <c r="Q70" s="1011"/>
      <c r="R70" s="649">
        <v>8.1999999999999886</v>
      </c>
      <c r="S70" s="1011"/>
      <c r="T70" s="649">
        <v>8.4000000000000057</v>
      </c>
      <c r="U70" s="1011"/>
      <c r="V70" s="649">
        <v>8</v>
      </c>
      <c r="W70" s="1011"/>
      <c r="X70" s="649">
        <v>16.099999999999994</v>
      </c>
      <c r="Y70" s="1011"/>
      <c r="Z70" s="649">
        <f t="shared" si="14"/>
        <v>0.20000000000001705</v>
      </c>
      <c r="AA70" s="496"/>
      <c r="AB70" s="467"/>
      <c r="AC70" s="940"/>
      <c r="AD70" s="919">
        <v>154.30000000000001</v>
      </c>
      <c r="AE70" s="493"/>
      <c r="AF70" s="722"/>
      <c r="AG70" s="919">
        <v>185.4</v>
      </c>
      <c r="AH70" s="191"/>
      <c r="AI70" s="36"/>
      <c r="AJ70" s="467">
        <f t="shared" ref="AJ70:AJ81" si="20">ROUND(SUM(+AD70-AG70),1)</f>
        <v>-31.1</v>
      </c>
      <c r="AK70" s="467"/>
      <c r="AL70" s="1145">
        <f>ROUND(IF(AG70=0,0,AJ70/ABS(AG70)),3)</f>
        <v>-0.16800000000000001</v>
      </c>
      <c r="AM70" s="567" t="s">
        <v>14</v>
      </c>
    </row>
    <row r="71" spans="1:39" ht="15" customHeight="1">
      <c r="A71" s="99"/>
      <c r="B71" s="597" t="s">
        <v>966</v>
      </c>
      <c r="C71" s="21"/>
      <c r="D71" s="649">
        <v>6.7999999999999972</v>
      </c>
      <c r="E71" s="467"/>
      <c r="F71" s="649">
        <v>0</v>
      </c>
      <c r="G71" s="467"/>
      <c r="H71" s="649">
        <v>0.40000000000000568</v>
      </c>
      <c r="I71" s="467"/>
      <c r="J71" s="649">
        <v>0</v>
      </c>
      <c r="K71" s="1011"/>
      <c r="L71" s="649">
        <v>-0.20000000000000284</v>
      </c>
      <c r="M71" s="1011"/>
      <c r="N71" s="649">
        <v>0.19999999999998863</v>
      </c>
      <c r="O71" s="1011"/>
      <c r="P71" s="649">
        <v>0.10000000000002274</v>
      </c>
      <c r="Q71" s="1011"/>
      <c r="R71" s="649">
        <v>0.1</v>
      </c>
      <c r="S71" s="1011"/>
      <c r="T71" s="649">
        <v>0</v>
      </c>
      <c r="U71" s="1011"/>
      <c r="V71" s="649">
        <v>0.1</v>
      </c>
      <c r="W71" s="1011"/>
      <c r="X71" s="649">
        <v>0.10000000000001136</v>
      </c>
      <c r="Y71" s="1011"/>
      <c r="Z71" s="649">
        <f t="shared" si="14"/>
        <v>0</v>
      </c>
      <c r="AA71" s="496"/>
      <c r="AB71" s="467"/>
      <c r="AC71" s="940"/>
      <c r="AD71" s="919">
        <v>7.6000000000000227</v>
      </c>
      <c r="AE71" s="493"/>
      <c r="AF71" s="722"/>
      <c r="AG71" s="919">
        <v>14.399999999999864</v>
      </c>
      <c r="AH71" s="191"/>
      <c r="AI71" s="36"/>
      <c r="AJ71" s="467">
        <f t="shared" si="20"/>
        <v>-6.8</v>
      </c>
      <c r="AK71" s="467"/>
      <c r="AL71" s="1145">
        <f>ROUND(IF(AG71=0,1,AJ71/ABS(AG71)),3)</f>
        <v>-0.47199999999999998</v>
      </c>
      <c r="AM71" s="567"/>
    </row>
    <row r="72" spans="1:39" ht="15" customHeight="1">
      <c r="A72" s="99"/>
      <c r="B72" s="597" t="s">
        <v>1235</v>
      </c>
      <c r="C72" s="21"/>
      <c r="D72" s="649">
        <v>0</v>
      </c>
      <c r="E72" s="467"/>
      <c r="F72" s="649">
        <v>0</v>
      </c>
      <c r="G72" s="467"/>
      <c r="H72" s="649">
        <v>0</v>
      </c>
      <c r="I72" s="467"/>
      <c r="J72" s="649">
        <v>0</v>
      </c>
      <c r="K72" s="1011"/>
      <c r="L72" s="649">
        <v>0</v>
      </c>
      <c r="M72" s="1011"/>
      <c r="N72" s="649">
        <v>0</v>
      </c>
      <c r="O72" s="1011"/>
      <c r="P72" s="649">
        <v>0</v>
      </c>
      <c r="Q72" s="1011"/>
      <c r="R72" s="649">
        <v>0</v>
      </c>
      <c r="S72" s="1011"/>
      <c r="T72" s="649">
        <v>68</v>
      </c>
      <c r="U72" s="1011"/>
      <c r="V72" s="649">
        <v>0</v>
      </c>
      <c r="W72" s="1011"/>
      <c r="X72" s="649">
        <v>0</v>
      </c>
      <c r="Y72" s="1011"/>
      <c r="Z72" s="649">
        <f t="shared" si="14"/>
        <v>0</v>
      </c>
      <c r="AA72" s="496"/>
      <c r="AB72" s="467"/>
      <c r="AC72" s="940"/>
      <c r="AD72" s="919">
        <v>68</v>
      </c>
      <c r="AE72" s="493"/>
      <c r="AF72" s="1776"/>
      <c r="AG72" s="919">
        <v>228</v>
      </c>
      <c r="AH72" s="191"/>
      <c r="AI72" s="36"/>
      <c r="AJ72" s="467">
        <f t="shared" si="20"/>
        <v>-160</v>
      </c>
      <c r="AK72" s="467"/>
      <c r="AL72" s="488">
        <f>ROUND(IF(AG72=0,0,AJ72/ABS(AG72)),3)</f>
        <v>-0.70199999999999996</v>
      </c>
      <c r="AM72" s="567"/>
    </row>
    <row r="73" spans="1:39" ht="15" customHeight="1">
      <c r="A73" s="99"/>
      <c r="B73" s="597" t="s">
        <v>967</v>
      </c>
      <c r="C73" s="21"/>
      <c r="D73" s="649">
        <v>2.2999999999999998</v>
      </c>
      <c r="E73" s="467"/>
      <c r="F73" s="649">
        <v>0.60000000000000009</v>
      </c>
      <c r="G73" s="467"/>
      <c r="H73" s="649">
        <v>0</v>
      </c>
      <c r="I73" s="467"/>
      <c r="J73" s="649">
        <v>0.30000000000000027</v>
      </c>
      <c r="K73" s="1011"/>
      <c r="L73" s="649">
        <v>0.5</v>
      </c>
      <c r="M73" s="1011"/>
      <c r="N73" s="649">
        <v>0.19999999999999973</v>
      </c>
      <c r="O73" s="1011"/>
      <c r="P73" s="649">
        <v>0.10000000000000009</v>
      </c>
      <c r="Q73" s="1011"/>
      <c r="R73" s="649">
        <v>0.40000000000000036</v>
      </c>
      <c r="S73" s="1011"/>
      <c r="T73" s="649">
        <v>35.200000000000003</v>
      </c>
      <c r="U73" s="1011"/>
      <c r="V73" s="649">
        <v>0.29999999999999716</v>
      </c>
      <c r="W73" s="1011"/>
      <c r="X73" s="649">
        <v>1.1000000000000014</v>
      </c>
      <c r="Y73" s="1011"/>
      <c r="Z73" s="649">
        <f t="shared" si="14"/>
        <v>1.3999999999999986</v>
      </c>
      <c r="AA73" s="496"/>
      <c r="AB73" s="467"/>
      <c r="AC73" s="940"/>
      <c r="AD73" s="919">
        <v>42.4</v>
      </c>
      <c r="AE73" s="493"/>
      <c r="AF73" s="722"/>
      <c r="AG73" s="919">
        <v>6.5</v>
      </c>
      <c r="AH73" s="191"/>
      <c r="AI73" s="36"/>
      <c r="AJ73" s="467">
        <f t="shared" si="20"/>
        <v>35.9</v>
      </c>
      <c r="AK73" s="467"/>
      <c r="AL73" s="1145">
        <f t="shared" ref="AL73:AL76" si="21">ROUND(IF(AG73=0,0,AJ73/ABS(AG73)),3)</f>
        <v>5.5229999999999997</v>
      </c>
      <c r="AM73" s="567"/>
    </row>
    <row r="74" spans="1:39" ht="15" customHeight="1">
      <c r="A74" s="99"/>
      <c r="B74" s="597" t="s">
        <v>968</v>
      </c>
      <c r="C74" s="21"/>
      <c r="D74" s="649">
        <v>0</v>
      </c>
      <c r="E74" s="467"/>
      <c r="F74" s="649">
        <v>0</v>
      </c>
      <c r="G74" s="467"/>
      <c r="H74" s="649">
        <v>0.8</v>
      </c>
      <c r="I74" s="467"/>
      <c r="J74" s="649">
        <v>0</v>
      </c>
      <c r="K74" s="1011"/>
      <c r="L74" s="649">
        <v>0</v>
      </c>
      <c r="M74" s="1011"/>
      <c r="N74" s="649">
        <v>0</v>
      </c>
      <c r="O74" s="1011"/>
      <c r="P74" s="649">
        <v>0</v>
      </c>
      <c r="Q74" s="1011"/>
      <c r="R74" s="649">
        <v>9.9999999999999978E-2</v>
      </c>
      <c r="S74" s="1011"/>
      <c r="T74" s="649">
        <v>0</v>
      </c>
      <c r="U74" s="1011"/>
      <c r="V74" s="649">
        <v>0</v>
      </c>
      <c r="W74" s="1011"/>
      <c r="X74" s="649">
        <v>0</v>
      </c>
      <c r="Y74" s="1011"/>
      <c r="Z74" s="649">
        <f t="shared" si="14"/>
        <v>0.9</v>
      </c>
      <c r="AA74" s="496"/>
      <c r="AB74" s="467"/>
      <c r="AC74" s="940"/>
      <c r="AD74" s="919">
        <v>1.8</v>
      </c>
      <c r="AE74" s="493"/>
      <c r="AF74" s="722"/>
      <c r="AG74" s="919">
        <v>6</v>
      </c>
      <c r="AH74" s="191"/>
      <c r="AI74" s="36"/>
      <c r="AJ74" s="467">
        <f t="shared" si="20"/>
        <v>-4.2</v>
      </c>
      <c r="AK74" s="467"/>
      <c r="AL74" s="1145">
        <f>ROUND(IF(AG74=0,1,AJ74/ABS(AG74)),3)</f>
        <v>-0.7</v>
      </c>
      <c r="AM74" s="567"/>
    </row>
    <row r="75" spans="1:39" ht="15" customHeight="1">
      <c r="A75" s="99"/>
      <c r="B75" s="597" t="s">
        <v>969</v>
      </c>
      <c r="C75" s="21"/>
      <c r="D75" s="649">
        <v>159.6</v>
      </c>
      <c r="E75" s="467"/>
      <c r="F75" s="649">
        <v>201.79999999999998</v>
      </c>
      <c r="G75" s="467"/>
      <c r="H75" s="649">
        <v>196.3000000000001</v>
      </c>
      <c r="I75" s="467"/>
      <c r="J75" s="649">
        <v>200.79999999999998</v>
      </c>
      <c r="K75" s="1011"/>
      <c r="L75" s="649">
        <v>198.20000000000007</v>
      </c>
      <c r="M75" s="1011"/>
      <c r="N75" s="649">
        <v>227.80000000000004</v>
      </c>
      <c r="O75" s="1011"/>
      <c r="P75" s="649">
        <v>241.79999999999998</v>
      </c>
      <c r="Q75" s="1011"/>
      <c r="R75" s="649">
        <v>231.6</v>
      </c>
      <c r="S75" s="1011"/>
      <c r="T75" s="649">
        <v>252.59999999999994</v>
      </c>
      <c r="U75" s="1011"/>
      <c r="V75" s="649">
        <v>229.30000000000015</v>
      </c>
      <c r="W75" s="1011"/>
      <c r="X75" s="649">
        <v>210.60000000000005</v>
      </c>
      <c r="Y75" s="1011"/>
      <c r="Z75" s="649">
        <f t="shared" si="14"/>
        <v>264.99999999999977</v>
      </c>
      <c r="AA75" s="496"/>
      <c r="AB75" s="467"/>
      <c r="AC75" s="940"/>
      <c r="AD75" s="919">
        <v>2615.4</v>
      </c>
      <c r="AE75" s="493"/>
      <c r="AF75" s="722"/>
      <c r="AG75" s="919">
        <v>2469.1</v>
      </c>
      <c r="AH75" s="191"/>
      <c r="AI75" s="36"/>
      <c r="AJ75" s="467">
        <f t="shared" si="20"/>
        <v>146.30000000000001</v>
      </c>
      <c r="AK75" s="467"/>
      <c r="AL75" s="488">
        <f t="shared" si="21"/>
        <v>5.8999999999999997E-2</v>
      </c>
      <c r="AM75" s="567"/>
    </row>
    <row r="76" spans="1:39" ht="15" customHeight="1">
      <c r="A76" s="99"/>
      <c r="B76" s="597" t="s">
        <v>970</v>
      </c>
      <c r="C76" s="21"/>
      <c r="D76" s="649">
        <v>2.9</v>
      </c>
      <c r="E76" s="467"/>
      <c r="F76" s="649">
        <v>0.5</v>
      </c>
      <c r="G76" s="467"/>
      <c r="H76" s="649">
        <v>7.6</v>
      </c>
      <c r="I76" s="467"/>
      <c r="J76" s="649">
        <v>8.8000000000000007</v>
      </c>
      <c r="K76" s="1011"/>
      <c r="L76" s="649">
        <v>1.0000000000000004</v>
      </c>
      <c r="M76" s="1011"/>
      <c r="N76" s="649">
        <v>5.2000000000000011</v>
      </c>
      <c r="O76" s="1011"/>
      <c r="P76" s="649">
        <v>6.2999999999999954</v>
      </c>
      <c r="Q76" s="1011"/>
      <c r="R76" s="649">
        <v>0.10000000000000142</v>
      </c>
      <c r="S76" s="1011"/>
      <c r="T76" s="649">
        <v>3.8999999999999986</v>
      </c>
      <c r="U76" s="1011"/>
      <c r="V76" s="649">
        <v>5.5</v>
      </c>
      <c r="W76" s="1011"/>
      <c r="X76" s="649">
        <v>0.50000000000000178</v>
      </c>
      <c r="Y76" s="1011"/>
      <c r="Z76" s="649">
        <f t="shared" si="14"/>
        <v>4.5</v>
      </c>
      <c r="AA76" s="496"/>
      <c r="AB76" s="467"/>
      <c r="AC76" s="940"/>
      <c r="AD76" s="919">
        <v>46.8</v>
      </c>
      <c r="AE76" s="493"/>
      <c r="AF76" s="722"/>
      <c r="AG76" s="919">
        <v>54</v>
      </c>
      <c r="AH76" s="191"/>
      <c r="AI76" s="36"/>
      <c r="AJ76" s="467">
        <f t="shared" si="20"/>
        <v>-7.2</v>
      </c>
      <c r="AK76" s="467"/>
      <c r="AL76" s="1145">
        <f t="shared" si="21"/>
        <v>-0.13300000000000001</v>
      </c>
      <c r="AM76" s="567"/>
    </row>
    <row r="77" spans="1:39" ht="15" customHeight="1">
      <c r="A77" s="99"/>
      <c r="B77" s="597" t="s">
        <v>971</v>
      </c>
      <c r="C77" s="21"/>
      <c r="D77" s="649">
        <v>7.5</v>
      </c>
      <c r="E77" s="467"/>
      <c r="F77" s="649">
        <v>1.1999999999999993</v>
      </c>
      <c r="G77" s="467"/>
      <c r="H77" s="649">
        <v>0.40000000000000036</v>
      </c>
      <c r="I77" s="467"/>
      <c r="J77" s="649">
        <v>1</v>
      </c>
      <c r="K77" s="1011"/>
      <c r="L77" s="649">
        <v>93.899999999999991</v>
      </c>
      <c r="M77" s="1011"/>
      <c r="N77" s="649">
        <v>0.70000000000000284</v>
      </c>
      <c r="O77" s="1011"/>
      <c r="P77" s="649">
        <v>67.800000000000011</v>
      </c>
      <c r="Q77" s="1011"/>
      <c r="R77" s="649">
        <v>37.5</v>
      </c>
      <c r="S77" s="1011"/>
      <c r="T77" s="649">
        <v>0.80000000000001137</v>
      </c>
      <c r="U77" s="1011"/>
      <c r="V77" s="649">
        <v>15.599999999999994</v>
      </c>
      <c r="W77" s="1011"/>
      <c r="X77" s="649">
        <v>0.69999999999998863</v>
      </c>
      <c r="Y77" s="1011"/>
      <c r="Z77" s="649">
        <f t="shared" si="14"/>
        <v>1.4000000000000057</v>
      </c>
      <c r="AA77" s="496"/>
      <c r="AB77" s="467"/>
      <c r="AC77" s="940"/>
      <c r="AD77" s="919">
        <v>228.5</v>
      </c>
      <c r="AE77" s="493"/>
      <c r="AF77" s="722"/>
      <c r="AG77" s="919">
        <v>99.8</v>
      </c>
      <c r="AH77" s="191"/>
      <c r="AI77" s="36"/>
      <c r="AJ77" s="467">
        <f t="shared" si="20"/>
        <v>128.69999999999999</v>
      </c>
      <c r="AK77" s="467"/>
      <c r="AL77" s="1145">
        <f>ROUND(IF(AG77=0,1,AJ77/ABS(AG77)),3)</f>
        <v>1.29</v>
      </c>
      <c r="AM77" s="567"/>
    </row>
    <row r="78" spans="1:39" ht="15" customHeight="1">
      <c r="A78" s="99"/>
      <c r="B78" s="597" t="s">
        <v>972</v>
      </c>
      <c r="C78" s="21"/>
      <c r="D78" s="649">
        <v>1.9</v>
      </c>
      <c r="E78" s="467"/>
      <c r="F78" s="649">
        <v>1.4</v>
      </c>
      <c r="G78" s="467"/>
      <c r="H78" s="649">
        <v>1.7000000000000002</v>
      </c>
      <c r="I78" s="467"/>
      <c r="J78" s="649">
        <v>1.4000000000000004</v>
      </c>
      <c r="K78" s="1011"/>
      <c r="L78" s="649">
        <v>-0.20000000000000018</v>
      </c>
      <c r="M78" s="1011"/>
      <c r="N78" s="649">
        <v>1.1999999999999993</v>
      </c>
      <c r="O78" s="1011"/>
      <c r="P78" s="649">
        <v>1.2999999999999989</v>
      </c>
      <c r="Q78" s="1011"/>
      <c r="R78" s="649">
        <v>1.3000000000000007</v>
      </c>
      <c r="S78" s="1011"/>
      <c r="T78" s="649">
        <v>1.8000000000000007</v>
      </c>
      <c r="U78" s="1011"/>
      <c r="V78" s="649">
        <v>19.300000000000004</v>
      </c>
      <c r="W78" s="1011"/>
      <c r="X78" s="649">
        <v>1.1000000000000014</v>
      </c>
      <c r="Y78" s="1011"/>
      <c r="Z78" s="649">
        <f t="shared" si="14"/>
        <v>1.5999999999999943</v>
      </c>
      <c r="AA78" s="496"/>
      <c r="AB78" s="467"/>
      <c r="AC78" s="940"/>
      <c r="AD78" s="919">
        <v>33.799999999999997</v>
      </c>
      <c r="AE78" s="493"/>
      <c r="AF78" s="722"/>
      <c r="AG78" s="919">
        <v>24.2</v>
      </c>
      <c r="AH78" s="191"/>
      <c r="AI78" s="36"/>
      <c r="AJ78" s="467">
        <f t="shared" si="20"/>
        <v>9.6</v>
      </c>
      <c r="AK78" s="467"/>
      <c r="AL78" s="488">
        <f>ROUND(IF(AG78=0,0,AJ78/ABS(AG78)),3)</f>
        <v>0.39700000000000002</v>
      </c>
      <c r="AM78" s="567"/>
    </row>
    <row r="79" spans="1:39" ht="15" customHeight="1">
      <c r="A79" s="99"/>
      <c r="B79" s="597" t="s">
        <v>973</v>
      </c>
      <c r="C79" s="21"/>
      <c r="D79" s="649">
        <v>38.4</v>
      </c>
      <c r="E79" s="467"/>
      <c r="F79" s="649">
        <v>78.699999999999989</v>
      </c>
      <c r="G79" s="467"/>
      <c r="H79" s="649">
        <v>81.5</v>
      </c>
      <c r="I79" s="467"/>
      <c r="J79" s="649">
        <v>45.300000000000018</v>
      </c>
      <c r="K79" s="1011"/>
      <c r="L79" s="649">
        <v>41.200000000000024</v>
      </c>
      <c r="M79" s="1011"/>
      <c r="N79" s="649">
        <v>54.70000000000001</v>
      </c>
      <c r="O79" s="1011"/>
      <c r="P79" s="649">
        <v>29.599999999999973</v>
      </c>
      <c r="Q79" s="1011"/>
      <c r="R79" s="649">
        <v>34.600000000000016</v>
      </c>
      <c r="S79" s="1011"/>
      <c r="T79" s="649">
        <v>40.899999999999984</v>
      </c>
      <c r="U79" s="1011"/>
      <c r="V79" s="649">
        <v>44.700000000000038</v>
      </c>
      <c r="W79" s="1011"/>
      <c r="X79" s="649">
        <v>52.19999999999991</v>
      </c>
      <c r="Y79" s="1011"/>
      <c r="Z79" s="649">
        <f t="shared" si="14"/>
        <v>50.900000000000084</v>
      </c>
      <c r="AA79" s="496"/>
      <c r="AB79" s="467"/>
      <c r="AC79" s="939"/>
      <c r="AD79" s="919">
        <v>592.70000000000005</v>
      </c>
      <c r="AE79" s="467"/>
      <c r="AF79" s="940"/>
      <c r="AG79" s="919">
        <v>630.9</v>
      </c>
      <c r="AH79" s="191"/>
      <c r="AI79" s="36"/>
      <c r="AJ79" s="467">
        <f t="shared" si="20"/>
        <v>-38.200000000000003</v>
      </c>
      <c r="AK79" s="467"/>
      <c r="AL79" s="1145">
        <f>ROUND(IF(AG79=0,0,AJ79/ABS(AG79)),3)</f>
        <v>-6.0999999999999999E-2</v>
      </c>
      <c r="AM79" s="567"/>
    </row>
    <row r="80" spans="1:39" ht="15" customHeight="1">
      <c r="A80" s="99"/>
      <c r="B80" s="597" t="s">
        <v>946</v>
      </c>
      <c r="C80" s="21"/>
      <c r="D80" s="649">
        <v>0.8</v>
      </c>
      <c r="E80" s="467"/>
      <c r="F80" s="649">
        <v>1.4000000000000001</v>
      </c>
      <c r="G80" s="467"/>
      <c r="H80" s="649">
        <v>2.0999999999999996</v>
      </c>
      <c r="I80" s="467"/>
      <c r="J80" s="649">
        <v>2.2999999999999998</v>
      </c>
      <c r="K80" s="1011"/>
      <c r="L80" s="649">
        <v>1.3000000000000005</v>
      </c>
      <c r="M80" s="1011"/>
      <c r="N80" s="649">
        <v>0.99999999999999933</v>
      </c>
      <c r="O80" s="1011"/>
      <c r="P80" s="649">
        <v>1.2999999999999987</v>
      </c>
      <c r="Q80" s="1011"/>
      <c r="R80" s="649">
        <v>0.5</v>
      </c>
      <c r="S80" s="1011"/>
      <c r="T80" s="649">
        <v>1.5</v>
      </c>
      <c r="U80" s="1011"/>
      <c r="V80" s="649">
        <v>0.90000000000000036</v>
      </c>
      <c r="W80" s="1011"/>
      <c r="X80" s="649">
        <v>3.799999999999998</v>
      </c>
      <c r="Y80" s="1011"/>
      <c r="Z80" s="649">
        <f t="shared" si="14"/>
        <v>1.200000000000002</v>
      </c>
      <c r="AA80" s="496"/>
      <c r="AB80" s="467"/>
      <c r="AC80" s="939"/>
      <c r="AD80" s="919">
        <v>18.100000000000001</v>
      </c>
      <c r="AE80" s="467"/>
      <c r="AF80" s="940"/>
      <c r="AG80" s="919">
        <v>23.9</v>
      </c>
      <c r="AH80" s="191"/>
      <c r="AI80" s="36"/>
      <c r="AJ80" s="467">
        <f t="shared" si="20"/>
        <v>-5.8</v>
      </c>
      <c r="AK80" s="467"/>
      <c r="AL80" s="488">
        <f>ROUND(IF(AG80=0,0,AJ80/ABS(AG80)),3)</f>
        <v>-0.24299999999999999</v>
      </c>
      <c r="AM80" s="567"/>
    </row>
    <row r="81" spans="1:39" ht="15" customHeight="1">
      <c r="A81" s="99"/>
      <c r="B81" s="597" t="s">
        <v>947</v>
      </c>
      <c r="C81" s="21"/>
      <c r="D81" s="649">
        <v>36.700000000000003</v>
      </c>
      <c r="E81" s="467"/>
      <c r="F81" s="649">
        <v>-26.1</v>
      </c>
      <c r="G81" s="467"/>
      <c r="H81" s="649">
        <v>54.100000000000009</v>
      </c>
      <c r="I81" s="467"/>
      <c r="J81" s="649">
        <v>25.399999999999984</v>
      </c>
      <c r="K81" s="1011"/>
      <c r="L81" s="649">
        <v>98.200000000000031</v>
      </c>
      <c r="M81" s="1011"/>
      <c r="N81" s="649">
        <v>415.49999999999989</v>
      </c>
      <c r="O81" s="1011"/>
      <c r="P81" s="649">
        <v>96.700000000000045</v>
      </c>
      <c r="Q81" s="1011"/>
      <c r="R81" s="649">
        <v>71</v>
      </c>
      <c r="S81" s="1011"/>
      <c r="T81" s="649">
        <v>-25.600000000000023</v>
      </c>
      <c r="U81" s="1011"/>
      <c r="V81" s="649">
        <v>246.10000000000002</v>
      </c>
      <c r="W81" s="1011"/>
      <c r="X81" s="649">
        <v>293.89999999999998</v>
      </c>
      <c r="Y81" s="1011"/>
      <c r="Z81" s="649">
        <f t="shared" si="14"/>
        <v>0.89999999999986358</v>
      </c>
      <c r="AA81" s="496"/>
      <c r="AB81" s="467"/>
      <c r="AC81" s="940"/>
      <c r="AD81" s="919">
        <v>1286.8</v>
      </c>
      <c r="AE81" s="493"/>
      <c r="AF81" s="722"/>
      <c r="AG81" s="919">
        <v>1244.2</v>
      </c>
      <c r="AH81" s="191"/>
      <c r="AI81" s="36"/>
      <c r="AJ81" s="467">
        <f t="shared" si="20"/>
        <v>42.6</v>
      </c>
      <c r="AK81" s="467"/>
      <c r="AL81" s="488">
        <f>ROUND(IF(AG81=0,0,AJ81/ABS(AG81)),3)</f>
        <v>3.4000000000000002E-2</v>
      </c>
      <c r="AM81" s="567"/>
    </row>
    <row r="82" spans="1:39" ht="15" customHeight="1">
      <c r="A82" s="99"/>
      <c r="B82" s="217" t="s">
        <v>1074</v>
      </c>
      <c r="C82" s="21"/>
      <c r="D82" s="1150">
        <f>ROUND(SUM(D42:D81),1)</f>
        <v>1461.5</v>
      </c>
      <c r="E82" s="467"/>
      <c r="F82" s="1150">
        <f>ROUND(SUM(F42:F81),1)</f>
        <v>1311.3</v>
      </c>
      <c r="G82" s="467"/>
      <c r="H82" s="1150">
        <f>ROUND(SUM(H42:H81),1)</f>
        <v>1601.4</v>
      </c>
      <c r="I82" s="467"/>
      <c r="J82" s="1150">
        <f>ROUND(SUM(J42:J81),1)</f>
        <v>1540.2</v>
      </c>
      <c r="K82" s="36"/>
      <c r="L82" s="178">
        <f>ROUND(SUM(L42:L81),1)</f>
        <v>1703.9</v>
      </c>
      <c r="M82" s="36"/>
      <c r="N82" s="178">
        <f>ROUND(SUM(N42:N81),1)</f>
        <v>2061.6</v>
      </c>
      <c r="O82" s="36"/>
      <c r="P82" s="178">
        <f>ROUND(SUM(P42:P81),1)</f>
        <v>1670.6</v>
      </c>
      <c r="Q82" s="36"/>
      <c r="R82" s="178">
        <f>ROUND(SUM(R42:R81),1)</f>
        <v>1659.5</v>
      </c>
      <c r="S82" s="178"/>
      <c r="T82" s="178">
        <f t="shared" ref="T82" si="22">ROUND(SUM(T42:T81),1)</f>
        <v>1717.5</v>
      </c>
      <c r="U82" s="36"/>
      <c r="V82" s="178">
        <f>ROUND(SUM(V42:V81),1)</f>
        <v>1953.5</v>
      </c>
      <c r="W82" s="36"/>
      <c r="X82" s="178">
        <f>ROUND(SUM(X42:X81),1)</f>
        <v>1980.7</v>
      </c>
      <c r="Y82" s="36"/>
      <c r="Z82" s="178">
        <f>ROUND(SUM(Z42:Z81),1)</f>
        <v>2175</v>
      </c>
      <c r="AA82" s="42"/>
      <c r="AB82" s="36"/>
      <c r="AC82" s="37"/>
      <c r="AD82" s="178">
        <f>ROUND(SUM(AD42:AD81),1)</f>
        <v>20836.7</v>
      </c>
      <c r="AE82" s="36"/>
      <c r="AF82" s="752"/>
      <c r="AG82" s="178">
        <f>ROUND(SUM(AG42:AG81),1)</f>
        <v>19989.7</v>
      </c>
      <c r="AH82" s="191"/>
      <c r="AI82" s="36"/>
      <c r="AJ82" s="178">
        <f>ROUND(SUM(AJ42:AJ81),1)</f>
        <v>847</v>
      </c>
      <c r="AK82" s="467"/>
      <c r="AL82" s="749">
        <f>ROUND(SUM(+AJ82/AG82),3)</f>
        <v>4.2000000000000003E-2</v>
      </c>
      <c r="AM82" s="567"/>
    </row>
    <row r="83" spans="1:39" ht="15" customHeight="1">
      <c r="A83" s="99"/>
      <c r="B83" s="217"/>
      <c r="C83" s="21"/>
      <c r="D83" s="42"/>
      <c r="E83" s="467"/>
      <c r="F83" s="42"/>
      <c r="G83" s="467"/>
      <c r="H83" s="42"/>
      <c r="I83" s="467"/>
      <c r="J83" s="42"/>
      <c r="K83" s="36"/>
      <c r="L83" s="42"/>
      <c r="M83" s="36"/>
      <c r="N83" s="42"/>
      <c r="O83" s="36"/>
      <c r="P83" s="42"/>
      <c r="Q83" s="36"/>
      <c r="R83" s="42"/>
      <c r="S83" s="36"/>
      <c r="T83" s="42"/>
      <c r="U83" s="36"/>
      <c r="V83" s="42"/>
      <c r="W83" s="36"/>
      <c r="X83" s="649"/>
      <c r="Y83" s="36"/>
      <c r="Z83" s="42"/>
      <c r="AA83" s="42"/>
      <c r="AB83" s="36"/>
      <c r="AC83" s="37"/>
      <c r="AD83" s="42"/>
      <c r="AE83" s="36"/>
      <c r="AF83" s="752"/>
      <c r="AG83" s="42"/>
      <c r="AH83" s="191"/>
      <c r="AI83" s="36"/>
      <c r="AJ83" s="42"/>
      <c r="AK83" s="467"/>
      <c r="AL83" s="189"/>
      <c r="AM83" s="567"/>
    </row>
    <row r="84" spans="1:39" ht="15" customHeight="1">
      <c r="A84" s="99"/>
      <c r="B84" s="195" t="s">
        <v>146</v>
      </c>
      <c r="C84" s="21"/>
      <c r="D84" s="649">
        <v>0</v>
      </c>
      <c r="E84" s="467"/>
      <c r="F84" s="649">
        <v>0</v>
      </c>
      <c r="G84" s="467"/>
      <c r="H84" s="649">
        <v>10.8</v>
      </c>
      <c r="I84" s="467"/>
      <c r="J84" s="649">
        <v>0.19999999999999929</v>
      </c>
      <c r="K84" s="1011"/>
      <c r="L84" s="649">
        <v>0</v>
      </c>
      <c r="M84" s="1011"/>
      <c r="N84" s="649">
        <v>0</v>
      </c>
      <c r="O84" s="1011"/>
      <c r="P84" s="649">
        <v>0</v>
      </c>
      <c r="Q84" s="1011"/>
      <c r="R84" s="649">
        <v>0.59999999999999964</v>
      </c>
      <c r="S84" s="1011"/>
      <c r="T84" s="649">
        <v>9.9999999999999645E-2</v>
      </c>
      <c r="U84" s="1011"/>
      <c r="V84" s="649">
        <v>0</v>
      </c>
      <c r="W84" s="1011"/>
      <c r="X84" s="2169">
        <v>-13.399999999999999</v>
      </c>
      <c r="Y84" s="1011"/>
      <c r="Z84" s="649">
        <f t="shared" ref="Z84" si="23">$AD84-$D84-$F84-$H84-$J84-$L84-$N84-$P84-$R84-$T84-$V84-$X84</f>
        <v>0</v>
      </c>
      <c r="AA84" s="496"/>
      <c r="AB84" s="467"/>
      <c r="AC84" s="940"/>
      <c r="AD84" s="919">
        <v>-1.7</v>
      </c>
      <c r="AE84" s="493"/>
      <c r="AF84" s="722"/>
      <c r="AG84" s="919">
        <v>38.1</v>
      </c>
      <c r="AH84" s="191"/>
      <c r="AI84" s="36"/>
      <c r="AJ84" s="467">
        <f>ROUND(SUM(+AD84-AG84),1)</f>
        <v>-39.799999999999997</v>
      </c>
      <c r="AK84" s="467"/>
      <c r="AL84" s="978">
        <f>ROUND(IF(AG84=0,1,AJ84/ABS(AG84)),3)</f>
        <v>-1.0449999999999999</v>
      </c>
      <c r="AM84" s="567"/>
    </row>
    <row r="85" spans="1:39" ht="15" customHeight="1">
      <c r="A85" s="99"/>
      <c r="B85" s="21"/>
      <c r="C85" s="21"/>
      <c r="D85" s="497"/>
      <c r="E85" s="467"/>
      <c r="F85" s="497"/>
      <c r="G85" s="467"/>
      <c r="H85" s="497"/>
      <c r="I85" s="467"/>
      <c r="J85" s="497"/>
      <c r="K85" s="36"/>
      <c r="L85" s="61"/>
      <c r="M85" s="36"/>
      <c r="N85" s="61"/>
      <c r="O85" s="36"/>
      <c r="P85" s="61"/>
      <c r="Q85" s="36"/>
      <c r="R85" s="61"/>
      <c r="S85" s="36"/>
      <c r="T85" s="61"/>
      <c r="U85" s="36"/>
      <c r="V85" s="61"/>
      <c r="W85" s="36"/>
      <c r="X85" s="649"/>
      <c r="Y85" s="36"/>
      <c r="Z85" s="61"/>
      <c r="AA85" s="36"/>
      <c r="AB85" s="36"/>
      <c r="AC85" s="37"/>
      <c r="AD85" s="61"/>
      <c r="AE85" s="36"/>
      <c r="AF85" s="752"/>
      <c r="AG85" s="61"/>
      <c r="AH85" s="191"/>
      <c r="AI85" s="36"/>
      <c r="AJ85" s="948"/>
      <c r="AK85" s="646"/>
      <c r="AL85" s="963"/>
      <c r="AM85" s="567"/>
    </row>
    <row r="86" spans="1:39" ht="15" customHeight="1">
      <c r="A86" s="99"/>
      <c r="B86" s="19" t="s">
        <v>147</v>
      </c>
      <c r="C86" s="21"/>
      <c r="D86" s="42">
        <f>ROUND(SUM(D38+D82+D84),1)</f>
        <v>1954</v>
      </c>
      <c r="E86" s="42"/>
      <c r="F86" s="42">
        <f>ROUND(SUM(F38+F82+F84),1)</f>
        <v>1546.5</v>
      </c>
      <c r="G86" s="42"/>
      <c r="H86" s="42">
        <f>ROUND(SUM(H38+H82+H84),1)</f>
        <v>2185.4</v>
      </c>
      <c r="I86" s="42"/>
      <c r="J86" s="42">
        <f>ROUND(SUM(J38+J82+J84),1)</f>
        <v>1784.1</v>
      </c>
      <c r="K86" s="42"/>
      <c r="L86" s="42">
        <f>ROUND(SUM(L38+L82+L84),1)</f>
        <v>1927.4</v>
      </c>
      <c r="M86" s="42"/>
      <c r="N86" s="42">
        <f>ROUND(SUM(N38+N82+N84),1)</f>
        <v>2650.8</v>
      </c>
      <c r="O86" s="42"/>
      <c r="P86" s="42">
        <f>ROUND(SUM(P38+P82+P84),1)</f>
        <v>1914</v>
      </c>
      <c r="Q86" s="42"/>
      <c r="R86" s="42">
        <f>ROUND(SUM(R38+R82+R84),1)</f>
        <v>1856.6</v>
      </c>
      <c r="S86" s="42"/>
      <c r="T86" s="42">
        <f t="shared" ref="T86" si="24">ROUND(SUM(T38+T82+T84),1)</f>
        <v>2329.6999999999998</v>
      </c>
      <c r="U86" s="42"/>
      <c r="V86" s="42">
        <f>ROUND(SUM(V38+V82+V84),1)</f>
        <v>3978.9</v>
      </c>
      <c r="W86" s="42"/>
      <c r="X86" s="603">
        <f>ROUND(SUM(X38+X82+X84),1)</f>
        <v>2217</v>
      </c>
      <c r="Y86" s="42"/>
      <c r="Z86" s="42">
        <f>ROUND(SUM(Z38+Z82+Z84),1)</f>
        <v>2851.1</v>
      </c>
      <c r="AA86" s="42"/>
      <c r="AB86" s="42"/>
      <c r="AC86" s="44"/>
      <c r="AD86" s="42">
        <f>ROUND(SUM(AD38+AD82+AD84),1)</f>
        <v>27195.5</v>
      </c>
      <c r="AE86" s="42"/>
      <c r="AF86" s="1247"/>
      <c r="AG86" s="42">
        <f>ROUND(SUM(AG38+AG82+AG84),1)</f>
        <v>26082.1</v>
      </c>
      <c r="AH86" s="197"/>
      <c r="AI86" s="42"/>
      <c r="AJ86" s="603">
        <f>ROUND(SUM(AJ38+AJ82+AJ84),1)</f>
        <v>1113.4000000000001</v>
      </c>
      <c r="AK86" s="198"/>
      <c r="AL86" s="210">
        <f>ROUND(SUM((AD86-AG86)/ABS(AG86)),3)</f>
        <v>4.2999999999999997E-2</v>
      </c>
      <c r="AM86" s="567"/>
    </row>
    <row r="87" spans="1:39" ht="15" customHeight="1">
      <c r="A87" s="99"/>
      <c r="B87" s="21"/>
      <c r="C87" s="21"/>
      <c r="D87" s="497"/>
      <c r="E87" s="467"/>
      <c r="F87" s="497"/>
      <c r="G87" s="467"/>
      <c r="H87" s="497"/>
      <c r="I87" s="467"/>
      <c r="J87" s="497"/>
      <c r="K87" s="36"/>
      <c r="L87" s="61"/>
      <c r="M87" s="36"/>
      <c r="N87" s="61"/>
      <c r="O87" s="36"/>
      <c r="P87" s="61"/>
      <c r="Q87" s="36"/>
      <c r="R87" s="61"/>
      <c r="S87" s="36"/>
      <c r="T87" s="61"/>
      <c r="U87" s="36"/>
      <c r="V87" s="61"/>
      <c r="W87" s="36"/>
      <c r="X87" s="649"/>
      <c r="Y87" s="36"/>
      <c r="Z87" s="61"/>
      <c r="AA87" s="36"/>
      <c r="AB87" s="36"/>
      <c r="AC87" s="37"/>
      <c r="AD87" s="61"/>
      <c r="AE87" s="36"/>
      <c r="AF87" s="752"/>
      <c r="AG87" s="61"/>
      <c r="AH87" s="191"/>
      <c r="AI87" s="36"/>
      <c r="AJ87" s="467"/>
      <c r="AK87" s="646"/>
      <c r="AL87" s="488"/>
      <c r="AM87" s="567"/>
    </row>
    <row r="88" spans="1:39" ht="15" customHeight="1">
      <c r="A88" s="99"/>
      <c r="B88" s="117" t="s">
        <v>22</v>
      </c>
      <c r="C88" s="21"/>
      <c r="D88" s="467"/>
      <c r="E88" s="467"/>
      <c r="F88" s="467"/>
      <c r="G88" s="467"/>
      <c r="H88" s="467"/>
      <c r="I88" s="467"/>
      <c r="J88" s="467"/>
      <c r="K88" s="36"/>
      <c r="L88" s="36"/>
      <c r="M88" s="36"/>
      <c r="N88" s="36"/>
      <c r="O88" s="36"/>
      <c r="P88" s="36"/>
      <c r="Q88" s="36"/>
      <c r="R88" s="36"/>
      <c r="S88" s="36"/>
      <c r="T88" s="36"/>
      <c r="U88" s="36"/>
      <c r="V88" s="36"/>
      <c r="W88" s="36"/>
      <c r="X88" s="649"/>
      <c r="Y88" s="36"/>
      <c r="Z88" s="36"/>
      <c r="AA88" s="36"/>
      <c r="AB88" s="36"/>
      <c r="AC88" s="37"/>
      <c r="AD88" s="36"/>
      <c r="AE88" s="36"/>
      <c r="AF88" s="752"/>
      <c r="AG88" s="36"/>
      <c r="AH88" s="191"/>
      <c r="AI88" s="36"/>
      <c r="AJ88" s="467"/>
      <c r="AK88" s="646"/>
      <c r="AL88" s="488"/>
      <c r="AM88" s="567"/>
    </row>
    <row r="89" spans="1:39" ht="12.75" customHeight="1">
      <c r="A89" s="99"/>
      <c r="B89" s="499" t="s">
        <v>148</v>
      </c>
      <c r="C89" s="21"/>
      <c r="D89" s="493"/>
      <c r="E89" s="467"/>
      <c r="F89" s="493"/>
      <c r="G89" s="467"/>
      <c r="H89" s="467"/>
      <c r="I89" s="467"/>
      <c r="J89" s="649"/>
      <c r="K89" s="36"/>
      <c r="L89" s="46"/>
      <c r="M89" s="36"/>
      <c r="N89" s="46"/>
      <c r="O89" s="36"/>
      <c r="P89" s="46"/>
      <c r="Q89" s="36"/>
      <c r="R89" s="46"/>
      <c r="S89" s="36"/>
      <c r="T89" s="46"/>
      <c r="U89" s="36"/>
      <c r="V89" s="36"/>
      <c r="W89" s="36"/>
      <c r="X89" s="649"/>
      <c r="Y89" s="36"/>
      <c r="Z89" s="36"/>
      <c r="AA89" s="36"/>
      <c r="AB89" s="36"/>
      <c r="AC89" s="37"/>
      <c r="AD89" s="115"/>
      <c r="AE89" s="36"/>
      <c r="AF89" s="752"/>
      <c r="AG89" s="115"/>
      <c r="AH89" s="191"/>
      <c r="AI89" s="36"/>
      <c r="AJ89" s="467"/>
      <c r="AK89" s="646"/>
      <c r="AL89" s="488"/>
      <c r="AM89" s="567"/>
    </row>
    <row r="90" spans="1:39" ht="15" customHeight="1">
      <c r="A90" s="99"/>
      <c r="B90" s="119" t="s">
        <v>24</v>
      </c>
      <c r="C90" s="21"/>
      <c r="D90" s="649">
        <v>0</v>
      </c>
      <c r="E90" s="467"/>
      <c r="F90" s="649">
        <v>0.1</v>
      </c>
      <c r="G90" s="467"/>
      <c r="H90" s="649">
        <v>323.89999999999998</v>
      </c>
      <c r="I90" s="467"/>
      <c r="J90" s="649">
        <v>0.10000000000004547</v>
      </c>
      <c r="K90" s="1011"/>
      <c r="L90" s="649">
        <v>0.4</v>
      </c>
      <c r="M90" s="1011"/>
      <c r="N90" s="649">
        <v>3068.1</v>
      </c>
      <c r="O90" s="1011"/>
      <c r="P90" s="649">
        <v>187.70000000000027</v>
      </c>
      <c r="Q90" s="1011"/>
      <c r="R90" s="649">
        <v>185.89999999999964</v>
      </c>
      <c r="S90" s="1011"/>
      <c r="T90" s="649">
        <v>195.5</v>
      </c>
      <c r="U90" s="1011"/>
      <c r="V90" s="649">
        <v>1907.9000000000005</v>
      </c>
      <c r="W90" s="1011"/>
      <c r="X90" s="649">
        <v>185.89999999999964</v>
      </c>
      <c r="Y90" s="1011"/>
      <c r="Z90" s="649">
        <f t="shared" ref="Z90:Z99" si="25">$AD90-$D90-$F90-$H90-$J90-$L90-$N90-$P90-$R90-$T90-$V90-$X90</f>
        <v>379.80000000000018</v>
      </c>
      <c r="AA90" s="496"/>
      <c r="AB90" s="467"/>
      <c r="AC90" s="940"/>
      <c r="AD90" s="919">
        <v>6435.3</v>
      </c>
      <c r="AE90" s="493"/>
      <c r="AF90" s="722"/>
      <c r="AG90" s="919">
        <v>5401.9</v>
      </c>
      <c r="AH90" s="191"/>
      <c r="AI90" s="36"/>
      <c r="AJ90" s="467">
        <f>ROUND(SUM(+AD90-AG90),1)</f>
        <v>1033.4000000000001</v>
      </c>
      <c r="AK90" s="467"/>
      <c r="AL90" s="978">
        <f>ROUND(IF(AG90=0,1,AJ90/ABS(AG90)),3)</f>
        <v>0.191</v>
      </c>
      <c r="AM90" s="567"/>
    </row>
    <row r="91" spans="1:39" ht="15" customHeight="1">
      <c r="A91" s="99"/>
      <c r="B91" s="119" t="s">
        <v>25</v>
      </c>
      <c r="C91" s="21"/>
      <c r="D91" s="649">
        <v>0</v>
      </c>
      <c r="E91" s="467"/>
      <c r="F91" s="649">
        <v>0.2</v>
      </c>
      <c r="G91" s="467"/>
      <c r="H91" s="649">
        <v>1.5</v>
      </c>
      <c r="I91" s="467"/>
      <c r="J91" s="649">
        <v>0.10000000000000003</v>
      </c>
      <c r="K91" s="1011"/>
      <c r="L91" s="649">
        <v>9.9999999999999811E-2</v>
      </c>
      <c r="M91" s="1011"/>
      <c r="N91" s="649">
        <v>-9.9999999999999978E-2</v>
      </c>
      <c r="O91" s="1011"/>
      <c r="P91" s="649">
        <v>0.10000000000000009</v>
      </c>
      <c r="Q91" s="1011"/>
      <c r="R91" s="649">
        <v>2.6999999999999997</v>
      </c>
      <c r="S91" s="1011"/>
      <c r="T91" s="649">
        <v>0.40000000000000036</v>
      </c>
      <c r="U91" s="1011"/>
      <c r="V91" s="649">
        <v>9.9999999999999645E-2</v>
      </c>
      <c r="W91" s="1011"/>
      <c r="X91" s="649">
        <v>0.10000000000000053</v>
      </c>
      <c r="Y91" s="1011"/>
      <c r="Z91" s="649">
        <f t="shared" si="25"/>
        <v>0</v>
      </c>
      <c r="AA91" s="496"/>
      <c r="AB91" s="467"/>
      <c r="AC91" s="940"/>
      <c r="AD91" s="919">
        <v>5.2</v>
      </c>
      <c r="AE91" s="493"/>
      <c r="AF91" s="722"/>
      <c r="AG91" s="919">
        <v>4.5999999999999996</v>
      </c>
      <c r="AH91" s="191"/>
      <c r="AI91" s="36"/>
      <c r="AJ91" s="467">
        <f>ROUND(SUM(+AD91-AG91),1)</f>
        <v>0.6</v>
      </c>
      <c r="AK91" s="467"/>
      <c r="AL91" s="488">
        <f>ROUND(IF(AG91=0,1,AJ91/ABS(AG91)),3)</f>
        <v>0.13</v>
      </c>
      <c r="AM91" s="567"/>
    </row>
    <row r="92" spans="1:39" ht="15" customHeight="1">
      <c r="A92" s="99"/>
      <c r="B92" s="119" t="s">
        <v>26</v>
      </c>
      <c r="C92" s="21"/>
      <c r="D92" s="649">
        <v>131.9</v>
      </c>
      <c r="E92" s="467"/>
      <c r="F92" s="649">
        <v>30.299999999999983</v>
      </c>
      <c r="G92" s="467"/>
      <c r="H92" s="649">
        <v>21.300000000000011</v>
      </c>
      <c r="I92" s="467"/>
      <c r="J92" s="649">
        <v>14.5</v>
      </c>
      <c r="K92" s="1011"/>
      <c r="L92" s="649">
        <v>23.099999999999994</v>
      </c>
      <c r="M92" s="1011"/>
      <c r="N92" s="649">
        <v>11.300000000000011</v>
      </c>
      <c r="O92" s="1011"/>
      <c r="P92" s="649">
        <v>25.200000000000017</v>
      </c>
      <c r="Q92" s="1011"/>
      <c r="R92" s="649">
        <v>26.099999999999966</v>
      </c>
      <c r="S92" s="1011"/>
      <c r="T92" s="649">
        <v>4</v>
      </c>
      <c r="U92" s="1011"/>
      <c r="V92" s="649">
        <v>15.600000000000023</v>
      </c>
      <c r="W92" s="1011"/>
      <c r="X92" s="649">
        <v>30.800000000000011</v>
      </c>
      <c r="Y92" s="1011"/>
      <c r="Z92" s="649">
        <f>$AD92-$D92-$F92-$H92-$J92-$L92-$N92-$P92-$R92-$T92-$V92-$X92</f>
        <v>26.5</v>
      </c>
      <c r="AA92" s="496"/>
      <c r="AB92" s="467"/>
      <c r="AC92" s="940"/>
      <c r="AD92" s="919">
        <v>360.6</v>
      </c>
      <c r="AE92" s="493"/>
      <c r="AF92" s="722"/>
      <c r="AG92" s="919">
        <v>193.8</v>
      </c>
      <c r="AH92" s="191"/>
      <c r="AI92" s="36"/>
      <c r="AJ92" s="467">
        <f>ROUND(SUM(+AD92-AG92),1)</f>
        <v>166.8</v>
      </c>
      <c r="AK92" s="467"/>
      <c r="AL92" s="1145">
        <f>ROUND(IF(AG92=0,0,AJ92/ABS(AG92)),3)</f>
        <v>0.86099999999999999</v>
      </c>
      <c r="AM92" s="567"/>
    </row>
    <row r="93" spans="1:39" ht="15" customHeight="1">
      <c r="A93" s="99"/>
      <c r="B93" s="499" t="s">
        <v>1171</v>
      </c>
      <c r="C93" s="21"/>
      <c r="D93" s="649" t="s">
        <v>14</v>
      </c>
      <c r="E93" s="467"/>
      <c r="F93" s="649"/>
      <c r="G93" s="467"/>
      <c r="H93" s="649"/>
      <c r="I93" s="467"/>
      <c r="J93" s="649"/>
      <c r="K93" s="1011"/>
      <c r="L93" s="649"/>
      <c r="M93" s="1011"/>
      <c r="N93" s="649" t="s">
        <v>14</v>
      </c>
      <c r="O93" s="1011"/>
      <c r="P93" s="649" t="s">
        <v>14</v>
      </c>
      <c r="Q93" s="1011"/>
      <c r="R93" s="649" t="s">
        <v>14</v>
      </c>
      <c r="S93" s="1011"/>
      <c r="T93" s="649"/>
      <c r="U93" s="1011"/>
      <c r="V93" s="649"/>
      <c r="W93" s="1011"/>
      <c r="X93" s="649"/>
      <c r="Y93" s="1011"/>
      <c r="Z93" s="649"/>
      <c r="AA93" s="496"/>
      <c r="AB93" s="467"/>
      <c r="AC93" s="940"/>
      <c r="AE93" s="493"/>
      <c r="AF93" s="722"/>
      <c r="AG93" s="919"/>
      <c r="AH93" s="191"/>
      <c r="AI93" s="36"/>
      <c r="AJ93" s="467"/>
      <c r="AK93" s="472"/>
      <c r="AL93" s="488"/>
      <c r="AM93" s="567"/>
    </row>
    <row r="94" spans="1:39" ht="15" customHeight="1">
      <c r="A94" s="99"/>
      <c r="B94" s="1141" t="s">
        <v>28</v>
      </c>
      <c r="C94" s="21"/>
      <c r="D94" s="649">
        <v>474.1</v>
      </c>
      <c r="E94" s="467"/>
      <c r="F94" s="649">
        <v>474.29999999999995</v>
      </c>
      <c r="G94" s="467"/>
      <c r="H94" s="649">
        <v>454.30000000000007</v>
      </c>
      <c r="I94" s="467"/>
      <c r="J94" s="649">
        <v>529.50000000000011</v>
      </c>
      <c r="K94" s="1011"/>
      <c r="L94" s="649">
        <v>604.49999999999966</v>
      </c>
      <c r="M94" s="1011"/>
      <c r="N94" s="649">
        <v>454.70000000000061</v>
      </c>
      <c r="O94" s="1011"/>
      <c r="P94" s="649">
        <v>532.59999999999991</v>
      </c>
      <c r="Q94" s="1011"/>
      <c r="R94" s="649">
        <v>544.19999999999982</v>
      </c>
      <c r="S94" s="1011"/>
      <c r="T94" s="649">
        <v>480.60000000000036</v>
      </c>
      <c r="U94" s="1011"/>
      <c r="V94" s="649">
        <v>432.89999999999873</v>
      </c>
      <c r="W94" s="1011"/>
      <c r="X94" s="649">
        <v>729.60000000000036</v>
      </c>
      <c r="Y94" s="1011"/>
      <c r="Z94" s="649">
        <f t="shared" si="25"/>
        <v>371.59999999999945</v>
      </c>
      <c r="AA94" s="496"/>
      <c r="AB94" s="467"/>
      <c r="AC94" s="940"/>
      <c r="AD94" s="919">
        <v>6082.9</v>
      </c>
      <c r="AE94" s="493"/>
      <c r="AF94" s="722"/>
      <c r="AG94" s="919">
        <v>5815.2</v>
      </c>
      <c r="AH94" s="191"/>
      <c r="AI94" s="36"/>
      <c r="AJ94" s="467">
        <f t="shared" ref="AJ94:AJ99" si="26">ROUND(SUM(+AD94-AG94),1)</f>
        <v>267.7</v>
      </c>
      <c r="AK94" s="467"/>
      <c r="AL94" s="1145">
        <f t="shared" ref="AL94:AL99" si="27">ROUND(IF(AG94=0,0,AJ94/ABS(AG94)),3)</f>
        <v>4.5999999999999999E-2</v>
      </c>
      <c r="AM94" s="567"/>
    </row>
    <row r="95" spans="1:39" ht="15" customHeight="1">
      <c r="A95" s="99"/>
      <c r="B95" s="119" t="s">
        <v>29</v>
      </c>
      <c r="C95" s="21"/>
      <c r="D95" s="649">
        <v>67.900000000000006</v>
      </c>
      <c r="E95" s="467"/>
      <c r="F95" s="649">
        <v>60.699999999999989</v>
      </c>
      <c r="G95" s="467"/>
      <c r="H95" s="649">
        <v>180.79999999999998</v>
      </c>
      <c r="I95" s="467"/>
      <c r="J95" s="649">
        <v>58.800000000000011</v>
      </c>
      <c r="K95" s="1011"/>
      <c r="L95" s="649">
        <v>66.100000000000023</v>
      </c>
      <c r="M95" s="1011"/>
      <c r="N95" s="649">
        <v>145.80000000000001</v>
      </c>
      <c r="O95" s="1011"/>
      <c r="P95" s="649">
        <v>137.90000000000009</v>
      </c>
      <c r="Q95" s="1011"/>
      <c r="R95" s="649">
        <v>59.299999999999955</v>
      </c>
      <c r="S95" s="1011"/>
      <c r="T95" s="649">
        <v>135.40000000000015</v>
      </c>
      <c r="U95" s="1011"/>
      <c r="V95" s="649">
        <v>44.399999999999864</v>
      </c>
      <c r="W95" s="1011"/>
      <c r="X95" s="649">
        <v>65.400000000000091</v>
      </c>
      <c r="Y95" s="1011"/>
      <c r="Z95" s="649">
        <f t="shared" si="25"/>
        <v>347.89999999999981</v>
      </c>
      <c r="AA95" s="496"/>
      <c r="AB95" s="467"/>
      <c r="AC95" s="940"/>
      <c r="AD95" s="919">
        <v>1370.4</v>
      </c>
      <c r="AE95" s="493"/>
      <c r="AF95" s="722"/>
      <c r="AG95" s="919">
        <v>1168.2</v>
      </c>
      <c r="AH95" s="191"/>
      <c r="AI95" s="36"/>
      <c r="AJ95" s="467">
        <f t="shared" si="26"/>
        <v>202.2</v>
      </c>
      <c r="AK95" s="467"/>
      <c r="AL95" s="488">
        <f t="shared" si="27"/>
        <v>0.17299999999999999</v>
      </c>
      <c r="AM95" s="567"/>
    </row>
    <row r="96" spans="1:39" ht="15" customHeight="1">
      <c r="A96" s="99"/>
      <c r="B96" s="119" t="s">
        <v>30</v>
      </c>
      <c r="C96" s="21"/>
      <c r="D96" s="649">
        <v>15.9</v>
      </c>
      <c r="E96" s="467"/>
      <c r="F96" s="649">
        <v>15.999999999999998</v>
      </c>
      <c r="G96" s="467"/>
      <c r="H96" s="649">
        <v>13.6</v>
      </c>
      <c r="I96" s="467"/>
      <c r="J96" s="649">
        <v>35.20000000000001</v>
      </c>
      <c r="K96" s="1011"/>
      <c r="L96" s="649">
        <v>16.79999999999999</v>
      </c>
      <c r="M96" s="1011"/>
      <c r="N96" s="649">
        <v>10.999999999999993</v>
      </c>
      <c r="O96" s="1011"/>
      <c r="P96" s="649">
        <v>22.6</v>
      </c>
      <c r="Q96" s="1011"/>
      <c r="R96" s="649">
        <v>17.499999999999993</v>
      </c>
      <c r="S96" s="1011"/>
      <c r="T96" s="649">
        <v>19.600000000000001</v>
      </c>
      <c r="U96" s="1011"/>
      <c r="V96" s="649">
        <v>23.9</v>
      </c>
      <c r="W96" s="1011"/>
      <c r="X96" s="649">
        <v>-12.799999999999983</v>
      </c>
      <c r="Y96" s="1011"/>
      <c r="Z96" s="649">
        <f t="shared" si="25"/>
        <v>61.699999999999996</v>
      </c>
      <c r="AA96" s="496"/>
      <c r="AB96" s="467"/>
      <c r="AC96" s="940"/>
      <c r="AD96" s="919">
        <v>241</v>
      </c>
      <c r="AE96" s="493"/>
      <c r="AF96" s="722"/>
      <c r="AG96" s="919">
        <v>295.5</v>
      </c>
      <c r="AH96" s="191"/>
      <c r="AI96" s="36"/>
      <c r="AJ96" s="467">
        <f t="shared" si="26"/>
        <v>-54.5</v>
      </c>
      <c r="AK96" s="467"/>
      <c r="AL96" s="488">
        <f t="shared" si="27"/>
        <v>-0.184</v>
      </c>
      <c r="AM96" s="567"/>
    </row>
    <row r="97" spans="1:40" ht="15" customHeight="1">
      <c r="A97" s="99"/>
      <c r="B97" s="119" t="s">
        <v>31</v>
      </c>
      <c r="C97" s="21"/>
      <c r="D97" s="649">
        <v>1</v>
      </c>
      <c r="E97" s="467"/>
      <c r="F97" s="649">
        <v>0.39999999999999991</v>
      </c>
      <c r="G97" s="467"/>
      <c r="H97" s="649">
        <v>0.60000000000000009</v>
      </c>
      <c r="I97" s="467"/>
      <c r="J97" s="649">
        <v>0.29999999999999982</v>
      </c>
      <c r="K97" s="1011"/>
      <c r="L97" s="649">
        <v>0</v>
      </c>
      <c r="M97" s="1011"/>
      <c r="N97" s="649">
        <v>0.70000000000000018</v>
      </c>
      <c r="O97" s="1011"/>
      <c r="P97" s="649">
        <v>0.10000000000000009</v>
      </c>
      <c r="Q97" s="1011"/>
      <c r="R97" s="649">
        <v>0.79999999999999982</v>
      </c>
      <c r="S97" s="1011"/>
      <c r="T97" s="649">
        <v>0.30000000000000027</v>
      </c>
      <c r="U97" s="1011"/>
      <c r="V97" s="649">
        <v>-1.5</v>
      </c>
      <c r="W97" s="1011"/>
      <c r="X97" s="649">
        <v>9.9999999999999645E-2</v>
      </c>
      <c r="Y97" s="1011"/>
      <c r="Z97" s="649">
        <f t="shared" si="25"/>
        <v>0.70000000000000018</v>
      </c>
      <c r="AA97" s="496"/>
      <c r="AB97" s="467"/>
      <c r="AC97" s="940"/>
      <c r="AD97" s="919">
        <v>3.5</v>
      </c>
      <c r="AE97" s="493"/>
      <c r="AF97" s="722"/>
      <c r="AG97" s="919">
        <v>1.9</v>
      </c>
      <c r="AH97" s="191"/>
      <c r="AI97" s="36"/>
      <c r="AJ97" s="467">
        <f t="shared" si="26"/>
        <v>1.6</v>
      </c>
      <c r="AK97" s="467"/>
      <c r="AL97" s="488">
        <f t="shared" si="27"/>
        <v>0.84199999999999997</v>
      </c>
      <c r="AM97" s="567"/>
    </row>
    <row r="98" spans="1:40" ht="15" customHeight="1">
      <c r="A98" s="99"/>
      <c r="B98" s="119" t="s">
        <v>32</v>
      </c>
      <c r="C98" s="21"/>
      <c r="D98" s="649">
        <v>2.2999999999999998</v>
      </c>
      <c r="E98" s="467"/>
      <c r="F98" s="649">
        <v>0.30000000000000027</v>
      </c>
      <c r="G98" s="467"/>
      <c r="H98" s="649">
        <v>0.69999999999999973</v>
      </c>
      <c r="I98" s="467"/>
      <c r="J98" s="649">
        <v>1</v>
      </c>
      <c r="K98" s="1011"/>
      <c r="L98" s="649">
        <v>0.70000000000000018</v>
      </c>
      <c r="M98" s="1011"/>
      <c r="N98" s="649">
        <v>8.5</v>
      </c>
      <c r="O98" s="1011"/>
      <c r="P98" s="649">
        <v>0.80000000000000071</v>
      </c>
      <c r="Q98" s="1011"/>
      <c r="R98" s="649">
        <v>21.700000000000003</v>
      </c>
      <c r="S98" s="1011"/>
      <c r="T98" s="649">
        <v>39.200000000000003</v>
      </c>
      <c r="U98" s="1011"/>
      <c r="V98" s="649">
        <v>7.8999999999999915</v>
      </c>
      <c r="W98" s="1011"/>
      <c r="X98" s="649">
        <v>13.400000000000006</v>
      </c>
      <c r="Y98" s="1011"/>
      <c r="Z98" s="649">
        <f t="shared" si="25"/>
        <v>10.400000000000006</v>
      </c>
      <c r="AA98" s="496"/>
      <c r="AB98" s="467"/>
      <c r="AC98" s="940"/>
      <c r="AD98" s="919">
        <v>106.9</v>
      </c>
      <c r="AE98" s="493"/>
      <c r="AF98" s="722"/>
      <c r="AG98" s="919">
        <v>69.8</v>
      </c>
      <c r="AH98" s="191"/>
      <c r="AI98" s="36"/>
      <c r="AJ98" s="467">
        <f t="shared" si="26"/>
        <v>37.1</v>
      </c>
      <c r="AK98" s="467"/>
      <c r="AL98" s="488">
        <f t="shared" si="27"/>
        <v>0.53200000000000003</v>
      </c>
      <c r="AM98" s="567"/>
    </row>
    <row r="99" spans="1:40" ht="15" customHeight="1">
      <c r="A99" s="99"/>
      <c r="B99" s="119" t="s">
        <v>33</v>
      </c>
      <c r="C99" s="21"/>
      <c r="D99" s="649">
        <v>57.1</v>
      </c>
      <c r="E99" s="467"/>
      <c r="F99" s="649">
        <v>561</v>
      </c>
      <c r="G99" s="467"/>
      <c r="H99" s="649">
        <v>313.79999999999995</v>
      </c>
      <c r="I99" s="467"/>
      <c r="J99" s="649">
        <v>357.50000000000011</v>
      </c>
      <c r="K99" s="1011"/>
      <c r="L99" s="649">
        <v>499.89999999999975</v>
      </c>
      <c r="M99" s="1011"/>
      <c r="N99" s="649">
        <v>334.70000000000027</v>
      </c>
      <c r="O99" s="1011"/>
      <c r="P99" s="649">
        <v>382.5999999999998</v>
      </c>
      <c r="Q99" s="1011"/>
      <c r="R99" s="649">
        <v>646.10000000000048</v>
      </c>
      <c r="S99" s="1011"/>
      <c r="T99" s="649">
        <v>1011.3999999999995</v>
      </c>
      <c r="U99" s="1011"/>
      <c r="V99" s="649">
        <v>78.099999999999568</v>
      </c>
      <c r="W99" s="1011"/>
      <c r="X99" s="649">
        <v>118.60000000000036</v>
      </c>
      <c r="Y99" s="1011"/>
      <c r="Z99" s="649">
        <f t="shared" si="25"/>
        <v>58.199999999999818</v>
      </c>
      <c r="AA99" s="496"/>
      <c r="AB99" s="467"/>
      <c r="AC99" s="940"/>
      <c r="AD99" s="919">
        <v>4419</v>
      </c>
      <c r="AE99" s="493"/>
      <c r="AF99" s="722"/>
      <c r="AG99" s="919">
        <v>3663.1</v>
      </c>
      <c r="AH99" s="191"/>
      <c r="AI99" s="36"/>
      <c r="AJ99" s="467">
        <f t="shared" si="26"/>
        <v>755.9</v>
      </c>
      <c r="AK99" s="467"/>
      <c r="AL99" s="488">
        <f t="shared" si="27"/>
        <v>0.20599999999999999</v>
      </c>
      <c r="AM99" s="567"/>
    </row>
    <row r="100" spans="1:40" ht="15" customHeight="1">
      <c r="A100" s="99"/>
      <c r="B100" s="19" t="s">
        <v>1075</v>
      </c>
      <c r="C100" s="21"/>
      <c r="D100" s="206">
        <f>ROUND(SUM(D90:D99),1)</f>
        <v>750.2</v>
      </c>
      <c r="E100" s="42"/>
      <c r="F100" s="206">
        <f>ROUND(SUM(F90:F99),1)</f>
        <v>1143.3</v>
      </c>
      <c r="G100" s="42"/>
      <c r="H100" s="206">
        <f>ROUND(SUM(H90:H99),1)</f>
        <v>1310.5</v>
      </c>
      <c r="I100" s="42"/>
      <c r="J100" s="206">
        <f>ROUND(SUM(J90:J99),1)</f>
        <v>997</v>
      </c>
      <c r="K100" s="42"/>
      <c r="L100" s="206">
        <f>ROUND(SUM(L90:L99),1)</f>
        <v>1211.5999999999999</v>
      </c>
      <c r="M100" s="42"/>
      <c r="N100" s="206">
        <f>ROUND(SUM(N90:N99),1)</f>
        <v>4034.7</v>
      </c>
      <c r="O100" s="42"/>
      <c r="P100" s="206">
        <f>ROUND(SUM(P90:P99),1)</f>
        <v>1289.5999999999999</v>
      </c>
      <c r="Q100" s="42"/>
      <c r="R100" s="206">
        <f>ROUND(SUM(R90:R99),1)</f>
        <v>1504.3</v>
      </c>
      <c r="S100" s="206"/>
      <c r="T100" s="206">
        <f t="shared" ref="T100" si="28">ROUND(SUM(T90:T99),1)</f>
        <v>1886.4</v>
      </c>
      <c r="U100" s="42"/>
      <c r="V100" s="206">
        <f>ROUND(SUM(V90:V99),1)</f>
        <v>2509.3000000000002</v>
      </c>
      <c r="W100" s="42"/>
      <c r="X100" s="206">
        <f>ROUND(SUM(X90:X99),1)</f>
        <v>1131.0999999999999</v>
      </c>
      <c r="Y100" s="42"/>
      <c r="Z100" s="206">
        <f>ROUND(SUM(Z90:Z99),1)</f>
        <v>1256.8</v>
      </c>
      <c r="AA100" s="42"/>
      <c r="AB100" s="42"/>
      <c r="AC100" s="44"/>
      <c r="AD100" s="41">
        <f>ROUND(SUM(AD90:AD99),1)</f>
        <v>19024.8</v>
      </c>
      <c r="AE100" s="42"/>
      <c r="AF100" s="1247"/>
      <c r="AG100" s="41">
        <f>ROUND(SUM(AG90:AG99),1)</f>
        <v>16614</v>
      </c>
      <c r="AH100" s="197"/>
      <c r="AI100" s="42"/>
      <c r="AJ100" s="41">
        <f>ROUND(SUM(AD100-AG100),1)</f>
        <v>2410.8000000000002</v>
      </c>
      <c r="AK100" s="111"/>
      <c r="AL100" s="199">
        <f>ROUND(SUM((AD100-AG100)/ABS(AG100)),3)</f>
        <v>0.14499999999999999</v>
      </c>
      <c r="AM100" s="567"/>
    </row>
    <row r="101" spans="1:40" ht="15" customHeight="1">
      <c r="A101" s="99"/>
      <c r="B101" s="21" t="s">
        <v>166</v>
      </c>
      <c r="C101" s="21"/>
      <c r="D101" s="467"/>
      <c r="E101" s="467"/>
      <c r="F101" s="467"/>
      <c r="G101" s="467"/>
      <c r="H101" s="467"/>
      <c r="I101" s="467"/>
      <c r="J101" s="467"/>
      <c r="K101" s="36"/>
      <c r="L101" s="36"/>
      <c r="M101" s="36"/>
      <c r="N101" s="36"/>
      <c r="O101" s="36"/>
      <c r="P101" s="36"/>
      <c r="Q101" s="36"/>
      <c r="R101" s="36"/>
      <c r="S101" s="36"/>
      <c r="T101" s="36"/>
      <c r="U101" s="36"/>
      <c r="V101" s="36"/>
      <c r="W101" s="36"/>
      <c r="X101" s="649"/>
      <c r="Y101" s="36"/>
      <c r="Z101" s="36"/>
      <c r="AA101" s="36"/>
      <c r="AB101" s="36"/>
      <c r="AC101" s="37"/>
      <c r="AD101" s="36"/>
      <c r="AE101" s="36"/>
      <c r="AF101" s="752"/>
      <c r="AG101" s="36"/>
      <c r="AH101" s="191"/>
      <c r="AI101" s="36"/>
      <c r="AJ101" s="467"/>
      <c r="AK101" s="646"/>
      <c r="AL101" s="488"/>
      <c r="AM101" s="567"/>
    </row>
    <row r="102" spans="1:40" ht="15" customHeight="1">
      <c r="A102" s="99"/>
      <c r="B102" s="21" t="s">
        <v>150</v>
      </c>
      <c r="C102" s="21"/>
      <c r="D102" s="649">
        <v>415</v>
      </c>
      <c r="E102" s="467"/>
      <c r="F102" s="649">
        <v>403.5</v>
      </c>
      <c r="G102" s="467"/>
      <c r="H102" s="649">
        <v>392.10000000000014</v>
      </c>
      <c r="I102" s="467"/>
      <c r="J102" s="649">
        <v>409.09999999999991</v>
      </c>
      <c r="K102" s="1011"/>
      <c r="L102" s="649">
        <v>591.10000000000014</v>
      </c>
      <c r="M102" s="1011"/>
      <c r="N102" s="649">
        <v>380.39999999999964</v>
      </c>
      <c r="O102" s="1011"/>
      <c r="P102" s="649">
        <v>449.10000000000036</v>
      </c>
      <c r="Q102" s="1011"/>
      <c r="R102" s="649">
        <v>443.49999999999977</v>
      </c>
      <c r="S102" s="1011"/>
      <c r="T102" s="649">
        <v>421.19999999999982</v>
      </c>
      <c r="U102" s="1011"/>
      <c r="V102" s="649">
        <v>425.50000000000023</v>
      </c>
      <c r="W102" s="1011"/>
      <c r="X102" s="649">
        <v>429.5</v>
      </c>
      <c r="Y102" s="1011"/>
      <c r="Z102" s="649">
        <f t="shared" ref="Z102:Z105" si="29">$AD102-$D102-$F102-$H102-$J102-$L102-$N102-$P102-$R102-$T102-$V102-$X102</f>
        <v>616.30000000000018</v>
      </c>
      <c r="AA102" s="496"/>
      <c r="AB102" s="467"/>
      <c r="AC102" s="940"/>
      <c r="AD102" s="919">
        <v>5376.3</v>
      </c>
      <c r="AE102" s="493"/>
      <c r="AF102" s="722"/>
      <c r="AG102" s="919">
        <v>5180</v>
      </c>
      <c r="AH102" s="191"/>
      <c r="AI102" s="36"/>
      <c r="AJ102" s="467">
        <f>ROUND(SUM(+AD102-AG102),1)</f>
        <v>196.3</v>
      </c>
      <c r="AK102" s="467"/>
      <c r="AL102" s="488">
        <f>ROUND(IF(AG102=0,0,AJ102/ABS(AG102)),3)</f>
        <v>3.7999999999999999E-2</v>
      </c>
      <c r="AM102" s="567"/>
    </row>
    <row r="103" spans="1:40" ht="15" customHeight="1">
      <c r="A103" s="99"/>
      <c r="B103" s="21" t="s">
        <v>167</v>
      </c>
      <c r="C103" s="21"/>
      <c r="D103" s="649">
        <v>239.5</v>
      </c>
      <c r="E103" s="467"/>
      <c r="F103" s="649">
        <v>232.2</v>
      </c>
      <c r="G103" s="467"/>
      <c r="H103" s="649">
        <v>245.7</v>
      </c>
      <c r="I103" s="467"/>
      <c r="J103" s="649">
        <v>191.7000000000001</v>
      </c>
      <c r="K103" s="1011"/>
      <c r="L103" s="649">
        <v>309.89999999999986</v>
      </c>
      <c r="M103" s="1011"/>
      <c r="N103" s="649">
        <v>266.5</v>
      </c>
      <c r="O103" s="1011"/>
      <c r="P103" s="649">
        <v>277.39999999999986</v>
      </c>
      <c r="Q103" s="1011"/>
      <c r="R103" s="649">
        <v>313.79999999999995</v>
      </c>
      <c r="S103" s="1011"/>
      <c r="T103" s="649">
        <v>233.70000000000027</v>
      </c>
      <c r="U103" s="1011"/>
      <c r="V103" s="649">
        <v>323.29999999999995</v>
      </c>
      <c r="W103" s="1011"/>
      <c r="X103" s="649">
        <v>332.80000000000018</v>
      </c>
      <c r="Y103" s="1011"/>
      <c r="Z103" s="649">
        <f t="shared" si="29"/>
        <v>292.09999999999991</v>
      </c>
      <c r="AA103" s="496"/>
      <c r="AB103" s="467"/>
      <c r="AC103" s="940"/>
      <c r="AD103" s="919">
        <v>3258.6</v>
      </c>
      <c r="AE103" s="493"/>
      <c r="AF103" s="722"/>
      <c r="AG103" s="919">
        <v>2903.9</v>
      </c>
      <c r="AH103" s="191"/>
      <c r="AI103" s="36"/>
      <c r="AJ103" s="467">
        <f>ROUND(SUM(+AD103-AG103),1)</f>
        <v>354.7</v>
      </c>
      <c r="AK103" s="467"/>
      <c r="AL103" s="488">
        <f>ROUND(IF(AG103=0,0,AJ103/ABS(AG103)),3)</f>
        <v>0.122</v>
      </c>
      <c r="AN103" s="2172"/>
    </row>
    <row r="104" spans="1:40" ht="15" customHeight="1">
      <c r="A104" s="99"/>
      <c r="B104" s="21" t="s">
        <v>168</v>
      </c>
      <c r="C104" s="21"/>
      <c r="D104" s="649">
        <v>67.7</v>
      </c>
      <c r="E104" s="467"/>
      <c r="F104" s="649">
        <v>60.3</v>
      </c>
      <c r="G104" s="467"/>
      <c r="H104" s="649">
        <v>88.40000000000002</v>
      </c>
      <c r="I104" s="467"/>
      <c r="J104" s="649">
        <v>114.19999999999997</v>
      </c>
      <c r="K104" s="1011"/>
      <c r="L104" s="649">
        <v>123.09999999999995</v>
      </c>
      <c r="M104" s="1011"/>
      <c r="N104" s="649">
        <v>50.2</v>
      </c>
      <c r="O104" s="1011"/>
      <c r="P104" s="649">
        <v>72.800000000000068</v>
      </c>
      <c r="Q104" s="1011"/>
      <c r="R104" s="649">
        <v>90.599999999999909</v>
      </c>
      <c r="S104" s="1011"/>
      <c r="T104" s="649">
        <v>132.80000000000013</v>
      </c>
      <c r="U104" s="1011"/>
      <c r="V104" s="649">
        <v>122.69999999999999</v>
      </c>
      <c r="W104" s="1011"/>
      <c r="X104" s="649">
        <v>82.60000000000008</v>
      </c>
      <c r="Y104" s="1011"/>
      <c r="Z104" s="649">
        <f t="shared" si="29"/>
        <v>82.199999999999875</v>
      </c>
      <c r="AA104" s="496"/>
      <c r="AB104" s="467"/>
      <c r="AC104" s="940"/>
      <c r="AD104" s="919">
        <v>1087.5999999999999</v>
      </c>
      <c r="AE104" s="493"/>
      <c r="AF104" s="722"/>
      <c r="AG104" s="919">
        <v>1041.3</v>
      </c>
      <c r="AH104" s="191"/>
      <c r="AI104" s="36"/>
      <c r="AJ104" s="467">
        <f>ROUND(SUM(+AD104-AG104),1)</f>
        <v>46.3</v>
      </c>
      <c r="AK104" s="467"/>
      <c r="AL104" s="488">
        <f>ROUND(IF(AG104=0,0,AJ104/ABS(AG104)),3)</f>
        <v>4.3999999999999997E-2</v>
      </c>
      <c r="AM104" s="567"/>
    </row>
    <row r="105" spans="1:40" ht="15" customHeight="1">
      <c r="A105" s="99"/>
      <c r="B105" s="21" t="s">
        <v>169</v>
      </c>
      <c r="C105" s="21"/>
      <c r="D105" s="649">
        <v>0</v>
      </c>
      <c r="E105" s="467"/>
      <c r="F105" s="649">
        <v>0</v>
      </c>
      <c r="G105" s="467"/>
      <c r="H105" s="649">
        <v>0</v>
      </c>
      <c r="I105" s="467"/>
      <c r="J105" s="649">
        <v>0</v>
      </c>
      <c r="K105" s="1011"/>
      <c r="L105" s="649">
        <v>0</v>
      </c>
      <c r="M105" s="1011"/>
      <c r="N105" s="649">
        <v>0</v>
      </c>
      <c r="O105" s="1011"/>
      <c r="P105" s="649">
        <v>0</v>
      </c>
      <c r="Q105" s="1011"/>
      <c r="R105" s="649">
        <v>0</v>
      </c>
      <c r="S105" s="1011"/>
      <c r="T105" s="649">
        <v>0</v>
      </c>
      <c r="U105" s="1011"/>
      <c r="V105" s="649">
        <v>0</v>
      </c>
      <c r="W105" s="1011"/>
      <c r="X105" s="2169">
        <v>0</v>
      </c>
      <c r="Y105" s="1011"/>
      <c r="Z105" s="649">
        <f t="shared" si="29"/>
        <v>0</v>
      </c>
      <c r="AA105" s="496"/>
      <c r="AB105" s="467"/>
      <c r="AC105" s="940"/>
      <c r="AD105" s="919">
        <v>0</v>
      </c>
      <c r="AE105" s="493"/>
      <c r="AF105" s="722"/>
      <c r="AG105" s="919">
        <v>0</v>
      </c>
      <c r="AH105" s="191"/>
      <c r="AI105" s="36"/>
      <c r="AJ105" s="467">
        <f>ROUND(SUM(+AD105-AG105),1)</f>
        <v>0</v>
      </c>
      <c r="AK105" s="467"/>
      <c r="AL105" s="469">
        <f>ROUND(IF(AG105=0,0,AJ105/ABS(AG105)),3)</f>
        <v>0</v>
      </c>
      <c r="AM105" s="567"/>
    </row>
    <row r="106" spans="1:40" ht="15" customHeight="1">
      <c r="A106" s="99"/>
      <c r="B106" s="21"/>
      <c r="C106" s="21"/>
      <c r="D106" s="497"/>
      <c r="E106" s="467"/>
      <c r="F106" s="497"/>
      <c r="G106" s="467"/>
      <c r="H106" s="497"/>
      <c r="I106" s="467"/>
      <c r="J106" s="497"/>
      <c r="K106" s="36"/>
      <c r="L106" s="61"/>
      <c r="M106" s="36"/>
      <c r="N106" s="61"/>
      <c r="O106" s="36"/>
      <c r="P106" s="61"/>
      <c r="Q106" s="36"/>
      <c r="R106" s="61"/>
      <c r="S106" s="36"/>
      <c r="T106" s="61"/>
      <c r="U106" s="36"/>
      <c r="V106" s="61"/>
      <c r="W106" s="36"/>
      <c r="X106" s="649"/>
      <c r="Y106" s="36"/>
      <c r="Z106" s="61"/>
      <c r="AA106" s="36"/>
      <c r="AB106" s="36"/>
      <c r="AC106" s="37"/>
      <c r="AD106" s="61"/>
      <c r="AE106" s="36"/>
      <c r="AF106" s="752"/>
      <c r="AG106" s="61"/>
      <c r="AH106" s="191"/>
      <c r="AI106" s="36"/>
      <c r="AJ106" s="948"/>
      <c r="AK106" s="646"/>
      <c r="AL106" s="963"/>
      <c r="AM106" s="567"/>
    </row>
    <row r="107" spans="1:40" ht="15" customHeight="1">
      <c r="A107" s="99"/>
      <c r="B107" s="19" t="s">
        <v>153</v>
      </c>
      <c r="C107" s="21"/>
      <c r="D107" s="42">
        <f>ROUND(SUM(D100:D105),1)</f>
        <v>1472.4</v>
      </c>
      <c r="E107" s="42"/>
      <c r="F107" s="42">
        <f>ROUND(SUM(F100:F105),1)</f>
        <v>1839.3</v>
      </c>
      <c r="G107" s="42"/>
      <c r="H107" s="42">
        <f>ROUND(SUM(H100:H105),1)</f>
        <v>2036.7</v>
      </c>
      <c r="I107" s="42"/>
      <c r="J107" s="42">
        <f>ROUND(SUM(J100:J105),1)</f>
        <v>1712</v>
      </c>
      <c r="K107" s="42"/>
      <c r="L107" s="42">
        <f>ROUND(SUM(L100:L105),1)</f>
        <v>2235.6999999999998</v>
      </c>
      <c r="M107" s="42"/>
      <c r="N107" s="42">
        <f>ROUND(SUM(N100:N105),1)</f>
        <v>4731.8</v>
      </c>
      <c r="O107" s="42"/>
      <c r="P107" s="42">
        <f>ROUND(SUM(P100:P105),1)</f>
        <v>2088.9</v>
      </c>
      <c r="Q107" s="42"/>
      <c r="R107" s="42">
        <f>ROUND(SUM(R100:R105),1)</f>
        <v>2352.1999999999998</v>
      </c>
      <c r="S107" s="42"/>
      <c r="T107" s="42">
        <f t="shared" ref="T107" si="30">ROUND(SUM(T100:T105),1)</f>
        <v>2674.1</v>
      </c>
      <c r="U107" s="42"/>
      <c r="V107" s="42">
        <f>ROUND(SUM(V100:V105),1)</f>
        <v>3380.8</v>
      </c>
      <c r="W107" s="42"/>
      <c r="X107" s="50">
        <f>ROUND(SUM(X100:X105),1)</f>
        <v>1976</v>
      </c>
      <c r="Y107" s="42"/>
      <c r="Z107" s="42">
        <f>ROUND(SUM(Z100:Z105),1)</f>
        <v>2247.4</v>
      </c>
      <c r="AA107" s="42"/>
      <c r="AB107" s="42"/>
      <c r="AC107" s="44"/>
      <c r="AD107" s="42">
        <f>ROUND(SUM(AD100:AD105),1)</f>
        <v>28747.3</v>
      </c>
      <c r="AE107" s="42"/>
      <c r="AF107" s="1247"/>
      <c r="AG107" s="42">
        <f>ROUND(SUM(AG100:AG105),1)</f>
        <v>25739.200000000001</v>
      </c>
      <c r="AH107" s="197"/>
      <c r="AI107" s="42"/>
      <c r="AJ107" s="50">
        <f>ROUND(SUM(AD107-AG107),1)</f>
        <v>3008.1</v>
      </c>
      <c r="AK107" s="138"/>
      <c r="AL107" s="210">
        <f>ROUND(SUM((AD107-AG107)/ABS(AG107)),3)</f>
        <v>0.11700000000000001</v>
      </c>
      <c r="AM107" s="567"/>
    </row>
    <row r="108" spans="1:40" ht="15" customHeight="1">
      <c r="A108" s="99"/>
      <c r="B108" s="21"/>
      <c r="C108" s="21"/>
      <c r="D108" s="497"/>
      <c r="E108" s="467"/>
      <c r="F108" s="497"/>
      <c r="G108" s="467"/>
      <c r="H108" s="497"/>
      <c r="I108" s="467"/>
      <c r="J108" s="497"/>
      <c r="K108" s="36"/>
      <c r="L108" s="61"/>
      <c r="M108" s="36"/>
      <c r="N108" s="61"/>
      <c r="O108" s="36"/>
      <c r="P108" s="61"/>
      <c r="Q108" s="36"/>
      <c r="R108" s="61"/>
      <c r="S108" s="36"/>
      <c r="T108" s="61"/>
      <c r="U108" s="36"/>
      <c r="V108" s="61"/>
      <c r="W108" s="36"/>
      <c r="X108" s="649"/>
      <c r="Y108" s="36"/>
      <c r="Z108" s="61"/>
      <c r="AA108" s="36"/>
      <c r="AB108" s="36"/>
      <c r="AC108" s="37"/>
      <c r="AD108" s="61"/>
      <c r="AE108" s="36"/>
      <c r="AF108" s="752"/>
      <c r="AG108" s="61"/>
      <c r="AH108" s="191"/>
      <c r="AI108" s="36"/>
      <c r="AJ108" s="467"/>
      <c r="AK108" s="646"/>
      <c r="AL108" s="488"/>
      <c r="AM108" s="567"/>
    </row>
    <row r="109" spans="1:40" ht="15" customHeight="1">
      <c r="A109" s="99"/>
      <c r="B109" s="19" t="s">
        <v>154</v>
      </c>
      <c r="C109" s="21"/>
      <c r="D109" s="467"/>
      <c r="E109" s="467"/>
      <c r="F109" s="467"/>
      <c r="G109" s="467"/>
      <c r="H109" s="467"/>
      <c r="I109" s="467"/>
      <c r="J109" s="467"/>
      <c r="K109" s="36"/>
      <c r="L109" s="36"/>
      <c r="M109" s="36"/>
      <c r="N109" s="36"/>
      <c r="O109" s="36"/>
      <c r="P109" s="36"/>
      <c r="Q109" s="36"/>
      <c r="R109" s="36"/>
      <c r="S109" s="36"/>
      <c r="T109" s="36"/>
      <c r="U109" s="36"/>
      <c r="V109" s="36"/>
      <c r="W109" s="36"/>
      <c r="X109" s="649"/>
      <c r="Y109" s="36"/>
      <c r="Z109" s="36"/>
      <c r="AA109" s="36"/>
      <c r="AB109" s="36"/>
      <c r="AC109" s="37"/>
      <c r="AD109" s="36"/>
      <c r="AE109" s="36"/>
      <c r="AF109" s="752"/>
      <c r="AG109" s="36"/>
      <c r="AH109" s="191"/>
      <c r="AI109" s="36"/>
      <c r="AJ109" s="467"/>
      <c r="AK109" s="646"/>
      <c r="AL109" s="488"/>
      <c r="AM109" s="567"/>
    </row>
    <row r="110" spans="1:40" ht="15" customHeight="1">
      <c r="A110" s="99"/>
      <c r="B110" s="19" t="s">
        <v>44</v>
      </c>
      <c r="C110" s="21"/>
      <c r="D110" s="42">
        <f>ROUND(SUM(D86-D107),1)</f>
        <v>481.6</v>
      </c>
      <c r="E110" s="42"/>
      <c r="F110" s="42">
        <f>ROUND(SUM(F86-F107),1)</f>
        <v>-292.8</v>
      </c>
      <c r="G110" s="42"/>
      <c r="H110" s="42">
        <f>ROUND(SUM(H86-H107),1)</f>
        <v>148.69999999999999</v>
      </c>
      <c r="I110" s="42"/>
      <c r="J110" s="42">
        <f>ROUND(SUM(J86-J107),1)</f>
        <v>72.099999999999994</v>
      </c>
      <c r="K110" s="42"/>
      <c r="L110" s="42">
        <f>ROUND(SUM(L86-L107),1)</f>
        <v>-308.3</v>
      </c>
      <c r="M110" s="42"/>
      <c r="N110" s="42">
        <f>ROUND(SUM(N86-N107),1)</f>
        <v>-2081</v>
      </c>
      <c r="O110" s="42"/>
      <c r="P110" s="42">
        <f>ROUND(SUM(P86-P107),1)</f>
        <v>-174.9</v>
      </c>
      <c r="Q110" s="42"/>
      <c r="R110" s="42">
        <f>ROUND(SUM(R86-R107),1)</f>
        <v>-495.6</v>
      </c>
      <c r="S110" s="42"/>
      <c r="T110" s="42">
        <f t="shared" ref="T110" si="31">ROUND(SUM(T86-T107),1)</f>
        <v>-344.4</v>
      </c>
      <c r="U110" s="42"/>
      <c r="V110" s="42">
        <f>ROUND(SUM(V86-V107),1)</f>
        <v>598.1</v>
      </c>
      <c r="W110" s="42"/>
      <c r="X110" s="50">
        <f>ROUND(SUM(X86-X107),1)</f>
        <v>241</v>
      </c>
      <c r="Y110" s="42"/>
      <c r="Z110" s="42">
        <f>ROUND(SUM(Z86-Z107),1)</f>
        <v>603.70000000000005</v>
      </c>
      <c r="AA110" s="42"/>
      <c r="AB110" s="42"/>
      <c r="AC110" s="44"/>
      <c r="AD110" s="42">
        <f>ROUND(SUM(AD86-AD107),1)</f>
        <v>-1551.8</v>
      </c>
      <c r="AE110" s="42"/>
      <c r="AF110" s="1247"/>
      <c r="AG110" s="42">
        <f>ROUND(SUM(AG86-AG107),1)</f>
        <v>342.9</v>
      </c>
      <c r="AH110" s="197"/>
      <c r="AI110" s="42"/>
      <c r="AJ110" s="50">
        <f>ROUND(SUM(AD110-AG110),1)</f>
        <v>-1894.7</v>
      </c>
      <c r="AK110" s="138"/>
      <c r="AL110" s="1951">
        <f>ROUND(IF(AG110=0,0,AJ110/ABS(AG110)),3)</f>
        <v>-5.5259999999999998</v>
      </c>
      <c r="AM110" s="567"/>
    </row>
    <row r="111" spans="1:40" ht="15" customHeight="1">
      <c r="A111" s="99"/>
      <c r="B111" s="21"/>
      <c r="C111" s="21"/>
      <c r="D111" s="497"/>
      <c r="E111" s="467"/>
      <c r="F111" s="497"/>
      <c r="G111" s="467"/>
      <c r="H111" s="497"/>
      <c r="I111" s="467"/>
      <c r="J111" s="497"/>
      <c r="K111" s="36"/>
      <c r="L111" s="61"/>
      <c r="M111" s="36"/>
      <c r="N111" s="61"/>
      <c r="O111" s="36"/>
      <c r="P111" s="61"/>
      <c r="Q111" s="36"/>
      <c r="R111" s="61"/>
      <c r="S111" s="36"/>
      <c r="T111" s="61"/>
      <c r="U111" s="36"/>
      <c r="V111" s="61"/>
      <c r="W111" s="36"/>
      <c r="X111" s="649"/>
      <c r="Y111" s="36"/>
      <c r="Z111" s="61"/>
      <c r="AA111" s="36"/>
      <c r="AB111" s="36"/>
      <c r="AC111" s="37"/>
      <c r="AD111" s="61"/>
      <c r="AE111" s="36"/>
      <c r="AF111" s="752"/>
      <c r="AG111" s="61"/>
      <c r="AH111" s="191"/>
      <c r="AI111" s="36"/>
      <c r="AJ111" s="467"/>
      <c r="AK111" s="646"/>
      <c r="AL111" s="488"/>
      <c r="AM111" s="567"/>
    </row>
    <row r="112" spans="1:40" ht="15" customHeight="1">
      <c r="A112" s="99"/>
      <c r="B112" s="19" t="s">
        <v>45</v>
      </c>
      <c r="C112" s="21"/>
      <c r="D112" s="467"/>
      <c r="E112" s="467"/>
      <c r="F112" s="467"/>
      <c r="G112" s="467"/>
      <c r="H112" s="467"/>
      <c r="I112" s="467"/>
      <c r="J112" s="467"/>
      <c r="K112" s="36"/>
      <c r="L112" s="36"/>
      <c r="M112" s="36"/>
      <c r="N112" s="36"/>
      <c r="O112" s="36"/>
      <c r="P112" s="36"/>
      <c r="Q112" s="36"/>
      <c r="R112" s="36"/>
      <c r="S112" s="36"/>
      <c r="T112" s="36"/>
      <c r="U112" s="36"/>
      <c r="V112" s="36"/>
      <c r="W112" s="36"/>
      <c r="X112" s="649"/>
      <c r="Y112" s="36"/>
      <c r="Z112" s="36"/>
      <c r="AA112" s="36"/>
      <c r="AB112" s="36"/>
      <c r="AC112" s="37"/>
      <c r="AD112" s="36"/>
      <c r="AE112" s="36"/>
      <c r="AF112" s="752"/>
      <c r="AG112" s="36"/>
      <c r="AH112" s="191"/>
      <c r="AI112" s="36"/>
      <c r="AJ112" s="467"/>
      <c r="AK112" s="646"/>
      <c r="AL112" s="488"/>
      <c r="AM112" s="567"/>
    </row>
    <row r="113" spans="1:49" ht="15" customHeight="1">
      <c r="A113" s="99"/>
      <c r="B113" s="21" t="s">
        <v>173</v>
      </c>
      <c r="C113" s="21"/>
      <c r="D113" s="649">
        <v>434.8</v>
      </c>
      <c r="E113" s="467"/>
      <c r="F113" s="649">
        <v>522.79999999999995</v>
      </c>
      <c r="G113" s="467"/>
      <c r="H113" s="649">
        <v>726.10000000000014</v>
      </c>
      <c r="I113" s="467"/>
      <c r="J113" s="649">
        <v>281.59999999999985</v>
      </c>
      <c r="K113" s="1011"/>
      <c r="L113" s="649">
        <v>187.39999999999981</v>
      </c>
      <c r="M113" s="1011"/>
      <c r="N113" s="649">
        <v>196.3000000000003</v>
      </c>
      <c r="O113" s="1011"/>
      <c r="P113" s="649">
        <v>235.39999999999981</v>
      </c>
      <c r="Q113" s="1011"/>
      <c r="R113" s="649">
        <v>335.69999999999976</v>
      </c>
      <c r="S113" s="1011"/>
      <c r="T113" s="649">
        <v>72.099999999999909</v>
      </c>
      <c r="U113" s="1011"/>
      <c r="V113" s="649">
        <v>63.900000000000318</v>
      </c>
      <c r="W113" s="1011"/>
      <c r="X113" s="649">
        <v>-26.199999999999818</v>
      </c>
      <c r="Y113" s="1011"/>
      <c r="Z113" s="649">
        <f t="shared" ref="Z113:Z114" si="32">$AD113-$D113-$F113-$H113-$J113-$L113-$N113-$P113-$R113-$T113-$V113-$X113</f>
        <v>751.49999999999955</v>
      </c>
      <c r="AA113" s="496"/>
      <c r="AB113" s="467"/>
      <c r="AC113" s="940"/>
      <c r="AD113" s="919">
        <v>3781.4</v>
      </c>
      <c r="AE113" s="493"/>
      <c r="AF113" s="722"/>
      <c r="AG113" s="919">
        <v>3090.3</v>
      </c>
      <c r="AH113" s="191"/>
      <c r="AI113" s="36"/>
      <c r="AJ113" s="467">
        <f>ROUND(SUM(+AD113-AG113),1)</f>
        <v>691.1</v>
      </c>
      <c r="AK113" s="467"/>
      <c r="AL113" s="488">
        <f>ROUND(IF(AG113=0,0,AJ113/ABS(AG113)),3)</f>
        <v>0.224</v>
      </c>
      <c r="AM113" s="567"/>
    </row>
    <row r="114" spans="1:49" ht="15" customHeight="1">
      <c r="A114" s="99"/>
      <c r="B114" s="21" t="s">
        <v>171</v>
      </c>
      <c r="C114" s="21"/>
      <c r="D114" s="649">
        <v>-0.7</v>
      </c>
      <c r="E114" s="467"/>
      <c r="F114" s="649">
        <v>-4.1000000000000005</v>
      </c>
      <c r="G114" s="467"/>
      <c r="H114" s="649">
        <v>-51.999999999999993</v>
      </c>
      <c r="I114" s="467"/>
      <c r="J114" s="649">
        <v>-23.600000000000012</v>
      </c>
      <c r="K114" s="1011"/>
      <c r="L114" s="649">
        <v>-3.399999999999995</v>
      </c>
      <c r="M114" s="1011"/>
      <c r="N114" s="649">
        <v>-22.100000000000009</v>
      </c>
      <c r="O114" s="1011"/>
      <c r="P114" s="649">
        <v>-6.2999999999999972</v>
      </c>
      <c r="Q114" s="1011"/>
      <c r="R114" s="649">
        <v>-6.4000000000000057</v>
      </c>
      <c r="S114" s="1011"/>
      <c r="T114" s="649">
        <v>-33.599999999999994</v>
      </c>
      <c r="U114" s="1011"/>
      <c r="V114" s="649">
        <v>-44.400000000000006</v>
      </c>
      <c r="W114" s="1011"/>
      <c r="X114" s="649">
        <v>-53.999999999999972</v>
      </c>
      <c r="Y114" s="1011"/>
      <c r="Z114" s="649">
        <f t="shared" si="32"/>
        <v>-477.69999999999993</v>
      </c>
      <c r="AA114" s="496"/>
      <c r="AB114" s="467"/>
      <c r="AC114" s="940"/>
      <c r="AD114" s="919">
        <v>-728.3</v>
      </c>
      <c r="AE114" s="493"/>
      <c r="AF114" s="722"/>
      <c r="AG114" s="1858">
        <v>-1529.3</v>
      </c>
      <c r="AH114" s="191"/>
      <c r="AI114" s="36"/>
      <c r="AJ114" s="467">
        <f>ROUND(SUM(+AD114-AG114)*-1,1)</f>
        <v>-801</v>
      </c>
      <c r="AK114" s="467"/>
      <c r="AL114" s="978">
        <f>ROUND(IF(AG114=0,0,AJ114/ABS(AG114)),3)</f>
        <v>-0.52400000000000002</v>
      </c>
      <c r="AM114" s="567"/>
    </row>
    <row r="115" spans="1:49" ht="15" customHeight="1">
      <c r="A115" s="99"/>
      <c r="B115" s="21"/>
      <c r="C115" s="21"/>
      <c r="D115" s="61"/>
      <c r="E115" s="36"/>
      <c r="F115" s="61"/>
      <c r="G115" s="36"/>
      <c r="H115" s="61"/>
      <c r="I115" s="36"/>
      <c r="J115" s="61"/>
      <c r="K115" s="36"/>
      <c r="L115" s="61"/>
      <c r="M115" s="36"/>
      <c r="N115" s="61"/>
      <c r="O115" s="36"/>
      <c r="P115" s="61"/>
      <c r="Q115" s="36"/>
      <c r="R115" s="61"/>
      <c r="S115" s="36"/>
      <c r="T115" s="61"/>
      <c r="U115" s="36"/>
      <c r="V115" s="61"/>
      <c r="W115" s="36"/>
      <c r="X115" s="61"/>
      <c r="Y115" s="36"/>
      <c r="Z115" s="61"/>
      <c r="AA115" s="36"/>
      <c r="AB115" s="36"/>
      <c r="AC115" s="37"/>
      <c r="AD115" s="61"/>
      <c r="AE115" s="36"/>
      <c r="AF115" s="752"/>
      <c r="AG115" s="36"/>
      <c r="AH115" s="191"/>
      <c r="AI115" s="36"/>
      <c r="AJ115" s="948"/>
      <c r="AK115" s="646"/>
      <c r="AL115" s="963"/>
      <c r="AM115" s="567"/>
    </row>
    <row r="116" spans="1:49" ht="15" customHeight="1">
      <c r="A116" s="99"/>
      <c r="B116" s="19" t="s">
        <v>1076</v>
      </c>
      <c r="C116" s="21"/>
      <c r="D116" s="42">
        <f>ROUND(SUM(D113:D115),1)</f>
        <v>434.1</v>
      </c>
      <c r="E116" s="42"/>
      <c r="F116" s="42">
        <f>ROUND(SUM(F113:F115),1)</f>
        <v>518.70000000000005</v>
      </c>
      <c r="G116" s="42"/>
      <c r="H116" s="42">
        <f>ROUND(SUM(H113:H115),1)</f>
        <v>674.1</v>
      </c>
      <c r="I116" s="42"/>
      <c r="J116" s="42">
        <f>ROUND(SUM(J113:J115),1)</f>
        <v>258</v>
      </c>
      <c r="K116" s="42"/>
      <c r="L116" s="42">
        <f>ROUND(SUM(L113:L115),1)</f>
        <v>184</v>
      </c>
      <c r="M116" s="42"/>
      <c r="N116" s="42">
        <f>ROUND(SUM(N113:N115),1)</f>
        <v>174.2</v>
      </c>
      <c r="O116" s="42"/>
      <c r="P116" s="42">
        <f>ROUND(SUM(P113:P115),1)</f>
        <v>229.1</v>
      </c>
      <c r="Q116" s="42"/>
      <c r="R116" s="42">
        <f>ROUND(SUM(R113:R115),1)</f>
        <v>329.3</v>
      </c>
      <c r="S116" s="42"/>
      <c r="T116" s="42">
        <f>ROUND(SUM(T113:T115),1)</f>
        <v>38.5</v>
      </c>
      <c r="U116" s="42"/>
      <c r="V116" s="42">
        <f>ROUND(SUM(V113:V115),1)</f>
        <v>19.5</v>
      </c>
      <c r="W116" s="42"/>
      <c r="X116" s="42">
        <f>ROUND(SUM(X113:X115),1)</f>
        <v>-80.2</v>
      </c>
      <c r="Y116" s="42"/>
      <c r="Z116" s="42">
        <f>ROUND(SUM(Z113:Z115),1)</f>
        <v>273.8</v>
      </c>
      <c r="AA116" s="42"/>
      <c r="AB116" s="42"/>
      <c r="AC116" s="44"/>
      <c r="AD116" s="42">
        <f>ROUND(SUM(AD113:AD115),1)</f>
        <v>3053.1</v>
      </c>
      <c r="AE116" s="42"/>
      <c r="AF116" s="1247"/>
      <c r="AG116" s="42">
        <f>ROUND(SUM(AG113:AG115),1)</f>
        <v>1561</v>
      </c>
      <c r="AH116" s="197"/>
      <c r="AI116" s="42"/>
      <c r="AJ116" s="50">
        <f>ROUND(SUM(AD116-AG116),1)</f>
        <v>1492.1</v>
      </c>
      <c r="AK116" s="111"/>
      <c r="AL116" s="210">
        <f>ROUND(SUM((AD116-AG116)/ABS(AG116)),3)</f>
        <v>0.95599999999999996</v>
      </c>
      <c r="AM116" s="923"/>
    </row>
    <row r="117" spans="1:49" ht="15" customHeight="1">
      <c r="A117" s="99"/>
      <c r="B117" s="21"/>
      <c r="C117" s="21"/>
      <c r="D117" s="61"/>
      <c r="E117" s="36"/>
      <c r="F117" s="61"/>
      <c r="G117" s="36"/>
      <c r="H117" s="61"/>
      <c r="I117" s="36"/>
      <c r="J117" s="61"/>
      <c r="K117" s="36"/>
      <c r="L117" s="61"/>
      <c r="M117" s="36"/>
      <c r="N117" s="61"/>
      <c r="O117" s="36"/>
      <c r="P117" s="61"/>
      <c r="Q117" s="36"/>
      <c r="R117" s="61"/>
      <c r="S117" s="36"/>
      <c r="T117" s="61"/>
      <c r="U117" s="36"/>
      <c r="V117" s="61"/>
      <c r="W117" s="36"/>
      <c r="X117" s="61"/>
      <c r="Y117" s="36"/>
      <c r="Z117" s="61"/>
      <c r="AA117" s="36"/>
      <c r="AB117" s="36"/>
      <c r="AC117" s="37"/>
      <c r="AD117" s="61"/>
      <c r="AE117" s="36"/>
      <c r="AF117" s="752"/>
      <c r="AG117" s="61"/>
      <c r="AH117" s="191"/>
      <c r="AI117" s="36"/>
      <c r="AJ117" s="467"/>
      <c r="AK117" s="646"/>
      <c r="AL117" s="488"/>
      <c r="AM117" s="567"/>
    </row>
    <row r="118" spans="1:49" ht="15" customHeight="1">
      <c r="A118" s="99"/>
      <c r="B118" s="19" t="s">
        <v>162</v>
      </c>
      <c r="C118" s="21"/>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7"/>
      <c r="AD118" s="36"/>
      <c r="AE118" s="36"/>
      <c r="AF118" s="752"/>
      <c r="AG118" s="36"/>
      <c r="AH118" s="191"/>
      <c r="AI118" s="36"/>
      <c r="AJ118" s="467"/>
      <c r="AK118" s="646"/>
      <c r="AL118" s="488"/>
      <c r="AM118" s="567"/>
    </row>
    <row r="119" spans="1:49" ht="15" customHeight="1">
      <c r="A119" s="99"/>
      <c r="B119" s="19" t="s">
        <v>1123</v>
      </c>
      <c r="C119" s="21"/>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7"/>
      <c r="AD119" s="36"/>
      <c r="AE119" s="36"/>
      <c r="AF119" s="752"/>
      <c r="AG119" s="65"/>
      <c r="AH119" s="191"/>
      <c r="AI119" s="36"/>
      <c r="AJ119" s="467"/>
      <c r="AK119" s="646"/>
      <c r="AL119" s="488"/>
      <c r="AM119" s="567"/>
    </row>
    <row r="120" spans="1:49" ht="15" customHeight="1">
      <c r="A120" s="99"/>
      <c r="B120" s="19" t="s">
        <v>1072</v>
      </c>
      <c r="C120" s="21"/>
      <c r="D120" s="603">
        <f>ROUND(SUM(D110+D116),1)</f>
        <v>915.7</v>
      </c>
      <c r="E120" s="42"/>
      <c r="F120" s="603">
        <f>ROUND(SUM(F110+F116),1)</f>
        <v>225.9</v>
      </c>
      <c r="G120" s="42"/>
      <c r="H120" s="603">
        <f>ROUND(SUM(H110+H116),1)</f>
        <v>822.8</v>
      </c>
      <c r="I120" s="42"/>
      <c r="J120" s="603">
        <f>ROUND(SUM(J110+J116),1)</f>
        <v>330.1</v>
      </c>
      <c r="K120" s="42"/>
      <c r="L120" s="603">
        <f>ROUND(SUM(L110+L116),1)</f>
        <v>-124.3</v>
      </c>
      <c r="M120" s="42"/>
      <c r="N120" s="603">
        <f>ROUND(SUM(N110+N116),1)</f>
        <v>-1906.8</v>
      </c>
      <c r="O120" s="42"/>
      <c r="P120" s="603">
        <f>ROUND(SUM(P110+P116),1)</f>
        <v>54.2</v>
      </c>
      <c r="Q120" s="42"/>
      <c r="R120" s="603">
        <f>ROUND(SUM(R110+R116),1)</f>
        <v>-166.3</v>
      </c>
      <c r="S120" s="42"/>
      <c r="T120" s="603">
        <f>ROUND(SUM(T110+T116),1)</f>
        <v>-305.89999999999998</v>
      </c>
      <c r="U120" s="42"/>
      <c r="V120" s="603">
        <f>ROUND(SUM(V110+V116),1)</f>
        <v>617.6</v>
      </c>
      <c r="W120" s="42"/>
      <c r="X120" s="603">
        <f>ROUND(SUM(X110+X116),1)</f>
        <v>160.80000000000001</v>
      </c>
      <c r="Y120" s="42"/>
      <c r="Z120" s="603">
        <f>ROUND(SUM(Z110+Z116),1)</f>
        <v>877.5</v>
      </c>
      <c r="AA120" s="42"/>
      <c r="AB120" s="1164"/>
      <c r="AC120" s="42"/>
      <c r="AD120" s="603">
        <f>ROUND(SUM(AD110+AD116),1)</f>
        <v>1501.3</v>
      </c>
      <c r="AE120" s="1772"/>
      <c r="AF120" s="42"/>
      <c r="AG120" s="603">
        <f>ROUND(SUM(AG110+AG116),1)</f>
        <v>1903.9</v>
      </c>
      <c r="AH120" s="191"/>
      <c r="AI120" s="42"/>
      <c r="AJ120" s="603">
        <f>ROUND(SUM(AJ110+AJ116),1)</f>
        <v>-402.6</v>
      </c>
      <c r="AK120" s="42"/>
      <c r="AL120" s="1163">
        <f>ROUND(IF(AG120=0,0,AJ120/ABS(AG120)),3)</f>
        <v>-0.21099999999999999</v>
      </c>
      <c r="AM120" s="567"/>
    </row>
    <row r="121" spans="1:49" ht="15" customHeight="1">
      <c r="A121" s="99"/>
      <c r="B121" s="19"/>
      <c r="C121" s="21"/>
      <c r="D121" s="39"/>
      <c r="E121" s="39"/>
      <c r="F121" s="39"/>
      <c r="G121" s="39"/>
      <c r="H121" s="39"/>
      <c r="I121" s="39"/>
      <c r="J121" s="39"/>
      <c r="K121" s="39"/>
      <c r="L121" s="39"/>
      <c r="M121" s="39"/>
      <c r="N121" s="39"/>
      <c r="O121" s="39"/>
      <c r="P121" s="39"/>
      <c r="Q121" s="39"/>
      <c r="R121" s="39"/>
      <c r="S121" s="39"/>
      <c r="T121" s="65"/>
      <c r="U121" s="39"/>
      <c r="V121" s="39"/>
      <c r="W121" s="39"/>
      <c r="X121" s="39"/>
      <c r="Y121" s="39"/>
      <c r="Z121" s="39"/>
      <c r="AA121" s="39"/>
      <c r="AB121" s="39"/>
      <c r="AC121" s="1238"/>
      <c r="AD121" s="39"/>
      <c r="AE121" s="39"/>
      <c r="AF121" s="1238"/>
      <c r="AG121" s="39"/>
      <c r="AH121" s="39"/>
      <c r="AI121" s="187"/>
      <c r="AJ121" s="646"/>
      <c r="AK121" s="646"/>
      <c r="AL121" s="488"/>
      <c r="AM121" s="567"/>
    </row>
    <row r="122" spans="1:49" ht="17.25" customHeight="1" thickBot="1">
      <c r="A122" s="99"/>
      <c r="B122" s="19" t="s">
        <v>1082</v>
      </c>
      <c r="C122" s="21"/>
      <c r="D122" s="181">
        <f>ROUND(SUM(+D120+D13),1)</f>
        <v>8528.2000000000007</v>
      </c>
      <c r="E122" s="39"/>
      <c r="F122" s="181">
        <f>ROUND(SUM(+F120+F13),1)</f>
        <v>8754.1</v>
      </c>
      <c r="G122" s="39"/>
      <c r="H122" s="181">
        <f>ROUND(SUM(+H120+H13),1)</f>
        <v>9576.9</v>
      </c>
      <c r="I122" s="39"/>
      <c r="J122" s="181">
        <f>ROUND(SUM(+J120+J13),1)</f>
        <v>9907</v>
      </c>
      <c r="K122" s="39"/>
      <c r="L122" s="181">
        <f>ROUND(SUM(+L120+L13),1)</f>
        <v>9782.7000000000007</v>
      </c>
      <c r="M122" s="39"/>
      <c r="N122" s="181">
        <f>ROUND(SUM(+N120+N13),1)</f>
        <v>7875.9</v>
      </c>
      <c r="O122" s="39"/>
      <c r="P122" s="181">
        <f>ROUND(SUM(+P120+P13),1)</f>
        <v>7930.1</v>
      </c>
      <c r="Q122" s="39"/>
      <c r="R122" s="181">
        <f>ROUND(SUM(+R120+R13),1)</f>
        <v>7763.8</v>
      </c>
      <c r="S122" s="39"/>
      <c r="T122" s="181">
        <f>ROUND(SUM(+T120+T13),1)</f>
        <v>7457.9</v>
      </c>
      <c r="U122" s="39"/>
      <c r="V122" s="181">
        <f>ROUND(SUM(+V120+V13),1)</f>
        <v>8075.5</v>
      </c>
      <c r="W122" s="39"/>
      <c r="X122" s="181">
        <f>ROUND(SUM(+X120+X13),1)</f>
        <v>8236.2999999999993</v>
      </c>
      <c r="Y122" s="39"/>
      <c r="Z122" s="181">
        <f>ROUND(SUM(+Z120+Z13),1)</f>
        <v>9113.7999999999993</v>
      </c>
      <c r="AA122" s="39"/>
      <c r="AB122" s="39"/>
      <c r="AC122" s="1238"/>
      <c r="AD122" s="181">
        <f>ROUND(SUM(+AD120+AD13),1)</f>
        <v>9113.7999999999993</v>
      </c>
      <c r="AE122" s="39"/>
      <c r="AF122" s="1238"/>
      <c r="AG122" s="181">
        <f>ROUND(SUM(+AG120+AG13),1)</f>
        <v>7612.5</v>
      </c>
      <c r="AH122" s="39"/>
      <c r="AI122" s="187"/>
      <c r="AJ122" s="181">
        <f>ROUND(SUM(+AJ120+AJ13),1)</f>
        <v>1501.3</v>
      </c>
      <c r="AK122" s="646"/>
      <c r="AL122" s="1161">
        <f>ROUND(IF(AG122=0,0,AJ122/ABS(AG122)),3)</f>
        <v>0.19700000000000001</v>
      </c>
      <c r="AM122" s="567"/>
    </row>
    <row r="123" spans="1:49" ht="15" customHeight="1" thickTop="1">
      <c r="A123" s="99"/>
      <c r="B123" s="19"/>
      <c r="C123" s="21"/>
      <c r="D123" s="39"/>
      <c r="E123" s="39"/>
      <c r="F123" s="39"/>
      <c r="G123" s="39"/>
      <c r="H123" s="39"/>
      <c r="I123" s="39"/>
      <c r="J123" s="39"/>
      <c r="K123" s="39"/>
      <c r="L123" s="39"/>
      <c r="M123" s="39"/>
      <c r="N123" s="39"/>
      <c r="O123" s="39"/>
      <c r="P123" s="65"/>
      <c r="Q123" s="39"/>
      <c r="R123" s="39"/>
      <c r="S123" s="39"/>
      <c r="T123" s="39"/>
      <c r="U123" s="39"/>
      <c r="V123" s="39"/>
      <c r="W123" s="39"/>
      <c r="X123" s="39"/>
      <c r="Y123" s="39"/>
      <c r="Z123" s="39"/>
      <c r="AA123" s="39"/>
      <c r="AB123" s="39"/>
      <c r="AC123" s="39"/>
      <c r="AD123" s="39"/>
      <c r="AE123" s="39"/>
      <c r="AF123" s="39"/>
      <c r="AG123" s="39"/>
      <c r="AH123" s="39"/>
      <c r="AI123" s="20"/>
      <c r="AJ123" s="646"/>
      <c r="AK123" s="646"/>
      <c r="AL123" s="488"/>
      <c r="AM123" s="567"/>
    </row>
    <row r="124" spans="1:49" ht="15" customHeight="1">
      <c r="B124" s="141"/>
      <c r="C124" s="20"/>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c r="AC124" s="185"/>
      <c r="AD124" s="185"/>
      <c r="AE124" s="185"/>
      <c r="AF124" s="185"/>
      <c r="AG124" s="716" t="s">
        <v>14</v>
      </c>
      <c r="AH124" s="185"/>
      <c r="AI124" s="185"/>
      <c r="AJ124" s="716"/>
      <c r="AK124" s="716"/>
      <c r="AL124" s="488"/>
      <c r="AM124" s="567"/>
      <c r="AN124" s="207"/>
      <c r="AO124" s="207"/>
      <c r="AP124" s="207"/>
      <c r="AQ124" s="207"/>
      <c r="AR124" s="207"/>
      <c r="AS124" s="207"/>
      <c r="AT124" s="207"/>
      <c r="AU124" s="207"/>
      <c r="AV124" s="207"/>
      <c r="AW124" s="207"/>
    </row>
    <row r="125" spans="1:49" ht="15" customHeight="1">
      <c r="B125" s="20"/>
      <c r="AL125" s="567"/>
      <c r="AM125" s="567"/>
    </row>
    <row r="126" spans="1:49" ht="15" customHeight="1">
      <c r="B126" s="20"/>
      <c r="AL126" s="567"/>
      <c r="AM126" s="567"/>
    </row>
    <row r="127" spans="1:49">
      <c r="AL127" s="567"/>
      <c r="AM127" s="567"/>
    </row>
    <row r="128" spans="1:49" ht="15" customHeight="1">
      <c r="AL128" s="567"/>
      <c r="AM128" s="567"/>
    </row>
    <row r="129" spans="4:39" ht="15" customHeight="1">
      <c r="D129" s="646"/>
      <c r="F129" s="646"/>
      <c r="H129" s="646"/>
      <c r="AJ129" s="1162"/>
      <c r="AL129" s="567"/>
      <c r="AM129" s="567"/>
    </row>
    <row r="130" spans="4:39" ht="15" customHeight="1">
      <c r="AL130" s="567"/>
      <c r="AM130" s="567"/>
    </row>
    <row r="131" spans="4:39" ht="15" customHeight="1">
      <c r="AL131" s="567"/>
      <c r="AM131" s="567"/>
    </row>
    <row r="132" spans="4:39" ht="15" customHeight="1">
      <c r="AL132" s="567"/>
      <c r="AM132" s="567"/>
    </row>
    <row r="133" spans="4:39" ht="15" customHeight="1">
      <c r="AL133" s="567"/>
      <c r="AM133" s="567"/>
    </row>
    <row r="134" spans="4:39" ht="15" customHeight="1">
      <c r="AL134" s="567"/>
      <c r="AM134" s="567"/>
    </row>
    <row r="135" spans="4:39" ht="15" customHeight="1">
      <c r="AL135" s="567"/>
      <c r="AM135" s="567"/>
    </row>
    <row r="136" spans="4:39" ht="15" customHeight="1">
      <c r="AL136" s="567"/>
      <c r="AM136" s="567"/>
    </row>
    <row r="137" spans="4:39" ht="15" customHeight="1">
      <c r="AL137" s="567"/>
      <c r="AM137" s="567"/>
    </row>
    <row r="138" spans="4:39" ht="15" customHeight="1">
      <c r="AL138" s="567"/>
      <c r="AM138" s="567"/>
    </row>
    <row r="139" spans="4:39" ht="15" customHeight="1">
      <c r="AL139" s="567"/>
      <c r="AM139" s="567"/>
    </row>
    <row r="140" spans="4:39" ht="15" customHeight="1">
      <c r="AL140" s="567"/>
      <c r="AM140" s="567"/>
    </row>
    <row r="141" spans="4:39" ht="15" customHeight="1">
      <c r="AL141" s="567"/>
      <c r="AM141" s="567"/>
    </row>
    <row r="142" spans="4:39" ht="15" customHeight="1">
      <c r="AL142" s="567"/>
      <c r="AM142" s="567"/>
    </row>
    <row r="143" spans="4:39" ht="15" customHeight="1">
      <c r="AL143" s="567"/>
      <c r="AM143" s="567"/>
    </row>
    <row r="144" spans="4:39" ht="15" customHeight="1">
      <c r="AL144" s="567"/>
      <c r="AM144" s="567"/>
    </row>
    <row r="145" spans="38:39" ht="15" customHeight="1">
      <c r="AL145" s="567"/>
      <c r="AM145" s="567"/>
    </row>
    <row r="146" spans="38:39" ht="15" customHeight="1">
      <c r="AL146" s="567"/>
      <c r="AM146" s="567"/>
    </row>
    <row r="147" spans="38:39" ht="15" customHeight="1">
      <c r="AL147" s="567"/>
      <c r="AM147" s="567"/>
    </row>
    <row r="148" spans="38:39" ht="15" customHeight="1">
      <c r="AL148" s="567"/>
      <c r="AM148" s="567"/>
    </row>
    <row r="149" spans="38:39" ht="15" customHeight="1">
      <c r="AL149" s="567"/>
      <c r="AM149" s="567"/>
    </row>
    <row r="150" spans="38:39" ht="15" customHeight="1">
      <c r="AL150" s="567"/>
      <c r="AM150" s="567"/>
    </row>
    <row r="151" spans="38:39" ht="15" customHeight="1">
      <c r="AL151" s="567"/>
      <c r="AM151" s="567"/>
    </row>
    <row r="152" spans="38:39" ht="15" customHeight="1">
      <c r="AL152" s="567"/>
      <c r="AM152" s="567"/>
    </row>
    <row r="153" spans="38:39" ht="15" customHeight="1">
      <c r="AL153" s="567"/>
      <c r="AM153" s="567"/>
    </row>
    <row r="154" spans="38:39" ht="15" customHeight="1">
      <c r="AL154" s="567"/>
      <c r="AM154" s="567"/>
    </row>
    <row r="155" spans="38:39" ht="15" customHeight="1">
      <c r="AL155" s="567"/>
      <c r="AM155" s="567"/>
    </row>
    <row r="156" spans="38:39" ht="11.25" customHeight="1">
      <c r="AL156" s="567"/>
      <c r="AM156" s="567"/>
    </row>
    <row r="157" spans="38:39" ht="15" customHeight="1">
      <c r="AL157" s="567"/>
      <c r="AM157" s="567"/>
    </row>
    <row r="158" spans="38:39" ht="15" customHeight="1">
      <c r="AL158" s="567"/>
      <c r="AM158" s="567"/>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rintOptions horizontalCentered="1"/>
  <pageMargins left="0.25" right="0.25" top="0.5" bottom="0.25" header="0" footer="0.25"/>
  <pageSetup scale="40" firstPageNumber="25" orientation="landscape" useFirstPageNumber="1" r:id="rId1"/>
  <headerFooter scaleWithDoc="0" alignWithMargins="0">
    <oddFooter>&amp;C&amp;8&amp;P</oddFooter>
  </headerFooter>
  <rowBreaks count="1" manualBreakCount="1">
    <brk id="87" min="1" max="37" man="1"/>
  </rowBreaks>
  <ignoredErrors>
    <ignoredError sqref="AL43 AL56 AL48 AL63 AL69 AL39:AL41 AL26 AL20 AL29:AL32 AL24 AL35:AL37" unlockedFormula="1"/>
    <ignoredError sqref="AL82" evalError="1"/>
    <ignoredError sqref="AL75:AL77 AL23 AL52 AJ73:AM73 AJ75:AK75 AM75 AJ74:AK74 AL74:AM74 AJ72:AK72 AM72 AL71 AL65 AL58 AL21" formula="1"/>
    <ignoredError sqref="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workbookViewId="0"/>
  </sheetViews>
  <sheetFormatPr defaultColWidth="8.84375" defaultRowHeight="12.5"/>
  <cols>
    <col min="1" max="1" width="1.84375" style="169" customWidth="1"/>
    <col min="2" max="2" width="44.84375" style="169" customWidth="1"/>
    <col min="3" max="3" width="1.84375" style="169" customWidth="1"/>
    <col min="4" max="4" width="15.07421875" style="169" bestFit="1" customWidth="1"/>
    <col min="5" max="5" width="1.84375" style="169" customWidth="1"/>
    <col min="6" max="6" width="12" style="169" customWidth="1"/>
    <col min="7" max="7" width="1.84375" style="169" customWidth="1"/>
    <col min="8" max="8" width="12.07421875" style="169" bestFit="1" customWidth="1"/>
    <col min="9" max="9" width="1.84375" style="169" customWidth="1"/>
    <col min="10" max="10" width="12.07421875" style="169" bestFit="1" customWidth="1"/>
    <col min="11" max="11" width="1.84375" style="169" customWidth="1"/>
    <col min="12" max="12" width="11.07421875" style="169" customWidth="1"/>
    <col min="13" max="13" width="1.84375" style="169" customWidth="1"/>
    <col min="14" max="14" width="12.07421875" style="169" customWidth="1"/>
    <col min="15" max="15" width="1.84375" style="169" customWidth="1"/>
    <col min="16" max="16" width="11" style="169" bestFit="1" customWidth="1"/>
    <col min="17" max="17" width="1.84375" style="169" customWidth="1"/>
    <col min="18" max="18" width="11.53515625" style="169" bestFit="1" customWidth="1"/>
    <col min="19" max="19" width="1.84375" style="169" customWidth="1"/>
    <col min="20" max="20" width="11.4609375" style="169" customWidth="1"/>
    <col min="21" max="21" width="1.84375" style="169" customWidth="1"/>
    <col min="22" max="22" width="11.07421875" style="169" customWidth="1"/>
    <col min="23" max="23" width="1.84375" style="169" customWidth="1"/>
    <col min="24" max="24" width="11.07421875" style="169" bestFit="1" customWidth="1"/>
    <col min="25" max="25" width="1.84375" style="169" customWidth="1"/>
    <col min="26" max="26" width="10.84375" style="169" bestFit="1" customWidth="1"/>
    <col min="27" max="27" width="1" style="169" customWidth="1"/>
    <col min="28" max="29" width="1.84375" style="169" customWidth="1"/>
    <col min="30" max="30" width="12.07421875" style="169" customWidth="1"/>
    <col min="31" max="32" width="1.07421875" style="169" customWidth="1"/>
    <col min="33" max="33" width="11.84375" style="169" customWidth="1"/>
    <col min="34" max="34" width="1.4609375" style="169" customWidth="1"/>
    <col min="35" max="35" width="0.84375" style="169" customWidth="1"/>
    <col min="36" max="36" width="13.07421875" style="169" bestFit="1" customWidth="1"/>
    <col min="37" max="37" width="0.84375" style="169" customWidth="1"/>
    <col min="38" max="38" width="13.84375" style="567" bestFit="1" customWidth="1"/>
    <col min="39" max="16384" width="8.84375" style="169"/>
  </cols>
  <sheetData>
    <row r="1" spans="1:41" ht="15.5">
      <c r="B1" s="468" t="s">
        <v>868</v>
      </c>
    </row>
    <row r="2" spans="1:41" ht="15.5">
      <c r="M2" s="19"/>
      <c r="N2" s="19"/>
      <c r="O2" s="183"/>
    </row>
    <row r="3" spans="1:41" ht="18">
      <c r="B3" s="171" t="s">
        <v>0</v>
      </c>
      <c r="M3" s="19"/>
      <c r="N3" s="19"/>
      <c r="O3" s="183"/>
      <c r="AF3" s="71"/>
      <c r="AG3" s="71"/>
      <c r="AH3" s="71"/>
      <c r="AI3" s="71"/>
      <c r="AJ3" s="71"/>
      <c r="AK3" s="71"/>
      <c r="AL3" s="172" t="s">
        <v>165</v>
      </c>
    </row>
    <row r="4" spans="1:41" ht="18">
      <c r="B4" s="171" t="s">
        <v>174</v>
      </c>
      <c r="L4" s="19"/>
      <c r="M4" s="19"/>
      <c r="O4" s="183"/>
    </row>
    <row r="5" spans="1:41" ht="18">
      <c r="B5" s="974" t="s">
        <v>145</v>
      </c>
      <c r="L5" s="183"/>
      <c r="M5" s="183"/>
      <c r="O5" s="183"/>
      <c r="X5" s="201"/>
    </row>
    <row r="6" spans="1:41" ht="20">
      <c r="B6" s="974" t="str">
        <f>'Cashflow Governmental'!A6</f>
        <v xml:space="preserve">FISCAL YEAR 2022-2023   </v>
      </c>
      <c r="L6" s="183"/>
      <c r="M6" s="183"/>
      <c r="O6" s="183"/>
      <c r="AL6" s="568"/>
    </row>
    <row r="7" spans="1:41" ht="18">
      <c r="B7" s="171" t="s">
        <v>1250</v>
      </c>
      <c r="AI7" s="99"/>
      <c r="AJ7" s="99"/>
      <c r="AK7" s="99"/>
      <c r="AL7" s="569"/>
    </row>
    <row r="8" spans="1:41" ht="13.5" customHeight="1">
      <c r="B8" s="208"/>
      <c r="AI8" s="99"/>
      <c r="AJ8" s="99"/>
      <c r="AK8" s="99"/>
      <c r="AL8" s="569"/>
    </row>
    <row r="9" spans="1:41" ht="15.5">
      <c r="L9" s="183"/>
      <c r="M9" s="183"/>
      <c r="N9" s="183"/>
      <c r="O9" s="183"/>
      <c r="AC9" s="2317" t="str">
        <f>'Exhibit G'!AC9:AL9</f>
        <v>12 Months Ended March 31</v>
      </c>
      <c r="AD9" s="2317"/>
      <c r="AE9" s="2317"/>
      <c r="AF9" s="2317"/>
      <c r="AG9" s="2317"/>
      <c r="AH9" s="2317"/>
      <c r="AI9" s="2317"/>
      <c r="AJ9" s="2317"/>
      <c r="AK9" s="2317"/>
      <c r="AL9" s="2317"/>
    </row>
    <row r="10" spans="1:41" ht="15.5">
      <c r="B10" s="20"/>
      <c r="C10" s="20"/>
      <c r="D10" s="537" t="str">
        <f>'Cashflow Governmental'!C13</f>
        <v>2022</v>
      </c>
      <c r="E10" s="19"/>
      <c r="F10" s="19"/>
      <c r="G10" s="19"/>
      <c r="H10" s="19"/>
      <c r="I10" s="19"/>
      <c r="J10" s="19"/>
      <c r="K10" s="19"/>
      <c r="L10" s="19"/>
      <c r="M10" s="19"/>
      <c r="N10" s="19"/>
      <c r="O10" s="19"/>
      <c r="P10" s="19"/>
      <c r="Q10" s="19"/>
      <c r="R10" s="19"/>
      <c r="S10" s="19"/>
      <c r="T10" s="19"/>
      <c r="U10" s="19"/>
      <c r="V10" s="537">
        <f>'Cashflow Governmental'!U13</f>
        <v>2023</v>
      </c>
      <c r="W10" s="19"/>
      <c r="X10" s="19"/>
      <c r="Y10" s="19"/>
      <c r="Z10" s="19"/>
      <c r="AA10" s="19"/>
      <c r="AB10" s="19"/>
      <c r="AC10" s="19"/>
      <c r="AD10" s="138"/>
      <c r="AE10" s="138"/>
      <c r="AF10" s="138"/>
      <c r="AG10" s="138"/>
      <c r="AH10" s="138"/>
      <c r="AI10" s="138"/>
      <c r="AJ10" s="545" t="s">
        <v>7</v>
      </c>
      <c r="AK10" s="545"/>
      <c r="AL10" s="570" t="s">
        <v>8</v>
      </c>
      <c r="AM10" s="548"/>
      <c r="AN10" s="548"/>
      <c r="AO10" s="548"/>
    </row>
    <row r="11" spans="1:41" ht="15.5">
      <c r="B11" s="20"/>
      <c r="C11" s="20"/>
      <c r="D11" s="132" t="s">
        <v>122</v>
      </c>
      <c r="E11" s="19"/>
      <c r="F11" s="132" t="s">
        <v>123</v>
      </c>
      <c r="G11" s="19"/>
      <c r="H11" s="132" t="s">
        <v>124</v>
      </c>
      <c r="I11" s="19"/>
      <c r="J11" s="132" t="s">
        <v>125</v>
      </c>
      <c r="K11" s="19"/>
      <c r="L11" s="132" t="s">
        <v>126</v>
      </c>
      <c r="M11" s="19"/>
      <c r="N11" s="132" t="s">
        <v>141</v>
      </c>
      <c r="O11" s="19"/>
      <c r="P11" s="132" t="s">
        <v>142</v>
      </c>
      <c r="Q11" s="19"/>
      <c r="R11" s="132" t="s">
        <v>129</v>
      </c>
      <c r="S11" s="19"/>
      <c r="T11" s="132" t="s">
        <v>130</v>
      </c>
      <c r="U11" s="19"/>
      <c r="V11" s="132" t="s">
        <v>131</v>
      </c>
      <c r="W11" s="19"/>
      <c r="X11" s="132" t="s">
        <v>132</v>
      </c>
      <c r="Y11" s="19"/>
      <c r="Z11" s="132" t="s">
        <v>182</v>
      </c>
      <c r="AA11" s="132"/>
      <c r="AB11" s="19"/>
      <c r="AC11" s="19"/>
      <c r="AD11" s="537">
        <f>'Cashflow Governmental'!AB14</f>
        <v>2023</v>
      </c>
      <c r="AE11" s="537"/>
      <c r="AF11" s="19" t="s">
        <v>14</v>
      </c>
      <c r="AG11" s="537">
        <f>'Cashflow Governmental'!AE14</f>
        <v>2022</v>
      </c>
      <c r="AH11" s="537"/>
      <c r="AI11" s="138"/>
      <c r="AJ11" s="549" t="s">
        <v>11</v>
      </c>
      <c r="AK11" s="545"/>
      <c r="AL11" s="571" t="s">
        <v>12</v>
      </c>
      <c r="AM11" s="548"/>
      <c r="AN11" s="548"/>
      <c r="AO11" s="548"/>
    </row>
    <row r="12" spans="1:41" ht="6.75" customHeight="1">
      <c r="B12" s="20"/>
      <c r="C12" s="20"/>
      <c r="D12" s="29"/>
      <c r="E12" s="20"/>
      <c r="F12" s="29"/>
      <c r="G12" s="20"/>
      <c r="H12" s="29"/>
      <c r="I12" s="20"/>
      <c r="J12" s="29"/>
      <c r="K12" s="20"/>
      <c r="L12" s="29"/>
      <c r="M12" s="20"/>
      <c r="N12" s="29"/>
      <c r="O12" s="20"/>
      <c r="P12" s="29"/>
      <c r="Q12" s="20"/>
      <c r="R12" s="29"/>
      <c r="S12" s="20"/>
      <c r="T12" s="29"/>
      <c r="U12" s="20"/>
      <c r="V12" s="29"/>
      <c r="W12" s="20"/>
      <c r="X12" s="29"/>
      <c r="Y12" s="20"/>
      <c r="Z12" s="29"/>
      <c r="AA12" s="20"/>
      <c r="AB12" s="20"/>
      <c r="AC12" s="746"/>
      <c r="AD12" s="29"/>
      <c r="AE12" s="29"/>
      <c r="AF12" s="746"/>
      <c r="AG12" s="29"/>
      <c r="AH12" s="20"/>
      <c r="AI12" s="187"/>
      <c r="AJ12" s="20"/>
      <c r="AK12" s="20"/>
      <c r="AL12" s="182"/>
    </row>
    <row r="13" spans="1:41" ht="15.5">
      <c r="B13" s="19" t="s">
        <v>1146</v>
      </c>
      <c r="C13" s="20"/>
      <c r="D13" s="216">
        <v>14325.7</v>
      </c>
      <c r="E13" s="20"/>
      <c r="F13" s="65">
        <f>D94</f>
        <v>14277.5</v>
      </c>
      <c r="G13" s="20"/>
      <c r="H13" s="65">
        <f>F94</f>
        <v>15277.9</v>
      </c>
      <c r="I13" s="20"/>
      <c r="J13" s="65">
        <f>H94</f>
        <v>16109.4</v>
      </c>
      <c r="K13" s="20"/>
      <c r="L13" s="65">
        <f>J94</f>
        <v>14955.2</v>
      </c>
      <c r="M13" s="20"/>
      <c r="N13" s="65">
        <f>L94</f>
        <v>14477.9</v>
      </c>
      <c r="O13" s="20"/>
      <c r="P13" s="65">
        <f>N94</f>
        <v>17438.5</v>
      </c>
      <c r="Q13" s="20"/>
      <c r="R13" s="65">
        <f>P94</f>
        <v>16540.900000000001</v>
      </c>
      <c r="S13" s="65"/>
      <c r="T13" s="65">
        <f t="shared" ref="T13" si="0">R94</f>
        <v>14957.9</v>
      </c>
      <c r="U13" s="65"/>
      <c r="V13" s="65">
        <f t="shared" ref="V13" si="1">T94</f>
        <v>15659.4</v>
      </c>
      <c r="W13" s="65"/>
      <c r="X13" s="65">
        <f t="shared" ref="X13" si="2">V94</f>
        <v>17332.400000000001</v>
      </c>
      <c r="Y13" s="65"/>
      <c r="Z13" s="65">
        <f t="shared" ref="Z13" si="3">X94</f>
        <v>17319.3</v>
      </c>
      <c r="AA13" s="20"/>
      <c r="AB13" s="20"/>
      <c r="AC13" s="746"/>
      <c r="AD13" s="65">
        <f>D13</f>
        <v>14325.7</v>
      </c>
      <c r="AE13" s="20"/>
      <c r="AF13" s="746"/>
      <c r="AG13" s="65">
        <v>4960.7</v>
      </c>
      <c r="AH13" s="20"/>
      <c r="AI13" s="187"/>
      <c r="AJ13" s="65">
        <f>+AD13-AG13</f>
        <v>9365</v>
      </c>
      <c r="AK13" s="20"/>
      <c r="AL13" s="189">
        <f>AJ13/AG13</f>
        <v>1.8878384099018284</v>
      </c>
    </row>
    <row r="14" spans="1:41" ht="15.5">
      <c r="B14" s="19"/>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1165"/>
      <c r="AC14" s="20"/>
      <c r="AD14" s="20"/>
      <c r="AE14" s="20"/>
      <c r="AF14" s="746"/>
      <c r="AG14" s="20"/>
      <c r="AH14" s="190"/>
      <c r="AI14" s="20"/>
      <c r="AJ14" s="20"/>
      <c r="AK14" s="20"/>
      <c r="AL14" s="182"/>
    </row>
    <row r="15" spans="1:41" ht="15" customHeight="1">
      <c r="A15" s="99"/>
      <c r="B15" s="19" t="s">
        <v>13</v>
      </c>
      <c r="C15" s="21"/>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140"/>
      <c r="AD15" s="20"/>
      <c r="AE15" s="20"/>
      <c r="AF15" s="203"/>
      <c r="AG15" s="20"/>
      <c r="AH15" s="205"/>
      <c r="AI15" s="20"/>
      <c r="AJ15" s="204"/>
      <c r="AK15" s="204"/>
      <c r="AL15" s="209"/>
    </row>
    <row r="16" spans="1:41" ht="7.5" customHeight="1">
      <c r="A16" s="99"/>
      <c r="B16" s="21"/>
      <c r="C16" s="21"/>
      <c r="D16" s="115"/>
      <c r="E16" s="39"/>
      <c r="F16" s="115"/>
      <c r="G16" s="39"/>
      <c r="H16" s="115"/>
      <c r="I16" s="39"/>
      <c r="J16" s="115"/>
      <c r="K16" s="39"/>
      <c r="L16" s="115"/>
      <c r="M16" s="39"/>
      <c r="N16" s="115"/>
      <c r="O16" s="39"/>
      <c r="P16" s="115"/>
      <c r="Q16" s="39"/>
      <c r="R16" s="115"/>
      <c r="S16" s="39"/>
      <c r="T16" s="115"/>
      <c r="U16" s="39"/>
      <c r="V16" s="115"/>
      <c r="W16" s="36"/>
      <c r="X16" s="115"/>
      <c r="Y16" s="36"/>
      <c r="Z16" s="115"/>
      <c r="AA16" s="115"/>
      <c r="AB16" s="39"/>
      <c r="AC16" s="174"/>
      <c r="AD16" s="36"/>
      <c r="AE16" s="1777"/>
      <c r="AF16" s="1780"/>
      <c r="AG16" s="115"/>
      <c r="AH16" s="205"/>
      <c r="AI16" s="20"/>
      <c r="AJ16" s="467"/>
      <c r="AK16" s="467"/>
      <c r="AL16" s="663"/>
    </row>
    <row r="17" spans="1:39" ht="15" customHeight="1">
      <c r="A17" s="99"/>
      <c r="B17" s="117" t="s">
        <v>916</v>
      </c>
      <c r="C17" s="21"/>
      <c r="D17" s="46"/>
      <c r="E17" s="39"/>
      <c r="F17" s="115"/>
      <c r="G17" s="39"/>
      <c r="H17" s="39"/>
      <c r="I17" s="39"/>
      <c r="J17" s="39"/>
      <c r="K17" s="39"/>
      <c r="L17" s="39"/>
      <c r="M17" s="39"/>
      <c r="N17" s="39"/>
      <c r="O17" s="39"/>
      <c r="P17" s="141"/>
      <c r="Q17" s="39"/>
      <c r="R17" s="114"/>
      <c r="S17" s="39"/>
      <c r="T17" s="115"/>
      <c r="U17" s="39"/>
      <c r="V17" s="46"/>
      <c r="W17" s="36"/>
      <c r="X17" s="46"/>
      <c r="Y17" s="36"/>
      <c r="Z17" s="46"/>
      <c r="AA17" s="46"/>
      <c r="AB17" s="39"/>
      <c r="AC17" s="174"/>
      <c r="AD17" s="36"/>
      <c r="AE17" s="36"/>
      <c r="AF17" s="752"/>
      <c r="AG17" s="36"/>
      <c r="AH17" s="191"/>
      <c r="AI17" s="36"/>
      <c r="AJ17" s="467"/>
      <c r="AK17" s="467"/>
      <c r="AL17" s="488"/>
    </row>
    <row r="18" spans="1:39" ht="15" customHeight="1">
      <c r="A18" s="99"/>
      <c r="B18" s="597" t="s">
        <v>1031</v>
      </c>
      <c r="C18" s="21"/>
      <c r="D18" s="493" t="s">
        <v>14</v>
      </c>
      <c r="E18" s="39"/>
      <c r="F18" s="115"/>
      <c r="G18" s="39"/>
      <c r="H18" s="39"/>
      <c r="I18" s="39"/>
      <c r="J18" s="39"/>
      <c r="K18" s="39"/>
      <c r="L18" s="39"/>
      <c r="M18" s="39"/>
      <c r="N18" s="39"/>
      <c r="O18" s="39"/>
      <c r="P18" s="141"/>
      <c r="Q18" s="39"/>
      <c r="R18" s="114"/>
      <c r="S18" s="39"/>
      <c r="T18" s="115"/>
      <c r="U18" s="39"/>
      <c r="V18" s="46"/>
      <c r="W18" s="36"/>
      <c r="X18" s="46"/>
      <c r="Y18" s="36"/>
      <c r="Z18" s="46"/>
      <c r="AA18" s="46"/>
      <c r="AB18" s="39"/>
      <c r="AC18" s="174"/>
      <c r="AD18" s="36"/>
      <c r="AE18" s="36"/>
      <c r="AF18" s="752"/>
      <c r="AG18" s="36"/>
      <c r="AH18" s="191"/>
      <c r="AI18" s="36"/>
      <c r="AJ18" s="467"/>
      <c r="AK18" s="467"/>
      <c r="AL18" s="488"/>
    </row>
    <row r="19" spans="1:39" ht="15" customHeight="1">
      <c r="A19" s="99"/>
      <c r="B19" s="597" t="s">
        <v>948</v>
      </c>
      <c r="C19" s="21"/>
      <c r="D19" s="493">
        <v>0</v>
      </c>
      <c r="E19" s="479"/>
      <c r="F19" s="493">
        <v>0</v>
      </c>
      <c r="G19" s="467"/>
      <c r="H19" s="493">
        <v>0</v>
      </c>
      <c r="I19" s="467"/>
      <c r="J19" s="493">
        <v>0</v>
      </c>
      <c r="K19" s="1011"/>
      <c r="L19" s="493">
        <v>0</v>
      </c>
      <c r="M19" s="1011"/>
      <c r="N19" s="493">
        <v>0</v>
      </c>
      <c r="O19" s="1131"/>
      <c r="P19" s="493">
        <v>0</v>
      </c>
      <c r="Q19" s="1131"/>
      <c r="R19" s="493">
        <v>0</v>
      </c>
      <c r="S19" s="493"/>
      <c r="T19" s="493">
        <v>0</v>
      </c>
      <c r="U19" s="493"/>
      <c r="V19" s="493">
        <v>0</v>
      </c>
      <c r="W19" s="1131"/>
      <c r="X19" s="493">
        <v>0</v>
      </c>
      <c r="Y19" s="493"/>
      <c r="Z19" s="493">
        <f>$AD19-$D19-$F19-$H19-$J19-$L19-$N19-$P19-$R19-$T19-$V19-$X19</f>
        <v>0</v>
      </c>
      <c r="AA19" s="685"/>
      <c r="AB19" s="472"/>
      <c r="AC19" s="1245"/>
      <c r="AD19" s="919">
        <v>0</v>
      </c>
      <c r="AE19" s="467"/>
      <c r="AF19" s="940"/>
      <c r="AG19" s="919">
        <v>0</v>
      </c>
      <c r="AH19" s="930"/>
      <c r="AI19" s="467"/>
      <c r="AJ19" s="467">
        <f>ROUND(SUM(+AD19-AG19),1)</f>
        <v>0</v>
      </c>
      <c r="AK19" s="467"/>
      <c r="AL19" s="469">
        <f>ROUND(IF(AG19=0,0,AJ19/ABS(AG19)),3)</f>
        <v>0</v>
      </c>
    </row>
    <row r="20" spans="1:39" ht="15" customHeight="1">
      <c r="A20" s="99"/>
      <c r="B20" s="597" t="s">
        <v>1032</v>
      </c>
      <c r="C20" s="21"/>
      <c r="D20" s="493" t="s">
        <v>14</v>
      </c>
      <c r="E20" s="472"/>
      <c r="F20" s="493"/>
      <c r="G20" s="472"/>
      <c r="H20" s="493"/>
      <c r="I20" s="472"/>
      <c r="J20" s="493"/>
      <c r="K20" s="39"/>
      <c r="L20" s="493"/>
      <c r="M20" s="39"/>
      <c r="N20" s="493"/>
      <c r="O20" s="39"/>
      <c r="P20" s="493" t="s">
        <v>14</v>
      </c>
      <c r="Q20" s="39"/>
      <c r="R20" s="493" t="s">
        <v>14</v>
      </c>
      <c r="S20" s="39"/>
      <c r="T20" s="493"/>
      <c r="U20" s="39"/>
      <c r="V20" s="493"/>
      <c r="W20" s="36"/>
      <c r="X20" s="493"/>
      <c r="Y20" s="36"/>
      <c r="Z20" s="493"/>
      <c r="AA20" s="46"/>
      <c r="AB20" s="39"/>
      <c r="AC20" s="174"/>
      <c r="AD20" s="36"/>
      <c r="AE20" s="36"/>
      <c r="AF20" s="752"/>
      <c r="AG20" s="36"/>
      <c r="AH20" s="191"/>
      <c r="AI20" s="36"/>
      <c r="AJ20" s="467"/>
      <c r="AK20" s="467"/>
      <c r="AL20" s="488"/>
    </row>
    <row r="21" spans="1:39" ht="15" customHeight="1">
      <c r="A21" s="99"/>
      <c r="B21" s="597" t="s">
        <v>950</v>
      </c>
      <c r="C21" s="21"/>
      <c r="D21" s="493">
        <v>5.3000000000000007</v>
      </c>
      <c r="E21" s="472"/>
      <c r="F21" s="493">
        <v>40.799999999999997</v>
      </c>
      <c r="G21" s="472"/>
      <c r="H21" s="493">
        <v>0.10000000000000497</v>
      </c>
      <c r="I21" s="472"/>
      <c r="J21" s="493">
        <v>2.5999999999999908</v>
      </c>
      <c r="K21" s="1011"/>
      <c r="L21" s="493">
        <v>11.600000000000005</v>
      </c>
      <c r="M21" s="1011"/>
      <c r="N21" s="493">
        <v>0.10000000000000497</v>
      </c>
      <c r="O21" s="1011"/>
      <c r="P21" s="493">
        <v>2</v>
      </c>
      <c r="Q21" s="1011"/>
      <c r="R21" s="493">
        <v>8</v>
      </c>
      <c r="S21" s="1011"/>
      <c r="T21" s="493">
        <v>9.9999999999994316E-2</v>
      </c>
      <c r="U21" s="1011"/>
      <c r="V21" s="493">
        <v>1.5</v>
      </c>
      <c r="W21" s="1011"/>
      <c r="X21" s="493">
        <v>6</v>
      </c>
      <c r="Y21" s="1011"/>
      <c r="Z21" s="493">
        <f t="shared" ref="Z21:Z51" si="4">$AD21-$D21-$F21-$H21-$J21-$L21-$N21-$P21-$R21-$T21-$V21-$X21</f>
        <v>0.10000000000000497</v>
      </c>
      <c r="AA21" s="496"/>
      <c r="AB21" s="467"/>
      <c r="AC21" s="939"/>
      <c r="AD21" s="919">
        <v>78.2</v>
      </c>
      <c r="AE21" s="467"/>
      <c r="AF21" s="940"/>
      <c r="AG21" s="919">
        <v>72</v>
      </c>
      <c r="AH21" s="191"/>
      <c r="AI21" s="36"/>
      <c r="AJ21" s="467">
        <f>ROUND(SUM(+AD21-AG21),1)</f>
        <v>6.2</v>
      </c>
      <c r="AK21" s="467"/>
      <c r="AL21" s="469">
        <f>ROUND(IF(AG21=0,0,AJ21/ABS(AG21)),3)</f>
        <v>8.5999999999999993E-2</v>
      </c>
      <c r="AM21" s="1139"/>
    </row>
    <row r="22" spans="1:39" ht="15" customHeight="1">
      <c r="A22" s="99"/>
      <c r="B22" s="597" t="s">
        <v>951</v>
      </c>
      <c r="C22" s="21"/>
      <c r="D22" s="493">
        <v>0</v>
      </c>
      <c r="E22" s="472"/>
      <c r="F22" s="493">
        <v>0</v>
      </c>
      <c r="G22" s="472"/>
      <c r="H22" s="493">
        <v>0</v>
      </c>
      <c r="I22" s="472"/>
      <c r="J22" s="493">
        <v>0</v>
      </c>
      <c r="K22" s="1011"/>
      <c r="L22" s="493">
        <v>0</v>
      </c>
      <c r="M22" s="1011"/>
      <c r="N22" s="493">
        <v>0</v>
      </c>
      <c r="O22" s="1011"/>
      <c r="P22" s="493">
        <v>0</v>
      </c>
      <c r="Q22" s="1011"/>
      <c r="R22" s="493">
        <v>0</v>
      </c>
      <c r="S22" s="1011"/>
      <c r="T22" s="493">
        <v>0</v>
      </c>
      <c r="U22" s="1011"/>
      <c r="V22" s="493">
        <v>0</v>
      </c>
      <c r="W22" s="1011"/>
      <c r="X22" s="493">
        <v>0</v>
      </c>
      <c r="Y22" s="1011"/>
      <c r="Z22" s="493">
        <f t="shared" si="4"/>
        <v>0</v>
      </c>
      <c r="AA22" s="496"/>
      <c r="AB22" s="467"/>
      <c r="AC22" s="939"/>
      <c r="AD22" s="919">
        <v>0</v>
      </c>
      <c r="AE22" s="467"/>
      <c r="AF22" s="940"/>
      <c r="AG22" s="919">
        <v>0</v>
      </c>
      <c r="AH22" s="191"/>
      <c r="AI22" s="36"/>
      <c r="AJ22" s="467">
        <f t="shared" ref="AJ22:AJ51" si="5">ROUND(SUM(+AD22-AG22),1)</f>
        <v>0</v>
      </c>
      <c r="AK22" s="467"/>
      <c r="AL22" s="469">
        <f>ROUND(IF(AG22=0,0,AJ22/ABS(AG22)),3)</f>
        <v>0</v>
      </c>
    </row>
    <row r="23" spans="1:39" ht="15" customHeight="1">
      <c r="A23" s="99"/>
      <c r="B23" s="597" t="s">
        <v>952</v>
      </c>
      <c r="C23" s="21"/>
      <c r="D23" s="493">
        <v>0</v>
      </c>
      <c r="E23" s="472"/>
      <c r="F23" s="493">
        <v>0</v>
      </c>
      <c r="G23" s="472"/>
      <c r="H23" s="493">
        <v>0</v>
      </c>
      <c r="I23" s="472"/>
      <c r="J23" s="493">
        <v>0</v>
      </c>
      <c r="K23" s="1011"/>
      <c r="L23" s="493">
        <v>0</v>
      </c>
      <c r="M23" s="1011"/>
      <c r="N23" s="493">
        <v>0</v>
      </c>
      <c r="O23" s="1011"/>
      <c r="P23" s="493">
        <v>0</v>
      </c>
      <c r="Q23" s="1011"/>
      <c r="R23" s="493">
        <v>0</v>
      </c>
      <c r="S23" s="1011"/>
      <c r="T23" s="493">
        <v>0</v>
      </c>
      <c r="U23" s="1011"/>
      <c r="V23" s="493">
        <v>0</v>
      </c>
      <c r="W23" s="1011"/>
      <c r="X23" s="493">
        <v>0</v>
      </c>
      <c r="Y23" s="1011"/>
      <c r="Z23" s="493">
        <f t="shared" si="4"/>
        <v>0</v>
      </c>
      <c r="AA23" s="496"/>
      <c r="AB23" s="467"/>
      <c r="AC23" s="939"/>
      <c r="AD23" s="919">
        <v>0</v>
      </c>
      <c r="AE23" s="467"/>
      <c r="AF23" s="940"/>
      <c r="AG23" s="919">
        <v>0</v>
      </c>
      <c r="AH23" s="191"/>
      <c r="AI23" s="36"/>
      <c r="AJ23" s="467">
        <f t="shared" si="5"/>
        <v>0</v>
      </c>
      <c r="AK23" s="467"/>
      <c r="AL23" s="469">
        <f>ROUND(IF(AG23=0,0,AJ23/ABS(AG23)),3)</f>
        <v>0</v>
      </c>
    </row>
    <row r="24" spans="1:39" ht="15" customHeight="1">
      <c r="A24" s="99"/>
      <c r="B24" s="597" t="s">
        <v>953</v>
      </c>
      <c r="C24" s="21"/>
      <c r="D24" s="493">
        <v>0</v>
      </c>
      <c r="E24" s="472"/>
      <c r="F24" s="493">
        <v>0</v>
      </c>
      <c r="G24" s="472"/>
      <c r="H24" s="493">
        <v>0</v>
      </c>
      <c r="I24" s="472"/>
      <c r="J24" s="493">
        <v>0</v>
      </c>
      <c r="K24" s="1011"/>
      <c r="L24" s="493">
        <v>0</v>
      </c>
      <c r="M24" s="1011"/>
      <c r="N24" s="493">
        <v>0</v>
      </c>
      <c r="O24" s="1011"/>
      <c r="P24" s="493">
        <v>0</v>
      </c>
      <c r="Q24" s="1011"/>
      <c r="R24" s="493">
        <v>0</v>
      </c>
      <c r="S24" s="1011"/>
      <c r="T24" s="493">
        <v>0</v>
      </c>
      <c r="U24" s="1011"/>
      <c r="V24" s="493">
        <v>0</v>
      </c>
      <c r="W24" s="1011"/>
      <c r="X24" s="493">
        <v>0</v>
      </c>
      <c r="Y24" s="1011"/>
      <c r="Z24" s="493">
        <f t="shared" si="4"/>
        <v>0</v>
      </c>
      <c r="AA24" s="496"/>
      <c r="AB24" s="467"/>
      <c r="AC24" s="939"/>
      <c r="AD24" s="919">
        <v>0</v>
      </c>
      <c r="AE24" s="467"/>
      <c r="AF24" s="940"/>
      <c r="AG24" s="919">
        <v>0</v>
      </c>
      <c r="AH24" s="191"/>
      <c r="AI24" s="36"/>
      <c r="AJ24" s="467">
        <f t="shared" si="5"/>
        <v>0</v>
      </c>
      <c r="AK24" s="467"/>
      <c r="AL24" s="469">
        <f>ROUND(IF(AG24=0,0,AJ24/ABS(AG24)),3)</f>
        <v>0</v>
      </c>
    </row>
    <row r="25" spans="1:39" ht="15" customHeight="1">
      <c r="A25" s="99"/>
      <c r="B25" s="597" t="s">
        <v>1036</v>
      </c>
      <c r="C25" s="21"/>
      <c r="D25" s="493" t="s">
        <v>14</v>
      </c>
      <c r="E25" s="472"/>
      <c r="F25" s="493"/>
      <c r="G25" s="472"/>
      <c r="H25" s="493"/>
      <c r="I25" s="472"/>
      <c r="J25" s="493"/>
      <c r="K25" s="39"/>
      <c r="L25" s="493"/>
      <c r="M25" s="39"/>
      <c r="N25" s="493" t="s">
        <v>14</v>
      </c>
      <c r="O25" s="39"/>
      <c r="P25" s="493" t="s">
        <v>14</v>
      </c>
      <c r="Q25" s="39"/>
      <c r="R25" s="493" t="s">
        <v>14</v>
      </c>
      <c r="S25" s="39"/>
      <c r="T25" s="493"/>
      <c r="U25" s="39"/>
      <c r="V25" s="493"/>
      <c r="W25" s="36"/>
      <c r="X25" s="493"/>
      <c r="Y25" s="36"/>
      <c r="Z25" s="493"/>
      <c r="AA25" s="46"/>
      <c r="AB25" s="39"/>
      <c r="AC25" s="174"/>
      <c r="AD25" s="36"/>
      <c r="AE25" s="36"/>
      <c r="AF25" s="752"/>
      <c r="AG25" s="36"/>
      <c r="AH25" s="191"/>
      <c r="AI25" s="36"/>
      <c r="AJ25" s="467"/>
      <c r="AK25" s="467"/>
      <c r="AL25" s="469"/>
    </row>
    <row r="26" spans="1:39" ht="15" customHeight="1">
      <c r="A26" s="99"/>
      <c r="B26" s="597" t="s">
        <v>954</v>
      </c>
      <c r="C26" s="21"/>
      <c r="D26" s="493">
        <v>0</v>
      </c>
      <c r="E26" s="472"/>
      <c r="F26" s="493">
        <v>0</v>
      </c>
      <c r="G26" s="472"/>
      <c r="H26" s="493">
        <v>0</v>
      </c>
      <c r="I26" s="472"/>
      <c r="J26" s="493">
        <v>0</v>
      </c>
      <c r="K26" s="1011"/>
      <c r="L26" s="493">
        <v>0</v>
      </c>
      <c r="M26" s="1011"/>
      <c r="N26" s="493">
        <v>0</v>
      </c>
      <c r="O26" s="1011"/>
      <c r="P26" s="493">
        <v>0</v>
      </c>
      <c r="Q26" s="1011"/>
      <c r="R26" s="493">
        <v>0</v>
      </c>
      <c r="S26" s="1011"/>
      <c r="T26" s="493">
        <v>0</v>
      </c>
      <c r="U26" s="1011"/>
      <c r="V26" s="493">
        <v>0</v>
      </c>
      <c r="W26" s="1011"/>
      <c r="X26" s="493">
        <v>0</v>
      </c>
      <c r="Y26" s="1011"/>
      <c r="Z26" s="493">
        <f t="shared" si="4"/>
        <v>0</v>
      </c>
      <c r="AA26" s="496"/>
      <c r="AB26" s="467"/>
      <c r="AC26" s="939"/>
      <c r="AD26" s="919">
        <v>0</v>
      </c>
      <c r="AE26" s="467"/>
      <c r="AF26" s="940"/>
      <c r="AG26" s="919">
        <v>0</v>
      </c>
      <c r="AH26" s="191"/>
      <c r="AI26" s="36"/>
      <c r="AJ26" s="467">
        <f t="shared" si="5"/>
        <v>0</v>
      </c>
      <c r="AK26" s="467"/>
      <c r="AL26" s="469">
        <f t="shared" ref="AL26:AL31" si="6">ROUND(IF(AG26=0,0,AJ26/ABS(AG26)),3)</f>
        <v>0</v>
      </c>
    </row>
    <row r="27" spans="1:39" ht="15" customHeight="1">
      <c r="A27" s="99"/>
      <c r="B27" s="597" t="s">
        <v>955</v>
      </c>
      <c r="C27" s="21"/>
      <c r="D27" s="493">
        <v>0</v>
      </c>
      <c r="E27" s="472"/>
      <c r="F27" s="493">
        <v>0</v>
      </c>
      <c r="G27" s="472"/>
      <c r="H27" s="493">
        <v>0</v>
      </c>
      <c r="I27" s="472"/>
      <c r="J27" s="493">
        <v>0</v>
      </c>
      <c r="K27" s="1011"/>
      <c r="L27" s="493">
        <v>0</v>
      </c>
      <c r="M27" s="1011"/>
      <c r="N27" s="493">
        <v>0</v>
      </c>
      <c r="O27" s="1011"/>
      <c r="P27" s="493">
        <v>0</v>
      </c>
      <c r="Q27" s="1011"/>
      <c r="R27" s="493">
        <v>0</v>
      </c>
      <c r="S27" s="1011"/>
      <c r="T27" s="493">
        <v>0</v>
      </c>
      <c r="U27" s="1011"/>
      <c r="V27" s="493">
        <v>0</v>
      </c>
      <c r="W27" s="1011"/>
      <c r="X27" s="493">
        <v>0</v>
      </c>
      <c r="Y27" s="1011"/>
      <c r="Z27" s="493">
        <f t="shared" si="4"/>
        <v>0</v>
      </c>
      <c r="AA27" s="496"/>
      <c r="AB27" s="467"/>
      <c r="AC27" s="939"/>
      <c r="AD27" s="919">
        <v>0</v>
      </c>
      <c r="AE27" s="467"/>
      <c r="AF27" s="940"/>
      <c r="AG27" s="919">
        <v>0</v>
      </c>
      <c r="AH27" s="191"/>
      <c r="AI27" s="36"/>
      <c r="AJ27" s="467">
        <f t="shared" si="5"/>
        <v>0</v>
      </c>
      <c r="AK27" s="467"/>
      <c r="AL27" s="469">
        <f t="shared" si="6"/>
        <v>0</v>
      </c>
    </row>
    <row r="28" spans="1:39" ht="15" customHeight="1">
      <c r="A28" s="99"/>
      <c r="B28" s="597" t="s">
        <v>956</v>
      </c>
      <c r="C28" s="21"/>
      <c r="D28" s="493">
        <v>0</v>
      </c>
      <c r="E28" s="472"/>
      <c r="F28" s="493">
        <v>0</v>
      </c>
      <c r="G28" s="472"/>
      <c r="H28" s="493">
        <v>0</v>
      </c>
      <c r="I28" s="472"/>
      <c r="J28" s="493">
        <v>0</v>
      </c>
      <c r="K28" s="1011"/>
      <c r="L28" s="493">
        <v>0</v>
      </c>
      <c r="M28" s="1011"/>
      <c r="N28" s="493">
        <v>0</v>
      </c>
      <c r="O28" s="1011"/>
      <c r="P28" s="493">
        <v>0</v>
      </c>
      <c r="Q28" s="1011"/>
      <c r="R28" s="493">
        <v>0</v>
      </c>
      <c r="S28" s="1011"/>
      <c r="T28" s="493">
        <v>0</v>
      </c>
      <c r="U28" s="1011"/>
      <c r="V28" s="493">
        <v>0</v>
      </c>
      <c r="W28" s="1011"/>
      <c r="X28" s="493">
        <v>0</v>
      </c>
      <c r="Y28" s="1011"/>
      <c r="Z28" s="493">
        <f t="shared" si="4"/>
        <v>0</v>
      </c>
      <c r="AA28" s="496"/>
      <c r="AB28" s="467"/>
      <c r="AC28" s="939"/>
      <c r="AD28" s="919">
        <v>0</v>
      </c>
      <c r="AE28" s="467"/>
      <c r="AF28" s="940"/>
      <c r="AG28" s="919">
        <v>0</v>
      </c>
      <c r="AH28" s="191"/>
      <c r="AI28" s="36"/>
      <c r="AJ28" s="467">
        <f t="shared" si="5"/>
        <v>0</v>
      </c>
      <c r="AK28" s="467"/>
      <c r="AL28" s="469">
        <f t="shared" si="6"/>
        <v>0</v>
      </c>
    </row>
    <row r="29" spans="1:39" ht="15" customHeight="1">
      <c r="A29" s="99"/>
      <c r="B29" s="597" t="s">
        <v>957</v>
      </c>
      <c r="C29" s="21"/>
      <c r="D29" s="493">
        <v>0</v>
      </c>
      <c r="E29" s="472"/>
      <c r="F29" s="493">
        <v>0</v>
      </c>
      <c r="G29" s="472"/>
      <c r="H29" s="493">
        <v>0</v>
      </c>
      <c r="I29" s="472"/>
      <c r="J29" s="493">
        <v>0</v>
      </c>
      <c r="K29" s="1011"/>
      <c r="L29" s="493">
        <v>0</v>
      </c>
      <c r="M29" s="1011"/>
      <c r="N29" s="493">
        <v>0</v>
      </c>
      <c r="O29" s="1011"/>
      <c r="P29" s="493">
        <v>0</v>
      </c>
      <c r="Q29" s="1011"/>
      <c r="R29" s="493">
        <v>0</v>
      </c>
      <c r="S29" s="1011"/>
      <c r="T29" s="493">
        <v>0</v>
      </c>
      <c r="U29" s="1011"/>
      <c r="V29" s="493">
        <v>0</v>
      </c>
      <c r="W29" s="1011"/>
      <c r="X29" s="493">
        <v>0</v>
      </c>
      <c r="Y29" s="1011"/>
      <c r="Z29" s="493">
        <f t="shared" si="4"/>
        <v>0</v>
      </c>
      <c r="AA29" s="496"/>
      <c r="AB29" s="467"/>
      <c r="AC29" s="939"/>
      <c r="AD29" s="919">
        <v>0</v>
      </c>
      <c r="AE29" s="467"/>
      <c r="AF29" s="940"/>
      <c r="AG29" s="919">
        <v>0</v>
      </c>
      <c r="AH29" s="191"/>
      <c r="AI29" s="36"/>
      <c r="AJ29" s="467">
        <f t="shared" si="5"/>
        <v>0</v>
      </c>
      <c r="AK29" s="467"/>
      <c r="AL29" s="469">
        <f t="shared" si="6"/>
        <v>0</v>
      </c>
    </row>
    <row r="30" spans="1:39" ht="15" customHeight="1">
      <c r="A30" s="99"/>
      <c r="B30" s="597" t="s">
        <v>958</v>
      </c>
      <c r="C30" s="21"/>
      <c r="D30" s="493">
        <v>0</v>
      </c>
      <c r="E30" s="472"/>
      <c r="F30" s="493">
        <v>0</v>
      </c>
      <c r="G30" s="472"/>
      <c r="H30" s="493">
        <v>0</v>
      </c>
      <c r="I30" s="472"/>
      <c r="J30" s="493">
        <v>0</v>
      </c>
      <c r="K30" s="1011"/>
      <c r="L30" s="493">
        <v>0</v>
      </c>
      <c r="M30" s="1011"/>
      <c r="N30" s="493">
        <v>0</v>
      </c>
      <c r="O30" s="1011"/>
      <c r="P30" s="493">
        <v>0</v>
      </c>
      <c r="Q30" s="1011"/>
      <c r="R30" s="493">
        <v>0</v>
      </c>
      <c r="S30" s="1011"/>
      <c r="T30" s="493">
        <v>0</v>
      </c>
      <c r="U30" s="1011"/>
      <c r="V30" s="493">
        <v>0</v>
      </c>
      <c r="W30" s="1011"/>
      <c r="X30" s="493">
        <v>0</v>
      </c>
      <c r="Y30" s="1011"/>
      <c r="Z30" s="493">
        <f t="shared" si="4"/>
        <v>0</v>
      </c>
      <c r="AA30" s="496"/>
      <c r="AB30" s="467"/>
      <c r="AC30" s="939"/>
      <c r="AD30" s="919">
        <v>0</v>
      </c>
      <c r="AE30" s="467"/>
      <c r="AF30" s="940"/>
      <c r="AG30" s="919">
        <v>0</v>
      </c>
      <c r="AH30" s="191"/>
      <c r="AI30" s="36"/>
      <c r="AJ30" s="467">
        <f t="shared" si="5"/>
        <v>0</v>
      </c>
      <c r="AK30" s="467"/>
      <c r="AL30" s="469">
        <f t="shared" si="6"/>
        <v>0</v>
      </c>
    </row>
    <row r="31" spans="1:39" ht="15" customHeight="1">
      <c r="A31" s="99"/>
      <c r="B31" s="597" t="s">
        <v>917</v>
      </c>
      <c r="C31" s="21"/>
      <c r="D31" s="493">
        <v>0.7</v>
      </c>
      <c r="E31" s="472"/>
      <c r="F31" s="493">
        <v>0.7</v>
      </c>
      <c r="G31" s="472"/>
      <c r="H31" s="493">
        <v>0.40000000000000013</v>
      </c>
      <c r="I31" s="472"/>
      <c r="J31" s="493">
        <v>0.49999999999999978</v>
      </c>
      <c r="K31" s="1011"/>
      <c r="L31" s="493">
        <v>0.69999999999999973</v>
      </c>
      <c r="M31" s="1011"/>
      <c r="N31" s="493">
        <v>0.60000000000000053</v>
      </c>
      <c r="O31" s="1011"/>
      <c r="P31" s="493">
        <v>0.59999999999999942</v>
      </c>
      <c r="Q31" s="1011"/>
      <c r="R31" s="493">
        <v>0.49999999999999978</v>
      </c>
      <c r="S31" s="1011"/>
      <c r="T31" s="493">
        <v>0.39999999999999947</v>
      </c>
      <c r="U31" s="1011"/>
      <c r="V31" s="493">
        <v>0.40000000000000036</v>
      </c>
      <c r="W31" s="1011"/>
      <c r="X31" s="493">
        <v>0.5</v>
      </c>
      <c r="Y31" s="1011"/>
      <c r="Z31" s="493">
        <f t="shared" si="4"/>
        <v>0.20000000000000018</v>
      </c>
      <c r="AA31" s="496"/>
      <c r="AB31" s="467"/>
      <c r="AC31" s="939"/>
      <c r="AD31" s="919">
        <v>6.2</v>
      </c>
      <c r="AE31" s="467"/>
      <c r="AF31" s="940"/>
      <c r="AG31" s="919">
        <v>5</v>
      </c>
      <c r="AH31" s="191"/>
      <c r="AI31" s="36"/>
      <c r="AJ31" s="467">
        <f>ROUND(SUM(+AD31-AG31),1)</f>
        <v>1.2</v>
      </c>
      <c r="AK31" s="467"/>
      <c r="AL31" s="469">
        <f t="shared" si="6"/>
        <v>0.24</v>
      </c>
    </row>
    <row r="32" spans="1:39" ht="15" customHeight="1">
      <c r="A32" s="99"/>
      <c r="B32" s="597" t="s">
        <v>918</v>
      </c>
      <c r="C32" s="21"/>
      <c r="D32" s="493">
        <v>3.5</v>
      </c>
      <c r="E32" s="472"/>
      <c r="F32" s="493">
        <v>5.6</v>
      </c>
      <c r="G32" s="472"/>
      <c r="H32" s="493">
        <v>10.4</v>
      </c>
      <c r="I32" s="472"/>
      <c r="J32" s="493">
        <v>14.200000000000003</v>
      </c>
      <c r="K32" s="1011"/>
      <c r="L32" s="493">
        <v>20.599999999999994</v>
      </c>
      <c r="M32" s="1011"/>
      <c r="N32" s="493">
        <v>25.900000000000013</v>
      </c>
      <c r="O32" s="1011"/>
      <c r="P32" s="493">
        <v>32.29999999999999</v>
      </c>
      <c r="Q32" s="1011"/>
      <c r="R32" s="493">
        <v>44.4</v>
      </c>
      <c r="S32" s="1011"/>
      <c r="T32" s="493">
        <v>50.000000000000007</v>
      </c>
      <c r="U32" s="1011"/>
      <c r="V32" s="493">
        <v>60.099999999999959</v>
      </c>
      <c r="W32" s="1011"/>
      <c r="X32" s="493">
        <v>69.000000000000085</v>
      </c>
      <c r="Y32" s="1011"/>
      <c r="Z32" s="493">
        <f t="shared" si="4"/>
        <v>62.999999999999943</v>
      </c>
      <c r="AA32" s="496"/>
      <c r="AB32" s="467"/>
      <c r="AC32" s="939"/>
      <c r="AD32" s="919">
        <v>399</v>
      </c>
      <c r="AE32" s="467"/>
      <c r="AF32" s="940"/>
      <c r="AG32" s="919">
        <v>12.3</v>
      </c>
      <c r="AH32" s="191"/>
      <c r="AI32" s="36"/>
      <c r="AJ32" s="467">
        <f t="shared" si="5"/>
        <v>386.7</v>
      </c>
      <c r="AK32" s="467"/>
      <c r="AL32" s="2054">
        <f>ROUND(IF(AG32=0,1,AJ32/ABS(AG32)),3)</f>
        <v>31.439</v>
      </c>
    </row>
    <row r="33" spans="1:38" ht="15" customHeight="1">
      <c r="A33" s="99"/>
      <c r="B33" s="597" t="s">
        <v>935</v>
      </c>
      <c r="C33" s="21"/>
      <c r="D33" s="493">
        <v>0</v>
      </c>
      <c r="E33" s="472"/>
      <c r="F33" s="493">
        <v>0</v>
      </c>
      <c r="G33" s="472"/>
      <c r="H33" s="493">
        <v>0</v>
      </c>
      <c r="I33" s="472"/>
      <c r="J33" s="493">
        <v>0</v>
      </c>
      <c r="K33" s="1011"/>
      <c r="L33" s="493">
        <v>0</v>
      </c>
      <c r="M33" s="1011"/>
      <c r="N33" s="493">
        <v>0</v>
      </c>
      <c r="O33" s="1011"/>
      <c r="P33" s="493">
        <v>0</v>
      </c>
      <c r="Q33" s="1011"/>
      <c r="R33" s="493">
        <v>0</v>
      </c>
      <c r="S33" s="1011"/>
      <c r="T33" s="493">
        <v>0</v>
      </c>
      <c r="U33" s="1011"/>
      <c r="V33" s="493">
        <v>0</v>
      </c>
      <c r="W33" s="1011"/>
      <c r="X33" s="493">
        <v>0</v>
      </c>
      <c r="Y33" s="1011"/>
      <c r="Z33" s="493">
        <f t="shared" si="4"/>
        <v>0</v>
      </c>
      <c r="AA33" s="496"/>
      <c r="AB33" s="467"/>
      <c r="AC33" s="939"/>
      <c r="AD33" s="919">
        <v>0</v>
      </c>
      <c r="AE33" s="467"/>
      <c r="AF33" s="940"/>
      <c r="AG33" s="919">
        <v>0</v>
      </c>
      <c r="AH33" s="191"/>
      <c r="AI33" s="36"/>
      <c r="AJ33" s="467">
        <f>ROUND(SUM(+AD33-AG33),1)</f>
        <v>0</v>
      </c>
      <c r="AK33" s="467"/>
      <c r="AL33" s="469">
        <f>ROUND(IF(AG33=0,0,AJ33/ABS(AG33)),3)</f>
        <v>0</v>
      </c>
    </row>
    <row r="34" spans="1:38" ht="15" customHeight="1">
      <c r="A34" s="99"/>
      <c r="B34" s="597" t="s">
        <v>1034</v>
      </c>
      <c r="C34" s="21"/>
      <c r="D34" s="493" t="s">
        <v>14</v>
      </c>
      <c r="E34" s="472"/>
      <c r="F34" s="493"/>
      <c r="G34" s="472"/>
      <c r="H34" s="493"/>
      <c r="I34" s="472"/>
      <c r="J34" s="493"/>
      <c r="K34" s="39"/>
      <c r="L34" s="493"/>
      <c r="M34" s="39"/>
      <c r="N34" s="493" t="s">
        <v>14</v>
      </c>
      <c r="O34" s="39"/>
      <c r="P34" s="493" t="s">
        <v>14</v>
      </c>
      <c r="Q34" s="39"/>
      <c r="R34" s="493" t="s">
        <v>14</v>
      </c>
      <c r="S34" s="39"/>
      <c r="T34" s="493"/>
      <c r="U34" s="39"/>
      <c r="V34" s="493"/>
      <c r="W34" s="36"/>
      <c r="X34" s="493"/>
      <c r="Y34" s="36"/>
      <c r="Z34" s="493"/>
      <c r="AA34" s="46"/>
      <c r="AB34" s="39"/>
      <c r="AC34" s="174"/>
      <c r="AD34" s="36"/>
      <c r="AE34" s="36"/>
      <c r="AF34" s="752"/>
      <c r="AG34" s="36"/>
      <c r="AH34" s="191"/>
      <c r="AI34" s="36"/>
      <c r="AJ34" s="467"/>
      <c r="AK34" s="467"/>
      <c r="AL34" s="488"/>
    </row>
    <row r="35" spans="1:38" ht="15" customHeight="1">
      <c r="A35" s="99"/>
      <c r="B35" s="597" t="s">
        <v>961</v>
      </c>
      <c r="C35" s="21"/>
      <c r="D35" s="493">
        <v>0</v>
      </c>
      <c r="E35" s="472"/>
      <c r="F35" s="493">
        <v>0</v>
      </c>
      <c r="G35" s="472"/>
      <c r="H35" s="493">
        <v>0</v>
      </c>
      <c r="I35" s="472"/>
      <c r="J35" s="493">
        <v>0</v>
      </c>
      <c r="K35" s="1011"/>
      <c r="L35" s="493">
        <v>0</v>
      </c>
      <c r="M35" s="1011"/>
      <c r="N35" s="493">
        <v>0</v>
      </c>
      <c r="O35" s="1011"/>
      <c r="P35" s="493">
        <v>0</v>
      </c>
      <c r="Q35" s="1011"/>
      <c r="R35" s="493">
        <v>0</v>
      </c>
      <c r="S35" s="1011"/>
      <c r="T35" s="493">
        <v>0</v>
      </c>
      <c r="U35" s="1011"/>
      <c r="V35" s="493">
        <v>0</v>
      </c>
      <c r="W35" s="1011"/>
      <c r="X35" s="493">
        <v>0</v>
      </c>
      <c r="Y35" s="1011"/>
      <c r="Z35" s="493">
        <f t="shared" si="4"/>
        <v>0</v>
      </c>
      <c r="AA35" s="496"/>
      <c r="AB35" s="467"/>
      <c r="AC35" s="939"/>
      <c r="AD35" s="919">
        <v>0</v>
      </c>
      <c r="AE35" s="467"/>
      <c r="AF35" s="940"/>
      <c r="AG35" s="919">
        <v>0</v>
      </c>
      <c r="AH35" s="191"/>
      <c r="AI35" s="36"/>
      <c r="AJ35" s="467">
        <f t="shared" si="5"/>
        <v>0</v>
      </c>
      <c r="AK35" s="467"/>
      <c r="AL35" s="469">
        <f t="shared" ref="AL35:AL39" si="7">ROUND(IF(AG35=0,0,AJ35/ABS(AG35)),3)</f>
        <v>0</v>
      </c>
    </row>
    <row r="36" spans="1:38" ht="15" customHeight="1">
      <c r="A36" s="99"/>
      <c r="B36" s="597" t="s">
        <v>962</v>
      </c>
      <c r="C36" s="21"/>
      <c r="D36" s="493">
        <v>0</v>
      </c>
      <c r="E36" s="472"/>
      <c r="F36" s="493">
        <v>0</v>
      </c>
      <c r="G36" s="472"/>
      <c r="H36" s="493">
        <v>0</v>
      </c>
      <c r="I36" s="472"/>
      <c r="J36" s="493">
        <v>0</v>
      </c>
      <c r="K36" s="1011"/>
      <c r="L36" s="493">
        <v>0</v>
      </c>
      <c r="M36" s="1011"/>
      <c r="N36" s="493">
        <v>0</v>
      </c>
      <c r="O36" s="1011"/>
      <c r="P36" s="493">
        <v>0</v>
      </c>
      <c r="Q36" s="1011"/>
      <c r="R36" s="493">
        <v>0</v>
      </c>
      <c r="S36" s="1011"/>
      <c r="T36" s="493">
        <v>0</v>
      </c>
      <c r="U36" s="1011"/>
      <c r="V36" s="493">
        <v>0</v>
      </c>
      <c r="W36" s="1011"/>
      <c r="X36" s="493">
        <v>0</v>
      </c>
      <c r="Y36" s="1011"/>
      <c r="Z36" s="493">
        <f t="shared" si="4"/>
        <v>0</v>
      </c>
      <c r="AA36" s="496"/>
      <c r="AB36" s="467"/>
      <c r="AC36" s="939"/>
      <c r="AD36" s="919">
        <v>0</v>
      </c>
      <c r="AE36" s="467"/>
      <c r="AF36" s="940"/>
      <c r="AG36" s="919">
        <v>0</v>
      </c>
      <c r="AH36" s="191"/>
      <c r="AI36" s="36"/>
      <c r="AJ36" s="467">
        <f t="shared" si="5"/>
        <v>0</v>
      </c>
      <c r="AK36" s="467"/>
      <c r="AL36" s="469">
        <f t="shared" si="7"/>
        <v>0</v>
      </c>
    </row>
    <row r="37" spans="1:38" ht="15" customHeight="1">
      <c r="A37" s="99"/>
      <c r="B37" s="597" t="s">
        <v>963</v>
      </c>
      <c r="C37" s="21"/>
      <c r="D37" s="493">
        <v>0</v>
      </c>
      <c r="E37" s="472"/>
      <c r="F37" s="493">
        <v>0</v>
      </c>
      <c r="G37" s="472"/>
      <c r="H37" s="493">
        <v>0</v>
      </c>
      <c r="I37" s="472"/>
      <c r="J37" s="493">
        <v>0</v>
      </c>
      <c r="K37" s="1011"/>
      <c r="L37" s="493">
        <v>0</v>
      </c>
      <c r="M37" s="1011"/>
      <c r="N37" s="493">
        <v>0</v>
      </c>
      <c r="O37" s="1011"/>
      <c r="P37" s="493">
        <v>0</v>
      </c>
      <c r="Q37" s="1011"/>
      <c r="R37" s="493">
        <v>0</v>
      </c>
      <c r="S37" s="1011"/>
      <c r="T37" s="493">
        <v>0</v>
      </c>
      <c r="U37" s="1011"/>
      <c r="V37" s="493">
        <v>0</v>
      </c>
      <c r="W37" s="1011"/>
      <c r="X37" s="493">
        <v>0</v>
      </c>
      <c r="Y37" s="1011"/>
      <c r="Z37" s="493">
        <f t="shared" si="4"/>
        <v>0</v>
      </c>
      <c r="AA37" s="496"/>
      <c r="AB37" s="467"/>
      <c r="AC37" s="939"/>
      <c r="AD37" s="919">
        <v>0</v>
      </c>
      <c r="AE37" s="467"/>
      <c r="AF37" s="940"/>
      <c r="AG37" s="919">
        <v>0</v>
      </c>
      <c r="AH37" s="191"/>
      <c r="AI37" s="36"/>
      <c r="AJ37" s="467">
        <f t="shared" si="5"/>
        <v>0</v>
      </c>
      <c r="AK37" s="467"/>
      <c r="AL37" s="469">
        <f t="shared" si="7"/>
        <v>0</v>
      </c>
    </row>
    <row r="38" spans="1:38" ht="15" customHeight="1">
      <c r="A38" s="99"/>
      <c r="B38" s="597" t="s">
        <v>964</v>
      </c>
      <c r="C38" s="21"/>
      <c r="D38" s="493">
        <v>0</v>
      </c>
      <c r="E38" s="472"/>
      <c r="F38" s="493">
        <v>0</v>
      </c>
      <c r="G38" s="472"/>
      <c r="H38" s="493">
        <v>0</v>
      </c>
      <c r="I38" s="472"/>
      <c r="J38" s="493">
        <v>0</v>
      </c>
      <c r="K38" s="1011"/>
      <c r="L38" s="493">
        <v>0</v>
      </c>
      <c r="M38" s="1011"/>
      <c r="N38" s="493">
        <v>0</v>
      </c>
      <c r="O38" s="1011"/>
      <c r="P38" s="493">
        <v>0</v>
      </c>
      <c r="Q38" s="1011"/>
      <c r="R38" s="493">
        <v>0</v>
      </c>
      <c r="S38" s="1011"/>
      <c r="T38" s="493">
        <v>0</v>
      </c>
      <c r="U38" s="1011"/>
      <c r="V38" s="493">
        <v>0</v>
      </c>
      <c r="W38" s="1011"/>
      <c r="X38" s="493">
        <v>0</v>
      </c>
      <c r="Y38" s="1011"/>
      <c r="Z38" s="493">
        <f t="shared" si="4"/>
        <v>0</v>
      </c>
      <c r="AA38" s="496"/>
      <c r="AB38" s="467"/>
      <c r="AC38" s="939"/>
      <c r="AD38" s="919">
        <v>0</v>
      </c>
      <c r="AE38" s="467"/>
      <c r="AF38" s="940"/>
      <c r="AG38" s="919">
        <v>0</v>
      </c>
      <c r="AH38" s="191"/>
      <c r="AI38" s="36"/>
      <c r="AJ38" s="467">
        <f t="shared" si="5"/>
        <v>0</v>
      </c>
      <c r="AK38" s="467"/>
      <c r="AL38" s="469">
        <f t="shared" si="7"/>
        <v>0</v>
      </c>
    </row>
    <row r="39" spans="1:38" ht="15" customHeight="1">
      <c r="A39" s="99"/>
      <c r="B39" s="597" t="s">
        <v>936</v>
      </c>
      <c r="C39" s="21"/>
      <c r="D39" s="493">
        <v>0</v>
      </c>
      <c r="E39" s="472"/>
      <c r="F39" s="493">
        <v>0</v>
      </c>
      <c r="G39" s="472"/>
      <c r="H39" s="493">
        <v>0</v>
      </c>
      <c r="I39" s="472"/>
      <c r="J39" s="493">
        <v>0</v>
      </c>
      <c r="K39" s="1011"/>
      <c r="L39" s="493">
        <v>0</v>
      </c>
      <c r="M39" s="1011"/>
      <c r="N39" s="493">
        <v>0</v>
      </c>
      <c r="O39" s="1011"/>
      <c r="P39" s="493">
        <v>0</v>
      </c>
      <c r="Q39" s="1011"/>
      <c r="R39" s="493">
        <v>0</v>
      </c>
      <c r="S39" s="1011"/>
      <c r="T39" s="493">
        <v>0</v>
      </c>
      <c r="U39" s="1011"/>
      <c r="V39" s="493">
        <v>0</v>
      </c>
      <c r="W39" s="1011"/>
      <c r="X39" s="493">
        <v>0</v>
      </c>
      <c r="Y39" s="1011"/>
      <c r="Z39" s="493">
        <f t="shared" si="4"/>
        <v>0</v>
      </c>
      <c r="AA39" s="496"/>
      <c r="AB39" s="467"/>
      <c r="AC39" s="939"/>
      <c r="AD39" s="919">
        <v>0</v>
      </c>
      <c r="AE39" s="467"/>
      <c r="AF39" s="940"/>
      <c r="AG39" s="919">
        <v>0</v>
      </c>
      <c r="AH39" s="191"/>
      <c r="AI39" s="36"/>
      <c r="AJ39" s="467">
        <f t="shared" si="5"/>
        <v>0</v>
      </c>
      <c r="AK39" s="467"/>
      <c r="AL39" s="469">
        <f t="shared" si="7"/>
        <v>0</v>
      </c>
    </row>
    <row r="40" spans="1:38" ht="15" customHeight="1">
      <c r="A40" s="99"/>
      <c r="B40" s="597" t="s">
        <v>1035</v>
      </c>
      <c r="C40" s="21"/>
      <c r="D40" s="493" t="s">
        <v>14</v>
      </c>
      <c r="E40" s="472"/>
      <c r="F40" s="493"/>
      <c r="G40" s="472"/>
      <c r="H40" s="493"/>
      <c r="I40" s="472"/>
      <c r="J40" s="493"/>
      <c r="K40" s="39"/>
      <c r="L40" s="493"/>
      <c r="M40" s="39"/>
      <c r="N40" s="493" t="s">
        <v>14</v>
      </c>
      <c r="O40" s="39"/>
      <c r="P40" s="493" t="s">
        <v>14</v>
      </c>
      <c r="Q40" s="39"/>
      <c r="R40" s="493" t="s">
        <v>14</v>
      </c>
      <c r="S40" s="39"/>
      <c r="T40" s="493"/>
      <c r="U40" s="39"/>
      <c r="V40" s="493"/>
      <c r="W40" s="36"/>
      <c r="X40" s="493"/>
      <c r="Y40" s="36"/>
      <c r="Z40" s="493"/>
      <c r="AA40" s="46"/>
      <c r="AB40" s="39"/>
      <c r="AC40" s="174"/>
      <c r="AD40" s="36"/>
      <c r="AE40" s="36"/>
      <c r="AF40" s="752"/>
      <c r="AG40" s="36"/>
      <c r="AH40" s="191"/>
      <c r="AI40" s="36"/>
      <c r="AJ40" s="467"/>
      <c r="AK40" s="467"/>
      <c r="AL40" s="488"/>
    </row>
    <row r="41" spans="1:38" ht="15" customHeight="1">
      <c r="A41" s="99"/>
      <c r="B41" s="597" t="s">
        <v>965</v>
      </c>
      <c r="C41" s="21"/>
      <c r="D41" s="493">
        <v>0</v>
      </c>
      <c r="E41" s="472"/>
      <c r="F41" s="493">
        <v>0</v>
      </c>
      <c r="G41" s="472"/>
      <c r="H41" s="493">
        <v>0</v>
      </c>
      <c r="I41" s="472"/>
      <c r="J41" s="493">
        <v>0</v>
      </c>
      <c r="K41" s="1011"/>
      <c r="L41" s="493">
        <v>0</v>
      </c>
      <c r="M41" s="1011"/>
      <c r="N41" s="493">
        <v>0</v>
      </c>
      <c r="O41" s="1011"/>
      <c r="P41" s="493">
        <v>0</v>
      </c>
      <c r="Q41" s="1011"/>
      <c r="R41" s="493">
        <v>0</v>
      </c>
      <c r="S41" s="1011"/>
      <c r="T41" s="493">
        <v>0</v>
      </c>
      <c r="U41" s="1011"/>
      <c r="V41" s="493">
        <v>0</v>
      </c>
      <c r="W41" s="1011"/>
      <c r="X41" s="493">
        <v>0</v>
      </c>
      <c r="Y41" s="1011"/>
      <c r="Z41" s="493">
        <f t="shared" si="4"/>
        <v>0.9</v>
      </c>
      <c r="AA41" s="496"/>
      <c r="AB41" s="467"/>
      <c r="AC41" s="939"/>
      <c r="AD41" s="919">
        <v>0.9</v>
      </c>
      <c r="AE41" s="467"/>
      <c r="AF41" s="940"/>
      <c r="AG41" s="919">
        <v>0</v>
      </c>
      <c r="AH41" s="191"/>
      <c r="AI41" s="36"/>
      <c r="AJ41" s="467">
        <f t="shared" si="5"/>
        <v>0.9</v>
      </c>
      <c r="AK41" s="467"/>
      <c r="AL41" s="469">
        <f>ROUND(IF(AG41=0,1,AJ41/ABS(AG41)),3)</f>
        <v>1</v>
      </c>
    </row>
    <row r="42" spans="1:38" ht="15" customHeight="1">
      <c r="A42" s="99"/>
      <c r="B42" s="597" t="s">
        <v>966</v>
      </c>
      <c r="C42" s="21"/>
      <c r="D42" s="493">
        <v>0</v>
      </c>
      <c r="E42" s="472"/>
      <c r="F42" s="493">
        <v>0</v>
      </c>
      <c r="G42" s="472"/>
      <c r="H42" s="493">
        <v>0</v>
      </c>
      <c r="I42" s="472"/>
      <c r="J42" s="493">
        <v>0</v>
      </c>
      <c r="K42" s="1011"/>
      <c r="L42" s="493">
        <v>0</v>
      </c>
      <c r="M42" s="1011"/>
      <c r="N42" s="493">
        <v>0</v>
      </c>
      <c r="O42" s="1011"/>
      <c r="P42" s="493">
        <v>0</v>
      </c>
      <c r="Q42" s="1011"/>
      <c r="R42" s="493">
        <v>0</v>
      </c>
      <c r="S42" s="1011"/>
      <c r="T42" s="493">
        <v>0</v>
      </c>
      <c r="U42" s="1011"/>
      <c r="V42" s="493">
        <v>0</v>
      </c>
      <c r="W42" s="1011"/>
      <c r="X42" s="493">
        <v>0</v>
      </c>
      <c r="Y42" s="1011"/>
      <c r="Z42" s="493">
        <f t="shared" si="4"/>
        <v>0</v>
      </c>
      <c r="AA42" s="496"/>
      <c r="AB42" s="467"/>
      <c r="AC42" s="939"/>
      <c r="AD42" s="919">
        <v>0</v>
      </c>
      <c r="AE42" s="467"/>
      <c r="AF42" s="940"/>
      <c r="AG42" s="919">
        <v>0</v>
      </c>
      <c r="AH42" s="191"/>
      <c r="AI42" s="36"/>
      <c r="AJ42" s="467">
        <f t="shared" si="5"/>
        <v>0</v>
      </c>
      <c r="AK42" s="467"/>
      <c r="AL42" s="469">
        <f t="shared" ref="AL42:AL48" si="8">ROUND(IF(AG42=0,0,AJ42/ABS(AG42)),3)</f>
        <v>0</v>
      </c>
    </row>
    <row r="43" spans="1:38" ht="15" customHeight="1">
      <c r="A43" s="99"/>
      <c r="B43" s="597" t="s">
        <v>967</v>
      </c>
      <c r="C43" s="21"/>
      <c r="D43" s="493">
        <v>0</v>
      </c>
      <c r="E43" s="472"/>
      <c r="F43" s="493">
        <v>0.2</v>
      </c>
      <c r="G43" s="472"/>
      <c r="H43" s="493">
        <v>0</v>
      </c>
      <c r="I43" s="472"/>
      <c r="J43" s="493">
        <v>0</v>
      </c>
      <c r="K43" s="1011"/>
      <c r="L43" s="493">
        <v>0</v>
      </c>
      <c r="M43" s="1011"/>
      <c r="N43" s="493">
        <v>0</v>
      </c>
      <c r="O43" s="1011"/>
      <c r="P43" s="493">
        <v>0</v>
      </c>
      <c r="Q43" s="1011"/>
      <c r="R43" s="493">
        <v>0</v>
      </c>
      <c r="S43" s="1011"/>
      <c r="T43" s="493">
        <v>0</v>
      </c>
      <c r="U43" s="1011"/>
      <c r="V43" s="493">
        <v>0</v>
      </c>
      <c r="W43" s="1011"/>
      <c r="X43" s="493">
        <v>9.9999999999999978E-2</v>
      </c>
      <c r="Y43" s="1011"/>
      <c r="Z43" s="493">
        <f t="shared" si="4"/>
        <v>0.3</v>
      </c>
      <c r="AA43" s="496"/>
      <c r="AB43" s="467"/>
      <c r="AC43" s="939"/>
      <c r="AD43" s="919">
        <v>0.6</v>
      </c>
      <c r="AE43" s="467"/>
      <c r="AF43" s="940"/>
      <c r="AG43" s="919">
        <v>0.2</v>
      </c>
      <c r="AH43" s="191"/>
      <c r="AI43" s="36"/>
      <c r="AJ43" s="467">
        <f t="shared" si="5"/>
        <v>0.4</v>
      </c>
      <c r="AK43" s="467"/>
      <c r="AL43" s="469">
        <f>ROUND(IF(AG43=0,1,AJ43/ABS(AG43)),3)</f>
        <v>2</v>
      </c>
    </row>
    <row r="44" spans="1:38" ht="15" customHeight="1">
      <c r="A44" s="99"/>
      <c r="B44" s="597" t="s">
        <v>968</v>
      </c>
      <c r="C44" s="21"/>
      <c r="D44" s="493">
        <v>0</v>
      </c>
      <c r="E44" s="472"/>
      <c r="F44" s="493">
        <v>0</v>
      </c>
      <c r="G44" s="472"/>
      <c r="H44" s="493">
        <v>0</v>
      </c>
      <c r="I44" s="472"/>
      <c r="J44" s="493">
        <v>0</v>
      </c>
      <c r="K44" s="1011"/>
      <c r="L44" s="493">
        <v>0</v>
      </c>
      <c r="M44" s="1011"/>
      <c r="N44" s="493">
        <v>0</v>
      </c>
      <c r="O44" s="1011"/>
      <c r="P44" s="493">
        <v>0</v>
      </c>
      <c r="Q44" s="1011"/>
      <c r="R44" s="493">
        <v>0</v>
      </c>
      <c r="S44" s="1011"/>
      <c r="T44" s="493">
        <v>0</v>
      </c>
      <c r="U44" s="1011"/>
      <c r="V44" s="493">
        <v>0</v>
      </c>
      <c r="W44" s="1011"/>
      <c r="X44" s="493">
        <v>0</v>
      </c>
      <c r="Y44" s="1011"/>
      <c r="Z44" s="493">
        <f t="shared" si="4"/>
        <v>0</v>
      </c>
      <c r="AA44" s="496"/>
      <c r="AB44" s="467"/>
      <c r="AC44" s="939"/>
      <c r="AD44" s="919">
        <v>0</v>
      </c>
      <c r="AE44" s="467"/>
      <c r="AF44" s="940"/>
      <c r="AG44" s="919">
        <v>0</v>
      </c>
      <c r="AH44" s="191"/>
      <c r="AI44" s="36"/>
      <c r="AJ44" s="467">
        <f t="shared" si="5"/>
        <v>0</v>
      </c>
      <c r="AK44" s="467"/>
      <c r="AL44" s="469">
        <f t="shared" si="8"/>
        <v>0</v>
      </c>
    </row>
    <row r="45" spans="1:38" ht="15" customHeight="1">
      <c r="A45" s="99"/>
      <c r="B45" s="597" t="s">
        <v>969</v>
      </c>
      <c r="C45" s="21"/>
      <c r="D45" s="493">
        <v>0</v>
      </c>
      <c r="E45" s="472"/>
      <c r="F45" s="493">
        <v>0</v>
      </c>
      <c r="G45" s="472"/>
      <c r="H45" s="493">
        <v>0</v>
      </c>
      <c r="I45" s="472"/>
      <c r="J45" s="493">
        <v>0</v>
      </c>
      <c r="K45" s="1011"/>
      <c r="L45" s="493">
        <v>0</v>
      </c>
      <c r="M45" s="1011"/>
      <c r="N45" s="493">
        <v>0</v>
      </c>
      <c r="O45" s="1011"/>
      <c r="P45" s="493">
        <v>0</v>
      </c>
      <c r="Q45" s="1011"/>
      <c r="R45" s="493">
        <v>0</v>
      </c>
      <c r="S45" s="1011"/>
      <c r="T45" s="493">
        <v>0</v>
      </c>
      <c r="U45" s="1011"/>
      <c r="V45" s="493">
        <v>0</v>
      </c>
      <c r="W45" s="1011"/>
      <c r="X45" s="493">
        <v>0</v>
      </c>
      <c r="Y45" s="1011"/>
      <c r="Z45" s="493">
        <f t="shared" si="4"/>
        <v>0</v>
      </c>
      <c r="AA45" s="496"/>
      <c r="AB45" s="467"/>
      <c r="AC45" s="939"/>
      <c r="AD45" s="919">
        <v>0</v>
      </c>
      <c r="AE45" s="467"/>
      <c r="AF45" s="940"/>
      <c r="AG45" s="919">
        <v>0</v>
      </c>
      <c r="AH45" s="191"/>
      <c r="AI45" s="36"/>
      <c r="AJ45" s="467">
        <f t="shared" si="5"/>
        <v>0</v>
      </c>
      <c r="AK45" s="467"/>
      <c r="AL45" s="469">
        <f t="shared" si="8"/>
        <v>0</v>
      </c>
    </row>
    <row r="46" spans="1:38" ht="15" customHeight="1">
      <c r="A46" s="99"/>
      <c r="B46" s="597" t="s">
        <v>970</v>
      </c>
      <c r="C46" s="21"/>
      <c r="D46" s="493">
        <v>7.2</v>
      </c>
      <c r="E46" s="472"/>
      <c r="F46" s="493">
        <v>8.3000000000000007</v>
      </c>
      <c r="G46" s="472"/>
      <c r="H46" s="493">
        <v>7.6000000000000005</v>
      </c>
      <c r="I46" s="472"/>
      <c r="J46" s="493">
        <v>7.599999999999997</v>
      </c>
      <c r="K46" s="1011"/>
      <c r="L46" s="493">
        <v>7.0000000000000027</v>
      </c>
      <c r="M46" s="1011"/>
      <c r="N46" s="493">
        <v>7.4999999999999973</v>
      </c>
      <c r="O46" s="1011"/>
      <c r="P46" s="493">
        <v>7.599999999999997</v>
      </c>
      <c r="Q46" s="1011"/>
      <c r="R46" s="493">
        <v>7.5000000000000009</v>
      </c>
      <c r="S46" s="1011"/>
      <c r="T46" s="493">
        <v>7.5000000000000027</v>
      </c>
      <c r="U46" s="1011"/>
      <c r="V46" s="493">
        <v>7.4000000000000101</v>
      </c>
      <c r="W46" s="1011"/>
      <c r="X46" s="493">
        <v>7.9999999999999956</v>
      </c>
      <c r="Y46" s="1011"/>
      <c r="Z46" s="493">
        <f t="shared" si="4"/>
        <v>7.6000000000000059</v>
      </c>
      <c r="AA46" s="496"/>
      <c r="AB46" s="467"/>
      <c r="AC46" s="939"/>
      <c r="AD46" s="919">
        <v>90.8</v>
      </c>
      <c r="AE46" s="467"/>
      <c r="AF46" s="940"/>
      <c r="AG46" s="919">
        <v>86.1</v>
      </c>
      <c r="AH46" s="191"/>
      <c r="AI46" s="36"/>
      <c r="AJ46" s="467">
        <f t="shared" si="5"/>
        <v>4.7</v>
      </c>
      <c r="AK46" s="467"/>
      <c r="AL46" s="469">
        <f t="shared" si="8"/>
        <v>5.5E-2</v>
      </c>
    </row>
    <row r="47" spans="1:38" ht="15" customHeight="1">
      <c r="A47" s="99"/>
      <c r="B47" s="597" t="s">
        <v>971</v>
      </c>
      <c r="C47" s="21"/>
      <c r="D47" s="493">
        <v>0</v>
      </c>
      <c r="E47" s="472"/>
      <c r="F47" s="493">
        <v>0</v>
      </c>
      <c r="G47" s="472"/>
      <c r="H47" s="493">
        <v>0</v>
      </c>
      <c r="I47" s="472"/>
      <c r="J47" s="493">
        <v>0</v>
      </c>
      <c r="K47" s="1011"/>
      <c r="L47" s="493">
        <v>0</v>
      </c>
      <c r="M47" s="1011"/>
      <c r="N47" s="493">
        <v>0</v>
      </c>
      <c r="O47" s="1011"/>
      <c r="P47" s="493">
        <v>0</v>
      </c>
      <c r="Q47" s="1011"/>
      <c r="R47" s="493">
        <v>0</v>
      </c>
      <c r="S47" s="1011"/>
      <c r="T47" s="493">
        <v>0</v>
      </c>
      <c r="U47" s="1011"/>
      <c r="V47" s="493">
        <v>0</v>
      </c>
      <c r="W47" s="1011"/>
      <c r="X47" s="493">
        <v>0</v>
      </c>
      <c r="Y47" s="1011"/>
      <c r="Z47" s="493">
        <f t="shared" si="4"/>
        <v>0</v>
      </c>
      <c r="AA47" s="496"/>
      <c r="AB47" s="467"/>
      <c r="AC47" s="939"/>
      <c r="AD47" s="919">
        <v>0</v>
      </c>
      <c r="AE47" s="467"/>
      <c r="AF47" s="940"/>
      <c r="AG47" s="919">
        <v>0</v>
      </c>
      <c r="AH47" s="191"/>
      <c r="AI47" s="36"/>
      <c r="AJ47" s="467">
        <f t="shared" si="5"/>
        <v>0</v>
      </c>
      <c r="AK47" s="467"/>
      <c r="AL47" s="469">
        <f t="shared" si="8"/>
        <v>0</v>
      </c>
    </row>
    <row r="48" spans="1:38" ht="15" customHeight="1">
      <c r="A48" s="99"/>
      <c r="B48" s="597" t="s">
        <v>972</v>
      </c>
      <c r="C48" s="21"/>
      <c r="D48" s="493">
        <v>0</v>
      </c>
      <c r="E48" s="472"/>
      <c r="F48" s="493">
        <v>0</v>
      </c>
      <c r="G48" s="472"/>
      <c r="H48" s="493">
        <v>0</v>
      </c>
      <c r="I48" s="472"/>
      <c r="J48" s="493">
        <v>0</v>
      </c>
      <c r="K48" s="1011"/>
      <c r="L48" s="493">
        <v>0</v>
      </c>
      <c r="M48" s="1011"/>
      <c r="N48" s="493">
        <v>0</v>
      </c>
      <c r="O48" s="1011"/>
      <c r="P48" s="493">
        <v>0</v>
      </c>
      <c r="Q48" s="1011"/>
      <c r="R48" s="493">
        <v>0</v>
      </c>
      <c r="S48" s="1011"/>
      <c r="T48" s="493">
        <v>0</v>
      </c>
      <c r="U48" s="1011"/>
      <c r="V48" s="493">
        <v>0</v>
      </c>
      <c r="W48" s="1011"/>
      <c r="X48" s="493">
        <v>0</v>
      </c>
      <c r="Y48" s="1011"/>
      <c r="Z48" s="493">
        <f t="shared" si="4"/>
        <v>0</v>
      </c>
      <c r="AA48" s="496"/>
      <c r="AB48" s="467"/>
      <c r="AC48" s="939"/>
      <c r="AD48" s="919">
        <v>0</v>
      </c>
      <c r="AE48" s="467"/>
      <c r="AF48" s="940"/>
      <c r="AG48" s="919">
        <v>0</v>
      </c>
      <c r="AH48" s="191"/>
      <c r="AI48" s="36"/>
      <c r="AJ48" s="467">
        <f t="shared" si="5"/>
        <v>0</v>
      </c>
      <c r="AK48" s="467"/>
      <c r="AL48" s="469">
        <f t="shared" si="8"/>
        <v>0</v>
      </c>
    </row>
    <row r="49" spans="1:38" ht="15" customHeight="1">
      <c r="A49" s="99"/>
      <c r="B49" s="597" t="s">
        <v>973</v>
      </c>
      <c r="C49" s="21"/>
      <c r="D49" s="493">
        <v>0.3</v>
      </c>
      <c r="E49" s="472"/>
      <c r="F49" s="493">
        <v>0</v>
      </c>
      <c r="G49" s="472"/>
      <c r="H49" s="493">
        <v>0.10000000000000003</v>
      </c>
      <c r="I49" s="472"/>
      <c r="J49" s="493">
        <v>0.29999999999999988</v>
      </c>
      <c r="K49" s="1011"/>
      <c r="L49" s="493">
        <v>0</v>
      </c>
      <c r="M49" s="1011"/>
      <c r="N49" s="493">
        <v>0.10000000000000009</v>
      </c>
      <c r="O49" s="1011"/>
      <c r="P49" s="493">
        <v>0.3</v>
      </c>
      <c r="Q49" s="1011"/>
      <c r="R49" s="493">
        <v>0</v>
      </c>
      <c r="S49" s="1011"/>
      <c r="T49" s="493">
        <v>9.9999999999999867E-2</v>
      </c>
      <c r="U49" s="1011"/>
      <c r="V49" s="493">
        <v>-9.9999999999999867E-2</v>
      </c>
      <c r="W49" s="1011"/>
      <c r="X49" s="493">
        <v>0</v>
      </c>
      <c r="Y49" s="1011"/>
      <c r="Z49" s="493">
        <f t="shared" si="4"/>
        <v>9.9999999999999867E-2</v>
      </c>
      <c r="AA49" s="496"/>
      <c r="AB49" s="467"/>
      <c r="AC49" s="939"/>
      <c r="AD49" s="919">
        <v>1.2</v>
      </c>
      <c r="AE49" s="467"/>
      <c r="AF49" s="940"/>
      <c r="AG49" s="919">
        <v>7.3</v>
      </c>
      <c r="AH49" s="191"/>
      <c r="AI49" s="36"/>
      <c r="AJ49" s="467">
        <f t="shared" si="5"/>
        <v>-6.1</v>
      </c>
      <c r="AK49" s="467"/>
      <c r="AL49" s="469">
        <f>ROUND(IF(AG49=0,1,AJ49/ABS(AG49)),3)</f>
        <v>-0.83599999999999997</v>
      </c>
    </row>
    <row r="50" spans="1:38" ht="15" customHeight="1">
      <c r="A50" s="99"/>
      <c r="B50" s="597" t="s">
        <v>946</v>
      </c>
      <c r="C50" s="21"/>
      <c r="D50" s="493">
        <v>0</v>
      </c>
      <c r="E50" s="472"/>
      <c r="F50" s="493">
        <v>0</v>
      </c>
      <c r="G50" s="472"/>
      <c r="H50" s="493">
        <v>0</v>
      </c>
      <c r="I50" s="472"/>
      <c r="J50" s="493">
        <v>0</v>
      </c>
      <c r="K50" s="1011"/>
      <c r="L50" s="493">
        <v>0</v>
      </c>
      <c r="M50" s="1011"/>
      <c r="N50" s="493">
        <v>0</v>
      </c>
      <c r="O50" s="1011"/>
      <c r="P50" s="493">
        <v>0</v>
      </c>
      <c r="Q50" s="1011"/>
      <c r="R50" s="493">
        <v>0</v>
      </c>
      <c r="S50" s="1011"/>
      <c r="T50" s="493">
        <v>0</v>
      </c>
      <c r="U50" s="1011"/>
      <c r="V50" s="493">
        <v>0</v>
      </c>
      <c r="W50" s="1011"/>
      <c r="X50" s="493">
        <v>0</v>
      </c>
      <c r="Y50" s="1011"/>
      <c r="Z50" s="493">
        <f t="shared" si="4"/>
        <v>0</v>
      </c>
      <c r="AA50" s="496"/>
      <c r="AB50" s="467"/>
      <c r="AC50" s="939"/>
      <c r="AD50" s="919">
        <v>0</v>
      </c>
      <c r="AE50" s="467"/>
      <c r="AF50" s="940"/>
      <c r="AG50" s="919">
        <v>0</v>
      </c>
      <c r="AH50" s="191"/>
      <c r="AI50" s="36"/>
      <c r="AJ50" s="467">
        <f t="shared" si="5"/>
        <v>0</v>
      </c>
      <c r="AK50" s="467"/>
      <c r="AL50" s="469">
        <f>ROUND(IF(AG50=0,0,AJ50/ABS(AG50)),3)</f>
        <v>0</v>
      </c>
    </row>
    <row r="51" spans="1:38" ht="15" customHeight="1">
      <c r="A51" s="99"/>
      <c r="B51" s="597" t="s">
        <v>947</v>
      </c>
      <c r="C51" s="21"/>
      <c r="D51" s="493">
        <v>0</v>
      </c>
      <c r="E51" s="472"/>
      <c r="F51" s="493">
        <v>0</v>
      </c>
      <c r="G51" s="472"/>
      <c r="H51" s="493">
        <v>0</v>
      </c>
      <c r="I51" s="472"/>
      <c r="J51" s="493">
        <v>0</v>
      </c>
      <c r="K51" s="1011"/>
      <c r="L51" s="493">
        <v>0</v>
      </c>
      <c r="M51" s="1011"/>
      <c r="N51" s="493">
        <v>0</v>
      </c>
      <c r="O51" s="1011"/>
      <c r="P51" s="493">
        <v>0</v>
      </c>
      <c r="Q51" s="1011"/>
      <c r="R51" s="493">
        <v>0</v>
      </c>
      <c r="S51" s="1011"/>
      <c r="T51" s="493">
        <v>0</v>
      </c>
      <c r="U51" s="1011"/>
      <c r="V51" s="493">
        <v>0</v>
      </c>
      <c r="W51" s="1011"/>
      <c r="X51" s="493">
        <v>0</v>
      </c>
      <c r="Y51" s="1011"/>
      <c r="Z51" s="493">
        <f t="shared" si="4"/>
        <v>0</v>
      </c>
      <c r="AA51" s="496"/>
      <c r="AB51" s="467"/>
      <c r="AC51" s="939"/>
      <c r="AD51" s="919">
        <v>0</v>
      </c>
      <c r="AE51" s="467"/>
      <c r="AF51" s="940"/>
      <c r="AG51" s="919">
        <v>0</v>
      </c>
      <c r="AH51" s="191"/>
      <c r="AI51" s="36"/>
      <c r="AJ51" s="467">
        <f t="shared" si="5"/>
        <v>0</v>
      </c>
      <c r="AK51" s="467"/>
      <c r="AL51" s="469">
        <f>ROUND(IF(AG51=0,0,AJ51/ABS(AG51)),3)</f>
        <v>0</v>
      </c>
    </row>
    <row r="52" spans="1:38" ht="15" customHeight="1">
      <c r="A52" s="99"/>
      <c r="B52" s="217" t="s">
        <v>1074</v>
      </c>
      <c r="C52" s="21"/>
      <c r="D52" s="753">
        <f>ROUND(SUM(D19:D51),1)</f>
        <v>17</v>
      </c>
      <c r="E52" s="472"/>
      <c r="F52" s="753">
        <f>ROUND(SUM(F19:F51),1)</f>
        <v>55.6</v>
      </c>
      <c r="G52" s="472"/>
      <c r="H52" s="753">
        <f>ROUND(SUM(H19:H51),1)</f>
        <v>18.600000000000001</v>
      </c>
      <c r="I52" s="472"/>
      <c r="J52" s="753">
        <f>ROUND(SUM(J19:J51),1)</f>
        <v>25.2</v>
      </c>
      <c r="K52" s="39"/>
      <c r="L52" s="753">
        <f>ROUND(SUM(L19:L51),1)</f>
        <v>39.9</v>
      </c>
      <c r="M52" s="39"/>
      <c r="N52" s="753">
        <f>ROUND(SUM(N19:N51),1)</f>
        <v>34.200000000000003</v>
      </c>
      <c r="O52" s="39"/>
      <c r="P52" s="753">
        <f>ROUND(SUM(P19:P51),1)</f>
        <v>42.8</v>
      </c>
      <c r="Q52" s="39"/>
      <c r="R52" s="753">
        <f>ROUND(SUM(R19:R51),1)</f>
        <v>60.4</v>
      </c>
      <c r="S52" s="57"/>
      <c r="T52" s="753">
        <f t="shared" ref="T52" si="9">ROUND(SUM(T19:T51),1)</f>
        <v>58.1</v>
      </c>
      <c r="U52" s="39"/>
      <c r="V52" s="753">
        <f>ROUND(SUM(V19:V51),1)</f>
        <v>69.3</v>
      </c>
      <c r="W52" s="36"/>
      <c r="X52" s="753">
        <f>ROUND(SUM(X19:X51),1)</f>
        <v>83.6</v>
      </c>
      <c r="Y52" s="36"/>
      <c r="Z52" s="753">
        <f>ROUND(SUM(Z19:Z51),1)</f>
        <v>72.2</v>
      </c>
      <c r="AA52" s="57"/>
      <c r="AB52" s="39"/>
      <c r="AC52" s="174"/>
      <c r="AD52" s="753">
        <f>ROUND(SUM(AD19:AD51),1)</f>
        <v>576.9</v>
      </c>
      <c r="AE52" s="36"/>
      <c r="AF52" s="752"/>
      <c r="AG52" s="753">
        <f>ROUND(SUM(AG19:AG51),1)</f>
        <v>182.9</v>
      </c>
      <c r="AH52" s="191"/>
      <c r="AI52" s="36"/>
      <c r="AJ52" s="753">
        <f>ROUND(SUM(AJ19:AJ51),1)</f>
        <v>394</v>
      </c>
      <c r="AK52" s="467"/>
      <c r="AL52" s="964">
        <f>ROUND(SUM((AD52-AG52)/ABS(AG52)),3)</f>
        <v>2.1539999999999999</v>
      </c>
    </row>
    <row r="53" spans="1:38" ht="15" customHeight="1">
      <c r="A53" s="99"/>
      <c r="B53" s="597"/>
      <c r="C53" s="21"/>
      <c r="D53" s="493"/>
      <c r="E53" s="472"/>
      <c r="F53" s="480"/>
      <c r="G53" s="472"/>
      <c r="H53" s="467"/>
      <c r="I53" s="472"/>
      <c r="J53" s="467"/>
      <c r="K53" s="39"/>
      <c r="L53" s="467"/>
      <c r="M53" s="39"/>
      <c r="N53" s="36"/>
      <c r="O53" s="39"/>
      <c r="P53" s="141"/>
      <c r="Q53" s="39"/>
      <c r="R53" s="114"/>
      <c r="S53" s="39"/>
      <c r="T53" s="115"/>
      <c r="U53" s="39"/>
      <c r="V53" s="46"/>
      <c r="W53" s="36"/>
      <c r="X53" s="46"/>
      <c r="Y53" s="36"/>
      <c r="Z53" s="46"/>
      <c r="AA53" s="46"/>
      <c r="AB53" s="39"/>
      <c r="AC53" s="174"/>
      <c r="AD53" s="36"/>
      <c r="AE53" s="36"/>
      <c r="AF53" s="752"/>
      <c r="AG53" s="36"/>
      <c r="AH53" s="191"/>
      <c r="AI53" s="36"/>
      <c r="AJ53" s="467"/>
      <c r="AK53" s="467"/>
      <c r="AL53" s="488"/>
    </row>
    <row r="54" spans="1:38" ht="15" customHeight="1">
      <c r="A54" s="99"/>
      <c r="B54" s="195" t="s">
        <v>146</v>
      </c>
      <c r="C54" s="21"/>
      <c r="D54" s="493">
        <v>6617.3</v>
      </c>
      <c r="E54" s="472"/>
      <c r="F54" s="493">
        <v>7336.9000000000005</v>
      </c>
      <c r="G54" s="472"/>
      <c r="H54" s="493">
        <v>7998.9999999999991</v>
      </c>
      <c r="I54" s="472"/>
      <c r="J54" s="493">
        <v>5495.4999999999991</v>
      </c>
      <c r="K54" s="1011"/>
      <c r="L54" s="493">
        <v>5878.4999999999955</v>
      </c>
      <c r="M54" s="1011"/>
      <c r="N54" s="493">
        <v>8639.8999999999978</v>
      </c>
      <c r="O54" s="1011"/>
      <c r="P54" s="493">
        <v>5165.4000000000015</v>
      </c>
      <c r="Q54" s="1011"/>
      <c r="R54" s="493">
        <v>5168.5</v>
      </c>
      <c r="S54" s="1011"/>
      <c r="T54" s="493">
        <v>11071.800000000003</v>
      </c>
      <c r="U54" s="1011"/>
      <c r="V54" s="493">
        <v>7314.8999999999978</v>
      </c>
      <c r="W54" s="1011"/>
      <c r="X54" s="493">
        <v>5585.7000000000153</v>
      </c>
      <c r="Y54" s="1011"/>
      <c r="Z54" s="493">
        <f t="shared" ref="Z54" si="10">$AD54-$D54-$F54-$H54-$J54-$L54-$N54-$P54-$R54-$T54-$V54-$X54</f>
        <v>8347.0999999999913</v>
      </c>
      <c r="AA54" s="496"/>
      <c r="AB54" s="467"/>
      <c r="AC54" s="939"/>
      <c r="AD54" s="919">
        <v>84620.5</v>
      </c>
      <c r="AE54" s="467"/>
      <c r="AF54" s="940"/>
      <c r="AG54" s="919">
        <v>88634.6</v>
      </c>
      <c r="AH54" s="191"/>
      <c r="AI54" s="36"/>
      <c r="AJ54" s="467">
        <f>ROUND(SUM(+AD54-AG54),1)</f>
        <v>-4014.1</v>
      </c>
      <c r="AK54" s="467"/>
      <c r="AL54" s="965">
        <f>ROUND(SUM((AD54-AG54)/ABS(AG54)),3)</f>
        <v>-4.4999999999999998E-2</v>
      </c>
    </row>
    <row r="55" spans="1:38" ht="15" customHeight="1">
      <c r="A55" s="99"/>
      <c r="B55" s="21"/>
      <c r="C55" s="21"/>
      <c r="D55" s="1152"/>
      <c r="E55" s="472"/>
      <c r="F55" s="1152"/>
      <c r="G55" s="472"/>
      <c r="H55" s="1152"/>
      <c r="I55" s="472"/>
      <c r="J55" s="1152"/>
      <c r="K55" s="39"/>
      <c r="L55" s="1152"/>
      <c r="M55" s="39"/>
      <c r="N55" s="113"/>
      <c r="O55" s="39"/>
      <c r="P55" s="113"/>
      <c r="Q55" s="39"/>
      <c r="R55" s="113"/>
      <c r="S55" s="39"/>
      <c r="T55" s="61"/>
      <c r="U55" s="39"/>
      <c r="V55" s="61"/>
      <c r="W55" s="36"/>
      <c r="X55" s="61"/>
      <c r="Y55" s="36"/>
      <c r="Z55" s="61"/>
      <c r="AA55" s="36"/>
      <c r="AB55" s="39"/>
      <c r="AC55" s="174"/>
      <c r="AD55" s="61"/>
      <c r="AE55" s="36"/>
      <c r="AF55" s="752"/>
      <c r="AG55" s="61"/>
      <c r="AH55" s="191"/>
      <c r="AI55" s="36"/>
      <c r="AJ55" s="949"/>
      <c r="AK55" s="950"/>
      <c r="AL55" s="966"/>
    </row>
    <row r="56" spans="1:38" ht="15" customHeight="1">
      <c r="A56" s="99"/>
      <c r="B56" s="19" t="s">
        <v>147</v>
      </c>
      <c r="C56" s="21"/>
      <c r="D56" s="42">
        <f>ROUND(SUM(+D52+D54),2)</f>
        <v>6634.3</v>
      </c>
      <c r="E56" s="111"/>
      <c r="F56" s="42">
        <f>ROUND(SUM(+F52+F54),2)</f>
        <v>7392.5</v>
      </c>
      <c r="G56" s="111"/>
      <c r="H56" s="42">
        <f>ROUND(SUM(+H52+H54),2)</f>
        <v>8017.6</v>
      </c>
      <c r="I56" s="111"/>
      <c r="J56" s="42">
        <f>ROUND(SUM(+J52+J54),2)</f>
        <v>5520.7</v>
      </c>
      <c r="K56" s="111"/>
      <c r="L56" s="42">
        <f>ROUND(SUM(+L52+L54),2)</f>
        <v>5918.4</v>
      </c>
      <c r="M56" s="111"/>
      <c r="N56" s="42">
        <f>ROUND(SUM(+N52+N54),2)</f>
        <v>8674.1</v>
      </c>
      <c r="O56" s="111"/>
      <c r="P56" s="42">
        <f>ROUND(SUM(+P52+P54),2)</f>
        <v>5208.2</v>
      </c>
      <c r="Q56" s="111"/>
      <c r="R56" s="42">
        <f>ROUND(SUM(+R52+R54),2)</f>
        <v>5228.8999999999996</v>
      </c>
      <c r="S56" s="42"/>
      <c r="T56" s="42">
        <f t="shared" ref="T56" si="11">ROUND(SUM(+T52+T54),2)</f>
        <v>11129.9</v>
      </c>
      <c r="U56" s="111"/>
      <c r="V56" s="42">
        <f>ROUND(SUM(+V52+V54),2)</f>
        <v>7384.2</v>
      </c>
      <c r="W56" s="42"/>
      <c r="X56" s="42">
        <f>ROUND(SUM(+X52+X54),2)</f>
        <v>5669.3</v>
      </c>
      <c r="Y56" s="42"/>
      <c r="Z56" s="42">
        <f>ROUND(SUM(+Z52+Z54),2)</f>
        <v>8419.2999999999993</v>
      </c>
      <c r="AA56" s="42"/>
      <c r="AB56" s="111"/>
      <c r="AC56" s="1246"/>
      <c r="AD56" s="42">
        <f>ROUND(SUM(+AD52+AD54),1)</f>
        <v>85197.4</v>
      </c>
      <c r="AE56" s="42"/>
      <c r="AF56" s="1247"/>
      <c r="AG56" s="42">
        <f>ROUND(SUM(+AG52+AG54),1)</f>
        <v>88817.5</v>
      </c>
      <c r="AH56" s="197"/>
      <c r="AI56" s="42"/>
      <c r="AJ56" s="603">
        <f>ROUND(SUM(+AJ52+AJ54),1)</f>
        <v>-3620.1</v>
      </c>
      <c r="AK56" s="198"/>
      <c r="AL56" s="967">
        <f>ROUND(SUM((AD56-AG56)/ABS(AG56)),3)</f>
        <v>-4.1000000000000002E-2</v>
      </c>
    </row>
    <row r="57" spans="1:38" ht="15" customHeight="1">
      <c r="A57" s="99"/>
      <c r="B57" s="21"/>
      <c r="C57" s="21"/>
      <c r="D57" s="1152"/>
      <c r="E57" s="472"/>
      <c r="F57" s="497"/>
      <c r="G57" s="472"/>
      <c r="H57" s="497"/>
      <c r="I57" s="472"/>
      <c r="J57" s="497"/>
      <c r="K57" s="39"/>
      <c r="L57" s="497"/>
      <c r="M57" s="39"/>
      <c r="N57" s="61"/>
      <c r="O57" s="39"/>
      <c r="P57" s="61"/>
      <c r="Q57" s="39"/>
      <c r="R57" s="61"/>
      <c r="S57" s="39"/>
      <c r="T57" s="61"/>
      <c r="U57" s="39"/>
      <c r="V57" s="61"/>
      <c r="W57" s="36"/>
      <c r="X57" s="61"/>
      <c r="Y57" s="36"/>
      <c r="Z57" s="61"/>
      <c r="AA57" s="36"/>
      <c r="AB57" s="39"/>
      <c r="AC57" s="174"/>
      <c r="AD57" s="113"/>
      <c r="AE57" s="39"/>
      <c r="AF57" s="1780"/>
      <c r="AG57" s="113"/>
      <c r="AH57" s="1140"/>
      <c r="AI57" s="20"/>
      <c r="AJ57" s="950"/>
      <c r="AK57" s="950"/>
      <c r="AL57" s="966"/>
    </row>
    <row r="58" spans="1:38" ht="15" customHeight="1">
      <c r="A58" s="99"/>
      <c r="B58" s="117" t="s">
        <v>22</v>
      </c>
      <c r="C58" s="21"/>
      <c r="D58" s="472"/>
      <c r="E58" s="472"/>
      <c r="F58" s="467"/>
      <c r="G58" s="472"/>
      <c r="H58" s="467"/>
      <c r="I58" s="472"/>
      <c r="J58" s="467"/>
      <c r="K58" s="39"/>
      <c r="L58" s="467"/>
      <c r="M58" s="39"/>
      <c r="N58" s="36"/>
      <c r="O58" s="39"/>
      <c r="P58" s="36"/>
      <c r="Q58" s="39"/>
      <c r="R58" s="36"/>
      <c r="S58" s="39"/>
      <c r="T58" s="36"/>
      <c r="U58" s="39"/>
      <c r="V58" s="36"/>
      <c r="W58" s="36"/>
      <c r="X58" s="36"/>
      <c r="Y58" s="36"/>
      <c r="Z58" s="36"/>
      <c r="AA58" s="36"/>
      <c r="AB58" s="39"/>
      <c r="AC58" s="174"/>
      <c r="AD58" s="39"/>
      <c r="AE58" s="39"/>
      <c r="AF58" s="1780"/>
      <c r="AG58" s="39"/>
      <c r="AH58" s="1140"/>
      <c r="AI58" s="20"/>
      <c r="AJ58" s="950"/>
      <c r="AK58" s="950"/>
      <c r="AL58" s="966"/>
    </row>
    <row r="59" spans="1:38" ht="15" customHeight="1">
      <c r="A59" s="99"/>
      <c r="B59" s="499" t="s">
        <v>148</v>
      </c>
      <c r="C59" s="21"/>
      <c r="D59" s="493"/>
      <c r="E59" s="472"/>
      <c r="F59" s="493"/>
      <c r="G59" s="472"/>
      <c r="H59" s="493"/>
      <c r="I59" s="472"/>
      <c r="J59" s="493"/>
      <c r="K59" s="39"/>
      <c r="L59" s="493"/>
      <c r="M59" s="39"/>
      <c r="N59" s="46"/>
      <c r="O59" s="39"/>
      <c r="P59" s="1248"/>
      <c r="Q59" s="39"/>
      <c r="R59" s="46"/>
      <c r="S59" s="39"/>
      <c r="T59" s="46"/>
      <c r="U59" s="39"/>
      <c r="V59" s="36"/>
      <c r="W59" s="36"/>
      <c r="X59" s="36"/>
      <c r="Y59" s="36"/>
      <c r="Z59" s="36"/>
      <c r="AA59" s="36"/>
      <c r="AB59" s="39"/>
      <c r="AC59" s="174"/>
      <c r="AD59" s="39"/>
      <c r="AE59" s="39"/>
      <c r="AF59" s="1780"/>
      <c r="AG59" s="39"/>
      <c r="AH59" s="1140"/>
      <c r="AI59" s="20"/>
      <c r="AJ59" s="674"/>
      <c r="AK59" s="950"/>
      <c r="AL59" s="966"/>
    </row>
    <row r="60" spans="1:38" ht="15" customHeight="1">
      <c r="A60" s="99"/>
      <c r="B60" s="119" t="s">
        <v>24</v>
      </c>
      <c r="C60" s="21"/>
      <c r="D60" s="493">
        <v>545.5</v>
      </c>
      <c r="E60" s="472"/>
      <c r="F60" s="493">
        <v>758.7</v>
      </c>
      <c r="G60" s="472"/>
      <c r="H60" s="493">
        <v>396.20000000000005</v>
      </c>
      <c r="I60" s="472"/>
      <c r="J60" s="493">
        <v>634.40000000000009</v>
      </c>
      <c r="K60" s="1011"/>
      <c r="L60" s="493">
        <v>489.19999999999982</v>
      </c>
      <c r="M60" s="1011"/>
      <c r="N60" s="493">
        <v>173.59999999999991</v>
      </c>
      <c r="O60" s="493"/>
      <c r="P60" s="493">
        <v>225.20000000000027</v>
      </c>
      <c r="Q60" s="1011"/>
      <c r="R60" s="493">
        <v>460.20000000000005</v>
      </c>
      <c r="S60" s="1011"/>
      <c r="T60" s="493">
        <v>2955.9000000000005</v>
      </c>
      <c r="U60" s="1011"/>
      <c r="V60" s="493">
        <v>422.10000000000036</v>
      </c>
      <c r="W60" s="1011"/>
      <c r="X60" s="493">
        <v>787.5</v>
      </c>
      <c r="Y60" s="1011"/>
      <c r="Z60" s="493">
        <f t="shared" ref="Z60:Z69" si="12">$AD60-$D60-$F60-$H60-$J60-$L60-$N60-$P60-$R60-$T60-$V60-$X60</f>
        <v>754</v>
      </c>
      <c r="AA60" s="496"/>
      <c r="AB60" s="467"/>
      <c r="AC60" s="939"/>
      <c r="AD60" s="919">
        <v>8602.5</v>
      </c>
      <c r="AE60" s="467"/>
      <c r="AF60" s="940"/>
      <c r="AG60" s="919">
        <v>6460.8</v>
      </c>
      <c r="AH60" s="191"/>
      <c r="AI60" s="36"/>
      <c r="AJ60" s="467">
        <f>ROUND(SUM(+AD60-AG60),1)</f>
        <v>2141.6999999999998</v>
      </c>
      <c r="AK60" s="467"/>
      <c r="AL60" s="469">
        <f>ROUND(IF(AG60=0,0,AJ60/ABS(AG60)),3)</f>
        <v>0.33100000000000002</v>
      </c>
    </row>
    <row r="61" spans="1:38" ht="15" customHeight="1">
      <c r="A61" s="99"/>
      <c r="B61" s="119" t="s">
        <v>25</v>
      </c>
      <c r="C61" s="21"/>
      <c r="D61" s="493">
        <v>0</v>
      </c>
      <c r="E61" s="472"/>
      <c r="F61" s="493">
        <v>0</v>
      </c>
      <c r="G61" s="472"/>
      <c r="H61" s="493">
        <v>0</v>
      </c>
      <c r="I61" s="472"/>
      <c r="J61" s="493">
        <v>0.3</v>
      </c>
      <c r="K61" s="1011"/>
      <c r="L61" s="493">
        <v>0</v>
      </c>
      <c r="M61" s="1011"/>
      <c r="N61" s="493">
        <v>0.10000000000000003</v>
      </c>
      <c r="O61" s="1011"/>
      <c r="P61" s="493">
        <v>0</v>
      </c>
      <c r="Q61" s="1011"/>
      <c r="R61" s="493">
        <v>0.29999999999999993</v>
      </c>
      <c r="S61" s="1011"/>
      <c r="T61" s="493">
        <v>0</v>
      </c>
      <c r="U61" s="1011"/>
      <c r="V61" s="493">
        <v>0.10000000000000003</v>
      </c>
      <c r="W61" s="1011"/>
      <c r="X61" s="493">
        <v>0.49999999999999994</v>
      </c>
      <c r="Y61" s="1011"/>
      <c r="Z61" s="493">
        <f t="shared" si="12"/>
        <v>0.2</v>
      </c>
      <c r="AA61" s="496"/>
      <c r="AB61" s="467"/>
      <c r="AC61" s="939"/>
      <c r="AD61" s="919">
        <v>1.5</v>
      </c>
      <c r="AE61" s="467"/>
      <c r="AF61" s="940"/>
      <c r="AG61" s="919">
        <v>1.1000000000000001</v>
      </c>
      <c r="AH61" s="191"/>
      <c r="AI61" s="36"/>
      <c r="AJ61" s="467">
        <f>ROUND(SUM(+AD61-AG61),1)</f>
        <v>0.4</v>
      </c>
      <c r="AK61" s="467"/>
      <c r="AL61" s="1145">
        <f>ROUND(IF(AG61=0,1,AJ61/ABS(AG61)),3)</f>
        <v>0.36399999999999999</v>
      </c>
    </row>
    <row r="62" spans="1:38" ht="15" customHeight="1">
      <c r="A62" s="99"/>
      <c r="B62" s="119" t="s">
        <v>26</v>
      </c>
      <c r="C62" s="21"/>
      <c r="D62" s="493">
        <v>1.1000000000000001</v>
      </c>
      <c r="E62" s="472"/>
      <c r="F62" s="493">
        <v>11.5</v>
      </c>
      <c r="G62" s="472"/>
      <c r="H62" s="493">
        <v>26.299999999999997</v>
      </c>
      <c r="I62" s="472"/>
      <c r="J62" s="493">
        <v>389.2</v>
      </c>
      <c r="K62" s="1011"/>
      <c r="L62" s="493">
        <v>5.2999999999999918</v>
      </c>
      <c r="M62" s="1011"/>
      <c r="N62" s="493">
        <v>24.499999999999964</v>
      </c>
      <c r="O62" s="1011"/>
      <c r="P62" s="493">
        <v>2.3000000000000114</v>
      </c>
      <c r="Q62" s="1011"/>
      <c r="R62" s="493">
        <v>2.1999999999999886</v>
      </c>
      <c r="S62" s="1011"/>
      <c r="T62" s="493">
        <v>17</v>
      </c>
      <c r="U62" s="1011"/>
      <c r="V62" s="493">
        <v>9</v>
      </c>
      <c r="W62" s="1011"/>
      <c r="X62" s="493">
        <v>0.40000000000003411</v>
      </c>
      <c r="Y62" s="1011"/>
      <c r="Z62" s="493">
        <f t="shared" si="12"/>
        <v>4.0999999999999659</v>
      </c>
      <c r="AA62" s="496"/>
      <c r="AB62" s="467"/>
      <c r="AC62" s="939"/>
      <c r="AD62" s="919">
        <v>492.9</v>
      </c>
      <c r="AE62" s="467"/>
      <c r="AF62" s="940"/>
      <c r="AG62" s="919">
        <v>546.70000000000005</v>
      </c>
      <c r="AH62" s="191"/>
      <c r="AI62" s="36"/>
      <c r="AJ62" s="467">
        <f>ROUND(SUM(+AD62-AG62),1)</f>
        <v>-53.8</v>
      </c>
      <c r="AK62" s="467"/>
      <c r="AL62" s="469">
        <f>ROUND(IF(AG62=0,0,AJ62/ABS(AG62)),3)</f>
        <v>-9.8000000000000004E-2</v>
      </c>
    </row>
    <row r="63" spans="1:38" ht="15" customHeight="1">
      <c r="A63" s="99"/>
      <c r="B63" s="119" t="s">
        <v>27</v>
      </c>
      <c r="C63" s="21"/>
      <c r="D63" s="493" t="s">
        <v>14</v>
      </c>
      <c r="E63" s="472"/>
      <c r="F63" s="493"/>
      <c r="G63" s="472"/>
      <c r="H63" s="493"/>
      <c r="I63" s="472"/>
      <c r="J63" s="493"/>
      <c r="K63" s="1011"/>
      <c r="L63" s="493"/>
      <c r="M63" s="1011"/>
      <c r="N63" s="493" t="s">
        <v>14</v>
      </c>
      <c r="O63" s="1011"/>
      <c r="P63" s="493" t="s">
        <v>14</v>
      </c>
      <c r="Q63" s="1011"/>
      <c r="R63" s="493" t="s">
        <v>14</v>
      </c>
      <c r="S63" s="1011"/>
      <c r="T63" s="493"/>
      <c r="U63" s="1011"/>
      <c r="V63" s="493"/>
      <c r="W63" s="1011"/>
      <c r="X63" s="493"/>
      <c r="Y63" s="1011"/>
      <c r="Z63" s="493"/>
      <c r="AA63" s="496"/>
      <c r="AB63" s="467"/>
      <c r="AC63" s="939"/>
      <c r="AD63" s="919"/>
      <c r="AE63" s="467"/>
      <c r="AF63" s="940"/>
      <c r="AG63" s="919"/>
      <c r="AH63" s="191"/>
      <c r="AI63" s="36"/>
      <c r="AJ63" s="493"/>
      <c r="AK63" s="674"/>
      <c r="AL63" s="966"/>
    </row>
    <row r="64" spans="1:38" ht="15" customHeight="1">
      <c r="A64" s="99"/>
      <c r="B64" s="1141" t="s">
        <v>28</v>
      </c>
      <c r="C64" s="21"/>
      <c r="D64" s="493">
        <v>4771.8</v>
      </c>
      <c r="E64" s="472"/>
      <c r="F64" s="493">
        <v>3972.4999999999991</v>
      </c>
      <c r="G64" s="472"/>
      <c r="H64" s="493">
        <v>4395.300000000002</v>
      </c>
      <c r="I64" s="472"/>
      <c r="J64" s="493">
        <v>3950.7999999999984</v>
      </c>
      <c r="K64" s="1011"/>
      <c r="L64" s="493">
        <v>4380.6999999999962</v>
      </c>
      <c r="M64" s="1011"/>
      <c r="N64" s="493">
        <v>3622.600000000004</v>
      </c>
      <c r="O64" s="1011"/>
      <c r="P64" s="493">
        <v>4118.9999999999955</v>
      </c>
      <c r="Q64" s="1011"/>
      <c r="R64" s="493">
        <v>4901.9000000000005</v>
      </c>
      <c r="S64" s="1011"/>
      <c r="T64" s="493">
        <v>4505.8999999999987</v>
      </c>
      <c r="U64" s="1011"/>
      <c r="V64" s="493">
        <v>3833.0999999999976</v>
      </c>
      <c r="W64" s="1011"/>
      <c r="X64" s="493">
        <v>3550.0999999999985</v>
      </c>
      <c r="Y64" s="1011"/>
      <c r="Z64" s="493">
        <f t="shared" si="12"/>
        <v>6551.4000000000015</v>
      </c>
      <c r="AA64" s="496"/>
      <c r="AB64" s="467"/>
      <c r="AC64" s="939"/>
      <c r="AD64" s="919">
        <v>52555.1</v>
      </c>
      <c r="AE64" s="467"/>
      <c r="AF64" s="940"/>
      <c r="AG64" s="919">
        <v>47518</v>
      </c>
      <c r="AH64" s="191"/>
      <c r="AI64" s="36"/>
      <c r="AJ64" s="467">
        <f t="shared" ref="AJ64:AJ69" si="13">ROUND(SUM(+AD64-AG64),1)</f>
        <v>5037.1000000000004</v>
      </c>
      <c r="AK64" s="467"/>
      <c r="AL64" s="469">
        <f t="shared" ref="AL64:AL69" si="14">ROUND(IF(AG64=0,0,AJ64/ABS(AG64)),3)</f>
        <v>0.106</v>
      </c>
    </row>
    <row r="65" spans="1:38" ht="15" customHeight="1">
      <c r="A65" s="99"/>
      <c r="B65" s="119" t="s">
        <v>29</v>
      </c>
      <c r="C65" s="21"/>
      <c r="D65" s="493">
        <v>459.6</v>
      </c>
      <c r="E65" s="472"/>
      <c r="F65" s="493">
        <v>608.4</v>
      </c>
      <c r="G65" s="472"/>
      <c r="H65" s="493">
        <v>862.70000000000016</v>
      </c>
      <c r="I65" s="472"/>
      <c r="J65" s="493">
        <v>638.0999999999998</v>
      </c>
      <c r="K65" s="1011"/>
      <c r="L65" s="493">
        <v>668.6999999999997</v>
      </c>
      <c r="M65" s="1011"/>
      <c r="N65" s="493">
        <v>800.29999999999984</v>
      </c>
      <c r="O65" s="1011"/>
      <c r="P65" s="493">
        <v>692.80000000000007</v>
      </c>
      <c r="Q65" s="1011"/>
      <c r="R65" s="493">
        <v>692.00000000000057</v>
      </c>
      <c r="S65" s="1011"/>
      <c r="T65" s="493">
        <v>883.5999999999998</v>
      </c>
      <c r="U65" s="1011"/>
      <c r="V65" s="493">
        <v>709.40000000000111</v>
      </c>
      <c r="W65" s="1011"/>
      <c r="X65" s="493">
        <v>159.79999999999927</v>
      </c>
      <c r="Y65" s="1011"/>
      <c r="Z65" s="493">
        <f t="shared" si="12"/>
        <v>1469.3000000000006</v>
      </c>
      <c r="AA65" s="496"/>
      <c r="AB65" s="467"/>
      <c r="AC65" s="939"/>
      <c r="AD65" s="919">
        <v>8644.7000000000007</v>
      </c>
      <c r="AE65" s="467"/>
      <c r="AF65" s="940"/>
      <c r="AG65" s="919">
        <v>7727.4</v>
      </c>
      <c r="AH65" s="191"/>
      <c r="AI65" s="36"/>
      <c r="AJ65" s="467">
        <f t="shared" si="13"/>
        <v>917.3</v>
      </c>
      <c r="AK65" s="467"/>
      <c r="AL65" s="469">
        <f t="shared" si="14"/>
        <v>0.11899999999999999</v>
      </c>
    </row>
    <row r="66" spans="1:38" ht="15" customHeight="1">
      <c r="A66" s="99"/>
      <c r="B66" s="119" t="s">
        <v>30</v>
      </c>
      <c r="C66" s="21"/>
      <c r="D66" s="493">
        <v>57.9</v>
      </c>
      <c r="E66" s="472"/>
      <c r="F66" s="493">
        <v>103.29999999999998</v>
      </c>
      <c r="G66" s="472"/>
      <c r="H66" s="493">
        <v>199.30000000000004</v>
      </c>
      <c r="I66" s="472"/>
      <c r="J66" s="493">
        <v>54.6</v>
      </c>
      <c r="K66" s="1011"/>
      <c r="L66" s="493">
        <v>227.1</v>
      </c>
      <c r="M66" s="1011"/>
      <c r="N66" s="493">
        <v>98.9</v>
      </c>
      <c r="O66" s="1011"/>
      <c r="P66" s="493">
        <v>170.39999999999995</v>
      </c>
      <c r="Q66" s="1011"/>
      <c r="R66" s="493">
        <v>107.10000000000005</v>
      </c>
      <c r="S66" s="1011"/>
      <c r="T66" s="493">
        <v>937.10000000000025</v>
      </c>
      <c r="U66" s="1011"/>
      <c r="V66" s="493">
        <v>176.60000000000002</v>
      </c>
      <c r="W66" s="1011"/>
      <c r="X66" s="493">
        <v>237.89999999999941</v>
      </c>
      <c r="Y66" s="1011"/>
      <c r="Z66" s="493">
        <f t="shared" si="12"/>
        <v>782.1</v>
      </c>
      <c r="AA66" s="496"/>
      <c r="AB66" s="467"/>
      <c r="AC66" s="939"/>
      <c r="AD66" s="919">
        <v>3152.3</v>
      </c>
      <c r="AE66" s="467"/>
      <c r="AF66" s="940"/>
      <c r="AG66" s="919">
        <v>1738.5</v>
      </c>
      <c r="AH66" s="191"/>
      <c r="AI66" s="36"/>
      <c r="AJ66" s="467">
        <f t="shared" si="13"/>
        <v>1413.8</v>
      </c>
      <c r="AK66" s="467"/>
      <c r="AL66" s="469">
        <f t="shared" si="14"/>
        <v>0.81299999999999994</v>
      </c>
    </row>
    <row r="67" spans="1:38" ht="15" customHeight="1">
      <c r="A67" s="99"/>
      <c r="B67" s="119" t="s">
        <v>31</v>
      </c>
      <c r="C67" s="21"/>
      <c r="D67" s="493">
        <v>441.4</v>
      </c>
      <c r="E67" s="472"/>
      <c r="F67" s="493">
        <v>545.30000000000007</v>
      </c>
      <c r="G67" s="472"/>
      <c r="H67" s="493">
        <v>678.79999999999984</v>
      </c>
      <c r="I67" s="472"/>
      <c r="J67" s="493">
        <v>740.00000000000011</v>
      </c>
      <c r="K67" s="1011"/>
      <c r="L67" s="493">
        <v>329.20000000000005</v>
      </c>
      <c r="M67" s="1011"/>
      <c r="N67" s="493">
        <v>495.69999999999993</v>
      </c>
      <c r="O67" s="1011"/>
      <c r="P67" s="493">
        <v>577.9000000000002</v>
      </c>
      <c r="Q67" s="1011"/>
      <c r="R67" s="493">
        <v>290.39999999999964</v>
      </c>
      <c r="S67" s="1011"/>
      <c r="T67" s="493">
        <v>731.00000000000034</v>
      </c>
      <c r="U67" s="1011"/>
      <c r="V67" s="493">
        <v>282.3000000000003</v>
      </c>
      <c r="W67" s="1011"/>
      <c r="X67" s="493">
        <v>560.69999999999982</v>
      </c>
      <c r="Y67" s="1011"/>
      <c r="Z67" s="493">
        <f t="shared" si="12"/>
        <v>776.40000000000055</v>
      </c>
      <c r="AA67" s="496"/>
      <c r="AB67" s="467"/>
      <c r="AC67" s="939"/>
      <c r="AD67" s="919">
        <v>6449.1</v>
      </c>
      <c r="AE67" s="467"/>
      <c r="AF67" s="940"/>
      <c r="AG67" s="919">
        <v>7562.3</v>
      </c>
      <c r="AH67" s="191"/>
      <c r="AI67" s="36"/>
      <c r="AJ67" s="467">
        <f t="shared" si="13"/>
        <v>-1113.2</v>
      </c>
      <c r="AK67" s="467"/>
      <c r="AL67" s="469">
        <f t="shared" si="14"/>
        <v>-0.14699999999999999</v>
      </c>
    </row>
    <row r="68" spans="1:38" ht="15" customHeight="1">
      <c r="A68" s="99"/>
      <c r="B68" s="119" t="s">
        <v>32</v>
      </c>
      <c r="C68" s="21"/>
      <c r="D68" s="493">
        <v>0</v>
      </c>
      <c r="E68" s="472"/>
      <c r="F68" s="493">
        <v>1.8</v>
      </c>
      <c r="G68" s="472"/>
      <c r="H68" s="493">
        <v>0.10000000000000009</v>
      </c>
      <c r="I68" s="472"/>
      <c r="J68" s="493">
        <v>0</v>
      </c>
      <c r="K68" s="1011"/>
      <c r="L68" s="493">
        <v>0.99999999999999978</v>
      </c>
      <c r="M68" s="1011"/>
      <c r="N68" s="493">
        <v>0.99999999999999978</v>
      </c>
      <c r="O68" s="1011"/>
      <c r="P68" s="493">
        <v>0.40000000000000124</v>
      </c>
      <c r="Q68" s="1011"/>
      <c r="R68" s="493">
        <v>0.19999999999999929</v>
      </c>
      <c r="S68" s="1011"/>
      <c r="T68" s="493">
        <v>1.3999999999999995</v>
      </c>
      <c r="U68" s="1011"/>
      <c r="V68" s="493">
        <v>9.9999999999999645E-2</v>
      </c>
      <c r="W68" s="1011"/>
      <c r="X68" s="493">
        <v>0</v>
      </c>
      <c r="Y68" s="1011"/>
      <c r="Z68" s="493">
        <f t="shared" si="12"/>
        <v>1.3000000000000007</v>
      </c>
      <c r="AA68" s="496"/>
      <c r="AB68" s="467"/>
      <c r="AC68" s="939"/>
      <c r="AD68" s="452">
        <v>7.3</v>
      </c>
      <c r="AE68" s="467"/>
      <c r="AF68" s="940"/>
      <c r="AG68" s="919">
        <v>9.6</v>
      </c>
      <c r="AH68" s="191"/>
      <c r="AI68" s="36"/>
      <c r="AJ68" s="467">
        <f t="shared" si="13"/>
        <v>-2.2999999999999998</v>
      </c>
      <c r="AK68" s="467"/>
      <c r="AL68" s="469">
        <f t="shared" si="14"/>
        <v>-0.24</v>
      </c>
    </row>
    <row r="69" spans="1:38" ht="15" customHeight="1">
      <c r="A69" s="99"/>
      <c r="B69" s="119" t="s">
        <v>33</v>
      </c>
      <c r="C69" s="21"/>
      <c r="D69" s="493">
        <v>6</v>
      </c>
      <c r="E69" s="472"/>
      <c r="F69" s="493">
        <v>-5.0999999999999996</v>
      </c>
      <c r="G69" s="472"/>
      <c r="H69" s="493">
        <v>3.6999999999999993</v>
      </c>
      <c r="I69" s="472"/>
      <c r="J69" s="493">
        <v>5.4</v>
      </c>
      <c r="K69" s="1011"/>
      <c r="L69" s="493">
        <v>4.9000000000000004</v>
      </c>
      <c r="M69" s="1011"/>
      <c r="N69" s="493">
        <v>6.1000000000000014</v>
      </c>
      <c r="O69" s="1011"/>
      <c r="P69" s="493">
        <v>7.3999999999999968</v>
      </c>
      <c r="Q69" s="1011"/>
      <c r="R69" s="493">
        <v>5.5000000000000018</v>
      </c>
      <c r="S69" s="1011"/>
      <c r="T69" s="493">
        <v>11.600000000000007</v>
      </c>
      <c r="U69" s="1011"/>
      <c r="V69" s="493">
        <v>5.2000000000000046</v>
      </c>
      <c r="W69" s="1011"/>
      <c r="X69" s="493">
        <v>3.1999999999999886</v>
      </c>
      <c r="Y69" s="1011"/>
      <c r="Z69" s="493">
        <f t="shared" si="12"/>
        <v>7.4000000000000057</v>
      </c>
      <c r="AA69" s="496"/>
      <c r="AB69" s="467"/>
      <c r="AC69" s="939"/>
      <c r="AD69" s="919">
        <v>61.3</v>
      </c>
      <c r="AE69" s="467"/>
      <c r="AF69" s="940"/>
      <c r="AG69" s="919">
        <v>51.3</v>
      </c>
      <c r="AH69" s="191"/>
      <c r="AI69" s="36"/>
      <c r="AJ69" s="467">
        <f t="shared" si="13"/>
        <v>10</v>
      </c>
      <c r="AK69" s="467"/>
      <c r="AL69" s="961">
        <f t="shared" si="14"/>
        <v>0.19500000000000001</v>
      </c>
    </row>
    <row r="70" spans="1:38" ht="15" customHeight="1">
      <c r="A70" s="99"/>
      <c r="B70" s="19" t="s">
        <v>1077</v>
      </c>
      <c r="C70" s="21"/>
      <c r="D70" s="206">
        <f>ROUND(SUM(D60:D69),2)</f>
        <v>6283.3</v>
      </c>
      <c r="E70" s="111"/>
      <c r="F70" s="206">
        <f>ROUND(SUM(F60:F69),2)</f>
        <v>5996.4</v>
      </c>
      <c r="G70" s="111"/>
      <c r="H70" s="206">
        <f>ROUND(SUM(H60:H69),2)</f>
        <v>6562.4</v>
      </c>
      <c r="I70" s="111"/>
      <c r="J70" s="206">
        <f>ROUND(SUM(J60:J69),2)</f>
        <v>6412.8</v>
      </c>
      <c r="K70" s="111"/>
      <c r="L70" s="206">
        <f>ROUND(SUM(L60:L69),2)</f>
        <v>6106.1</v>
      </c>
      <c r="M70" s="111"/>
      <c r="N70" s="206">
        <f>ROUND(SUM(N60:N69),2)</f>
        <v>5222.8</v>
      </c>
      <c r="O70" s="111"/>
      <c r="P70" s="206">
        <f>ROUND(SUM(P60:P69),2)</f>
        <v>5795.4</v>
      </c>
      <c r="Q70" s="111"/>
      <c r="R70" s="206">
        <f>ROUND(SUM(R60:R69),2)</f>
        <v>6459.8</v>
      </c>
      <c r="S70" s="42"/>
      <c r="T70" s="206">
        <f t="shared" ref="T70" si="15">ROUND(SUM(T60:T69),2)</f>
        <v>10043.5</v>
      </c>
      <c r="U70" s="111"/>
      <c r="V70" s="206">
        <f>ROUND(SUM(V60:V69),2)</f>
        <v>5437.9</v>
      </c>
      <c r="W70" s="42"/>
      <c r="X70" s="206">
        <f>ROUND(SUM(X60:X69),2)</f>
        <v>5300.1</v>
      </c>
      <c r="Y70" s="42"/>
      <c r="Z70" s="206">
        <f>ROUND(SUM(Z60:Z69),2)</f>
        <v>10346.200000000001</v>
      </c>
      <c r="AA70" s="42"/>
      <c r="AB70" s="111"/>
      <c r="AC70" s="1246"/>
      <c r="AD70" s="41">
        <f>ROUND(SUM(AD60:AD69),1)</f>
        <v>79966.7</v>
      </c>
      <c r="AE70" s="42"/>
      <c r="AF70" s="1247"/>
      <c r="AG70" s="41">
        <f>ROUND(SUM(AG60:AG69),1)</f>
        <v>71615.7</v>
      </c>
      <c r="AH70" s="197"/>
      <c r="AI70" s="42"/>
      <c r="AJ70" s="74">
        <f>ROUND(SUM(AD70-AG70),1)</f>
        <v>8351</v>
      </c>
      <c r="AK70" s="198"/>
      <c r="AL70" s="964">
        <f>ROUND(SUM((AD70-AG70)/ABS(AG70)),3)</f>
        <v>0.11700000000000001</v>
      </c>
    </row>
    <row r="71" spans="1:38" ht="15" customHeight="1">
      <c r="A71" s="99"/>
      <c r="B71" s="21" t="s">
        <v>149</v>
      </c>
      <c r="C71" s="21"/>
      <c r="D71" s="472"/>
      <c r="E71" s="472"/>
      <c r="F71" s="467"/>
      <c r="G71" s="472"/>
      <c r="H71" s="467"/>
      <c r="I71" s="472"/>
      <c r="J71" s="467"/>
      <c r="K71" s="39"/>
      <c r="L71" s="467"/>
      <c r="M71" s="39"/>
      <c r="N71" s="36"/>
      <c r="O71" s="39"/>
      <c r="P71" s="36"/>
      <c r="Q71" s="39"/>
      <c r="R71" s="36"/>
      <c r="S71" s="39"/>
      <c r="T71" s="36"/>
      <c r="U71" s="39"/>
      <c r="V71" s="36"/>
      <c r="W71" s="36"/>
      <c r="X71" s="36"/>
      <c r="Y71" s="36"/>
      <c r="Z71" s="36"/>
      <c r="AA71" s="36"/>
      <c r="AB71" s="39"/>
      <c r="AC71" s="174"/>
      <c r="AD71" s="39"/>
      <c r="AE71" s="39"/>
      <c r="AF71" s="1780"/>
      <c r="AG71" s="39"/>
      <c r="AH71" s="1140"/>
      <c r="AI71" s="20"/>
      <c r="AJ71" s="950"/>
      <c r="AK71" s="950"/>
      <c r="AL71" s="966"/>
    </row>
    <row r="72" spans="1:38" ht="15" customHeight="1">
      <c r="A72" s="99"/>
      <c r="B72" s="21" t="s">
        <v>150</v>
      </c>
      <c r="C72" s="21"/>
      <c r="D72" s="493">
        <v>53.6</v>
      </c>
      <c r="E72" s="472"/>
      <c r="F72" s="493">
        <v>54.499999999999993</v>
      </c>
      <c r="G72" s="472"/>
      <c r="H72" s="493">
        <v>56.999999999999993</v>
      </c>
      <c r="I72" s="472"/>
      <c r="J72" s="493">
        <v>48.70000000000001</v>
      </c>
      <c r="K72" s="1011"/>
      <c r="L72" s="493">
        <v>83</v>
      </c>
      <c r="M72" s="1011"/>
      <c r="N72" s="493">
        <v>55.099999999999937</v>
      </c>
      <c r="O72" s="1011"/>
      <c r="P72" s="493">
        <v>60.200000000000045</v>
      </c>
      <c r="Q72" s="1011"/>
      <c r="R72" s="493">
        <v>52.599999999999966</v>
      </c>
      <c r="S72" s="1011"/>
      <c r="T72" s="493">
        <v>54.400000000000063</v>
      </c>
      <c r="U72" s="1011"/>
      <c r="V72" s="493">
        <v>55</v>
      </c>
      <c r="W72" s="1011"/>
      <c r="X72" s="493">
        <v>51.699999999999903</v>
      </c>
      <c r="Y72" s="1011"/>
      <c r="Z72" s="493">
        <f t="shared" ref="Z72:Z77" si="16">$AD72-$D72-$F72-$H72-$J72-$L72-$N72-$P72-$R72-$T72-$V72-$X72</f>
        <v>78.700000000000045</v>
      </c>
      <c r="AA72" s="496"/>
      <c r="AB72" s="467"/>
      <c r="AC72" s="939"/>
      <c r="AD72" s="919">
        <v>704.5</v>
      </c>
      <c r="AE72" s="467"/>
      <c r="AF72" s="940"/>
      <c r="AG72" s="919">
        <v>1850.9</v>
      </c>
      <c r="AH72" s="191"/>
      <c r="AI72" s="36"/>
      <c r="AJ72" s="467">
        <f>ROUND(SUM(+AD72-AG72),1)</f>
        <v>-1146.4000000000001</v>
      </c>
      <c r="AK72" s="467"/>
      <c r="AL72" s="469">
        <f>ROUND(IF(AG72=0,0,AJ72/ABS(AG72)),3)</f>
        <v>-0.61899999999999999</v>
      </c>
    </row>
    <row r="73" spans="1:38" ht="15" customHeight="1">
      <c r="A73" s="99"/>
      <c r="B73" s="21" t="s">
        <v>176</v>
      </c>
      <c r="C73" s="21"/>
      <c r="D73" s="493">
        <v>80.2</v>
      </c>
      <c r="E73" s="472"/>
      <c r="F73" s="493">
        <v>169.5</v>
      </c>
      <c r="G73" s="472"/>
      <c r="H73" s="493">
        <v>160.69999999999999</v>
      </c>
      <c r="I73" s="472"/>
      <c r="J73" s="493">
        <v>70.600000000000009</v>
      </c>
      <c r="K73" s="1011"/>
      <c r="L73" s="493">
        <v>137.79999999999995</v>
      </c>
      <c r="M73" s="1011"/>
      <c r="N73" s="493">
        <v>188.99999999999994</v>
      </c>
      <c r="O73" s="1011"/>
      <c r="P73" s="493">
        <v>95.400000000000091</v>
      </c>
      <c r="Q73" s="1011"/>
      <c r="R73" s="493">
        <v>121.19999999999999</v>
      </c>
      <c r="S73" s="1011"/>
      <c r="T73" s="493">
        <v>127.69999999999982</v>
      </c>
      <c r="U73" s="1011"/>
      <c r="V73" s="493">
        <v>124.10000000000014</v>
      </c>
      <c r="W73" s="1011"/>
      <c r="X73" s="493">
        <v>158.50000000000006</v>
      </c>
      <c r="Y73" s="1011"/>
      <c r="Z73" s="493">
        <f t="shared" si="16"/>
        <v>196.09999999999985</v>
      </c>
      <c r="AA73" s="496"/>
      <c r="AB73" s="467"/>
      <c r="AC73" s="939"/>
      <c r="AD73" s="919">
        <v>1630.8</v>
      </c>
      <c r="AE73" s="467"/>
      <c r="AF73" s="940"/>
      <c r="AG73" s="919">
        <v>2687</v>
      </c>
      <c r="AH73" s="191"/>
      <c r="AI73" s="36"/>
      <c r="AJ73" s="467">
        <f>ROUND(SUM(+AD73-AG73),1)</f>
        <v>-1056.2</v>
      </c>
      <c r="AK73" s="467"/>
      <c r="AL73" s="469">
        <f>ROUND(IF(AG73=0,0,AJ73/ABS(AG73)),3)</f>
        <v>-0.39300000000000002</v>
      </c>
    </row>
    <row r="74" spans="1:38" ht="15" customHeight="1">
      <c r="A74" s="99"/>
      <c r="B74" s="21" t="s">
        <v>152</v>
      </c>
      <c r="C74" s="21"/>
      <c r="D74" s="493">
        <v>24.6</v>
      </c>
      <c r="E74" s="472"/>
      <c r="F74" s="493">
        <v>33.6</v>
      </c>
      <c r="G74" s="472"/>
      <c r="H74" s="493">
        <v>40.599999999999987</v>
      </c>
      <c r="I74" s="472"/>
      <c r="J74" s="493">
        <v>25.40000000000002</v>
      </c>
      <c r="K74" s="1011"/>
      <c r="L74" s="493">
        <v>32.399999999999991</v>
      </c>
      <c r="M74" s="1011"/>
      <c r="N74" s="493">
        <v>36.599999999999994</v>
      </c>
      <c r="O74" s="1011"/>
      <c r="P74" s="493">
        <v>29.300000000000011</v>
      </c>
      <c r="Q74" s="1011"/>
      <c r="R74" s="493">
        <v>45.300000000000026</v>
      </c>
      <c r="S74" s="1011"/>
      <c r="T74" s="493">
        <v>27.299999999999969</v>
      </c>
      <c r="U74" s="1011"/>
      <c r="V74" s="493">
        <v>29.5</v>
      </c>
      <c r="W74" s="1011"/>
      <c r="X74" s="493">
        <v>25.399999999999977</v>
      </c>
      <c r="Y74" s="1011"/>
      <c r="Z74" s="493">
        <f t="shared" si="16"/>
        <v>35.100000000000023</v>
      </c>
      <c r="AA74" s="496"/>
      <c r="AB74" s="467"/>
      <c r="AC74" s="939"/>
      <c r="AD74" s="919">
        <v>385.1</v>
      </c>
      <c r="AE74" s="467"/>
      <c r="AF74" s="940"/>
      <c r="AG74" s="919">
        <v>1035.5</v>
      </c>
      <c r="AH74" s="191"/>
      <c r="AI74" s="36"/>
      <c r="AJ74" s="467">
        <f>ROUND(SUM(+AD74-AG74),1)</f>
        <v>-650.4</v>
      </c>
      <c r="AK74" s="467"/>
      <c r="AL74" s="469">
        <f>ROUND(IF(AG74=0,0,AJ74/ABS(AG74)),3)</f>
        <v>-0.628</v>
      </c>
    </row>
    <row r="75" spans="1:38" ht="15" customHeight="1">
      <c r="A75" s="99"/>
      <c r="B75" s="151" t="s">
        <v>1262</v>
      </c>
      <c r="C75" s="21"/>
      <c r="D75" s="493" t="s">
        <v>14</v>
      </c>
      <c r="E75" s="472"/>
      <c r="F75" s="493"/>
      <c r="G75" s="472"/>
      <c r="H75" s="493"/>
      <c r="I75" s="472"/>
      <c r="J75" s="493"/>
      <c r="K75" s="1011"/>
      <c r="L75" s="493"/>
      <c r="M75" s="1011"/>
      <c r="N75" s="493" t="s">
        <v>14</v>
      </c>
      <c r="O75" s="1011"/>
      <c r="P75" s="493" t="s">
        <v>14</v>
      </c>
      <c r="Q75" s="1011"/>
      <c r="R75" s="493" t="s">
        <v>14</v>
      </c>
      <c r="S75" s="1011"/>
      <c r="T75" s="493"/>
      <c r="U75" s="1011"/>
      <c r="V75" s="493"/>
      <c r="W75" s="1011"/>
      <c r="X75" s="493"/>
      <c r="Y75" s="1011"/>
      <c r="Z75" s="493"/>
      <c r="AA75" s="496"/>
      <c r="AB75" s="467"/>
      <c r="AC75" s="939"/>
      <c r="AD75" s="919"/>
      <c r="AE75" s="467"/>
      <c r="AF75" s="940"/>
      <c r="AG75" s="919"/>
      <c r="AH75" s="191"/>
      <c r="AI75" s="36"/>
      <c r="AJ75" s="467"/>
      <c r="AK75" s="467"/>
      <c r="AL75" s="469"/>
    </row>
    <row r="76" spans="1:38" ht="15" customHeight="1">
      <c r="A76" s="99"/>
      <c r="B76" s="151" t="s">
        <v>1352</v>
      </c>
      <c r="C76" s="21"/>
      <c r="D76" s="493">
        <v>0</v>
      </c>
      <c r="E76" s="472"/>
      <c r="F76" s="493">
        <v>0</v>
      </c>
      <c r="G76" s="472"/>
      <c r="H76" s="493">
        <v>0</v>
      </c>
      <c r="I76" s="472"/>
      <c r="J76" s="493">
        <v>0</v>
      </c>
      <c r="K76" s="1011"/>
      <c r="L76" s="493">
        <v>0</v>
      </c>
      <c r="M76" s="1011"/>
      <c r="N76" s="493">
        <v>0</v>
      </c>
      <c r="O76" s="1011"/>
      <c r="P76" s="493">
        <v>0</v>
      </c>
      <c r="Q76" s="1011"/>
      <c r="R76" s="493">
        <v>0</v>
      </c>
      <c r="S76" s="1011"/>
      <c r="T76" s="493">
        <v>0</v>
      </c>
      <c r="U76" s="1011"/>
      <c r="V76" s="493">
        <v>0</v>
      </c>
      <c r="W76" s="1011"/>
      <c r="X76" s="493">
        <v>0</v>
      </c>
      <c r="Y76" s="1011"/>
      <c r="Z76" s="493">
        <f t="shared" si="16"/>
        <v>0</v>
      </c>
      <c r="AA76" s="496"/>
      <c r="AB76" s="467"/>
      <c r="AC76" s="939"/>
      <c r="AD76" s="919">
        <v>0</v>
      </c>
      <c r="AE76" s="467"/>
      <c r="AF76" s="940"/>
      <c r="AG76" s="919">
        <v>42.3</v>
      </c>
      <c r="AH76" s="191"/>
      <c r="AI76" s="36"/>
      <c r="AJ76" s="467">
        <f>ROUND(SUM(+AD76-AG76),1)</f>
        <v>-42.3</v>
      </c>
      <c r="AK76" s="467"/>
      <c r="AL76" s="469">
        <f>ROUND(IF(AG76=0,0,AJ76/ABS(AG76)),3)</f>
        <v>-1</v>
      </c>
    </row>
    <row r="77" spans="1:38" ht="15" customHeight="1">
      <c r="A77" s="99"/>
      <c r="B77" s="21" t="s">
        <v>177</v>
      </c>
      <c r="C77" s="21"/>
      <c r="D77" s="493">
        <v>0</v>
      </c>
      <c r="E77" s="472"/>
      <c r="F77" s="493">
        <v>0</v>
      </c>
      <c r="G77" s="472"/>
      <c r="H77" s="493">
        <v>0</v>
      </c>
      <c r="I77" s="472"/>
      <c r="J77" s="493">
        <v>0</v>
      </c>
      <c r="K77" s="1011"/>
      <c r="L77" s="493">
        <v>0</v>
      </c>
      <c r="M77" s="1011"/>
      <c r="N77" s="493">
        <v>0</v>
      </c>
      <c r="O77" s="1011"/>
      <c r="P77" s="493">
        <v>0</v>
      </c>
      <c r="Q77" s="1011"/>
      <c r="R77" s="493">
        <v>0</v>
      </c>
      <c r="S77" s="1011"/>
      <c r="T77" s="493">
        <v>0</v>
      </c>
      <c r="U77" s="1011"/>
      <c r="V77" s="493">
        <v>0</v>
      </c>
      <c r="W77" s="1011"/>
      <c r="X77" s="493">
        <v>0</v>
      </c>
      <c r="Y77" s="1011"/>
      <c r="Z77" s="493">
        <f t="shared" si="16"/>
        <v>0</v>
      </c>
      <c r="AA77" s="496"/>
      <c r="AB77" s="467"/>
      <c r="AC77" s="939"/>
      <c r="AD77" s="919">
        <v>0</v>
      </c>
      <c r="AE77" s="467"/>
      <c r="AF77" s="940"/>
      <c r="AG77" s="919">
        <v>0</v>
      </c>
      <c r="AH77" s="191"/>
      <c r="AI77" s="36"/>
      <c r="AJ77" s="467">
        <f>ROUND(SUM(+AD77-AG77),1)</f>
        <v>0</v>
      </c>
      <c r="AK77" s="467"/>
      <c r="AL77" s="961">
        <f>ROUND(IF(AG77=0,0,AJ77/ABS(AG77)),3)</f>
        <v>0</v>
      </c>
    </row>
    <row r="78" spans="1:38" ht="15" customHeight="1">
      <c r="A78" s="99"/>
      <c r="B78" s="21"/>
      <c r="C78" s="21"/>
      <c r="D78" s="1152"/>
      <c r="E78" s="472"/>
      <c r="F78" s="497"/>
      <c r="G78" s="472"/>
      <c r="H78" s="497"/>
      <c r="I78" s="472"/>
      <c r="J78" s="497"/>
      <c r="K78" s="39"/>
      <c r="L78" s="497"/>
      <c r="M78" s="39"/>
      <c r="N78" s="61"/>
      <c r="O78" s="39"/>
      <c r="P78" s="61"/>
      <c r="Q78" s="39"/>
      <c r="R78" s="61"/>
      <c r="S78" s="39"/>
      <c r="T78" s="61"/>
      <c r="U78" s="39"/>
      <c r="V78" s="61"/>
      <c r="W78" s="36"/>
      <c r="X78" s="61"/>
      <c r="Y78" s="36"/>
      <c r="Z78" s="61"/>
      <c r="AA78" s="36"/>
      <c r="AB78" s="39"/>
      <c r="AC78" s="174"/>
      <c r="AD78" s="61"/>
      <c r="AE78" s="36"/>
      <c r="AF78" s="752"/>
      <c r="AG78" s="61"/>
      <c r="AH78" s="191"/>
      <c r="AI78" s="36"/>
      <c r="AJ78" s="497"/>
      <c r="AK78" s="950"/>
      <c r="AL78" s="488"/>
    </row>
    <row r="79" spans="1:38" ht="15" customHeight="1">
      <c r="A79" s="99"/>
      <c r="B79" s="19" t="s">
        <v>153</v>
      </c>
      <c r="C79" s="21"/>
      <c r="D79" s="42">
        <f>ROUND(SUM(D70:D77),1)</f>
        <v>6441.7</v>
      </c>
      <c r="E79" s="111"/>
      <c r="F79" s="42">
        <f>ROUND(SUM(F70:F77),1)</f>
        <v>6254</v>
      </c>
      <c r="G79" s="111"/>
      <c r="H79" s="42">
        <f>ROUND(SUM(H70:H77),1)</f>
        <v>6820.7</v>
      </c>
      <c r="I79" s="111"/>
      <c r="J79" s="42">
        <f>ROUND(SUM(J70:J77),1)</f>
        <v>6557.5</v>
      </c>
      <c r="K79" s="111"/>
      <c r="L79" s="42">
        <f>ROUND(SUM(L70:L77),1)</f>
        <v>6359.3</v>
      </c>
      <c r="M79" s="111"/>
      <c r="N79" s="42">
        <f>ROUND(SUM(N70:N77),1)</f>
        <v>5503.5</v>
      </c>
      <c r="O79" s="111"/>
      <c r="P79" s="42">
        <f>ROUND(SUM(P70:P77),1)</f>
        <v>5980.3</v>
      </c>
      <c r="Q79" s="111"/>
      <c r="R79" s="42">
        <f>ROUND(SUM(R70:R77),1)</f>
        <v>6678.9</v>
      </c>
      <c r="S79" s="42"/>
      <c r="T79" s="42">
        <f t="shared" ref="T79" si="17">ROUND(SUM(T70:T77),1)</f>
        <v>10252.9</v>
      </c>
      <c r="U79" s="111"/>
      <c r="V79" s="42">
        <f>ROUND(SUM(V70:V77),1)</f>
        <v>5646.5</v>
      </c>
      <c r="W79" s="42"/>
      <c r="X79" s="42">
        <f>ROUND(SUM(X70:X77),1)</f>
        <v>5535.7</v>
      </c>
      <c r="Y79" s="42"/>
      <c r="Z79" s="42">
        <f>ROUND(SUM(Z70:Z77),1)</f>
        <v>10656.1</v>
      </c>
      <c r="AA79" s="42"/>
      <c r="AB79" s="111"/>
      <c r="AC79" s="1246"/>
      <c r="AD79" s="42">
        <f>ROUND(SUM(AD70:AD77),1)</f>
        <v>82687.100000000006</v>
      </c>
      <c r="AE79" s="42"/>
      <c r="AF79" s="1247"/>
      <c r="AG79" s="42">
        <f>ROUND(SUM(AG70:AG77),1)</f>
        <v>77231.399999999994</v>
      </c>
      <c r="AH79" s="197"/>
      <c r="AI79" s="42"/>
      <c r="AJ79" s="77">
        <f>ROUND(SUM(AD79-AG79),1)</f>
        <v>5455.7</v>
      </c>
      <c r="AK79" s="1338"/>
      <c r="AL79" s="1339">
        <f>ROUND(SUM((AD79-AG79)/ABS(AG79)),3)</f>
        <v>7.0999999999999994E-2</v>
      </c>
    </row>
    <row r="80" spans="1:38" ht="15" customHeight="1">
      <c r="A80" s="99"/>
      <c r="B80" s="21"/>
      <c r="C80" s="21"/>
      <c r="D80" s="1152"/>
      <c r="E80" s="472"/>
      <c r="F80" s="497"/>
      <c r="G80" s="472"/>
      <c r="H80" s="497"/>
      <c r="I80" s="472"/>
      <c r="J80" s="497"/>
      <c r="K80" s="39"/>
      <c r="L80" s="497"/>
      <c r="M80" s="39"/>
      <c r="N80" s="61"/>
      <c r="O80" s="39"/>
      <c r="P80" s="61"/>
      <c r="Q80" s="39"/>
      <c r="R80" s="61"/>
      <c r="S80" s="39"/>
      <c r="T80" s="61"/>
      <c r="U80" s="39"/>
      <c r="V80" s="61"/>
      <c r="W80" s="36"/>
      <c r="X80" s="61"/>
      <c r="Y80" s="36"/>
      <c r="Z80" s="61"/>
      <c r="AA80" s="36"/>
      <c r="AB80" s="39"/>
      <c r="AC80" s="174"/>
      <c r="AD80" s="61"/>
      <c r="AE80" s="36"/>
      <c r="AF80" s="752"/>
      <c r="AG80" s="61"/>
      <c r="AH80" s="191"/>
      <c r="AI80" s="758"/>
      <c r="AJ80" s="493"/>
      <c r="AK80" s="950"/>
      <c r="AL80" s="966"/>
    </row>
    <row r="81" spans="1:51" ht="15" customHeight="1">
      <c r="A81" s="99"/>
      <c r="B81" s="19" t="s">
        <v>154</v>
      </c>
      <c r="C81" s="21"/>
      <c r="D81" s="472"/>
      <c r="E81" s="472"/>
      <c r="F81" s="467"/>
      <c r="G81" s="472"/>
      <c r="H81" s="467"/>
      <c r="I81" s="472"/>
      <c r="J81" s="467"/>
      <c r="K81" s="39"/>
      <c r="L81" s="467"/>
      <c r="M81" s="39"/>
      <c r="N81" s="36"/>
      <c r="O81" s="39"/>
      <c r="P81" s="36"/>
      <c r="Q81" s="39"/>
      <c r="R81" s="36"/>
      <c r="S81" s="39"/>
      <c r="T81" s="36"/>
      <c r="U81" s="39"/>
      <c r="V81" s="36"/>
      <c r="W81" s="36"/>
      <c r="X81" s="36"/>
      <c r="Y81" s="36"/>
      <c r="Z81" s="36"/>
      <c r="AA81" s="36"/>
      <c r="AB81" s="39"/>
      <c r="AC81" s="174"/>
      <c r="AD81" s="36"/>
      <c r="AE81" s="1778"/>
      <c r="AF81" s="1781"/>
      <c r="AG81" s="36"/>
      <c r="AH81" s="191"/>
      <c r="AI81" s="758"/>
      <c r="AJ81" s="493"/>
      <c r="AK81" s="950"/>
      <c r="AL81" s="966"/>
    </row>
    <row r="82" spans="1:51" ht="15" customHeight="1">
      <c r="A82" s="99"/>
      <c r="B82" s="19" t="s">
        <v>44</v>
      </c>
      <c r="C82" s="21"/>
      <c r="D82" s="42">
        <f>ROUND(SUM(D56-D79),1)</f>
        <v>192.6</v>
      </c>
      <c r="E82" s="111"/>
      <c r="F82" s="42">
        <f>ROUND(SUM(F56-F79),1)</f>
        <v>1138.5</v>
      </c>
      <c r="G82" s="111"/>
      <c r="H82" s="42">
        <f>ROUND(SUM(H56-H79),1)</f>
        <v>1196.9000000000001</v>
      </c>
      <c r="I82" s="111"/>
      <c r="J82" s="42">
        <f>ROUND(SUM(J56-J79),1)</f>
        <v>-1036.8</v>
      </c>
      <c r="K82" s="111"/>
      <c r="L82" s="42">
        <f>ROUND(SUM(L56-L79),1)</f>
        <v>-440.9</v>
      </c>
      <c r="M82" s="111"/>
      <c r="N82" s="42">
        <f>ROUND(SUM(N56-N79),1)</f>
        <v>3170.6</v>
      </c>
      <c r="O82" s="111"/>
      <c r="P82" s="42">
        <f>ROUND(SUM(P56-P79),1)</f>
        <v>-772.1</v>
      </c>
      <c r="Q82" s="111"/>
      <c r="R82" s="42">
        <f>ROUND(SUM(R56-R79),1)</f>
        <v>-1450</v>
      </c>
      <c r="S82" s="42"/>
      <c r="T82" s="42">
        <f t="shared" ref="T82" si="18">ROUND(SUM(T56-T79),1)</f>
        <v>877</v>
      </c>
      <c r="U82" s="111"/>
      <c r="V82" s="42">
        <f>ROUND(SUM(V56-V79),1)</f>
        <v>1737.7</v>
      </c>
      <c r="W82" s="42"/>
      <c r="X82" s="42">
        <f>ROUND(SUM(X56-X79),1)</f>
        <v>133.6</v>
      </c>
      <c r="Y82" s="42"/>
      <c r="Z82" s="42">
        <f>ROUND(AD82-D82-F82-H82-J82-L82-N82-P82-R82-T82-V82-X82,1)</f>
        <v>-2236.8000000000002</v>
      </c>
      <c r="AA82" s="42"/>
      <c r="AB82" s="111"/>
      <c r="AC82" s="1246"/>
      <c r="AD82" s="42">
        <f>ROUND(SUM(AD56-AD79),1)</f>
        <v>2510.3000000000002</v>
      </c>
      <c r="AE82" s="42"/>
      <c r="AF82" s="1247"/>
      <c r="AG82" s="42">
        <f>ROUND(SUM(AG56-AG79),1)</f>
        <v>11586.1</v>
      </c>
      <c r="AH82" s="197"/>
      <c r="AI82" s="42"/>
      <c r="AJ82" s="77">
        <f>ROUND(SUM(AD82-AG82),1)</f>
        <v>-9075.7999999999993</v>
      </c>
      <c r="AK82" s="1338"/>
      <c r="AL82" s="1936">
        <f>ROUND(SUM((AD82-AG82)/ABS(AG82)),3)</f>
        <v>-0.78300000000000003</v>
      </c>
    </row>
    <row r="83" spans="1:51" ht="15" customHeight="1">
      <c r="A83" s="99"/>
      <c r="B83" s="21"/>
      <c r="C83" s="21"/>
      <c r="D83" s="1152"/>
      <c r="E83" s="472"/>
      <c r="F83" s="497"/>
      <c r="G83" s="472"/>
      <c r="H83" s="497"/>
      <c r="I83" s="472"/>
      <c r="J83" s="497"/>
      <c r="K83" s="39"/>
      <c r="L83" s="497"/>
      <c r="M83" s="39"/>
      <c r="N83" s="61"/>
      <c r="O83" s="39"/>
      <c r="P83" s="61"/>
      <c r="Q83" s="39"/>
      <c r="R83" s="61"/>
      <c r="S83" s="39"/>
      <c r="T83" s="61"/>
      <c r="U83" s="39"/>
      <c r="V83" s="61"/>
      <c r="W83" s="36"/>
      <c r="X83" s="61"/>
      <c r="Y83" s="36"/>
      <c r="Z83" s="61"/>
      <c r="AA83" s="36"/>
      <c r="AB83" s="39"/>
      <c r="AC83" s="174"/>
      <c r="AD83" s="61"/>
      <c r="AE83" s="36"/>
      <c r="AF83" s="752"/>
      <c r="AG83" s="61"/>
      <c r="AH83" s="191"/>
      <c r="AI83" s="36"/>
      <c r="AJ83" s="493"/>
      <c r="AK83" s="950"/>
      <c r="AL83" s="966"/>
    </row>
    <row r="84" spans="1:51" ht="15" customHeight="1">
      <c r="A84" s="99"/>
      <c r="B84" s="19" t="s">
        <v>45</v>
      </c>
      <c r="C84" s="21"/>
      <c r="D84" s="472"/>
      <c r="E84" s="472"/>
      <c r="F84" s="467"/>
      <c r="G84" s="472"/>
      <c r="H84" s="467"/>
      <c r="I84" s="472"/>
      <c r="J84" s="467"/>
      <c r="K84" s="39"/>
      <c r="L84" s="467"/>
      <c r="M84" s="39"/>
      <c r="N84" s="36"/>
      <c r="O84" s="39"/>
      <c r="P84" s="36"/>
      <c r="Q84" s="39"/>
      <c r="R84" s="36"/>
      <c r="S84" s="39"/>
      <c r="T84" s="36"/>
      <c r="U84" s="39"/>
      <c r="V84" s="36"/>
      <c r="W84" s="36"/>
      <c r="X84" s="36"/>
      <c r="Y84" s="36"/>
      <c r="Z84" s="36"/>
      <c r="AA84" s="36"/>
      <c r="AB84" s="39"/>
      <c r="AC84" s="174"/>
      <c r="AD84" s="36"/>
      <c r="AE84" s="36"/>
      <c r="AF84" s="752"/>
      <c r="AG84" s="36"/>
      <c r="AH84" s="191"/>
      <c r="AI84" s="36"/>
      <c r="AJ84" s="493"/>
      <c r="AK84" s="950"/>
      <c r="AL84" s="966"/>
    </row>
    <row r="85" spans="1:51" ht="15" customHeight="1">
      <c r="A85" s="99"/>
      <c r="B85" s="21" t="s">
        <v>178</v>
      </c>
      <c r="C85" s="21"/>
      <c r="D85" s="493">
        <v>0</v>
      </c>
      <c r="E85" s="472"/>
      <c r="F85" s="493">
        <v>0</v>
      </c>
      <c r="G85" s="472"/>
      <c r="H85" s="493">
        <v>0</v>
      </c>
      <c r="I85" s="472"/>
      <c r="J85" s="493">
        <v>0</v>
      </c>
      <c r="K85" s="1011"/>
      <c r="L85" s="493">
        <v>0</v>
      </c>
      <c r="M85" s="1011"/>
      <c r="N85" s="493">
        <v>0</v>
      </c>
      <c r="O85" s="1011"/>
      <c r="P85" s="493">
        <v>0</v>
      </c>
      <c r="Q85" s="1011"/>
      <c r="R85" s="493">
        <v>0</v>
      </c>
      <c r="S85" s="1011"/>
      <c r="T85" s="493">
        <v>0</v>
      </c>
      <c r="U85" s="1011"/>
      <c r="V85" s="493">
        <v>0</v>
      </c>
      <c r="W85" s="1011"/>
      <c r="X85" s="493">
        <v>0</v>
      </c>
      <c r="Y85" s="1011"/>
      <c r="Z85" s="493">
        <f t="shared" ref="Z85:Z86" si="19">$AD85-$D85-$F85-$H85-$J85-$L85-$N85-$P85-$R85-$T85-$V85-$X85</f>
        <v>0</v>
      </c>
      <c r="AA85" s="496"/>
      <c r="AB85" s="467"/>
      <c r="AC85" s="939"/>
      <c r="AD85" s="919">
        <v>0</v>
      </c>
      <c r="AE85" s="467"/>
      <c r="AF85" s="940"/>
      <c r="AG85" s="919">
        <v>0</v>
      </c>
      <c r="AH85" s="191"/>
      <c r="AI85" s="36"/>
      <c r="AJ85" s="496">
        <f>ROUND(SUM(+AD85-AG85),1)</f>
        <v>0</v>
      </c>
      <c r="AK85" s="467"/>
      <c r="AL85" s="469">
        <f>-ROUND(IF(AG85=0,0,AJ85/ABS(AG85)),3)</f>
        <v>0</v>
      </c>
    </row>
    <row r="86" spans="1:51" ht="15" customHeight="1">
      <c r="A86" s="99"/>
      <c r="B86" s="21" t="s">
        <v>179</v>
      </c>
      <c r="C86" s="21"/>
      <c r="D86" s="493">
        <v>-240.8</v>
      </c>
      <c r="E86" s="472"/>
      <c r="F86" s="493">
        <v>-138.09999999999997</v>
      </c>
      <c r="G86" s="472"/>
      <c r="H86" s="493">
        <v>-365.40000000000003</v>
      </c>
      <c r="I86" s="472"/>
      <c r="J86" s="493">
        <v>-117.40000000000003</v>
      </c>
      <c r="K86" s="1011"/>
      <c r="L86" s="493">
        <v>-36.400000000000034</v>
      </c>
      <c r="M86" s="1011"/>
      <c r="N86" s="493">
        <v>-209.99999999999994</v>
      </c>
      <c r="O86" s="1011"/>
      <c r="P86" s="493">
        <v>-125.5</v>
      </c>
      <c r="Q86" s="1011"/>
      <c r="R86" s="493">
        <v>-132.99999999999994</v>
      </c>
      <c r="S86" s="1011"/>
      <c r="T86" s="493">
        <v>-175.49999999999989</v>
      </c>
      <c r="U86" s="1011"/>
      <c r="V86" s="493">
        <v>-64.700000000000045</v>
      </c>
      <c r="W86" s="1011"/>
      <c r="X86" s="493">
        <v>-146.69999999999999</v>
      </c>
      <c r="Y86" s="1011"/>
      <c r="Z86" s="493">
        <f t="shared" si="19"/>
        <v>-256.09999999999985</v>
      </c>
      <c r="AA86" s="496"/>
      <c r="AB86" s="467"/>
      <c r="AC86" s="939"/>
      <c r="AD86" s="919">
        <v>-2009.6</v>
      </c>
      <c r="AE86" s="467"/>
      <c r="AF86" s="940"/>
      <c r="AG86" s="1858">
        <v>-2221.1</v>
      </c>
      <c r="AH86" s="191"/>
      <c r="AI86" s="36"/>
      <c r="AJ86" s="467">
        <f>ROUND(SUM(+AD86-AG86)*-1,1)</f>
        <v>-211.5</v>
      </c>
      <c r="AK86" s="467"/>
      <c r="AL86" s="469">
        <f>ROUND(IF(AG86=0,0,AJ86/ABS(AG86)),3)</f>
        <v>-9.5000000000000001E-2</v>
      </c>
    </row>
    <row r="87" spans="1:51" ht="15" customHeight="1">
      <c r="A87" s="99"/>
      <c r="B87" s="21"/>
      <c r="C87" s="21"/>
      <c r="D87" s="113"/>
      <c r="E87" s="39"/>
      <c r="F87" s="61"/>
      <c r="G87" s="39"/>
      <c r="H87" s="61"/>
      <c r="I87" s="39"/>
      <c r="J87" s="61"/>
      <c r="K87" s="39"/>
      <c r="L87" s="61"/>
      <c r="M87" s="39"/>
      <c r="N87" s="61"/>
      <c r="O87" s="39"/>
      <c r="P87" s="61"/>
      <c r="Q87" s="39"/>
      <c r="R87" s="61"/>
      <c r="S87" s="39"/>
      <c r="T87" s="61"/>
      <c r="U87" s="39"/>
      <c r="V87" s="61"/>
      <c r="W87" s="36"/>
      <c r="X87" s="61"/>
      <c r="Y87" s="36"/>
      <c r="Z87" s="61"/>
      <c r="AA87" s="36"/>
      <c r="AB87" s="39"/>
      <c r="AC87" s="174"/>
      <c r="AD87" s="61"/>
      <c r="AE87" s="36"/>
      <c r="AF87" s="752"/>
      <c r="AG87" s="36"/>
      <c r="AH87" s="191"/>
      <c r="AI87" s="36"/>
      <c r="AJ87" s="949"/>
      <c r="AK87" s="950"/>
      <c r="AL87" s="1340"/>
    </row>
    <row r="88" spans="1:51" ht="15" customHeight="1">
      <c r="A88" s="99"/>
      <c r="B88" s="19" t="s">
        <v>1071</v>
      </c>
      <c r="C88" s="21"/>
      <c r="D88" s="42">
        <f>ROUND(SUM(D85:D87),1)</f>
        <v>-240.8</v>
      </c>
      <c r="E88" s="111"/>
      <c r="F88" s="42">
        <f>ROUND(SUM(F85:F87),1)</f>
        <v>-138.1</v>
      </c>
      <c r="G88" s="111"/>
      <c r="H88" s="42">
        <f>ROUND(SUM(H85:H87),1)</f>
        <v>-365.4</v>
      </c>
      <c r="I88" s="111"/>
      <c r="J88" s="42">
        <f>ROUND(SUM(J85:J87),1)</f>
        <v>-117.4</v>
      </c>
      <c r="K88" s="111"/>
      <c r="L88" s="42">
        <f>ROUND(SUM(L85:L87),1)</f>
        <v>-36.4</v>
      </c>
      <c r="M88" s="111"/>
      <c r="N88" s="42">
        <f>ROUND(SUM(N85:N87),1)</f>
        <v>-210</v>
      </c>
      <c r="O88" s="111"/>
      <c r="P88" s="42">
        <f>ROUND(SUM(P85:P87),1)</f>
        <v>-125.5</v>
      </c>
      <c r="Q88" s="111"/>
      <c r="R88" s="42">
        <f>ROUND(SUM(R85:R87),1)</f>
        <v>-133</v>
      </c>
      <c r="S88" s="42"/>
      <c r="T88" s="42">
        <f t="shared" ref="T88" si="20">ROUND(SUM(T85:T87),1)</f>
        <v>-175.5</v>
      </c>
      <c r="U88" s="111"/>
      <c r="V88" s="42">
        <f>ROUND(SUM(V85:V87),1)</f>
        <v>-64.7</v>
      </c>
      <c r="W88" s="42"/>
      <c r="X88" s="42">
        <f>ROUND(SUM(X85:X87),1)</f>
        <v>-146.69999999999999</v>
      </c>
      <c r="Y88" s="42"/>
      <c r="Z88" s="42">
        <f>ROUND(SUM(Z85:Z87),1)</f>
        <v>-256.10000000000002</v>
      </c>
      <c r="AA88" s="42"/>
      <c r="AB88" s="111"/>
      <c r="AC88" s="1246"/>
      <c r="AD88" s="42">
        <f>ROUND(SUM(AD85:AD87),1)</f>
        <v>-2009.6</v>
      </c>
      <c r="AE88" s="42"/>
      <c r="AF88" s="1247"/>
      <c r="AG88" s="42">
        <f>ROUND(SUM(AG85:AG86),1)</f>
        <v>-2221.1</v>
      </c>
      <c r="AH88" s="197"/>
      <c r="AI88" s="42"/>
      <c r="AJ88" s="77">
        <f>-ROUND(SUM(AD88-AG88),1)</f>
        <v>-211.5</v>
      </c>
      <c r="AK88" s="198"/>
      <c r="AL88" s="1339">
        <f>ROUND(SUM((AD88-AG88)/(AG88)),3)</f>
        <v>-9.5000000000000001E-2</v>
      </c>
    </row>
    <row r="89" spans="1:51" ht="15" customHeight="1">
      <c r="A89" s="99"/>
      <c r="B89" s="21"/>
      <c r="C89" s="21"/>
      <c r="D89" s="113"/>
      <c r="E89" s="39"/>
      <c r="F89" s="113"/>
      <c r="G89" s="39"/>
      <c r="H89" s="113"/>
      <c r="I89" s="39"/>
      <c r="J89" s="113"/>
      <c r="K89" s="39"/>
      <c r="L89" s="113"/>
      <c r="M89" s="39"/>
      <c r="N89" s="113"/>
      <c r="O89" s="39"/>
      <c r="P89" s="113"/>
      <c r="Q89" s="39"/>
      <c r="R89" s="113"/>
      <c r="S89" s="39"/>
      <c r="T89" s="113"/>
      <c r="U89" s="39"/>
      <c r="V89" s="61"/>
      <c r="W89" s="36"/>
      <c r="X89" s="61"/>
      <c r="Y89" s="36"/>
      <c r="Z89" s="61"/>
      <c r="AA89" s="36"/>
      <c r="AB89" s="39"/>
      <c r="AC89" s="174"/>
      <c r="AD89" s="61"/>
      <c r="AE89" s="36"/>
      <c r="AF89" s="752"/>
      <c r="AG89" s="61"/>
      <c r="AH89" s="191"/>
      <c r="AI89" s="36"/>
      <c r="AJ89" s="493"/>
      <c r="AK89" s="950"/>
      <c r="AL89" s="966"/>
    </row>
    <row r="90" spans="1:51" ht="15" customHeight="1">
      <c r="A90" s="99"/>
      <c r="B90" s="19" t="s">
        <v>162</v>
      </c>
      <c r="C90" s="21"/>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174"/>
      <c r="AD90" s="39"/>
      <c r="AE90" s="39"/>
      <c r="AF90" s="1780"/>
      <c r="AG90" s="39"/>
      <c r="AH90" s="1140"/>
      <c r="AI90" s="20"/>
      <c r="AJ90" s="950"/>
      <c r="AK90" s="950"/>
      <c r="AL90" s="966"/>
    </row>
    <row r="91" spans="1:51" ht="15" customHeight="1">
      <c r="A91" s="99"/>
      <c r="B91" s="19" t="s">
        <v>163</v>
      </c>
      <c r="C91" s="21"/>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174"/>
      <c r="AD91" s="39"/>
      <c r="AE91" s="39"/>
      <c r="AF91" s="1780"/>
      <c r="AG91" s="65"/>
      <c r="AH91" s="1140"/>
      <c r="AI91" s="20"/>
      <c r="AJ91" s="950"/>
      <c r="AK91" s="950"/>
      <c r="AL91" s="966"/>
    </row>
    <row r="92" spans="1:51" ht="15" customHeight="1">
      <c r="A92" s="99"/>
      <c r="B92" s="19" t="s">
        <v>1072</v>
      </c>
      <c r="C92" s="21"/>
      <c r="D92" s="603">
        <f>ROUND(SUM(D82+D88),1)</f>
        <v>-48.2</v>
      </c>
      <c r="E92" s="39"/>
      <c r="F92" s="603">
        <f>ROUND(SUM(F82+F88),1)</f>
        <v>1000.4</v>
      </c>
      <c r="G92" s="39"/>
      <c r="H92" s="603">
        <f>ROUND(SUM(H82+H88),1)</f>
        <v>831.5</v>
      </c>
      <c r="I92" s="36"/>
      <c r="J92" s="603">
        <f>ROUND(SUM(J82+J88),1)</f>
        <v>-1154.2</v>
      </c>
      <c r="K92" s="36"/>
      <c r="L92" s="603">
        <f>ROUND(SUM(L82+L88),1)</f>
        <v>-477.3</v>
      </c>
      <c r="M92" s="36"/>
      <c r="N92" s="603">
        <f>ROUND(SUM(N82+N88),1)</f>
        <v>2960.6</v>
      </c>
      <c r="O92" s="36"/>
      <c r="P92" s="603">
        <f>ROUND(SUM(P82+P88),1)</f>
        <v>-897.6</v>
      </c>
      <c r="Q92" s="36"/>
      <c r="R92" s="603">
        <f>ROUND(SUM(R82+R88),1)</f>
        <v>-1583</v>
      </c>
      <c r="S92" s="36"/>
      <c r="T92" s="603">
        <f>ROUND(SUM(T82+T88),1)</f>
        <v>701.5</v>
      </c>
      <c r="U92" s="36"/>
      <c r="V92" s="603">
        <f>ROUND(SUM(V82+V88),1)</f>
        <v>1673</v>
      </c>
      <c r="W92" s="36"/>
      <c r="X92" s="603">
        <f>ROUND(SUM(X82+X88),1)</f>
        <v>-13.1</v>
      </c>
      <c r="Y92" s="36"/>
      <c r="Z92" s="603">
        <f>ROUND(SUM(Z82+Z88),1)</f>
        <v>-2492.9</v>
      </c>
      <c r="AA92" s="36"/>
      <c r="AB92" s="1164"/>
      <c r="AC92" s="36"/>
      <c r="AD92" s="603">
        <f>ROUND(SUM(AD82+AD88),1)</f>
        <v>500.7</v>
      </c>
      <c r="AE92" s="1779"/>
      <c r="AF92" s="36"/>
      <c r="AG92" s="603">
        <f>ROUND(SUM(AG82+AG88),1)</f>
        <v>9365</v>
      </c>
      <c r="AH92" s="1140"/>
      <c r="AI92" s="36"/>
      <c r="AJ92" s="603">
        <f>ROUND(SUM(AJ82-AJ88),1)</f>
        <v>-8864.2999999999993</v>
      </c>
      <c r="AK92" s="493"/>
      <c r="AL92" s="1163">
        <f>ROUND(SUM((AD92-AG92)/ABS(AG92)),3)</f>
        <v>-0.94699999999999995</v>
      </c>
    </row>
    <row r="93" spans="1:51" ht="15" customHeight="1">
      <c r="A93" s="99"/>
      <c r="B93" s="21"/>
      <c r="C93" s="21"/>
      <c r="D93" s="20"/>
      <c r="E93" s="20"/>
      <c r="F93" s="20"/>
      <c r="G93" s="20"/>
      <c r="H93" s="20"/>
      <c r="I93" s="20"/>
      <c r="J93" s="20"/>
      <c r="K93" s="20"/>
      <c r="L93" s="20"/>
      <c r="M93" s="20"/>
      <c r="N93" s="20"/>
      <c r="O93" s="20"/>
      <c r="P93" s="20"/>
      <c r="Q93" s="20"/>
      <c r="R93" s="20"/>
      <c r="S93" s="20"/>
      <c r="T93" s="65"/>
      <c r="U93" s="20"/>
      <c r="V93" s="20"/>
      <c r="W93" s="20"/>
      <c r="X93" s="20"/>
      <c r="Y93" s="20"/>
      <c r="Z93" s="20"/>
      <c r="AA93" s="20"/>
      <c r="AB93" s="20"/>
      <c r="AC93" s="1238"/>
      <c r="AD93" s="20"/>
      <c r="AE93" s="20"/>
      <c r="AF93" s="1238"/>
      <c r="AG93" s="20"/>
      <c r="AH93" s="20"/>
      <c r="AI93" s="187"/>
      <c r="AJ93" s="950"/>
      <c r="AK93" s="950"/>
      <c r="AL93" s="966" t="s">
        <v>14</v>
      </c>
    </row>
    <row r="94" spans="1:51" ht="20.25" customHeight="1" thickBot="1">
      <c r="A94" s="99"/>
      <c r="B94" s="19" t="s">
        <v>1082</v>
      </c>
      <c r="C94" s="21"/>
      <c r="D94" s="1159">
        <f>ROUND(SUM(+D13+D92),1)</f>
        <v>14277.5</v>
      </c>
      <c r="E94" s="20"/>
      <c r="F94" s="1159">
        <f>ROUND(SUM(+F13+F92),1)</f>
        <v>15277.9</v>
      </c>
      <c r="G94" s="20"/>
      <c r="H94" s="1159">
        <f>ROUND(SUM(+H13+H92),1)</f>
        <v>16109.4</v>
      </c>
      <c r="I94" s="20"/>
      <c r="J94" s="1159">
        <f>ROUND(SUM(+J13+J92),1)</f>
        <v>14955.2</v>
      </c>
      <c r="K94" s="20"/>
      <c r="L94" s="1159">
        <f>ROUND(SUM(+L13+L92),1)</f>
        <v>14477.9</v>
      </c>
      <c r="M94" s="20"/>
      <c r="N94" s="1159">
        <f>ROUND(SUM(+N13+N92),1)</f>
        <v>17438.5</v>
      </c>
      <c r="O94" s="20"/>
      <c r="P94" s="1159">
        <f>ROUND(SUM(+P13+P92),1)</f>
        <v>16540.900000000001</v>
      </c>
      <c r="Q94" s="20"/>
      <c r="R94" s="1159">
        <f>ROUND(SUM(+R13+R92),1)</f>
        <v>14957.9</v>
      </c>
      <c r="S94" s="20"/>
      <c r="T94" s="1159">
        <f>ROUND(SUM(+T13+T92),1)</f>
        <v>15659.4</v>
      </c>
      <c r="U94" s="20"/>
      <c r="V94" s="1159">
        <f>ROUND(SUM(+V13+V92),1)</f>
        <v>17332.400000000001</v>
      </c>
      <c r="W94" s="20"/>
      <c r="X94" s="1159">
        <f>ROUND(SUM(+X13+X92),1)</f>
        <v>17319.3</v>
      </c>
      <c r="Y94" s="20"/>
      <c r="Z94" s="1159">
        <f>ROUND(SUM(+Z13+Z92),1)</f>
        <v>14826.4</v>
      </c>
      <c r="AA94" s="20"/>
      <c r="AB94" s="20"/>
      <c r="AC94" s="1238"/>
      <c r="AD94" s="1159">
        <f>ROUND(SUM(+AD13+AD92),1)</f>
        <v>14826.4</v>
      </c>
      <c r="AE94" s="20"/>
      <c r="AF94" s="1238"/>
      <c r="AG94" s="1159">
        <f>ROUND(SUM(+AG13+AG92),1)</f>
        <v>14325.7</v>
      </c>
      <c r="AH94" s="20"/>
      <c r="AI94" s="187"/>
      <c r="AJ94" s="1159">
        <f>ROUND(SUM(+AJ13+AJ92),1)</f>
        <v>500.7</v>
      </c>
      <c r="AK94" s="950"/>
      <c r="AL94" s="1341">
        <f>ROUND(+AJ94/ABS(AG94),3)</f>
        <v>3.5000000000000003E-2</v>
      </c>
    </row>
    <row r="95" spans="1:51" ht="15" customHeight="1" thickTop="1">
      <c r="B95" s="20"/>
      <c r="C95" s="20"/>
      <c r="D95" s="185"/>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5"/>
      <c r="AJ95" s="716"/>
      <c r="AK95" s="716"/>
      <c r="AL95" s="488"/>
      <c r="AM95" s="207"/>
      <c r="AN95" s="207"/>
      <c r="AO95" s="207"/>
      <c r="AP95" s="207"/>
      <c r="AQ95" s="207"/>
      <c r="AR95" s="207"/>
      <c r="AS95" s="207"/>
      <c r="AT95" s="207"/>
      <c r="AU95" s="207"/>
      <c r="AV95" s="207"/>
      <c r="AW95" s="207"/>
      <c r="AX95" s="207"/>
      <c r="AY95" s="207"/>
    </row>
    <row r="96" spans="1:51" ht="15" customHeight="1">
      <c r="B96" s="646"/>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646"/>
      <c r="AK96" s="646"/>
      <c r="AL96" s="488"/>
    </row>
    <row r="97" spans="2:2" ht="15" customHeight="1">
      <c r="B97" s="20"/>
    </row>
    <row r="98" spans="2:2" ht="15" customHeight="1">
      <c r="B98" s="20"/>
    </row>
    <row r="99" spans="2:2" ht="15" customHeight="1"/>
    <row r="100" spans="2:2" ht="15" customHeight="1"/>
    <row r="101" spans="2:2" ht="15" customHeight="1"/>
    <row r="102" spans="2:2" ht="15" customHeight="1"/>
    <row r="103" spans="2:2" ht="15" customHeight="1"/>
    <row r="104" spans="2:2" ht="15" customHeight="1"/>
    <row r="105" spans="2:2" ht="15" customHeight="1"/>
    <row r="106" spans="2:2" ht="15" customHeight="1"/>
    <row r="107" spans="2:2" ht="15" customHeight="1"/>
    <row r="108" spans="2:2" ht="15" customHeight="1"/>
    <row r="109" spans="2:2" ht="15" customHeight="1"/>
    <row r="110" spans="2:2" ht="15" customHeight="1"/>
    <row r="111" spans="2:2" ht="15" customHeight="1"/>
    <row r="112" spans="2: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C9:AL9"/>
  </mergeCells>
  <printOptions horizontalCentered="1"/>
  <pageMargins left="0.25" right="0.25" top="0.5" bottom="0.25" header="0" footer="0.25"/>
  <pageSetup scale="41" firstPageNumber="27"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61 AL48:AL49 AL63:AL67 AL42:AL43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workbookViewId="0"/>
  </sheetViews>
  <sheetFormatPr defaultRowHeight="12.5"/>
  <cols>
    <col min="1" max="1" width="40.4609375" style="211" customWidth="1"/>
    <col min="2" max="2" width="10.4609375" style="211" customWidth="1"/>
    <col min="3" max="3" width="1.07421875" style="211" customWidth="1"/>
    <col min="4" max="4" width="10" style="211" customWidth="1"/>
    <col min="5" max="5" width="1.07421875" style="211" customWidth="1"/>
    <col min="6" max="6" width="9.84375" style="1499" bestFit="1" customWidth="1"/>
    <col min="7" max="7" width="1.07421875" style="211" customWidth="1"/>
    <col min="8" max="8" width="10" style="211" customWidth="1"/>
    <col min="9" max="9" width="1.07421875" style="211" customWidth="1"/>
    <col min="10" max="10" width="10" style="211" bestFit="1" customWidth="1"/>
    <col min="11" max="11" width="1.07421875" style="211" customWidth="1"/>
    <col min="12" max="12" width="11.07421875" style="211" customWidth="1"/>
    <col min="13" max="13" width="1.07421875" style="211" customWidth="1"/>
    <col min="14" max="14" width="10.84375" style="211" customWidth="1"/>
    <col min="15" max="15" width="1.84375" style="211" customWidth="1"/>
    <col min="16" max="16" width="11" style="211" customWidth="1"/>
    <col min="17" max="17" width="1.07421875" style="211" customWidth="1"/>
    <col min="18" max="18" width="10.84375" style="211" customWidth="1"/>
    <col min="19" max="19" width="1.07421875" style="211" customWidth="1"/>
    <col min="20" max="20" width="10" style="211" customWidth="1"/>
    <col min="21" max="21" width="1.07421875" style="211" customWidth="1"/>
    <col min="22" max="22" width="12.84375" style="211" customWidth="1"/>
    <col min="23" max="23" width="1.07421875" style="211" customWidth="1"/>
    <col min="24" max="24" width="11.07421875" style="211" bestFit="1" customWidth="1"/>
    <col min="25" max="25" width="1.07421875" style="211" customWidth="1"/>
    <col min="26" max="26" width="0.84375" style="211" customWidth="1"/>
    <col min="27" max="27" width="10.53515625" style="211" customWidth="1"/>
    <col min="28" max="28" width="2.07421875" style="211" customWidth="1"/>
    <col min="29" max="29" width="0.84375" style="211" customWidth="1"/>
    <col min="30" max="30" width="11" style="211" bestFit="1" customWidth="1"/>
    <col min="31" max="32" width="0.84375" style="211" customWidth="1"/>
    <col min="33" max="33" width="10.84375" style="211" bestFit="1" customWidth="1"/>
    <col min="34" max="34" width="1.07421875" style="211" customWidth="1"/>
    <col min="35" max="35" width="11" style="211" customWidth="1"/>
    <col min="36" max="36" width="14.53515625" style="1500" customWidth="1"/>
    <col min="37" max="252" width="8.84375" style="211"/>
    <col min="253" max="253" width="38.4609375" style="211" customWidth="1"/>
    <col min="254" max="254" width="8.53515625" style="211" customWidth="1"/>
    <col min="255" max="255" width="1.07421875" style="211" customWidth="1"/>
    <col min="256" max="256" width="8.84375" style="211" customWidth="1"/>
    <col min="257" max="257" width="1.07421875" style="211" customWidth="1"/>
    <col min="258" max="258" width="9.07421875" style="211" customWidth="1"/>
    <col min="259" max="259" width="1.07421875" style="211" customWidth="1"/>
    <col min="260" max="260" width="10" style="211" customWidth="1"/>
    <col min="261" max="261" width="1.07421875" style="211" customWidth="1"/>
    <col min="262" max="262" width="9.07421875" style="211" customWidth="1"/>
    <col min="263" max="263" width="1.07421875" style="211" customWidth="1"/>
    <col min="264" max="264" width="11.07421875" style="211" customWidth="1"/>
    <col min="265" max="265" width="1.07421875" style="211" customWidth="1"/>
    <col min="266" max="266" width="9.07421875" style="211" customWidth="1"/>
    <col min="267" max="267" width="1.84375" style="211" customWidth="1"/>
    <col min="268" max="268" width="11" style="211" customWidth="1"/>
    <col min="269" max="269" width="1.07421875" style="211" customWidth="1"/>
    <col min="270" max="270" width="10.84375" style="211" customWidth="1"/>
    <col min="271" max="271" width="1.07421875" style="211" customWidth="1"/>
    <col min="272" max="272" width="10" style="211" customWidth="1"/>
    <col min="273" max="273" width="1.07421875" style="211" customWidth="1"/>
    <col min="274" max="274" width="9.07421875" style="211" customWidth="1"/>
    <col min="275" max="275" width="1.07421875" style="211" customWidth="1"/>
    <col min="276" max="276" width="7.84375" style="211" customWidth="1"/>
    <col min="277" max="277" width="1.07421875" style="211" customWidth="1"/>
    <col min="278" max="278" width="0.84375" style="211" customWidth="1"/>
    <col min="279" max="279" width="9.07421875" style="211" customWidth="1"/>
    <col min="280" max="280" width="1.07421875" style="211" customWidth="1"/>
    <col min="281" max="281" width="0.84375" style="211" customWidth="1"/>
    <col min="282" max="282" width="9.53515625" style="211" bestFit="1" customWidth="1"/>
    <col min="283" max="284" width="0.84375" style="211" customWidth="1"/>
    <col min="285" max="285" width="9.84375" style="211" customWidth="1"/>
    <col min="286" max="286" width="1.07421875" style="211" customWidth="1"/>
    <col min="287" max="287" width="8.53515625" style="211" customWidth="1"/>
    <col min="288" max="288" width="14.53515625" style="211" customWidth="1"/>
    <col min="289" max="289" width="10" style="211" customWidth="1"/>
    <col min="290" max="290" width="7.84375" style="211" bestFit="1" customWidth="1"/>
    <col min="291" max="291" width="9.84375" style="211" customWidth="1"/>
    <col min="292" max="508" width="8.84375" style="211"/>
    <col min="509" max="509" width="38.4609375" style="211" customWidth="1"/>
    <col min="510" max="510" width="8.53515625" style="211" customWidth="1"/>
    <col min="511" max="511" width="1.07421875" style="211" customWidth="1"/>
    <col min="512" max="512" width="8.84375" style="211" customWidth="1"/>
    <col min="513" max="513" width="1.07421875" style="211" customWidth="1"/>
    <col min="514" max="514" width="9.07421875" style="211" customWidth="1"/>
    <col min="515" max="515" width="1.07421875" style="211" customWidth="1"/>
    <col min="516" max="516" width="10" style="211" customWidth="1"/>
    <col min="517" max="517" width="1.07421875" style="211" customWidth="1"/>
    <col min="518" max="518" width="9.07421875" style="211" customWidth="1"/>
    <col min="519" max="519" width="1.07421875" style="211" customWidth="1"/>
    <col min="520" max="520" width="11.07421875" style="211" customWidth="1"/>
    <col min="521" max="521" width="1.07421875" style="211" customWidth="1"/>
    <col min="522" max="522" width="9.07421875" style="211" customWidth="1"/>
    <col min="523" max="523" width="1.84375" style="211" customWidth="1"/>
    <col min="524" max="524" width="11" style="211" customWidth="1"/>
    <col min="525" max="525" width="1.07421875" style="211" customWidth="1"/>
    <col min="526" max="526" width="10.84375" style="211" customWidth="1"/>
    <col min="527" max="527" width="1.07421875" style="211" customWidth="1"/>
    <col min="528" max="528" width="10" style="211" customWidth="1"/>
    <col min="529" max="529" width="1.07421875" style="211" customWidth="1"/>
    <col min="530" max="530" width="9.07421875" style="211" customWidth="1"/>
    <col min="531" max="531" width="1.07421875" style="211" customWidth="1"/>
    <col min="532" max="532" width="7.84375" style="211" customWidth="1"/>
    <col min="533" max="533" width="1.07421875" style="211" customWidth="1"/>
    <col min="534" max="534" width="0.84375" style="211" customWidth="1"/>
    <col min="535" max="535" width="9.07421875" style="211" customWidth="1"/>
    <col min="536" max="536" width="1.07421875" style="211" customWidth="1"/>
    <col min="537" max="537" width="0.84375" style="211" customWidth="1"/>
    <col min="538" max="538" width="9.53515625" style="211" bestFit="1" customWidth="1"/>
    <col min="539" max="540" width="0.84375" style="211" customWidth="1"/>
    <col min="541" max="541" width="9.84375" style="211" customWidth="1"/>
    <col min="542" max="542" width="1.07421875" style="211" customWidth="1"/>
    <col min="543" max="543" width="8.53515625" style="211" customWidth="1"/>
    <col min="544" max="544" width="14.53515625" style="211" customWidth="1"/>
    <col min="545" max="545" width="10" style="211" customWidth="1"/>
    <col min="546" max="546" width="7.84375" style="211" bestFit="1" customWidth="1"/>
    <col min="547" max="547" width="9.84375" style="211" customWidth="1"/>
    <col min="548" max="764" width="8.84375" style="211"/>
    <col min="765" max="765" width="38.4609375" style="211" customWidth="1"/>
    <col min="766" max="766" width="8.53515625" style="211" customWidth="1"/>
    <col min="767" max="767" width="1.07421875" style="211" customWidth="1"/>
    <col min="768" max="768" width="8.84375" style="211" customWidth="1"/>
    <col min="769" max="769" width="1.07421875" style="211" customWidth="1"/>
    <col min="770" max="770" width="9.07421875" style="211" customWidth="1"/>
    <col min="771" max="771" width="1.07421875" style="211" customWidth="1"/>
    <col min="772" max="772" width="10" style="211" customWidth="1"/>
    <col min="773" max="773" width="1.07421875" style="211" customWidth="1"/>
    <col min="774" max="774" width="9.07421875" style="211" customWidth="1"/>
    <col min="775" max="775" width="1.07421875" style="211" customWidth="1"/>
    <col min="776" max="776" width="11.07421875" style="211" customWidth="1"/>
    <col min="777" max="777" width="1.07421875" style="211" customWidth="1"/>
    <col min="778" max="778" width="9.07421875" style="211" customWidth="1"/>
    <col min="779" max="779" width="1.84375" style="211" customWidth="1"/>
    <col min="780" max="780" width="11" style="211" customWidth="1"/>
    <col min="781" max="781" width="1.07421875" style="211" customWidth="1"/>
    <col min="782" max="782" width="10.84375" style="211" customWidth="1"/>
    <col min="783" max="783" width="1.07421875" style="211" customWidth="1"/>
    <col min="784" max="784" width="10" style="211" customWidth="1"/>
    <col min="785" max="785" width="1.07421875" style="211" customWidth="1"/>
    <col min="786" max="786" width="9.07421875" style="211" customWidth="1"/>
    <col min="787" max="787" width="1.07421875" style="211" customWidth="1"/>
    <col min="788" max="788" width="7.84375" style="211" customWidth="1"/>
    <col min="789" max="789" width="1.07421875" style="211" customWidth="1"/>
    <col min="790" max="790" width="0.84375" style="211" customWidth="1"/>
    <col min="791" max="791" width="9.07421875" style="211" customWidth="1"/>
    <col min="792" max="792" width="1.07421875" style="211" customWidth="1"/>
    <col min="793" max="793" width="0.84375" style="211" customWidth="1"/>
    <col min="794" max="794" width="9.53515625" style="211" bestFit="1" customWidth="1"/>
    <col min="795" max="796" width="0.84375" style="211" customWidth="1"/>
    <col min="797" max="797" width="9.84375" style="211" customWidth="1"/>
    <col min="798" max="798" width="1.07421875" style="211" customWidth="1"/>
    <col min="799" max="799" width="8.53515625" style="211" customWidth="1"/>
    <col min="800" max="800" width="14.53515625" style="211" customWidth="1"/>
    <col min="801" max="801" width="10" style="211" customWidth="1"/>
    <col min="802" max="802" width="7.84375" style="211" bestFit="1" customWidth="1"/>
    <col min="803" max="803" width="9.84375" style="211" customWidth="1"/>
    <col min="804" max="1020" width="8.84375" style="211"/>
    <col min="1021" max="1021" width="38.4609375" style="211" customWidth="1"/>
    <col min="1022" max="1022" width="8.53515625" style="211" customWidth="1"/>
    <col min="1023" max="1023" width="1.07421875" style="211" customWidth="1"/>
    <col min="1024" max="1024" width="8.84375" style="211" customWidth="1"/>
    <col min="1025" max="1025" width="1.07421875" style="211" customWidth="1"/>
    <col min="1026" max="1026" width="9.07421875" style="211" customWidth="1"/>
    <col min="1027" max="1027" width="1.07421875" style="211" customWidth="1"/>
    <col min="1028" max="1028" width="10" style="211" customWidth="1"/>
    <col min="1029" max="1029" width="1.07421875" style="211" customWidth="1"/>
    <col min="1030" max="1030" width="9.07421875" style="211" customWidth="1"/>
    <col min="1031" max="1031" width="1.07421875" style="211" customWidth="1"/>
    <col min="1032" max="1032" width="11.07421875" style="211" customWidth="1"/>
    <col min="1033" max="1033" width="1.07421875" style="211" customWidth="1"/>
    <col min="1034" max="1034" width="9.07421875" style="211" customWidth="1"/>
    <col min="1035" max="1035" width="1.84375" style="211" customWidth="1"/>
    <col min="1036" max="1036" width="11" style="211" customWidth="1"/>
    <col min="1037" max="1037" width="1.07421875" style="211" customWidth="1"/>
    <col min="1038" max="1038" width="10.84375" style="211" customWidth="1"/>
    <col min="1039" max="1039" width="1.07421875" style="211" customWidth="1"/>
    <col min="1040" max="1040" width="10" style="211" customWidth="1"/>
    <col min="1041" max="1041" width="1.07421875" style="211" customWidth="1"/>
    <col min="1042" max="1042" width="9.07421875" style="211" customWidth="1"/>
    <col min="1043" max="1043" width="1.07421875" style="211" customWidth="1"/>
    <col min="1044" max="1044" width="7.84375" style="211" customWidth="1"/>
    <col min="1045" max="1045" width="1.07421875" style="211" customWidth="1"/>
    <col min="1046" max="1046" width="0.84375" style="211" customWidth="1"/>
    <col min="1047" max="1047" width="9.07421875" style="211" customWidth="1"/>
    <col min="1048" max="1048" width="1.07421875" style="211" customWidth="1"/>
    <col min="1049" max="1049" width="0.84375" style="211" customWidth="1"/>
    <col min="1050" max="1050" width="9.53515625" style="211" bestFit="1" customWidth="1"/>
    <col min="1051" max="1052" width="0.84375" style="211" customWidth="1"/>
    <col min="1053" max="1053" width="9.84375" style="211" customWidth="1"/>
    <col min="1054" max="1054" width="1.07421875" style="211" customWidth="1"/>
    <col min="1055" max="1055" width="8.53515625" style="211" customWidth="1"/>
    <col min="1056" max="1056" width="14.53515625" style="211" customWidth="1"/>
    <col min="1057" max="1057" width="10" style="211" customWidth="1"/>
    <col min="1058" max="1058" width="7.84375" style="211" bestFit="1" customWidth="1"/>
    <col min="1059" max="1059" width="9.84375" style="211" customWidth="1"/>
    <col min="1060" max="1276" width="8.84375" style="211"/>
    <col min="1277" max="1277" width="38.4609375" style="211" customWidth="1"/>
    <col min="1278" max="1278" width="8.53515625" style="211" customWidth="1"/>
    <col min="1279" max="1279" width="1.07421875" style="211" customWidth="1"/>
    <col min="1280" max="1280" width="8.84375" style="211" customWidth="1"/>
    <col min="1281" max="1281" width="1.07421875" style="211" customWidth="1"/>
    <col min="1282" max="1282" width="9.07421875" style="211" customWidth="1"/>
    <col min="1283" max="1283" width="1.07421875" style="211" customWidth="1"/>
    <col min="1284" max="1284" width="10" style="211" customWidth="1"/>
    <col min="1285" max="1285" width="1.07421875" style="211" customWidth="1"/>
    <col min="1286" max="1286" width="9.07421875" style="211" customWidth="1"/>
    <col min="1287" max="1287" width="1.07421875" style="211" customWidth="1"/>
    <col min="1288" max="1288" width="11.07421875" style="211" customWidth="1"/>
    <col min="1289" max="1289" width="1.07421875" style="211" customWidth="1"/>
    <col min="1290" max="1290" width="9.07421875" style="211" customWidth="1"/>
    <col min="1291" max="1291" width="1.84375" style="211" customWidth="1"/>
    <col min="1292" max="1292" width="11" style="211" customWidth="1"/>
    <col min="1293" max="1293" width="1.07421875" style="211" customWidth="1"/>
    <col min="1294" max="1294" width="10.84375" style="211" customWidth="1"/>
    <col min="1295" max="1295" width="1.07421875" style="211" customWidth="1"/>
    <col min="1296" max="1296" width="10" style="211" customWidth="1"/>
    <col min="1297" max="1297" width="1.07421875" style="211" customWidth="1"/>
    <col min="1298" max="1298" width="9.07421875" style="211" customWidth="1"/>
    <col min="1299" max="1299" width="1.07421875" style="211" customWidth="1"/>
    <col min="1300" max="1300" width="7.84375" style="211" customWidth="1"/>
    <col min="1301" max="1301" width="1.07421875" style="211" customWidth="1"/>
    <col min="1302" max="1302" width="0.84375" style="211" customWidth="1"/>
    <col min="1303" max="1303" width="9.07421875" style="211" customWidth="1"/>
    <col min="1304" max="1304" width="1.07421875" style="211" customWidth="1"/>
    <col min="1305" max="1305" width="0.84375" style="211" customWidth="1"/>
    <col min="1306" max="1306" width="9.53515625" style="211" bestFit="1" customWidth="1"/>
    <col min="1307" max="1308" width="0.84375" style="211" customWidth="1"/>
    <col min="1309" max="1309" width="9.84375" style="211" customWidth="1"/>
    <col min="1310" max="1310" width="1.07421875" style="211" customWidth="1"/>
    <col min="1311" max="1311" width="8.53515625" style="211" customWidth="1"/>
    <col min="1312" max="1312" width="14.53515625" style="211" customWidth="1"/>
    <col min="1313" max="1313" width="10" style="211" customWidth="1"/>
    <col min="1314" max="1314" width="7.84375" style="211" bestFit="1" customWidth="1"/>
    <col min="1315" max="1315" width="9.84375" style="211" customWidth="1"/>
    <col min="1316" max="1532" width="8.84375" style="211"/>
    <col min="1533" max="1533" width="38.4609375" style="211" customWidth="1"/>
    <col min="1534" max="1534" width="8.53515625" style="211" customWidth="1"/>
    <col min="1535" max="1535" width="1.07421875" style="211" customWidth="1"/>
    <col min="1536" max="1536" width="8.84375" style="211" customWidth="1"/>
    <col min="1537" max="1537" width="1.07421875" style="211" customWidth="1"/>
    <col min="1538" max="1538" width="9.07421875" style="211" customWidth="1"/>
    <col min="1539" max="1539" width="1.07421875" style="211" customWidth="1"/>
    <col min="1540" max="1540" width="10" style="211" customWidth="1"/>
    <col min="1541" max="1541" width="1.07421875" style="211" customWidth="1"/>
    <col min="1542" max="1542" width="9.07421875" style="211" customWidth="1"/>
    <col min="1543" max="1543" width="1.07421875" style="211" customWidth="1"/>
    <col min="1544" max="1544" width="11.07421875" style="211" customWidth="1"/>
    <col min="1545" max="1545" width="1.07421875" style="211" customWidth="1"/>
    <col min="1546" max="1546" width="9.07421875" style="211" customWidth="1"/>
    <col min="1547" max="1547" width="1.84375" style="211" customWidth="1"/>
    <col min="1548" max="1548" width="11" style="211" customWidth="1"/>
    <col min="1549" max="1549" width="1.07421875" style="211" customWidth="1"/>
    <col min="1550" max="1550" width="10.84375" style="211" customWidth="1"/>
    <col min="1551" max="1551" width="1.07421875" style="211" customWidth="1"/>
    <col min="1552" max="1552" width="10" style="211" customWidth="1"/>
    <col min="1553" max="1553" width="1.07421875" style="211" customWidth="1"/>
    <col min="1554" max="1554" width="9.07421875" style="211" customWidth="1"/>
    <col min="1555" max="1555" width="1.07421875" style="211" customWidth="1"/>
    <col min="1556" max="1556" width="7.84375" style="211" customWidth="1"/>
    <col min="1557" max="1557" width="1.07421875" style="211" customWidth="1"/>
    <col min="1558" max="1558" width="0.84375" style="211" customWidth="1"/>
    <col min="1559" max="1559" width="9.07421875" style="211" customWidth="1"/>
    <col min="1560" max="1560" width="1.07421875" style="211" customWidth="1"/>
    <col min="1561" max="1561" width="0.84375" style="211" customWidth="1"/>
    <col min="1562" max="1562" width="9.53515625" style="211" bestFit="1" customWidth="1"/>
    <col min="1563" max="1564" width="0.84375" style="211" customWidth="1"/>
    <col min="1565" max="1565" width="9.84375" style="211" customWidth="1"/>
    <col min="1566" max="1566" width="1.07421875" style="211" customWidth="1"/>
    <col min="1567" max="1567" width="8.53515625" style="211" customWidth="1"/>
    <col min="1568" max="1568" width="14.53515625" style="211" customWidth="1"/>
    <col min="1569" max="1569" width="10" style="211" customWidth="1"/>
    <col min="1570" max="1570" width="7.84375" style="211" bestFit="1" customWidth="1"/>
    <col min="1571" max="1571" width="9.84375" style="211" customWidth="1"/>
    <col min="1572" max="1788" width="8.84375" style="211"/>
    <col min="1789" max="1789" width="38.4609375" style="211" customWidth="1"/>
    <col min="1790" max="1790" width="8.53515625" style="211" customWidth="1"/>
    <col min="1791" max="1791" width="1.07421875" style="211" customWidth="1"/>
    <col min="1792" max="1792" width="8.84375" style="211" customWidth="1"/>
    <col min="1793" max="1793" width="1.07421875" style="211" customWidth="1"/>
    <col min="1794" max="1794" width="9.07421875" style="211" customWidth="1"/>
    <col min="1795" max="1795" width="1.07421875" style="211" customWidth="1"/>
    <col min="1796" max="1796" width="10" style="211" customWidth="1"/>
    <col min="1797" max="1797" width="1.07421875" style="211" customWidth="1"/>
    <col min="1798" max="1798" width="9.07421875" style="211" customWidth="1"/>
    <col min="1799" max="1799" width="1.07421875" style="211" customWidth="1"/>
    <col min="1800" max="1800" width="11.07421875" style="211" customWidth="1"/>
    <col min="1801" max="1801" width="1.07421875" style="211" customWidth="1"/>
    <col min="1802" max="1802" width="9.07421875" style="211" customWidth="1"/>
    <col min="1803" max="1803" width="1.84375" style="211" customWidth="1"/>
    <col min="1804" max="1804" width="11" style="211" customWidth="1"/>
    <col min="1805" max="1805" width="1.07421875" style="211" customWidth="1"/>
    <col min="1806" max="1806" width="10.84375" style="211" customWidth="1"/>
    <col min="1807" max="1807" width="1.07421875" style="211" customWidth="1"/>
    <col min="1808" max="1808" width="10" style="211" customWidth="1"/>
    <col min="1809" max="1809" width="1.07421875" style="211" customWidth="1"/>
    <col min="1810" max="1810" width="9.07421875" style="211" customWidth="1"/>
    <col min="1811" max="1811" width="1.07421875" style="211" customWidth="1"/>
    <col min="1812" max="1812" width="7.84375" style="211" customWidth="1"/>
    <col min="1813" max="1813" width="1.07421875" style="211" customWidth="1"/>
    <col min="1814" max="1814" width="0.84375" style="211" customWidth="1"/>
    <col min="1815" max="1815" width="9.07421875" style="211" customWidth="1"/>
    <col min="1816" max="1816" width="1.07421875" style="211" customWidth="1"/>
    <col min="1817" max="1817" width="0.84375" style="211" customWidth="1"/>
    <col min="1818" max="1818" width="9.53515625" style="211" bestFit="1" customWidth="1"/>
    <col min="1819" max="1820" width="0.84375" style="211" customWidth="1"/>
    <col min="1821" max="1821" width="9.84375" style="211" customWidth="1"/>
    <col min="1822" max="1822" width="1.07421875" style="211" customWidth="1"/>
    <col min="1823" max="1823" width="8.53515625" style="211" customWidth="1"/>
    <col min="1824" max="1824" width="14.53515625" style="211" customWidth="1"/>
    <col min="1825" max="1825" width="10" style="211" customWidth="1"/>
    <col min="1826" max="1826" width="7.84375" style="211" bestFit="1" customWidth="1"/>
    <col min="1827" max="1827" width="9.84375" style="211" customWidth="1"/>
    <col min="1828" max="2044" width="8.84375" style="211"/>
    <col min="2045" max="2045" width="38.4609375" style="211" customWidth="1"/>
    <col min="2046" max="2046" width="8.53515625" style="211" customWidth="1"/>
    <col min="2047" max="2047" width="1.07421875" style="211" customWidth="1"/>
    <col min="2048" max="2048" width="8.84375" style="211" customWidth="1"/>
    <col min="2049" max="2049" width="1.07421875" style="211" customWidth="1"/>
    <col min="2050" max="2050" width="9.07421875" style="211" customWidth="1"/>
    <col min="2051" max="2051" width="1.07421875" style="211" customWidth="1"/>
    <col min="2052" max="2052" width="10" style="211" customWidth="1"/>
    <col min="2053" max="2053" width="1.07421875" style="211" customWidth="1"/>
    <col min="2054" max="2054" width="9.07421875" style="211" customWidth="1"/>
    <col min="2055" max="2055" width="1.07421875" style="211" customWidth="1"/>
    <col min="2056" max="2056" width="11.07421875" style="211" customWidth="1"/>
    <col min="2057" max="2057" width="1.07421875" style="211" customWidth="1"/>
    <col min="2058" max="2058" width="9.07421875" style="211" customWidth="1"/>
    <col min="2059" max="2059" width="1.84375" style="211" customWidth="1"/>
    <col min="2060" max="2060" width="11" style="211" customWidth="1"/>
    <col min="2061" max="2061" width="1.07421875" style="211" customWidth="1"/>
    <col min="2062" max="2062" width="10.84375" style="211" customWidth="1"/>
    <col min="2063" max="2063" width="1.07421875" style="211" customWidth="1"/>
    <col min="2064" max="2064" width="10" style="211" customWidth="1"/>
    <col min="2065" max="2065" width="1.07421875" style="211" customWidth="1"/>
    <col min="2066" max="2066" width="9.07421875" style="211" customWidth="1"/>
    <col min="2067" max="2067" width="1.07421875" style="211" customWidth="1"/>
    <col min="2068" max="2068" width="7.84375" style="211" customWidth="1"/>
    <col min="2069" max="2069" width="1.07421875" style="211" customWidth="1"/>
    <col min="2070" max="2070" width="0.84375" style="211" customWidth="1"/>
    <col min="2071" max="2071" width="9.07421875" style="211" customWidth="1"/>
    <col min="2072" max="2072" width="1.07421875" style="211" customWidth="1"/>
    <col min="2073" max="2073" width="0.84375" style="211" customWidth="1"/>
    <col min="2074" max="2074" width="9.53515625" style="211" bestFit="1" customWidth="1"/>
    <col min="2075" max="2076" width="0.84375" style="211" customWidth="1"/>
    <col min="2077" max="2077" width="9.84375" style="211" customWidth="1"/>
    <col min="2078" max="2078" width="1.07421875" style="211" customWidth="1"/>
    <col min="2079" max="2079" width="8.53515625" style="211" customWidth="1"/>
    <col min="2080" max="2080" width="14.53515625" style="211" customWidth="1"/>
    <col min="2081" max="2081" width="10" style="211" customWidth="1"/>
    <col min="2082" max="2082" width="7.84375" style="211" bestFit="1" customWidth="1"/>
    <col min="2083" max="2083" width="9.84375" style="211" customWidth="1"/>
    <col min="2084" max="2300" width="8.84375" style="211"/>
    <col min="2301" max="2301" width="38.4609375" style="211" customWidth="1"/>
    <col min="2302" max="2302" width="8.53515625" style="211" customWidth="1"/>
    <col min="2303" max="2303" width="1.07421875" style="211" customWidth="1"/>
    <col min="2304" max="2304" width="8.84375" style="211" customWidth="1"/>
    <col min="2305" max="2305" width="1.07421875" style="211" customWidth="1"/>
    <col min="2306" max="2306" width="9.07421875" style="211" customWidth="1"/>
    <col min="2307" max="2307" width="1.07421875" style="211" customWidth="1"/>
    <col min="2308" max="2308" width="10" style="211" customWidth="1"/>
    <col min="2309" max="2309" width="1.07421875" style="211" customWidth="1"/>
    <col min="2310" max="2310" width="9.07421875" style="211" customWidth="1"/>
    <col min="2311" max="2311" width="1.07421875" style="211" customWidth="1"/>
    <col min="2312" max="2312" width="11.07421875" style="211" customWidth="1"/>
    <col min="2313" max="2313" width="1.07421875" style="211" customWidth="1"/>
    <col min="2314" max="2314" width="9.07421875" style="211" customWidth="1"/>
    <col min="2315" max="2315" width="1.84375" style="211" customWidth="1"/>
    <col min="2316" max="2316" width="11" style="211" customWidth="1"/>
    <col min="2317" max="2317" width="1.07421875" style="211" customWidth="1"/>
    <col min="2318" max="2318" width="10.84375" style="211" customWidth="1"/>
    <col min="2319" max="2319" width="1.07421875" style="211" customWidth="1"/>
    <col min="2320" max="2320" width="10" style="211" customWidth="1"/>
    <col min="2321" max="2321" width="1.07421875" style="211" customWidth="1"/>
    <col min="2322" max="2322" width="9.07421875" style="211" customWidth="1"/>
    <col min="2323" max="2323" width="1.07421875" style="211" customWidth="1"/>
    <col min="2324" max="2324" width="7.84375" style="211" customWidth="1"/>
    <col min="2325" max="2325" width="1.07421875" style="211" customWidth="1"/>
    <col min="2326" max="2326" width="0.84375" style="211" customWidth="1"/>
    <col min="2327" max="2327" width="9.07421875" style="211" customWidth="1"/>
    <col min="2328" max="2328" width="1.07421875" style="211" customWidth="1"/>
    <col min="2329" max="2329" width="0.84375" style="211" customWidth="1"/>
    <col min="2330" max="2330" width="9.53515625" style="211" bestFit="1" customWidth="1"/>
    <col min="2331" max="2332" width="0.84375" style="211" customWidth="1"/>
    <col min="2333" max="2333" width="9.84375" style="211" customWidth="1"/>
    <col min="2334" max="2334" width="1.07421875" style="211" customWidth="1"/>
    <col min="2335" max="2335" width="8.53515625" style="211" customWidth="1"/>
    <col min="2336" max="2336" width="14.53515625" style="211" customWidth="1"/>
    <col min="2337" max="2337" width="10" style="211" customWidth="1"/>
    <col min="2338" max="2338" width="7.84375" style="211" bestFit="1" customWidth="1"/>
    <col min="2339" max="2339" width="9.84375" style="211" customWidth="1"/>
    <col min="2340" max="2556" width="8.84375" style="211"/>
    <col min="2557" max="2557" width="38.4609375" style="211" customWidth="1"/>
    <col min="2558" max="2558" width="8.53515625" style="211" customWidth="1"/>
    <col min="2559" max="2559" width="1.07421875" style="211" customWidth="1"/>
    <col min="2560" max="2560" width="8.84375" style="211" customWidth="1"/>
    <col min="2561" max="2561" width="1.07421875" style="211" customWidth="1"/>
    <col min="2562" max="2562" width="9.07421875" style="211" customWidth="1"/>
    <col min="2563" max="2563" width="1.07421875" style="211" customWidth="1"/>
    <col min="2564" max="2564" width="10" style="211" customWidth="1"/>
    <col min="2565" max="2565" width="1.07421875" style="211" customWidth="1"/>
    <col min="2566" max="2566" width="9.07421875" style="211" customWidth="1"/>
    <col min="2567" max="2567" width="1.07421875" style="211" customWidth="1"/>
    <col min="2568" max="2568" width="11.07421875" style="211" customWidth="1"/>
    <col min="2569" max="2569" width="1.07421875" style="211" customWidth="1"/>
    <col min="2570" max="2570" width="9.07421875" style="211" customWidth="1"/>
    <col min="2571" max="2571" width="1.84375" style="211" customWidth="1"/>
    <col min="2572" max="2572" width="11" style="211" customWidth="1"/>
    <col min="2573" max="2573" width="1.07421875" style="211" customWidth="1"/>
    <col min="2574" max="2574" width="10.84375" style="211" customWidth="1"/>
    <col min="2575" max="2575" width="1.07421875" style="211" customWidth="1"/>
    <col min="2576" max="2576" width="10" style="211" customWidth="1"/>
    <col min="2577" max="2577" width="1.07421875" style="211" customWidth="1"/>
    <col min="2578" max="2578" width="9.07421875" style="211" customWidth="1"/>
    <col min="2579" max="2579" width="1.07421875" style="211" customWidth="1"/>
    <col min="2580" max="2580" width="7.84375" style="211" customWidth="1"/>
    <col min="2581" max="2581" width="1.07421875" style="211" customWidth="1"/>
    <col min="2582" max="2582" width="0.84375" style="211" customWidth="1"/>
    <col min="2583" max="2583" width="9.07421875" style="211" customWidth="1"/>
    <col min="2584" max="2584" width="1.07421875" style="211" customWidth="1"/>
    <col min="2585" max="2585" width="0.84375" style="211" customWidth="1"/>
    <col min="2586" max="2586" width="9.53515625" style="211" bestFit="1" customWidth="1"/>
    <col min="2587" max="2588" width="0.84375" style="211" customWidth="1"/>
    <col min="2589" max="2589" width="9.84375" style="211" customWidth="1"/>
    <col min="2590" max="2590" width="1.07421875" style="211" customWidth="1"/>
    <col min="2591" max="2591" width="8.53515625" style="211" customWidth="1"/>
    <col min="2592" max="2592" width="14.53515625" style="211" customWidth="1"/>
    <col min="2593" max="2593" width="10" style="211" customWidth="1"/>
    <col min="2594" max="2594" width="7.84375" style="211" bestFit="1" customWidth="1"/>
    <col min="2595" max="2595" width="9.84375" style="211" customWidth="1"/>
    <col min="2596" max="2812" width="8.84375" style="211"/>
    <col min="2813" max="2813" width="38.4609375" style="211" customWidth="1"/>
    <col min="2814" max="2814" width="8.53515625" style="211" customWidth="1"/>
    <col min="2815" max="2815" width="1.07421875" style="211" customWidth="1"/>
    <col min="2816" max="2816" width="8.84375" style="211" customWidth="1"/>
    <col min="2817" max="2817" width="1.07421875" style="211" customWidth="1"/>
    <col min="2818" max="2818" width="9.07421875" style="211" customWidth="1"/>
    <col min="2819" max="2819" width="1.07421875" style="211" customWidth="1"/>
    <col min="2820" max="2820" width="10" style="211" customWidth="1"/>
    <col min="2821" max="2821" width="1.07421875" style="211" customWidth="1"/>
    <col min="2822" max="2822" width="9.07421875" style="211" customWidth="1"/>
    <col min="2823" max="2823" width="1.07421875" style="211" customWidth="1"/>
    <col min="2824" max="2824" width="11.07421875" style="211" customWidth="1"/>
    <col min="2825" max="2825" width="1.07421875" style="211" customWidth="1"/>
    <col min="2826" max="2826" width="9.07421875" style="211" customWidth="1"/>
    <col min="2827" max="2827" width="1.84375" style="211" customWidth="1"/>
    <col min="2828" max="2828" width="11" style="211" customWidth="1"/>
    <col min="2829" max="2829" width="1.07421875" style="211" customWidth="1"/>
    <col min="2830" max="2830" width="10.84375" style="211" customWidth="1"/>
    <col min="2831" max="2831" width="1.07421875" style="211" customWidth="1"/>
    <col min="2832" max="2832" width="10" style="211" customWidth="1"/>
    <col min="2833" max="2833" width="1.07421875" style="211" customWidth="1"/>
    <col min="2834" max="2834" width="9.07421875" style="211" customWidth="1"/>
    <col min="2835" max="2835" width="1.07421875" style="211" customWidth="1"/>
    <col min="2836" max="2836" width="7.84375" style="211" customWidth="1"/>
    <col min="2837" max="2837" width="1.07421875" style="211" customWidth="1"/>
    <col min="2838" max="2838" width="0.84375" style="211" customWidth="1"/>
    <col min="2839" max="2839" width="9.07421875" style="211" customWidth="1"/>
    <col min="2840" max="2840" width="1.07421875" style="211" customWidth="1"/>
    <col min="2841" max="2841" width="0.84375" style="211" customWidth="1"/>
    <col min="2842" max="2842" width="9.53515625" style="211" bestFit="1" customWidth="1"/>
    <col min="2843" max="2844" width="0.84375" style="211" customWidth="1"/>
    <col min="2845" max="2845" width="9.84375" style="211" customWidth="1"/>
    <col min="2846" max="2846" width="1.07421875" style="211" customWidth="1"/>
    <col min="2847" max="2847" width="8.53515625" style="211" customWidth="1"/>
    <col min="2848" max="2848" width="14.53515625" style="211" customWidth="1"/>
    <col min="2849" max="2849" width="10" style="211" customWidth="1"/>
    <col min="2850" max="2850" width="7.84375" style="211" bestFit="1" customWidth="1"/>
    <col min="2851" max="2851" width="9.84375" style="211" customWidth="1"/>
    <col min="2852" max="3068" width="8.84375" style="211"/>
    <col min="3069" max="3069" width="38.4609375" style="211" customWidth="1"/>
    <col min="3070" max="3070" width="8.53515625" style="211" customWidth="1"/>
    <col min="3071" max="3071" width="1.07421875" style="211" customWidth="1"/>
    <col min="3072" max="3072" width="8.84375" style="211" customWidth="1"/>
    <col min="3073" max="3073" width="1.07421875" style="211" customWidth="1"/>
    <col min="3074" max="3074" width="9.07421875" style="211" customWidth="1"/>
    <col min="3075" max="3075" width="1.07421875" style="211" customWidth="1"/>
    <col min="3076" max="3076" width="10" style="211" customWidth="1"/>
    <col min="3077" max="3077" width="1.07421875" style="211" customWidth="1"/>
    <col min="3078" max="3078" width="9.07421875" style="211" customWidth="1"/>
    <col min="3079" max="3079" width="1.07421875" style="211" customWidth="1"/>
    <col min="3080" max="3080" width="11.07421875" style="211" customWidth="1"/>
    <col min="3081" max="3081" width="1.07421875" style="211" customWidth="1"/>
    <col min="3082" max="3082" width="9.07421875" style="211" customWidth="1"/>
    <col min="3083" max="3083" width="1.84375" style="211" customWidth="1"/>
    <col min="3084" max="3084" width="11" style="211" customWidth="1"/>
    <col min="3085" max="3085" width="1.07421875" style="211" customWidth="1"/>
    <col min="3086" max="3086" width="10.84375" style="211" customWidth="1"/>
    <col min="3087" max="3087" width="1.07421875" style="211" customWidth="1"/>
    <col min="3088" max="3088" width="10" style="211" customWidth="1"/>
    <col min="3089" max="3089" width="1.07421875" style="211" customWidth="1"/>
    <col min="3090" max="3090" width="9.07421875" style="211" customWidth="1"/>
    <col min="3091" max="3091" width="1.07421875" style="211" customWidth="1"/>
    <col min="3092" max="3092" width="7.84375" style="211" customWidth="1"/>
    <col min="3093" max="3093" width="1.07421875" style="211" customWidth="1"/>
    <col min="3094" max="3094" width="0.84375" style="211" customWidth="1"/>
    <col min="3095" max="3095" width="9.07421875" style="211" customWidth="1"/>
    <col min="3096" max="3096" width="1.07421875" style="211" customWidth="1"/>
    <col min="3097" max="3097" width="0.84375" style="211" customWidth="1"/>
    <col min="3098" max="3098" width="9.53515625" style="211" bestFit="1" customWidth="1"/>
    <col min="3099" max="3100" width="0.84375" style="211" customWidth="1"/>
    <col min="3101" max="3101" width="9.84375" style="211" customWidth="1"/>
    <col min="3102" max="3102" width="1.07421875" style="211" customWidth="1"/>
    <col min="3103" max="3103" width="8.53515625" style="211" customWidth="1"/>
    <col min="3104" max="3104" width="14.53515625" style="211" customWidth="1"/>
    <col min="3105" max="3105" width="10" style="211" customWidth="1"/>
    <col min="3106" max="3106" width="7.84375" style="211" bestFit="1" customWidth="1"/>
    <col min="3107" max="3107" width="9.84375" style="211" customWidth="1"/>
    <col min="3108" max="3324" width="8.84375" style="211"/>
    <col min="3325" max="3325" width="38.4609375" style="211" customWidth="1"/>
    <col min="3326" max="3326" width="8.53515625" style="211" customWidth="1"/>
    <col min="3327" max="3327" width="1.07421875" style="211" customWidth="1"/>
    <col min="3328" max="3328" width="8.84375" style="211" customWidth="1"/>
    <col min="3329" max="3329" width="1.07421875" style="211" customWidth="1"/>
    <col min="3330" max="3330" width="9.07421875" style="211" customWidth="1"/>
    <col min="3331" max="3331" width="1.07421875" style="211" customWidth="1"/>
    <col min="3332" max="3332" width="10" style="211" customWidth="1"/>
    <col min="3333" max="3333" width="1.07421875" style="211" customWidth="1"/>
    <col min="3334" max="3334" width="9.07421875" style="211" customWidth="1"/>
    <col min="3335" max="3335" width="1.07421875" style="211" customWidth="1"/>
    <col min="3336" max="3336" width="11.07421875" style="211" customWidth="1"/>
    <col min="3337" max="3337" width="1.07421875" style="211" customWidth="1"/>
    <col min="3338" max="3338" width="9.07421875" style="211" customWidth="1"/>
    <col min="3339" max="3339" width="1.84375" style="211" customWidth="1"/>
    <col min="3340" max="3340" width="11" style="211" customWidth="1"/>
    <col min="3341" max="3341" width="1.07421875" style="211" customWidth="1"/>
    <col min="3342" max="3342" width="10.84375" style="211" customWidth="1"/>
    <col min="3343" max="3343" width="1.07421875" style="211" customWidth="1"/>
    <col min="3344" max="3344" width="10" style="211" customWidth="1"/>
    <col min="3345" max="3345" width="1.07421875" style="211" customWidth="1"/>
    <col min="3346" max="3346" width="9.07421875" style="211" customWidth="1"/>
    <col min="3347" max="3347" width="1.07421875" style="211" customWidth="1"/>
    <col min="3348" max="3348" width="7.84375" style="211" customWidth="1"/>
    <col min="3349" max="3349" width="1.07421875" style="211" customWidth="1"/>
    <col min="3350" max="3350" width="0.84375" style="211" customWidth="1"/>
    <col min="3351" max="3351" width="9.07421875" style="211" customWidth="1"/>
    <col min="3352" max="3352" width="1.07421875" style="211" customWidth="1"/>
    <col min="3353" max="3353" width="0.84375" style="211" customWidth="1"/>
    <col min="3354" max="3354" width="9.53515625" style="211" bestFit="1" customWidth="1"/>
    <col min="3355" max="3356" width="0.84375" style="211" customWidth="1"/>
    <col min="3357" max="3357" width="9.84375" style="211" customWidth="1"/>
    <col min="3358" max="3358" width="1.07421875" style="211" customWidth="1"/>
    <col min="3359" max="3359" width="8.53515625" style="211" customWidth="1"/>
    <col min="3360" max="3360" width="14.53515625" style="211" customWidth="1"/>
    <col min="3361" max="3361" width="10" style="211" customWidth="1"/>
    <col min="3362" max="3362" width="7.84375" style="211" bestFit="1" customWidth="1"/>
    <col min="3363" max="3363" width="9.84375" style="211" customWidth="1"/>
    <col min="3364" max="3580" width="8.84375" style="211"/>
    <col min="3581" max="3581" width="38.4609375" style="211" customWidth="1"/>
    <col min="3582" max="3582" width="8.53515625" style="211" customWidth="1"/>
    <col min="3583" max="3583" width="1.07421875" style="211" customWidth="1"/>
    <col min="3584" max="3584" width="8.84375" style="211" customWidth="1"/>
    <col min="3585" max="3585" width="1.07421875" style="211" customWidth="1"/>
    <col min="3586" max="3586" width="9.07421875" style="211" customWidth="1"/>
    <col min="3587" max="3587" width="1.07421875" style="211" customWidth="1"/>
    <col min="3588" max="3588" width="10" style="211" customWidth="1"/>
    <col min="3589" max="3589" width="1.07421875" style="211" customWidth="1"/>
    <col min="3590" max="3590" width="9.07421875" style="211" customWidth="1"/>
    <col min="3591" max="3591" width="1.07421875" style="211" customWidth="1"/>
    <col min="3592" max="3592" width="11.07421875" style="211" customWidth="1"/>
    <col min="3593" max="3593" width="1.07421875" style="211" customWidth="1"/>
    <col min="3594" max="3594" width="9.07421875" style="211" customWidth="1"/>
    <col min="3595" max="3595" width="1.84375" style="211" customWidth="1"/>
    <col min="3596" max="3596" width="11" style="211" customWidth="1"/>
    <col min="3597" max="3597" width="1.07421875" style="211" customWidth="1"/>
    <col min="3598" max="3598" width="10.84375" style="211" customWidth="1"/>
    <col min="3599" max="3599" width="1.07421875" style="211" customWidth="1"/>
    <col min="3600" max="3600" width="10" style="211" customWidth="1"/>
    <col min="3601" max="3601" width="1.07421875" style="211" customWidth="1"/>
    <col min="3602" max="3602" width="9.07421875" style="211" customWidth="1"/>
    <col min="3603" max="3603" width="1.07421875" style="211" customWidth="1"/>
    <col min="3604" max="3604" width="7.84375" style="211" customWidth="1"/>
    <col min="3605" max="3605" width="1.07421875" style="211" customWidth="1"/>
    <col min="3606" max="3606" width="0.84375" style="211" customWidth="1"/>
    <col min="3607" max="3607" width="9.07421875" style="211" customWidth="1"/>
    <col min="3608" max="3608" width="1.07421875" style="211" customWidth="1"/>
    <col min="3609" max="3609" width="0.84375" style="211" customWidth="1"/>
    <col min="3610" max="3610" width="9.53515625" style="211" bestFit="1" customWidth="1"/>
    <col min="3611" max="3612" width="0.84375" style="211" customWidth="1"/>
    <col min="3613" max="3613" width="9.84375" style="211" customWidth="1"/>
    <col min="3614" max="3614" width="1.07421875" style="211" customWidth="1"/>
    <col min="3615" max="3615" width="8.53515625" style="211" customWidth="1"/>
    <col min="3616" max="3616" width="14.53515625" style="211" customWidth="1"/>
    <col min="3617" max="3617" width="10" style="211" customWidth="1"/>
    <col min="3618" max="3618" width="7.84375" style="211" bestFit="1" customWidth="1"/>
    <col min="3619" max="3619" width="9.84375" style="211" customWidth="1"/>
    <col min="3620" max="3836" width="8.84375" style="211"/>
    <col min="3837" max="3837" width="38.4609375" style="211" customWidth="1"/>
    <col min="3838" max="3838" width="8.53515625" style="211" customWidth="1"/>
    <col min="3839" max="3839" width="1.07421875" style="211" customWidth="1"/>
    <col min="3840" max="3840" width="8.84375" style="211" customWidth="1"/>
    <col min="3841" max="3841" width="1.07421875" style="211" customWidth="1"/>
    <col min="3842" max="3842" width="9.07421875" style="211" customWidth="1"/>
    <col min="3843" max="3843" width="1.07421875" style="211" customWidth="1"/>
    <col min="3844" max="3844" width="10" style="211" customWidth="1"/>
    <col min="3845" max="3845" width="1.07421875" style="211" customWidth="1"/>
    <col min="3846" max="3846" width="9.07421875" style="211" customWidth="1"/>
    <col min="3847" max="3847" width="1.07421875" style="211" customWidth="1"/>
    <col min="3848" max="3848" width="11.07421875" style="211" customWidth="1"/>
    <col min="3849" max="3849" width="1.07421875" style="211" customWidth="1"/>
    <col min="3850" max="3850" width="9.07421875" style="211" customWidth="1"/>
    <col min="3851" max="3851" width="1.84375" style="211" customWidth="1"/>
    <col min="3852" max="3852" width="11" style="211" customWidth="1"/>
    <col min="3853" max="3853" width="1.07421875" style="211" customWidth="1"/>
    <col min="3854" max="3854" width="10.84375" style="211" customWidth="1"/>
    <col min="3855" max="3855" width="1.07421875" style="211" customWidth="1"/>
    <col min="3856" max="3856" width="10" style="211" customWidth="1"/>
    <col min="3857" max="3857" width="1.07421875" style="211" customWidth="1"/>
    <col min="3858" max="3858" width="9.07421875" style="211" customWidth="1"/>
    <col min="3859" max="3859" width="1.07421875" style="211" customWidth="1"/>
    <col min="3860" max="3860" width="7.84375" style="211" customWidth="1"/>
    <col min="3861" max="3861" width="1.07421875" style="211" customWidth="1"/>
    <col min="3862" max="3862" width="0.84375" style="211" customWidth="1"/>
    <col min="3863" max="3863" width="9.07421875" style="211" customWidth="1"/>
    <col min="3864" max="3864" width="1.07421875" style="211" customWidth="1"/>
    <col min="3865" max="3865" width="0.84375" style="211" customWidth="1"/>
    <col min="3866" max="3866" width="9.53515625" style="211" bestFit="1" customWidth="1"/>
    <col min="3867" max="3868" width="0.84375" style="211" customWidth="1"/>
    <col min="3869" max="3869" width="9.84375" style="211" customWidth="1"/>
    <col min="3870" max="3870" width="1.07421875" style="211" customWidth="1"/>
    <col min="3871" max="3871" width="8.53515625" style="211" customWidth="1"/>
    <col min="3872" max="3872" width="14.53515625" style="211" customWidth="1"/>
    <col min="3873" max="3873" width="10" style="211" customWidth="1"/>
    <col min="3874" max="3874" width="7.84375" style="211" bestFit="1" customWidth="1"/>
    <col min="3875" max="3875" width="9.84375" style="211" customWidth="1"/>
    <col min="3876" max="4092" width="8.84375" style="211"/>
    <col min="4093" max="4093" width="38.4609375" style="211" customWidth="1"/>
    <col min="4094" max="4094" width="8.53515625" style="211" customWidth="1"/>
    <col min="4095" max="4095" width="1.07421875" style="211" customWidth="1"/>
    <col min="4096" max="4096" width="8.84375" style="211" customWidth="1"/>
    <col min="4097" max="4097" width="1.07421875" style="211" customWidth="1"/>
    <col min="4098" max="4098" width="9.07421875" style="211" customWidth="1"/>
    <col min="4099" max="4099" width="1.07421875" style="211" customWidth="1"/>
    <col min="4100" max="4100" width="10" style="211" customWidth="1"/>
    <col min="4101" max="4101" width="1.07421875" style="211" customWidth="1"/>
    <col min="4102" max="4102" width="9.07421875" style="211" customWidth="1"/>
    <col min="4103" max="4103" width="1.07421875" style="211" customWidth="1"/>
    <col min="4104" max="4104" width="11.07421875" style="211" customWidth="1"/>
    <col min="4105" max="4105" width="1.07421875" style="211" customWidth="1"/>
    <col min="4106" max="4106" width="9.07421875" style="211" customWidth="1"/>
    <col min="4107" max="4107" width="1.84375" style="211" customWidth="1"/>
    <col min="4108" max="4108" width="11" style="211" customWidth="1"/>
    <col min="4109" max="4109" width="1.07421875" style="211" customWidth="1"/>
    <col min="4110" max="4110" width="10.84375" style="211" customWidth="1"/>
    <col min="4111" max="4111" width="1.07421875" style="211" customWidth="1"/>
    <col min="4112" max="4112" width="10" style="211" customWidth="1"/>
    <col min="4113" max="4113" width="1.07421875" style="211" customWidth="1"/>
    <col min="4114" max="4114" width="9.07421875" style="211" customWidth="1"/>
    <col min="4115" max="4115" width="1.07421875" style="211" customWidth="1"/>
    <col min="4116" max="4116" width="7.84375" style="211" customWidth="1"/>
    <col min="4117" max="4117" width="1.07421875" style="211" customWidth="1"/>
    <col min="4118" max="4118" width="0.84375" style="211" customWidth="1"/>
    <col min="4119" max="4119" width="9.07421875" style="211" customWidth="1"/>
    <col min="4120" max="4120" width="1.07421875" style="211" customWidth="1"/>
    <col min="4121" max="4121" width="0.84375" style="211" customWidth="1"/>
    <col min="4122" max="4122" width="9.53515625" style="211" bestFit="1" customWidth="1"/>
    <col min="4123" max="4124" width="0.84375" style="211" customWidth="1"/>
    <col min="4125" max="4125" width="9.84375" style="211" customWidth="1"/>
    <col min="4126" max="4126" width="1.07421875" style="211" customWidth="1"/>
    <col min="4127" max="4127" width="8.53515625" style="211" customWidth="1"/>
    <col min="4128" max="4128" width="14.53515625" style="211" customWidth="1"/>
    <col min="4129" max="4129" width="10" style="211" customWidth="1"/>
    <col min="4130" max="4130" width="7.84375" style="211" bestFit="1" customWidth="1"/>
    <col min="4131" max="4131" width="9.84375" style="211" customWidth="1"/>
    <col min="4132" max="4348" width="8.84375" style="211"/>
    <col min="4349" max="4349" width="38.4609375" style="211" customWidth="1"/>
    <col min="4350" max="4350" width="8.53515625" style="211" customWidth="1"/>
    <col min="4351" max="4351" width="1.07421875" style="211" customWidth="1"/>
    <col min="4352" max="4352" width="8.84375" style="211" customWidth="1"/>
    <col min="4353" max="4353" width="1.07421875" style="211" customWidth="1"/>
    <col min="4354" max="4354" width="9.07421875" style="211" customWidth="1"/>
    <col min="4355" max="4355" width="1.07421875" style="211" customWidth="1"/>
    <col min="4356" max="4356" width="10" style="211" customWidth="1"/>
    <col min="4357" max="4357" width="1.07421875" style="211" customWidth="1"/>
    <col min="4358" max="4358" width="9.07421875" style="211" customWidth="1"/>
    <col min="4359" max="4359" width="1.07421875" style="211" customWidth="1"/>
    <col min="4360" max="4360" width="11.07421875" style="211" customWidth="1"/>
    <col min="4361" max="4361" width="1.07421875" style="211" customWidth="1"/>
    <col min="4362" max="4362" width="9.07421875" style="211" customWidth="1"/>
    <col min="4363" max="4363" width="1.84375" style="211" customWidth="1"/>
    <col min="4364" max="4364" width="11" style="211" customWidth="1"/>
    <col min="4365" max="4365" width="1.07421875" style="211" customWidth="1"/>
    <col min="4366" max="4366" width="10.84375" style="211" customWidth="1"/>
    <col min="4367" max="4367" width="1.07421875" style="211" customWidth="1"/>
    <col min="4368" max="4368" width="10" style="211" customWidth="1"/>
    <col min="4369" max="4369" width="1.07421875" style="211" customWidth="1"/>
    <col min="4370" max="4370" width="9.07421875" style="211" customWidth="1"/>
    <col min="4371" max="4371" width="1.07421875" style="211" customWidth="1"/>
    <col min="4372" max="4372" width="7.84375" style="211" customWidth="1"/>
    <col min="4373" max="4373" width="1.07421875" style="211" customWidth="1"/>
    <col min="4374" max="4374" width="0.84375" style="211" customWidth="1"/>
    <col min="4375" max="4375" width="9.07421875" style="211" customWidth="1"/>
    <col min="4376" max="4376" width="1.07421875" style="211" customWidth="1"/>
    <col min="4377" max="4377" width="0.84375" style="211" customWidth="1"/>
    <col min="4378" max="4378" width="9.53515625" style="211" bestFit="1" customWidth="1"/>
    <col min="4379" max="4380" width="0.84375" style="211" customWidth="1"/>
    <col min="4381" max="4381" width="9.84375" style="211" customWidth="1"/>
    <col min="4382" max="4382" width="1.07421875" style="211" customWidth="1"/>
    <col min="4383" max="4383" width="8.53515625" style="211" customWidth="1"/>
    <col min="4384" max="4384" width="14.53515625" style="211" customWidth="1"/>
    <col min="4385" max="4385" width="10" style="211" customWidth="1"/>
    <col min="4386" max="4386" width="7.84375" style="211" bestFit="1" customWidth="1"/>
    <col min="4387" max="4387" width="9.84375" style="211" customWidth="1"/>
    <col min="4388" max="4604" width="8.84375" style="211"/>
    <col min="4605" max="4605" width="38.4609375" style="211" customWidth="1"/>
    <col min="4606" max="4606" width="8.53515625" style="211" customWidth="1"/>
    <col min="4607" max="4607" width="1.07421875" style="211" customWidth="1"/>
    <col min="4608" max="4608" width="8.84375" style="211" customWidth="1"/>
    <col min="4609" max="4609" width="1.07421875" style="211" customWidth="1"/>
    <col min="4610" max="4610" width="9.07421875" style="211" customWidth="1"/>
    <col min="4611" max="4611" width="1.07421875" style="211" customWidth="1"/>
    <col min="4612" max="4612" width="10" style="211" customWidth="1"/>
    <col min="4613" max="4613" width="1.07421875" style="211" customWidth="1"/>
    <col min="4614" max="4614" width="9.07421875" style="211" customWidth="1"/>
    <col min="4615" max="4615" width="1.07421875" style="211" customWidth="1"/>
    <col min="4616" max="4616" width="11.07421875" style="211" customWidth="1"/>
    <col min="4617" max="4617" width="1.07421875" style="211" customWidth="1"/>
    <col min="4618" max="4618" width="9.07421875" style="211" customWidth="1"/>
    <col min="4619" max="4619" width="1.84375" style="211" customWidth="1"/>
    <col min="4620" max="4620" width="11" style="211" customWidth="1"/>
    <col min="4621" max="4621" width="1.07421875" style="211" customWidth="1"/>
    <col min="4622" max="4622" width="10.84375" style="211" customWidth="1"/>
    <col min="4623" max="4623" width="1.07421875" style="211" customWidth="1"/>
    <col min="4624" max="4624" width="10" style="211" customWidth="1"/>
    <col min="4625" max="4625" width="1.07421875" style="211" customWidth="1"/>
    <col min="4626" max="4626" width="9.07421875" style="211" customWidth="1"/>
    <col min="4627" max="4627" width="1.07421875" style="211" customWidth="1"/>
    <col min="4628" max="4628" width="7.84375" style="211" customWidth="1"/>
    <col min="4629" max="4629" width="1.07421875" style="211" customWidth="1"/>
    <col min="4630" max="4630" width="0.84375" style="211" customWidth="1"/>
    <col min="4631" max="4631" width="9.07421875" style="211" customWidth="1"/>
    <col min="4632" max="4632" width="1.07421875" style="211" customWidth="1"/>
    <col min="4633" max="4633" width="0.84375" style="211" customWidth="1"/>
    <col min="4634" max="4634" width="9.53515625" style="211" bestFit="1" customWidth="1"/>
    <col min="4635" max="4636" width="0.84375" style="211" customWidth="1"/>
    <col min="4637" max="4637" width="9.84375" style="211" customWidth="1"/>
    <col min="4638" max="4638" width="1.07421875" style="211" customWidth="1"/>
    <col min="4639" max="4639" width="8.53515625" style="211" customWidth="1"/>
    <col min="4640" max="4640" width="14.53515625" style="211" customWidth="1"/>
    <col min="4641" max="4641" width="10" style="211" customWidth="1"/>
    <col min="4642" max="4642" width="7.84375" style="211" bestFit="1" customWidth="1"/>
    <col min="4643" max="4643" width="9.84375" style="211" customWidth="1"/>
    <col min="4644" max="4860" width="8.84375" style="211"/>
    <col min="4861" max="4861" width="38.4609375" style="211" customWidth="1"/>
    <col min="4862" max="4862" width="8.53515625" style="211" customWidth="1"/>
    <col min="4863" max="4863" width="1.07421875" style="211" customWidth="1"/>
    <col min="4864" max="4864" width="8.84375" style="211" customWidth="1"/>
    <col min="4865" max="4865" width="1.07421875" style="211" customWidth="1"/>
    <col min="4866" max="4866" width="9.07421875" style="211" customWidth="1"/>
    <col min="4867" max="4867" width="1.07421875" style="211" customWidth="1"/>
    <col min="4868" max="4868" width="10" style="211" customWidth="1"/>
    <col min="4869" max="4869" width="1.07421875" style="211" customWidth="1"/>
    <col min="4870" max="4870" width="9.07421875" style="211" customWidth="1"/>
    <col min="4871" max="4871" width="1.07421875" style="211" customWidth="1"/>
    <col min="4872" max="4872" width="11.07421875" style="211" customWidth="1"/>
    <col min="4873" max="4873" width="1.07421875" style="211" customWidth="1"/>
    <col min="4874" max="4874" width="9.07421875" style="211" customWidth="1"/>
    <col min="4875" max="4875" width="1.84375" style="211" customWidth="1"/>
    <col min="4876" max="4876" width="11" style="211" customWidth="1"/>
    <col min="4877" max="4877" width="1.07421875" style="211" customWidth="1"/>
    <col min="4878" max="4878" width="10.84375" style="211" customWidth="1"/>
    <col min="4879" max="4879" width="1.07421875" style="211" customWidth="1"/>
    <col min="4880" max="4880" width="10" style="211" customWidth="1"/>
    <col min="4881" max="4881" width="1.07421875" style="211" customWidth="1"/>
    <col min="4882" max="4882" width="9.07421875" style="211" customWidth="1"/>
    <col min="4883" max="4883" width="1.07421875" style="211" customWidth="1"/>
    <col min="4884" max="4884" width="7.84375" style="211" customWidth="1"/>
    <col min="4885" max="4885" width="1.07421875" style="211" customWidth="1"/>
    <col min="4886" max="4886" width="0.84375" style="211" customWidth="1"/>
    <col min="4887" max="4887" width="9.07421875" style="211" customWidth="1"/>
    <col min="4888" max="4888" width="1.07421875" style="211" customWidth="1"/>
    <col min="4889" max="4889" width="0.84375" style="211" customWidth="1"/>
    <col min="4890" max="4890" width="9.53515625" style="211" bestFit="1" customWidth="1"/>
    <col min="4891" max="4892" width="0.84375" style="211" customWidth="1"/>
    <col min="4893" max="4893" width="9.84375" style="211" customWidth="1"/>
    <col min="4894" max="4894" width="1.07421875" style="211" customWidth="1"/>
    <col min="4895" max="4895" width="8.53515625" style="211" customWidth="1"/>
    <col min="4896" max="4896" width="14.53515625" style="211" customWidth="1"/>
    <col min="4897" max="4897" width="10" style="211" customWidth="1"/>
    <col min="4898" max="4898" width="7.84375" style="211" bestFit="1" customWidth="1"/>
    <col min="4899" max="4899" width="9.84375" style="211" customWidth="1"/>
    <col min="4900" max="5116" width="8.84375" style="211"/>
    <col min="5117" max="5117" width="38.4609375" style="211" customWidth="1"/>
    <col min="5118" max="5118" width="8.53515625" style="211" customWidth="1"/>
    <col min="5119" max="5119" width="1.07421875" style="211" customWidth="1"/>
    <col min="5120" max="5120" width="8.84375" style="211" customWidth="1"/>
    <col min="5121" max="5121" width="1.07421875" style="211" customWidth="1"/>
    <col min="5122" max="5122" width="9.07421875" style="211" customWidth="1"/>
    <col min="5123" max="5123" width="1.07421875" style="211" customWidth="1"/>
    <col min="5124" max="5124" width="10" style="211" customWidth="1"/>
    <col min="5125" max="5125" width="1.07421875" style="211" customWidth="1"/>
    <col min="5126" max="5126" width="9.07421875" style="211" customWidth="1"/>
    <col min="5127" max="5127" width="1.07421875" style="211" customWidth="1"/>
    <col min="5128" max="5128" width="11.07421875" style="211" customWidth="1"/>
    <col min="5129" max="5129" width="1.07421875" style="211" customWidth="1"/>
    <col min="5130" max="5130" width="9.07421875" style="211" customWidth="1"/>
    <col min="5131" max="5131" width="1.84375" style="211" customWidth="1"/>
    <col min="5132" max="5132" width="11" style="211" customWidth="1"/>
    <col min="5133" max="5133" width="1.07421875" style="211" customWidth="1"/>
    <col min="5134" max="5134" width="10.84375" style="211" customWidth="1"/>
    <col min="5135" max="5135" width="1.07421875" style="211" customWidth="1"/>
    <col min="5136" max="5136" width="10" style="211" customWidth="1"/>
    <col min="5137" max="5137" width="1.07421875" style="211" customWidth="1"/>
    <col min="5138" max="5138" width="9.07421875" style="211" customWidth="1"/>
    <col min="5139" max="5139" width="1.07421875" style="211" customWidth="1"/>
    <col min="5140" max="5140" width="7.84375" style="211" customWidth="1"/>
    <col min="5141" max="5141" width="1.07421875" style="211" customWidth="1"/>
    <col min="5142" max="5142" width="0.84375" style="211" customWidth="1"/>
    <col min="5143" max="5143" width="9.07421875" style="211" customWidth="1"/>
    <col min="5144" max="5144" width="1.07421875" style="211" customWidth="1"/>
    <col min="5145" max="5145" width="0.84375" style="211" customWidth="1"/>
    <col min="5146" max="5146" width="9.53515625" style="211" bestFit="1" customWidth="1"/>
    <col min="5147" max="5148" width="0.84375" style="211" customWidth="1"/>
    <col min="5149" max="5149" width="9.84375" style="211" customWidth="1"/>
    <col min="5150" max="5150" width="1.07421875" style="211" customWidth="1"/>
    <col min="5151" max="5151" width="8.53515625" style="211" customWidth="1"/>
    <col min="5152" max="5152" width="14.53515625" style="211" customWidth="1"/>
    <col min="5153" max="5153" width="10" style="211" customWidth="1"/>
    <col min="5154" max="5154" width="7.84375" style="211" bestFit="1" customWidth="1"/>
    <col min="5155" max="5155" width="9.84375" style="211" customWidth="1"/>
    <col min="5156" max="5372" width="8.84375" style="211"/>
    <col min="5373" max="5373" width="38.4609375" style="211" customWidth="1"/>
    <col min="5374" max="5374" width="8.53515625" style="211" customWidth="1"/>
    <col min="5375" max="5375" width="1.07421875" style="211" customWidth="1"/>
    <col min="5376" max="5376" width="8.84375" style="211" customWidth="1"/>
    <col min="5377" max="5377" width="1.07421875" style="211" customWidth="1"/>
    <col min="5378" max="5378" width="9.07421875" style="211" customWidth="1"/>
    <col min="5379" max="5379" width="1.07421875" style="211" customWidth="1"/>
    <col min="5380" max="5380" width="10" style="211" customWidth="1"/>
    <col min="5381" max="5381" width="1.07421875" style="211" customWidth="1"/>
    <col min="5382" max="5382" width="9.07421875" style="211" customWidth="1"/>
    <col min="5383" max="5383" width="1.07421875" style="211" customWidth="1"/>
    <col min="5384" max="5384" width="11.07421875" style="211" customWidth="1"/>
    <col min="5385" max="5385" width="1.07421875" style="211" customWidth="1"/>
    <col min="5386" max="5386" width="9.07421875" style="211" customWidth="1"/>
    <col min="5387" max="5387" width="1.84375" style="211" customWidth="1"/>
    <col min="5388" max="5388" width="11" style="211" customWidth="1"/>
    <col min="5389" max="5389" width="1.07421875" style="211" customWidth="1"/>
    <col min="5390" max="5390" width="10.84375" style="211" customWidth="1"/>
    <col min="5391" max="5391" width="1.07421875" style="211" customWidth="1"/>
    <col min="5392" max="5392" width="10" style="211" customWidth="1"/>
    <col min="5393" max="5393" width="1.07421875" style="211" customWidth="1"/>
    <col min="5394" max="5394" width="9.07421875" style="211" customWidth="1"/>
    <col min="5395" max="5395" width="1.07421875" style="211" customWidth="1"/>
    <col min="5396" max="5396" width="7.84375" style="211" customWidth="1"/>
    <col min="5397" max="5397" width="1.07421875" style="211" customWidth="1"/>
    <col min="5398" max="5398" width="0.84375" style="211" customWidth="1"/>
    <col min="5399" max="5399" width="9.07421875" style="211" customWidth="1"/>
    <col min="5400" max="5400" width="1.07421875" style="211" customWidth="1"/>
    <col min="5401" max="5401" width="0.84375" style="211" customWidth="1"/>
    <col min="5402" max="5402" width="9.53515625" style="211" bestFit="1" customWidth="1"/>
    <col min="5403" max="5404" width="0.84375" style="211" customWidth="1"/>
    <col min="5405" max="5405" width="9.84375" style="211" customWidth="1"/>
    <col min="5406" max="5406" width="1.07421875" style="211" customWidth="1"/>
    <col min="5407" max="5407" width="8.53515625" style="211" customWidth="1"/>
    <col min="5408" max="5408" width="14.53515625" style="211" customWidth="1"/>
    <col min="5409" max="5409" width="10" style="211" customWidth="1"/>
    <col min="5410" max="5410" width="7.84375" style="211" bestFit="1" customWidth="1"/>
    <col min="5411" max="5411" width="9.84375" style="211" customWidth="1"/>
    <col min="5412" max="5628" width="8.84375" style="211"/>
    <col min="5629" max="5629" width="38.4609375" style="211" customWidth="1"/>
    <col min="5630" max="5630" width="8.53515625" style="211" customWidth="1"/>
    <col min="5631" max="5631" width="1.07421875" style="211" customWidth="1"/>
    <col min="5632" max="5632" width="8.84375" style="211" customWidth="1"/>
    <col min="5633" max="5633" width="1.07421875" style="211" customWidth="1"/>
    <col min="5634" max="5634" width="9.07421875" style="211" customWidth="1"/>
    <col min="5635" max="5635" width="1.07421875" style="211" customWidth="1"/>
    <col min="5636" max="5636" width="10" style="211" customWidth="1"/>
    <col min="5637" max="5637" width="1.07421875" style="211" customWidth="1"/>
    <col min="5638" max="5638" width="9.07421875" style="211" customWidth="1"/>
    <col min="5639" max="5639" width="1.07421875" style="211" customWidth="1"/>
    <col min="5640" max="5640" width="11.07421875" style="211" customWidth="1"/>
    <col min="5641" max="5641" width="1.07421875" style="211" customWidth="1"/>
    <col min="5642" max="5642" width="9.07421875" style="211" customWidth="1"/>
    <col min="5643" max="5643" width="1.84375" style="211" customWidth="1"/>
    <col min="5644" max="5644" width="11" style="211" customWidth="1"/>
    <col min="5645" max="5645" width="1.07421875" style="211" customWidth="1"/>
    <col min="5646" max="5646" width="10.84375" style="211" customWidth="1"/>
    <col min="5647" max="5647" width="1.07421875" style="211" customWidth="1"/>
    <col min="5648" max="5648" width="10" style="211" customWidth="1"/>
    <col min="5649" max="5649" width="1.07421875" style="211" customWidth="1"/>
    <col min="5650" max="5650" width="9.07421875" style="211" customWidth="1"/>
    <col min="5651" max="5651" width="1.07421875" style="211" customWidth="1"/>
    <col min="5652" max="5652" width="7.84375" style="211" customWidth="1"/>
    <col min="5653" max="5653" width="1.07421875" style="211" customWidth="1"/>
    <col min="5654" max="5654" width="0.84375" style="211" customWidth="1"/>
    <col min="5655" max="5655" width="9.07421875" style="211" customWidth="1"/>
    <col min="5656" max="5656" width="1.07421875" style="211" customWidth="1"/>
    <col min="5657" max="5657" width="0.84375" style="211" customWidth="1"/>
    <col min="5658" max="5658" width="9.53515625" style="211" bestFit="1" customWidth="1"/>
    <col min="5659" max="5660" width="0.84375" style="211" customWidth="1"/>
    <col min="5661" max="5661" width="9.84375" style="211" customWidth="1"/>
    <col min="5662" max="5662" width="1.07421875" style="211" customWidth="1"/>
    <col min="5663" max="5663" width="8.53515625" style="211" customWidth="1"/>
    <col min="5664" max="5664" width="14.53515625" style="211" customWidth="1"/>
    <col min="5665" max="5665" width="10" style="211" customWidth="1"/>
    <col min="5666" max="5666" width="7.84375" style="211" bestFit="1" customWidth="1"/>
    <col min="5667" max="5667" width="9.84375" style="211" customWidth="1"/>
    <col min="5668" max="5884" width="8.84375" style="211"/>
    <col min="5885" max="5885" width="38.4609375" style="211" customWidth="1"/>
    <col min="5886" max="5886" width="8.53515625" style="211" customWidth="1"/>
    <col min="5887" max="5887" width="1.07421875" style="211" customWidth="1"/>
    <col min="5888" max="5888" width="8.84375" style="211" customWidth="1"/>
    <col min="5889" max="5889" width="1.07421875" style="211" customWidth="1"/>
    <col min="5890" max="5890" width="9.07421875" style="211" customWidth="1"/>
    <col min="5891" max="5891" width="1.07421875" style="211" customWidth="1"/>
    <col min="5892" max="5892" width="10" style="211" customWidth="1"/>
    <col min="5893" max="5893" width="1.07421875" style="211" customWidth="1"/>
    <col min="5894" max="5894" width="9.07421875" style="211" customWidth="1"/>
    <col min="5895" max="5895" width="1.07421875" style="211" customWidth="1"/>
    <col min="5896" max="5896" width="11.07421875" style="211" customWidth="1"/>
    <col min="5897" max="5897" width="1.07421875" style="211" customWidth="1"/>
    <col min="5898" max="5898" width="9.07421875" style="211" customWidth="1"/>
    <col min="5899" max="5899" width="1.84375" style="211" customWidth="1"/>
    <col min="5900" max="5900" width="11" style="211" customWidth="1"/>
    <col min="5901" max="5901" width="1.07421875" style="211" customWidth="1"/>
    <col min="5902" max="5902" width="10.84375" style="211" customWidth="1"/>
    <col min="5903" max="5903" width="1.07421875" style="211" customWidth="1"/>
    <col min="5904" max="5904" width="10" style="211" customWidth="1"/>
    <col min="5905" max="5905" width="1.07421875" style="211" customWidth="1"/>
    <col min="5906" max="5906" width="9.07421875" style="211" customWidth="1"/>
    <col min="5907" max="5907" width="1.07421875" style="211" customWidth="1"/>
    <col min="5908" max="5908" width="7.84375" style="211" customWidth="1"/>
    <col min="5909" max="5909" width="1.07421875" style="211" customWidth="1"/>
    <col min="5910" max="5910" width="0.84375" style="211" customWidth="1"/>
    <col min="5911" max="5911" width="9.07421875" style="211" customWidth="1"/>
    <col min="5912" max="5912" width="1.07421875" style="211" customWidth="1"/>
    <col min="5913" max="5913" width="0.84375" style="211" customWidth="1"/>
    <col min="5914" max="5914" width="9.53515625" style="211" bestFit="1" customWidth="1"/>
    <col min="5915" max="5916" width="0.84375" style="211" customWidth="1"/>
    <col min="5917" max="5917" width="9.84375" style="211" customWidth="1"/>
    <col min="5918" max="5918" width="1.07421875" style="211" customWidth="1"/>
    <col min="5919" max="5919" width="8.53515625" style="211" customWidth="1"/>
    <col min="5920" max="5920" width="14.53515625" style="211" customWidth="1"/>
    <col min="5921" max="5921" width="10" style="211" customWidth="1"/>
    <col min="5922" max="5922" width="7.84375" style="211" bestFit="1" customWidth="1"/>
    <col min="5923" max="5923" width="9.84375" style="211" customWidth="1"/>
    <col min="5924" max="6140" width="8.84375" style="211"/>
    <col min="6141" max="6141" width="38.4609375" style="211" customWidth="1"/>
    <col min="6142" max="6142" width="8.53515625" style="211" customWidth="1"/>
    <col min="6143" max="6143" width="1.07421875" style="211" customWidth="1"/>
    <col min="6144" max="6144" width="8.84375" style="211" customWidth="1"/>
    <col min="6145" max="6145" width="1.07421875" style="211" customWidth="1"/>
    <col min="6146" max="6146" width="9.07421875" style="211" customWidth="1"/>
    <col min="6147" max="6147" width="1.07421875" style="211" customWidth="1"/>
    <col min="6148" max="6148" width="10" style="211" customWidth="1"/>
    <col min="6149" max="6149" width="1.07421875" style="211" customWidth="1"/>
    <col min="6150" max="6150" width="9.07421875" style="211" customWidth="1"/>
    <col min="6151" max="6151" width="1.07421875" style="211" customWidth="1"/>
    <col min="6152" max="6152" width="11.07421875" style="211" customWidth="1"/>
    <col min="6153" max="6153" width="1.07421875" style="211" customWidth="1"/>
    <col min="6154" max="6154" width="9.07421875" style="211" customWidth="1"/>
    <col min="6155" max="6155" width="1.84375" style="211" customWidth="1"/>
    <col min="6156" max="6156" width="11" style="211" customWidth="1"/>
    <col min="6157" max="6157" width="1.07421875" style="211" customWidth="1"/>
    <col min="6158" max="6158" width="10.84375" style="211" customWidth="1"/>
    <col min="6159" max="6159" width="1.07421875" style="211" customWidth="1"/>
    <col min="6160" max="6160" width="10" style="211" customWidth="1"/>
    <col min="6161" max="6161" width="1.07421875" style="211" customWidth="1"/>
    <col min="6162" max="6162" width="9.07421875" style="211" customWidth="1"/>
    <col min="6163" max="6163" width="1.07421875" style="211" customWidth="1"/>
    <col min="6164" max="6164" width="7.84375" style="211" customWidth="1"/>
    <col min="6165" max="6165" width="1.07421875" style="211" customWidth="1"/>
    <col min="6166" max="6166" width="0.84375" style="211" customWidth="1"/>
    <col min="6167" max="6167" width="9.07421875" style="211" customWidth="1"/>
    <col min="6168" max="6168" width="1.07421875" style="211" customWidth="1"/>
    <col min="6169" max="6169" width="0.84375" style="211" customWidth="1"/>
    <col min="6170" max="6170" width="9.53515625" style="211" bestFit="1" customWidth="1"/>
    <col min="6171" max="6172" width="0.84375" style="211" customWidth="1"/>
    <col min="6173" max="6173" width="9.84375" style="211" customWidth="1"/>
    <col min="6174" max="6174" width="1.07421875" style="211" customWidth="1"/>
    <col min="6175" max="6175" width="8.53515625" style="211" customWidth="1"/>
    <col min="6176" max="6176" width="14.53515625" style="211" customWidth="1"/>
    <col min="6177" max="6177" width="10" style="211" customWidth="1"/>
    <col min="6178" max="6178" width="7.84375" style="211" bestFit="1" customWidth="1"/>
    <col min="6179" max="6179" width="9.84375" style="211" customWidth="1"/>
    <col min="6180" max="6396" width="8.84375" style="211"/>
    <col min="6397" max="6397" width="38.4609375" style="211" customWidth="1"/>
    <col min="6398" max="6398" width="8.53515625" style="211" customWidth="1"/>
    <col min="6399" max="6399" width="1.07421875" style="211" customWidth="1"/>
    <col min="6400" max="6400" width="8.84375" style="211" customWidth="1"/>
    <col min="6401" max="6401" width="1.07421875" style="211" customWidth="1"/>
    <col min="6402" max="6402" width="9.07421875" style="211" customWidth="1"/>
    <col min="6403" max="6403" width="1.07421875" style="211" customWidth="1"/>
    <col min="6404" max="6404" width="10" style="211" customWidth="1"/>
    <col min="6405" max="6405" width="1.07421875" style="211" customWidth="1"/>
    <col min="6406" max="6406" width="9.07421875" style="211" customWidth="1"/>
    <col min="6407" max="6407" width="1.07421875" style="211" customWidth="1"/>
    <col min="6408" max="6408" width="11.07421875" style="211" customWidth="1"/>
    <col min="6409" max="6409" width="1.07421875" style="211" customWidth="1"/>
    <col min="6410" max="6410" width="9.07421875" style="211" customWidth="1"/>
    <col min="6411" max="6411" width="1.84375" style="211" customWidth="1"/>
    <col min="6412" max="6412" width="11" style="211" customWidth="1"/>
    <col min="6413" max="6413" width="1.07421875" style="211" customWidth="1"/>
    <col min="6414" max="6414" width="10.84375" style="211" customWidth="1"/>
    <col min="6415" max="6415" width="1.07421875" style="211" customWidth="1"/>
    <col min="6416" max="6416" width="10" style="211" customWidth="1"/>
    <col min="6417" max="6417" width="1.07421875" style="211" customWidth="1"/>
    <col min="6418" max="6418" width="9.07421875" style="211" customWidth="1"/>
    <col min="6419" max="6419" width="1.07421875" style="211" customWidth="1"/>
    <col min="6420" max="6420" width="7.84375" style="211" customWidth="1"/>
    <col min="6421" max="6421" width="1.07421875" style="211" customWidth="1"/>
    <col min="6422" max="6422" width="0.84375" style="211" customWidth="1"/>
    <col min="6423" max="6423" width="9.07421875" style="211" customWidth="1"/>
    <col min="6424" max="6424" width="1.07421875" style="211" customWidth="1"/>
    <col min="6425" max="6425" width="0.84375" style="211" customWidth="1"/>
    <col min="6426" max="6426" width="9.53515625" style="211" bestFit="1" customWidth="1"/>
    <col min="6427" max="6428" width="0.84375" style="211" customWidth="1"/>
    <col min="6429" max="6429" width="9.84375" style="211" customWidth="1"/>
    <col min="6430" max="6430" width="1.07421875" style="211" customWidth="1"/>
    <col min="6431" max="6431" width="8.53515625" style="211" customWidth="1"/>
    <col min="6432" max="6432" width="14.53515625" style="211" customWidth="1"/>
    <col min="6433" max="6433" width="10" style="211" customWidth="1"/>
    <col min="6434" max="6434" width="7.84375" style="211" bestFit="1" customWidth="1"/>
    <col min="6435" max="6435" width="9.84375" style="211" customWidth="1"/>
    <col min="6436" max="6652" width="8.84375" style="211"/>
    <col min="6653" max="6653" width="38.4609375" style="211" customWidth="1"/>
    <col min="6654" max="6654" width="8.53515625" style="211" customWidth="1"/>
    <col min="6655" max="6655" width="1.07421875" style="211" customWidth="1"/>
    <col min="6656" max="6656" width="8.84375" style="211" customWidth="1"/>
    <col min="6657" max="6657" width="1.07421875" style="211" customWidth="1"/>
    <col min="6658" max="6658" width="9.07421875" style="211" customWidth="1"/>
    <col min="6659" max="6659" width="1.07421875" style="211" customWidth="1"/>
    <col min="6660" max="6660" width="10" style="211" customWidth="1"/>
    <col min="6661" max="6661" width="1.07421875" style="211" customWidth="1"/>
    <col min="6662" max="6662" width="9.07421875" style="211" customWidth="1"/>
    <col min="6663" max="6663" width="1.07421875" style="211" customWidth="1"/>
    <col min="6664" max="6664" width="11.07421875" style="211" customWidth="1"/>
    <col min="6665" max="6665" width="1.07421875" style="211" customWidth="1"/>
    <col min="6666" max="6666" width="9.07421875" style="211" customWidth="1"/>
    <col min="6667" max="6667" width="1.84375" style="211" customWidth="1"/>
    <col min="6668" max="6668" width="11" style="211" customWidth="1"/>
    <col min="6669" max="6669" width="1.07421875" style="211" customWidth="1"/>
    <col min="6670" max="6670" width="10.84375" style="211" customWidth="1"/>
    <col min="6671" max="6671" width="1.07421875" style="211" customWidth="1"/>
    <col min="6672" max="6672" width="10" style="211" customWidth="1"/>
    <col min="6673" max="6673" width="1.07421875" style="211" customWidth="1"/>
    <col min="6674" max="6674" width="9.07421875" style="211" customWidth="1"/>
    <col min="6675" max="6675" width="1.07421875" style="211" customWidth="1"/>
    <col min="6676" max="6676" width="7.84375" style="211" customWidth="1"/>
    <col min="6677" max="6677" width="1.07421875" style="211" customWidth="1"/>
    <col min="6678" max="6678" width="0.84375" style="211" customWidth="1"/>
    <col min="6679" max="6679" width="9.07421875" style="211" customWidth="1"/>
    <col min="6680" max="6680" width="1.07421875" style="211" customWidth="1"/>
    <col min="6681" max="6681" width="0.84375" style="211" customWidth="1"/>
    <col min="6682" max="6682" width="9.53515625" style="211" bestFit="1" customWidth="1"/>
    <col min="6683" max="6684" width="0.84375" style="211" customWidth="1"/>
    <col min="6685" max="6685" width="9.84375" style="211" customWidth="1"/>
    <col min="6686" max="6686" width="1.07421875" style="211" customWidth="1"/>
    <col min="6687" max="6687" width="8.53515625" style="211" customWidth="1"/>
    <col min="6688" max="6688" width="14.53515625" style="211" customWidth="1"/>
    <col min="6689" max="6689" width="10" style="211" customWidth="1"/>
    <col min="6690" max="6690" width="7.84375" style="211" bestFit="1" customWidth="1"/>
    <col min="6691" max="6691" width="9.84375" style="211" customWidth="1"/>
    <col min="6692" max="6908" width="8.84375" style="211"/>
    <col min="6909" max="6909" width="38.4609375" style="211" customWidth="1"/>
    <col min="6910" max="6910" width="8.53515625" style="211" customWidth="1"/>
    <col min="6911" max="6911" width="1.07421875" style="211" customWidth="1"/>
    <col min="6912" max="6912" width="8.84375" style="211" customWidth="1"/>
    <col min="6913" max="6913" width="1.07421875" style="211" customWidth="1"/>
    <col min="6914" max="6914" width="9.07421875" style="211" customWidth="1"/>
    <col min="6915" max="6915" width="1.07421875" style="211" customWidth="1"/>
    <col min="6916" max="6916" width="10" style="211" customWidth="1"/>
    <col min="6917" max="6917" width="1.07421875" style="211" customWidth="1"/>
    <col min="6918" max="6918" width="9.07421875" style="211" customWidth="1"/>
    <col min="6919" max="6919" width="1.07421875" style="211" customWidth="1"/>
    <col min="6920" max="6920" width="11.07421875" style="211" customWidth="1"/>
    <col min="6921" max="6921" width="1.07421875" style="211" customWidth="1"/>
    <col min="6922" max="6922" width="9.07421875" style="211" customWidth="1"/>
    <col min="6923" max="6923" width="1.84375" style="211" customWidth="1"/>
    <col min="6924" max="6924" width="11" style="211" customWidth="1"/>
    <col min="6925" max="6925" width="1.07421875" style="211" customWidth="1"/>
    <col min="6926" max="6926" width="10.84375" style="211" customWidth="1"/>
    <col min="6927" max="6927" width="1.07421875" style="211" customWidth="1"/>
    <col min="6928" max="6928" width="10" style="211" customWidth="1"/>
    <col min="6929" max="6929" width="1.07421875" style="211" customWidth="1"/>
    <col min="6930" max="6930" width="9.07421875" style="211" customWidth="1"/>
    <col min="6931" max="6931" width="1.07421875" style="211" customWidth="1"/>
    <col min="6932" max="6932" width="7.84375" style="211" customWidth="1"/>
    <col min="6933" max="6933" width="1.07421875" style="211" customWidth="1"/>
    <col min="6934" max="6934" width="0.84375" style="211" customWidth="1"/>
    <col min="6935" max="6935" width="9.07421875" style="211" customWidth="1"/>
    <col min="6936" max="6936" width="1.07421875" style="211" customWidth="1"/>
    <col min="6937" max="6937" width="0.84375" style="211" customWidth="1"/>
    <col min="6938" max="6938" width="9.53515625" style="211" bestFit="1" customWidth="1"/>
    <col min="6939" max="6940" width="0.84375" style="211" customWidth="1"/>
    <col min="6941" max="6941" width="9.84375" style="211" customWidth="1"/>
    <col min="6942" max="6942" width="1.07421875" style="211" customWidth="1"/>
    <col min="6943" max="6943" width="8.53515625" style="211" customWidth="1"/>
    <col min="6944" max="6944" width="14.53515625" style="211" customWidth="1"/>
    <col min="6945" max="6945" width="10" style="211" customWidth="1"/>
    <col min="6946" max="6946" width="7.84375" style="211" bestFit="1" customWidth="1"/>
    <col min="6947" max="6947" width="9.84375" style="211" customWidth="1"/>
    <col min="6948" max="7164" width="8.84375" style="211"/>
    <col min="7165" max="7165" width="38.4609375" style="211" customWidth="1"/>
    <col min="7166" max="7166" width="8.53515625" style="211" customWidth="1"/>
    <col min="7167" max="7167" width="1.07421875" style="211" customWidth="1"/>
    <col min="7168" max="7168" width="8.84375" style="211" customWidth="1"/>
    <col min="7169" max="7169" width="1.07421875" style="211" customWidth="1"/>
    <col min="7170" max="7170" width="9.07421875" style="211" customWidth="1"/>
    <col min="7171" max="7171" width="1.07421875" style="211" customWidth="1"/>
    <col min="7172" max="7172" width="10" style="211" customWidth="1"/>
    <col min="7173" max="7173" width="1.07421875" style="211" customWidth="1"/>
    <col min="7174" max="7174" width="9.07421875" style="211" customWidth="1"/>
    <col min="7175" max="7175" width="1.07421875" style="211" customWidth="1"/>
    <col min="7176" max="7176" width="11.07421875" style="211" customWidth="1"/>
    <col min="7177" max="7177" width="1.07421875" style="211" customWidth="1"/>
    <col min="7178" max="7178" width="9.07421875" style="211" customWidth="1"/>
    <col min="7179" max="7179" width="1.84375" style="211" customWidth="1"/>
    <col min="7180" max="7180" width="11" style="211" customWidth="1"/>
    <col min="7181" max="7181" width="1.07421875" style="211" customWidth="1"/>
    <col min="7182" max="7182" width="10.84375" style="211" customWidth="1"/>
    <col min="7183" max="7183" width="1.07421875" style="211" customWidth="1"/>
    <col min="7184" max="7184" width="10" style="211" customWidth="1"/>
    <col min="7185" max="7185" width="1.07421875" style="211" customWidth="1"/>
    <col min="7186" max="7186" width="9.07421875" style="211" customWidth="1"/>
    <col min="7187" max="7187" width="1.07421875" style="211" customWidth="1"/>
    <col min="7188" max="7188" width="7.84375" style="211" customWidth="1"/>
    <col min="7189" max="7189" width="1.07421875" style="211" customWidth="1"/>
    <col min="7190" max="7190" width="0.84375" style="211" customWidth="1"/>
    <col min="7191" max="7191" width="9.07421875" style="211" customWidth="1"/>
    <col min="7192" max="7192" width="1.07421875" style="211" customWidth="1"/>
    <col min="7193" max="7193" width="0.84375" style="211" customWidth="1"/>
    <col min="7194" max="7194" width="9.53515625" style="211" bestFit="1" customWidth="1"/>
    <col min="7195" max="7196" width="0.84375" style="211" customWidth="1"/>
    <col min="7197" max="7197" width="9.84375" style="211" customWidth="1"/>
    <col min="7198" max="7198" width="1.07421875" style="211" customWidth="1"/>
    <col min="7199" max="7199" width="8.53515625" style="211" customWidth="1"/>
    <col min="7200" max="7200" width="14.53515625" style="211" customWidth="1"/>
    <col min="7201" max="7201" width="10" style="211" customWidth="1"/>
    <col min="7202" max="7202" width="7.84375" style="211" bestFit="1" customWidth="1"/>
    <col min="7203" max="7203" width="9.84375" style="211" customWidth="1"/>
    <col min="7204" max="7420" width="8.84375" style="211"/>
    <col min="7421" max="7421" width="38.4609375" style="211" customWidth="1"/>
    <col min="7422" max="7422" width="8.53515625" style="211" customWidth="1"/>
    <col min="7423" max="7423" width="1.07421875" style="211" customWidth="1"/>
    <col min="7424" max="7424" width="8.84375" style="211" customWidth="1"/>
    <col min="7425" max="7425" width="1.07421875" style="211" customWidth="1"/>
    <col min="7426" max="7426" width="9.07421875" style="211" customWidth="1"/>
    <col min="7427" max="7427" width="1.07421875" style="211" customWidth="1"/>
    <col min="7428" max="7428" width="10" style="211" customWidth="1"/>
    <col min="7429" max="7429" width="1.07421875" style="211" customWidth="1"/>
    <col min="7430" max="7430" width="9.07421875" style="211" customWidth="1"/>
    <col min="7431" max="7431" width="1.07421875" style="211" customWidth="1"/>
    <col min="7432" max="7432" width="11.07421875" style="211" customWidth="1"/>
    <col min="7433" max="7433" width="1.07421875" style="211" customWidth="1"/>
    <col min="7434" max="7434" width="9.07421875" style="211" customWidth="1"/>
    <col min="7435" max="7435" width="1.84375" style="211" customWidth="1"/>
    <col min="7436" max="7436" width="11" style="211" customWidth="1"/>
    <col min="7437" max="7437" width="1.07421875" style="211" customWidth="1"/>
    <col min="7438" max="7438" width="10.84375" style="211" customWidth="1"/>
    <col min="7439" max="7439" width="1.07421875" style="211" customWidth="1"/>
    <col min="7440" max="7440" width="10" style="211" customWidth="1"/>
    <col min="7441" max="7441" width="1.07421875" style="211" customWidth="1"/>
    <col min="7442" max="7442" width="9.07421875" style="211" customWidth="1"/>
    <col min="7443" max="7443" width="1.07421875" style="211" customWidth="1"/>
    <col min="7444" max="7444" width="7.84375" style="211" customWidth="1"/>
    <col min="7445" max="7445" width="1.07421875" style="211" customWidth="1"/>
    <col min="7446" max="7446" width="0.84375" style="211" customWidth="1"/>
    <col min="7447" max="7447" width="9.07421875" style="211" customWidth="1"/>
    <col min="7448" max="7448" width="1.07421875" style="211" customWidth="1"/>
    <col min="7449" max="7449" width="0.84375" style="211" customWidth="1"/>
    <col min="7450" max="7450" width="9.53515625" style="211" bestFit="1" customWidth="1"/>
    <col min="7451" max="7452" width="0.84375" style="211" customWidth="1"/>
    <col min="7453" max="7453" width="9.84375" style="211" customWidth="1"/>
    <col min="7454" max="7454" width="1.07421875" style="211" customWidth="1"/>
    <col min="7455" max="7455" width="8.53515625" style="211" customWidth="1"/>
    <col min="7456" max="7456" width="14.53515625" style="211" customWidth="1"/>
    <col min="7457" max="7457" width="10" style="211" customWidth="1"/>
    <col min="7458" max="7458" width="7.84375" style="211" bestFit="1" customWidth="1"/>
    <col min="7459" max="7459" width="9.84375" style="211" customWidth="1"/>
    <col min="7460" max="7676" width="8.84375" style="211"/>
    <col min="7677" max="7677" width="38.4609375" style="211" customWidth="1"/>
    <col min="7678" max="7678" width="8.53515625" style="211" customWidth="1"/>
    <col min="7679" max="7679" width="1.07421875" style="211" customWidth="1"/>
    <col min="7680" max="7680" width="8.84375" style="211" customWidth="1"/>
    <col min="7681" max="7681" width="1.07421875" style="211" customWidth="1"/>
    <col min="7682" max="7682" width="9.07421875" style="211" customWidth="1"/>
    <col min="7683" max="7683" width="1.07421875" style="211" customWidth="1"/>
    <col min="7684" max="7684" width="10" style="211" customWidth="1"/>
    <col min="7685" max="7685" width="1.07421875" style="211" customWidth="1"/>
    <col min="7686" max="7686" width="9.07421875" style="211" customWidth="1"/>
    <col min="7687" max="7687" width="1.07421875" style="211" customWidth="1"/>
    <col min="7688" max="7688" width="11.07421875" style="211" customWidth="1"/>
    <col min="7689" max="7689" width="1.07421875" style="211" customWidth="1"/>
    <col min="7690" max="7690" width="9.07421875" style="211" customWidth="1"/>
    <col min="7691" max="7691" width="1.84375" style="211" customWidth="1"/>
    <col min="7692" max="7692" width="11" style="211" customWidth="1"/>
    <col min="7693" max="7693" width="1.07421875" style="211" customWidth="1"/>
    <col min="7694" max="7694" width="10.84375" style="211" customWidth="1"/>
    <col min="7695" max="7695" width="1.07421875" style="211" customWidth="1"/>
    <col min="7696" max="7696" width="10" style="211" customWidth="1"/>
    <col min="7697" max="7697" width="1.07421875" style="211" customWidth="1"/>
    <col min="7698" max="7698" width="9.07421875" style="211" customWidth="1"/>
    <col min="7699" max="7699" width="1.07421875" style="211" customWidth="1"/>
    <col min="7700" max="7700" width="7.84375" style="211" customWidth="1"/>
    <col min="7701" max="7701" width="1.07421875" style="211" customWidth="1"/>
    <col min="7702" max="7702" width="0.84375" style="211" customWidth="1"/>
    <col min="7703" max="7703" width="9.07421875" style="211" customWidth="1"/>
    <col min="7704" max="7704" width="1.07421875" style="211" customWidth="1"/>
    <col min="7705" max="7705" width="0.84375" style="211" customWidth="1"/>
    <col min="7706" max="7706" width="9.53515625" style="211" bestFit="1" customWidth="1"/>
    <col min="7707" max="7708" width="0.84375" style="211" customWidth="1"/>
    <col min="7709" max="7709" width="9.84375" style="211" customWidth="1"/>
    <col min="7710" max="7710" width="1.07421875" style="211" customWidth="1"/>
    <col min="7711" max="7711" width="8.53515625" style="211" customWidth="1"/>
    <col min="7712" max="7712" width="14.53515625" style="211" customWidth="1"/>
    <col min="7713" max="7713" width="10" style="211" customWidth="1"/>
    <col min="7714" max="7714" width="7.84375" style="211" bestFit="1" customWidth="1"/>
    <col min="7715" max="7715" width="9.84375" style="211" customWidth="1"/>
    <col min="7716" max="7932" width="8.84375" style="211"/>
    <col min="7933" max="7933" width="38.4609375" style="211" customWidth="1"/>
    <col min="7934" max="7934" width="8.53515625" style="211" customWidth="1"/>
    <col min="7935" max="7935" width="1.07421875" style="211" customWidth="1"/>
    <col min="7936" max="7936" width="8.84375" style="211" customWidth="1"/>
    <col min="7937" max="7937" width="1.07421875" style="211" customWidth="1"/>
    <col min="7938" max="7938" width="9.07421875" style="211" customWidth="1"/>
    <col min="7939" max="7939" width="1.07421875" style="211" customWidth="1"/>
    <col min="7940" max="7940" width="10" style="211" customWidth="1"/>
    <col min="7941" max="7941" width="1.07421875" style="211" customWidth="1"/>
    <col min="7942" max="7942" width="9.07421875" style="211" customWidth="1"/>
    <col min="7943" max="7943" width="1.07421875" style="211" customWidth="1"/>
    <col min="7944" max="7944" width="11.07421875" style="211" customWidth="1"/>
    <col min="7945" max="7945" width="1.07421875" style="211" customWidth="1"/>
    <col min="7946" max="7946" width="9.07421875" style="211" customWidth="1"/>
    <col min="7947" max="7947" width="1.84375" style="211" customWidth="1"/>
    <col min="7948" max="7948" width="11" style="211" customWidth="1"/>
    <col min="7949" max="7949" width="1.07421875" style="211" customWidth="1"/>
    <col min="7950" max="7950" width="10.84375" style="211" customWidth="1"/>
    <col min="7951" max="7951" width="1.07421875" style="211" customWidth="1"/>
    <col min="7952" max="7952" width="10" style="211" customWidth="1"/>
    <col min="7953" max="7953" width="1.07421875" style="211" customWidth="1"/>
    <col min="7954" max="7954" width="9.07421875" style="211" customWidth="1"/>
    <col min="7955" max="7955" width="1.07421875" style="211" customWidth="1"/>
    <col min="7956" max="7956" width="7.84375" style="211" customWidth="1"/>
    <col min="7957" max="7957" width="1.07421875" style="211" customWidth="1"/>
    <col min="7958" max="7958" width="0.84375" style="211" customWidth="1"/>
    <col min="7959" max="7959" width="9.07421875" style="211" customWidth="1"/>
    <col min="7960" max="7960" width="1.07421875" style="211" customWidth="1"/>
    <col min="7961" max="7961" width="0.84375" style="211" customWidth="1"/>
    <col min="7962" max="7962" width="9.53515625" style="211" bestFit="1" customWidth="1"/>
    <col min="7963" max="7964" width="0.84375" style="211" customWidth="1"/>
    <col min="7965" max="7965" width="9.84375" style="211" customWidth="1"/>
    <col min="7966" max="7966" width="1.07421875" style="211" customWidth="1"/>
    <col min="7967" max="7967" width="8.53515625" style="211" customWidth="1"/>
    <col min="7968" max="7968" width="14.53515625" style="211" customWidth="1"/>
    <col min="7969" max="7969" width="10" style="211" customWidth="1"/>
    <col min="7970" max="7970" width="7.84375" style="211" bestFit="1" customWidth="1"/>
    <col min="7971" max="7971" width="9.84375" style="211" customWidth="1"/>
    <col min="7972" max="8188" width="8.84375" style="211"/>
    <col min="8189" max="8189" width="38.4609375" style="211" customWidth="1"/>
    <col min="8190" max="8190" width="8.53515625" style="211" customWidth="1"/>
    <col min="8191" max="8191" width="1.07421875" style="211" customWidth="1"/>
    <col min="8192" max="8192" width="8.84375" style="211" customWidth="1"/>
    <col min="8193" max="8193" width="1.07421875" style="211" customWidth="1"/>
    <col min="8194" max="8194" width="9.07421875" style="211" customWidth="1"/>
    <col min="8195" max="8195" width="1.07421875" style="211" customWidth="1"/>
    <col min="8196" max="8196" width="10" style="211" customWidth="1"/>
    <col min="8197" max="8197" width="1.07421875" style="211" customWidth="1"/>
    <col min="8198" max="8198" width="9.07421875" style="211" customWidth="1"/>
    <col min="8199" max="8199" width="1.07421875" style="211" customWidth="1"/>
    <col min="8200" max="8200" width="11.07421875" style="211" customWidth="1"/>
    <col min="8201" max="8201" width="1.07421875" style="211" customWidth="1"/>
    <col min="8202" max="8202" width="9.07421875" style="211" customWidth="1"/>
    <col min="8203" max="8203" width="1.84375" style="211" customWidth="1"/>
    <col min="8204" max="8204" width="11" style="211" customWidth="1"/>
    <col min="8205" max="8205" width="1.07421875" style="211" customWidth="1"/>
    <col min="8206" max="8206" width="10.84375" style="211" customWidth="1"/>
    <col min="8207" max="8207" width="1.07421875" style="211" customWidth="1"/>
    <col min="8208" max="8208" width="10" style="211" customWidth="1"/>
    <col min="8209" max="8209" width="1.07421875" style="211" customWidth="1"/>
    <col min="8210" max="8210" width="9.07421875" style="211" customWidth="1"/>
    <col min="8211" max="8211" width="1.07421875" style="211" customWidth="1"/>
    <col min="8212" max="8212" width="7.84375" style="211" customWidth="1"/>
    <col min="8213" max="8213" width="1.07421875" style="211" customWidth="1"/>
    <col min="8214" max="8214" width="0.84375" style="211" customWidth="1"/>
    <col min="8215" max="8215" width="9.07421875" style="211" customWidth="1"/>
    <col min="8216" max="8216" width="1.07421875" style="211" customWidth="1"/>
    <col min="8217" max="8217" width="0.84375" style="211" customWidth="1"/>
    <col min="8218" max="8218" width="9.53515625" style="211" bestFit="1" customWidth="1"/>
    <col min="8219" max="8220" width="0.84375" style="211" customWidth="1"/>
    <col min="8221" max="8221" width="9.84375" style="211" customWidth="1"/>
    <col min="8222" max="8222" width="1.07421875" style="211" customWidth="1"/>
    <col min="8223" max="8223" width="8.53515625" style="211" customWidth="1"/>
    <col min="8224" max="8224" width="14.53515625" style="211" customWidth="1"/>
    <col min="8225" max="8225" width="10" style="211" customWidth="1"/>
    <col min="8226" max="8226" width="7.84375" style="211" bestFit="1" customWidth="1"/>
    <col min="8227" max="8227" width="9.84375" style="211" customWidth="1"/>
    <col min="8228" max="8444" width="8.84375" style="211"/>
    <col min="8445" max="8445" width="38.4609375" style="211" customWidth="1"/>
    <col min="8446" max="8446" width="8.53515625" style="211" customWidth="1"/>
    <col min="8447" max="8447" width="1.07421875" style="211" customWidth="1"/>
    <col min="8448" max="8448" width="8.84375" style="211" customWidth="1"/>
    <col min="8449" max="8449" width="1.07421875" style="211" customWidth="1"/>
    <col min="8450" max="8450" width="9.07421875" style="211" customWidth="1"/>
    <col min="8451" max="8451" width="1.07421875" style="211" customWidth="1"/>
    <col min="8452" max="8452" width="10" style="211" customWidth="1"/>
    <col min="8453" max="8453" width="1.07421875" style="211" customWidth="1"/>
    <col min="8454" max="8454" width="9.07421875" style="211" customWidth="1"/>
    <col min="8455" max="8455" width="1.07421875" style="211" customWidth="1"/>
    <col min="8456" max="8456" width="11.07421875" style="211" customWidth="1"/>
    <col min="8457" max="8457" width="1.07421875" style="211" customWidth="1"/>
    <col min="8458" max="8458" width="9.07421875" style="211" customWidth="1"/>
    <col min="8459" max="8459" width="1.84375" style="211" customWidth="1"/>
    <col min="8460" max="8460" width="11" style="211" customWidth="1"/>
    <col min="8461" max="8461" width="1.07421875" style="211" customWidth="1"/>
    <col min="8462" max="8462" width="10.84375" style="211" customWidth="1"/>
    <col min="8463" max="8463" width="1.07421875" style="211" customWidth="1"/>
    <col min="8464" max="8464" width="10" style="211" customWidth="1"/>
    <col min="8465" max="8465" width="1.07421875" style="211" customWidth="1"/>
    <col min="8466" max="8466" width="9.07421875" style="211" customWidth="1"/>
    <col min="8467" max="8467" width="1.07421875" style="211" customWidth="1"/>
    <col min="8468" max="8468" width="7.84375" style="211" customWidth="1"/>
    <col min="8469" max="8469" width="1.07421875" style="211" customWidth="1"/>
    <col min="8470" max="8470" width="0.84375" style="211" customWidth="1"/>
    <col min="8471" max="8471" width="9.07421875" style="211" customWidth="1"/>
    <col min="8472" max="8472" width="1.07421875" style="211" customWidth="1"/>
    <col min="8473" max="8473" width="0.84375" style="211" customWidth="1"/>
    <col min="8474" max="8474" width="9.53515625" style="211" bestFit="1" customWidth="1"/>
    <col min="8475" max="8476" width="0.84375" style="211" customWidth="1"/>
    <col min="8477" max="8477" width="9.84375" style="211" customWidth="1"/>
    <col min="8478" max="8478" width="1.07421875" style="211" customWidth="1"/>
    <col min="8479" max="8479" width="8.53515625" style="211" customWidth="1"/>
    <col min="8480" max="8480" width="14.53515625" style="211" customWidth="1"/>
    <col min="8481" max="8481" width="10" style="211" customWidth="1"/>
    <col min="8482" max="8482" width="7.84375" style="211" bestFit="1" customWidth="1"/>
    <col min="8483" max="8483" width="9.84375" style="211" customWidth="1"/>
    <col min="8484" max="8700" width="8.84375" style="211"/>
    <col min="8701" max="8701" width="38.4609375" style="211" customWidth="1"/>
    <col min="8702" max="8702" width="8.53515625" style="211" customWidth="1"/>
    <col min="8703" max="8703" width="1.07421875" style="211" customWidth="1"/>
    <col min="8704" max="8704" width="8.84375" style="211" customWidth="1"/>
    <col min="8705" max="8705" width="1.07421875" style="211" customWidth="1"/>
    <col min="8706" max="8706" width="9.07421875" style="211" customWidth="1"/>
    <col min="8707" max="8707" width="1.07421875" style="211" customWidth="1"/>
    <col min="8708" max="8708" width="10" style="211" customWidth="1"/>
    <col min="8709" max="8709" width="1.07421875" style="211" customWidth="1"/>
    <col min="8710" max="8710" width="9.07421875" style="211" customWidth="1"/>
    <col min="8711" max="8711" width="1.07421875" style="211" customWidth="1"/>
    <col min="8712" max="8712" width="11.07421875" style="211" customWidth="1"/>
    <col min="8713" max="8713" width="1.07421875" style="211" customWidth="1"/>
    <col min="8714" max="8714" width="9.07421875" style="211" customWidth="1"/>
    <col min="8715" max="8715" width="1.84375" style="211" customWidth="1"/>
    <col min="8716" max="8716" width="11" style="211" customWidth="1"/>
    <col min="8717" max="8717" width="1.07421875" style="211" customWidth="1"/>
    <col min="8718" max="8718" width="10.84375" style="211" customWidth="1"/>
    <col min="8719" max="8719" width="1.07421875" style="211" customWidth="1"/>
    <col min="8720" max="8720" width="10" style="211" customWidth="1"/>
    <col min="8721" max="8721" width="1.07421875" style="211" customWidth="1"/>
    <col min="8722" max="8722" width="9.07421875" style="211" customWidth="1"/>
    <col min="8723" max="8723" width="1.07421875" style="211" customWidth="1"/>
    <col min="8724" max="8724" width="7.84375" style="211" customWidth="1"/>
    <col min="8725" max="8725" width="1.07421875" style="211" customWidth="1"/>
    <col min="8726" max="8726" width="0.84375" style="211" customWidth="1"/>
    <col min="8727" max="8727" width="9.07421875" style="211" customWidth="1"/>
    <col min="8728" max="8728" width="1.07421875" style="211" customWidth="1"/>
    <col min="8729" max="8729" width="0.84375" style="211" customWidth="1"/>
    <col min="8730" max="8730" width="9.53515625" style="211" bestFit="1" customWidth="1"/>
    <col min="8731" max="8732" width="0.84375" style="211" customWidth="1"/>
    <col min="8733" max="8733" width="9.84375" style="211" customWidth="1"/>
    <col min="8734" max="8734" width="1.07421875" style="211" customWidth="1"/>
    <col min="8735" max="8735" width="8.53515625" style="211" customWidth="1"/>
    <col min="8736" max="8736" width="14.53515625" style="211" customWidth="1"/>
    <col min="8737" max="8737" width="10" style="211" customWidth="1"/>
    <col min="8738" max="8738" width="7.84375" style="211" bestFit="1" customWidth="1"/>
    <col min="8739" max="8739" width="9.84375" style="211" customWidth="1"/>
    <col min="8740" max="8956" width="8.84375" style="211"/>
    <col min="8957" max="8957" width="38.4609375" style="211" customWidth="1"/>
    <col min="8958" max="8958" width="8.53515625" style="211" customWidth="1"/>
    <col min="8959" max="8959" width="1.07421875" style="211" customWidth="1"/>
    <col min="8960" max="8960" width="8.84375" style="211" customWidth="1"/>
    <col min="8961" max="8961" width="1.07421875" style="211" customWidth="1"/>
    <col min="8962" max="8962" width="9.07421875" style="211" customWidth="1"/>
    <col min="8963" max="8963" width="1.07421875" style="211" customWidth="1"/>
    <col min="8964" max="8964" width="10" style="211" customWidth="1"/>
    <col min="8965" max="8965" width="1.07421875" style="211" customWidth="1"/>
    <col min="8966" max="8966" width="9.07421875" style="211" customWidth="1"/>
    <col min="8967" max="8967" width="1.07421875" style="211" customWidth="1"/>
    <col min="8968" max="8968" width="11.07421875" style="211" customWidth="1"/>
    <col min="8969" max="8969" width="1.07421875" style="211" customWidth="1"/>
    <col min="8970" max="8970" width="9.07421875" style="211" customWidth="1"/>
    <col min="8971" max="8971" width="1.84375" style="211" customWidth="1"/>
    <col min="8972" max="8972" width="11" style="211" customWidth="1"/>
    <col min="8973" max="8973" width="1.07421875" style="211" customWidth="1"/>
    <col min="8974" max="8974" width="10.84375" style="211" customWidth="1"/>
    <col min="8975" max="8975" width="1.07421875" style="211" customWidth="1"/>
    <col min="8976" max="8976" width="10" style="211" customWidth="1"/>
    <col min="8977" max="8977" width="1.07421875" style="211" customWidth="1"/>
    <col min="8978" max="8978" width="9.07421875" style="211" customWidth="1"/>
    <col min="8979" max="8979" width="1.07421875" style="211" customWidth="1"/>
    <col min="8980" max="8980" width="7.84375" style="211" customWidth="1"/>
    <col min="8981" max="8981" width="1.07421875" style="211" customWidth="1"/>
    <col min="8982" max="8982" width="0.84375" style="211" customWidth="1"/>
    <col min="8983" max="8983" width="9.07421875" style="211" customWidth="1"/>
    <col min="8984" max="8984" width="1.07421875" style="211" customWidth="1"/>
    <col min="8985" max="8985" width="0.84375" style="211" customWidth="1"/>
    <col min="8986" max="8986" width="9.53515625" style="211" bestFit="1" customWidth="1"/>
    <col min="8987" max="8988" width="0.84375" style="211" customWidth="1"/>
    <col min="8989" max="8989" width="9.84375" style="211" customWidth="1"/>
    <col min="8990" max="8990" width="1.07421875" style="211" customWidth="1"/>
    <col min="8991" max="8991" width="8.53515625" style="211" customWidth="1"/>
    <col min="8992" max="8992" width="14.53515625" style="211" customWidth="1"/>
    <col min="8993" max="8993" width="10" style="211" customWidth="1"/>
    <col min="8994" max="8994" width="7.84375" style="211" bestFit="1" customWidth="1"/>
    <col min="8995" max="8995" width="9.84375" style="211" customWidth="1"/>
    <col min="8996" max="9212" width="8.84375" style="211"/>
    <col min="9213" max="9213" width="38.4609375" style="211" customWidth="1"/>
    <col min="9214" max="9214" width="8.53515625" style="211" customWidth="1"/>
    <col min="9215" max="9215" width="1.07421875" style="211" customWidth="1"/>
    <col min="9216" max="9216" width="8.84375" style="211" customWidth="1"/>
    <col min="9217" max="9217" width="1.07421875" style="211" customWidth="1"/>
    <col min="9218" max="9218" width="9.07421875" style="211" customWidth="1"/>
    <col min="9219" max="9219" width="1.07421875" style="211" customWidth="1"/>
    <col min="9220" max="9220" width="10" style="211" customWidth="1"/>
    <col min="9221" max="9221" width="1.07421875" style="211" customWidth="1"/>
    <col min="9222" max="9222" width="9.07421875" style="211" customWidth="1"/>
    <col min="9223" max="9223" width="1.07421875" style="211" customWidth="1"/>
    <col min="9224" max="9224" width="11.07421875" style="211" customWidth="1"/>
    <col min="9225" max="9225" width="1.07421875" style="211" customWidth="1"/>
    <col min="9226" max="9226" width="9.07421875" style="211" customWidth="1"/>
    <col min="9227" max="9227" width="1.84375" style="211" customWidth="1"/>
    <col min="9228" max="9228" width="11" style="211" customWidth="1"/>
    <col min="9229" max="9229" width="1.07421875" style="211" customWidth="1"/>
    <col min="9230" max="9230" width="10.84375" style="211" customWidth="1"/>
    <col min="9231" max="9231" width="1.07421875" style="211" customWidth="1"/>
    <col min="9232" max="9232" width="10" style="211" customWidth="1"/>
    <col min="9233" max="9233" width="1.07421875" style="211" customWidth="1"/>
    <col min="9234" max="9234" width="9.07421875" style="211" customWidth="1"/>
    <col min="9235" max="9235" width="1.07421875" style="211" customWidth="1"/>
    <col min="9236" max="9236" width="7.84375" style="211" customWidth="1"/>
    <col min="9237" max="9237" width="1.07421875" style="211" customWidth="1"/>
    <col min="9238" max="9238" width="0.84375" style="211" customWidth="1"/>
    <col min="9239" max="9239" width="9.07421875" style="211" customWidth="1"/>
    <col min="9240" max="9240" width="1.07421875" style="211" customWidth="1"/>
    <col min="9241" max="9241" width="0.84375" style="211" customWidth="1"/>
    <col min="9242" max="9242" width="9.53515625" style="211" bestFit="1" customWidth="1"/>
    <col min="9243" max="9244" width="0.84375" style="211" customWidth="1"/>
    <col min="9245" max="9245" width="9.84375" style="211" customWidth="1"/>
    <col min="9246" max="9246" width="1.07421875" style="211" customWidth="1"/>
    <col min="9247" max="9247" width="8.53515625" style="211" customWidth="1"/>
    <col min="9248" max="9248" width="14.53515625" style="211" customWidth="1"/>
    <col min="9249" max="9249" width="10" style="211" customWidth="1"/>
    <col min="9250" max="9250" width="7.84375" style="211" bestFit="1" customWidth="1"/>
    <col min="9251" max="9251" width="9.84375" style="211" customWidth="1"/>
    <col min="9252" max="9468" width="8.84375" style="211"/>
    <col min="9469" max="9469" width="38.4609375" style="211" customWidth="1"/>
    <col min="9470" max="9470" width="8.53515625" style="211" customWidth="1"/>
    <col min="9471" max="9471" width="1.07421875" style="211" customWidth="1"/>
    <col min="9472" max="9472" width="8.84375" style="211" customWidth="1"/>
    <col min="9473" max="9473" width="1.07421875" style="211" customWidth="1"/>
    <col min="9474" max="9474" width="9.07421875" style="211" customWidth="1"/>
    <col min="9475" max="9475" width="1.07421875" style="211" customWidth="1"/>
    <col min="9476" max="9476" width="10" style="211" customWidth="1"/>
    <col min="9477" max="9477" width="1.07421875" style="211" customWidth="1"/>
    <col min="9478" max="9478" width="9.07421875" style="211" customWidth="1"/>
    <col min="9479" max="9479" width="1.07421875" style="211" customWidth="1"/>
    <col min="9480" max="9480" width="11.07421875" style="211" customWidth="1"/>
    <col min="9481" max="9481" width="1.07421875" style="211" customWidth="1"/>
    <col min="9482" max="9482" width="9.07421875" style="211" customWidth="1"/>
    <col min="9483" max="9483" width="1.84375" style="211" customWidth="1"/>
    <col min="9484" max="9484" width="11" style="211" customWidth="1"/>
    <col min="9485" max="9485" width="1.07421875" style="211" customWidth="1"/>
    <col min="9486" max="9486" width="10.84375" style="211" customWidth="1"/>
    <col min="9487" max="9487" width="1.07421875" style="211" customWidth="1"/>
    <col min="9488" max="9488" width="10" style="211" customWidth="1"/>
    <col min="9489" max="9489" width="1.07421875" style="211" customWidth="1"/>
    <col min="9490" max="9490" width="9.07421875" style="211" customWidth="1"/>
    <col min="9491" max="9491" width="1.07421875" style="211" customWidth="1"/>
    <col min="9492" max="9492" width="7.84375" style="211" customWidth="1"/>
    <col min="9493" max="9493" width="1.07421875" style="211" customWidth="1"/>
    <col min="9494" max="9494" width="0.84375" style="211" customWidth="1"/>
    <col min="9495" max="9495" width="9.07421875" style="211" customWidth="1"/>
    <col min="9496" max="9496" width="1.07421875" style="211" customWidth="1"/>
    <col min="9497" max="9497" width="0.84375" style="211" customWidth="1"/>
    <col min="9498" max="9498" width="9.53515625" style="211" bestFit="1" customWidth="1"/>
    <col min="9499" max="9500" width="0.84375" style="211" customWidth="1"/>
    <col min="9501" max="9501" width="9.84375" style="211" customWidth="1"/>
    <col min="9502" max="9502" width="1.07421875" style="211" customWidth="1"/>
    <col min="9503" max="9503" width="8.53515625" style="211" customWidth="1"/>
    <col min="9504" max="9504" width="14.53515625" style="211" customWidth="1"/>
    <col min="9505" max="9505" width="10" style="211" customWidth="1"/>
    <col min="9506" max="9506" width="7.84375" style="211" bestFit="1" customWidth="1"/>
    <col min="9507" max="9507" width="9.84375" style="211" customWidth="1"/>
    <col min="9508" max="9724" width="8.84375" style="211"/>
    <col min="9725" max="9725" width="38.4609375" style="211" customWidth="1"/>
    <col min="9726" max="9726" width="8.53515625" style="211" customWidth="1"/>
    <col min="9727" max="9727" width="1.07421875" style="211" customWidth="1"/>
    <col min="9728" max="9728" width="8.84375" style="211" customWidth="1"/>
    <col min="9729" max="9729" width="1.07421875" style="211" customWidth="1"/>
    <col min="9730" max="9730" width="9.07421875" style="211" customWidth="1"/>
    <col min="9731" max="9731" width="1.07421875" style="211" customWidth="1"/>
    <col min="9732" max="9732" width="10" style="211" customWidth="1"/>
    <col min="9733" max="9733" width="1.07421875" style="211" customWidth="1"/>
    <col min="9734" max="9734" width="9.07421875" style="211" customWidth="1"/>
    <col min="9735" max="9735" width="1.07421875" style="211" customWidth="1"/>
    <col min="9736" max="9736" width="11.07421875" style="211" customWidth="1"/>
    <col min="9737" max="9737" width="1.07421875" style="211" customWidth="1"/>
    <col min="9738" max="9738" width="9.07421875" style="211" customWidth="1"/>
    <col min="9739" max="9739" width="1.84375" style="211" customWidth="1"/>
    <col min="9740" max="9740" width="11" style="211" customWidth="1"/>
    <col min="9741" max="9741" width="1.07421875" style="211" customWidth="1"/>
    <col min="9742" max="9742" width="10.84375" style="211" customWidth="1"/>
    <col min="9743" max="9743" width="1.07421875" style="211" customWidth="1"/>
    <col min="9744" max="9744" width="10" style="211" customWidth="1"/>
    <col min="9745" max="9745" width="1.07421875" style="211" customWidth="1"/>
    <col min="9746" max="9746" width="9.07421875" style="211" customWidth="1"/>
    <col min="9747" max="9747" width="1.07421875" style="211" customWidth="1"/>
    <col min="9748" max="9748" width="7.84375" style="211" customWidth="1"/>
    <col min="9749" max="9749" width="1.07421875" style="211" customWidth="1"/>
    <col min="9750" max="9750" width="0.84375" style="211" customWidth="1"/>
    <col min="9751" max="9751" width="9.07421875" style="211" customWidth="1"/>
    <col min="9752" max="9752" width="1.07421875" style="211" customWidth="1"/>
    <col min="9753" max="9753" width="0.84375" style="211" customWidth="1"/>
    <col min="9754" max="9754" width="9.53515625" style="211" bestFit="1" customWidth="1"/>
    <col min="9755" max="9756" width="0.84375" style="211" customWidth="1"/>
    <col min="9757" max="9757" width="9.84375" style="211" customWidth="1"/>
    <col min="9758" max="9758" width="1.07421875" style="211" customWidth="1"/>
    <col min="9759" max="9759" width="8.53515625" style="211" customWidth="1"/>
    <col min="9760" max="9760" width="14.53515625" style="211" customWidth="1"/>
    <col min="9761" max="9761" width="10" style="211" customWidth="1"/>
    <col min="9762" max="9762" width="7.84375" style="211" bestFit="1" customWidth="1"/>
    <col min="9763" max="9763" width="9.84375" style="211" customWidth="1"/>
    <col min="9764" max="9980" width="8.84375" style="211"/>
    <col min="9981" max="9981" width="38.4609375" style="211" customWidth="1"/>
    <col min="9982" max="9982" width="8.53515625" style="211" customWidth="1"/>
    <col min="9983" max="9983" width="1.07421875" style="211" customWidth="1"/>
    <col min="9984" max="9984" width="8.84375" style="211" customWidth="1"/>
    <col min="9985" max="9985" width="1.07421875" style="211" customWidth="1"/>
    <col min="9986" max="9986" width="9.07421875" style="211" customWidth="1"/>
    <col min="9987" max="9987" width="1.07421875" style="211" customWidth="1"/>
    <col min="9988" max="9988" width="10" style="211" customWidth="1"/>
    <col min="9989" max="9989" width="1.07421875" style="211" customWidth="1"/>
    <col min="9990" max="9990" width="9.07421875" style="211" customWidth="1"/>
    <col min="9991" max="9991" width="1.07421875" style="211" customWidth="1"/>
    <col min="9992" max="9992" width="11.07421875" style="211" customWidth="1"/>
    <col min="9993" max="9993" width="1.07421875" style="211" customWidth="1"/>
    <col min="9994" max="9994" width="9.07421875" style="211" customWidth="1"/>
    <col min="9995" max="9995" width="1.84375" style="211" customWidth="1"/>
    <col min="9996" max="9996" width="11" style="211" customWidth="1"/>
    <col min="9997" max="9997" width="1.07421875" style="211" customWidth="1"/>
    <col min="9998" max="9998" width="10.84375" style="211" customWidth="1"/>
    <col min="9999" max="9999" width="1.07421875" style="211" customWidth="1"/>
    <col min="10000" max="10000" width="10" style="211" customWidth="1"/>
    <col min="10001" max="10001" width="1.07421875" style="211" customWidth="1"/>
    <col min="10002" max="10002" width="9.07421875" style="211" customWidth="1"/>
    <col min="10003" max="10003" width="1.07421875" style="211" customWidth="1"/>
    <col min="10004" max="10004" width="7.84375" style="211" customWidth="1"/>
    <col min="10005" max="10005" width="1.07421875" style="211" customWidth="1"/>
    <col min="10006" max="10006" width="0.84375" style="211" customWidth="1"/>
    <col min="10007" max="10007" width="9.07421875" style="211" customWidth="1"/>
    <col min="10008" max="10008" width="1.07421875" style="211" customWidth="1"/>
    <col min="10009" max="10009" width="0.84375" style="211" customWidth="1"/>
    <col min="10010" max="10010" width="9.53515625" style="211" bestFit="1" customWidth="1"/>
    <col min="10011" max="10012" width="0.84375" style="211" customWidth="1"/>
    <col min="10013" max="10013" width="9.84375" style="211" customWidth="1"/>
    <col min="10014" max="10014" width="1.07421875" style="211" customWidth="1"/>
    <col min="10015" max="10015" width="8.53515625" style="211" customWidth="1"/>
    <col min="10016" max="10016" width="14.53515625" style="211" customWidth="1"/>
    <col min="10017" max="10017" width="10" style="211" customWidth="1"/>
    <col min="10018" max="10018" width="7.84375" style="211" bestFit="1" customWidth="1"/>
    <col min="10019" max="10019" width="9.84375" style="211" customWidth="1"/>
    <col min="10020" max="10236" width="8.84375" style="211"/>
    <col min="10237" max="10237" width="38.4609375" style="211" customWidth="1"/>
    <col min="10238" max="10238" width="8.53515625" style="211" customWidth="1"/>
    <col min="10239" max="10239" width="1.07421875" style="211" customWidth="1"/>
    <col min="10240" max="10240" width="8.84375" style="211" customWidth="1"/>
    <col min="10241" max="10241" width="1.07421875" style="211" customWidth="1"/>
    <col min="10242" max="10242" width="9.07421875" style="211" customWidth="1"/>
    <col min="10243" max="10243" width="1.07421875" style="211" customWidth="1"/>
    <col min="10244" max="10244" width="10" style="211" customWidth="1"/>
    <col min="10245" max="10245" width="1.07421875" style="211" customWidth="1"/>
    <col min="10246" max="10246" width="9.07421875" style="211" customWidth="1"/>
    <col min="10247" max="10247" width="1.07421875" style="211" customWidth="1"/>
    <col min="10248" max="10248" width="11.07421875" style="211" customWidth="1"/>
    <col min="10249" max="10249" width="1.07421875" style="211" customWidth="1"/>
    <col min="10250" max="10250" width="9.07421875" style="211" customWidth="1"/>
    <col min="10251" max="10251" width="1.84375" style="211" customWidth="1"/>
    <col min="10252" max="10252" width="11" style="211" customWidth="1"/>
    <col min="10253" max="10253" width="1.07421875" style="211" customWidth="1"/>
    <col min="10254" max="10254" width="10.84375" style="211" customWidth="1"/>
    <col min="10255" max="10255" width="1.07421875" style="211" customWidth="1"/>
    <col min="10256" max="10256" width="10" style="211" customWidth="1"/>
    <col min="10257" max="10257" width="1.07421875" style="211" customWidth="1"/>
    <col min="10258" max="10258" width="9.07421875" style="211" customWidth="1"/>
    <col min="10259" max="10259" width="1.07421875" style="211" customWidth="1"/>
    <col min="10260" max="10260" width="7.84375" style="211" customWidth="1"/>
    <col min="10261" max="10261" width="1.07421875" style="211" customWidth="1"/>
    <col min="10262" max="10262" width="0.84375" style="211" customWidth="1"/>
    <col min="10263" max="10263" width="9.07421875" style="211" customWidth="1"/>
    <col min="10264" max="10264" width="1.07421875" style="211" customWidth="1"/>
    <col min="10265" max="10265" width="0.84375" style="211" customWidth="1"/>
    <col min="10266" max="10266" width="9.53515625" style="211" bestFit="1" customWidth="1"/>
    <col min="10267" max="10268" width="0.84375" style="211" customWidth="1"/>
    <col min="10269" max="10269" width="9.84375" style="211" customWidth="1"/>
    <col min="10270" max="10270" width="1.07421875" style="211" customWidth="1"/>
    <col min="10271" max="10271" width="8.53515625" style="211" customWidth="1"/>
    <col min="10272" max="10272" width="14.53515625" style="211" customWidth="1"/>
    <col min="10273" max="10273" width="10" style="211" customWidth="1"/>
    <col min="10274" max="10274" width="7.84375" style="211" bestFit="1" customWidth="1"/>
    <col min="10275" max="10275" width="9.84375" style="211" customWidth="1"/>
    <col min="10276" max="10492" width="8.84375" style="211"/>
    <col min="10493" max="10493" width="38.4609375" style="211" customWidth="1"/>
    <col min="10494" max="10494" width="8.53515625" style="211" customWidth="1"/>
    <col min="10495" max="10495" width="1.07421875" style="211" customWidth="1"/>
    <col min="10496" max="10496" width="8.84375" style="211" customWidth="1"/>
    <col min="10497" max="10497" width="1.07421875" style="211" customWidth="1"/>
    <col min="10498" max="10498" width="9.07421875" style="211" customWidth="1"/>
    <col min="10499" max="10499" width="1.07421875" style="211" customWidth="1"/>
    <col min="10500" max="10500" width="10" style="211" customWidth="1"/>
    <col min="10501" max="10501" width="1.07421875" style="211" customWidth="1"/>
    <col min="10502" max="10502" width="9.07421875" style="211" customWidth="1"/>
    <col min="10503" max="10503" width="1.07421875" style="211" customWidth="1"/>
    <col min="10504" max="10504" width="11.07421875" style="211" customWidth="1"/>
    <col min="10505" max="10505" width="1.07421875" style="211" customWidth="1"/>
    <col min="10506" max="10506" width="9.07421875" style="211" customWidth="1"/>
    <col min="10507" max="10507" width="1.84375" style="211" customWidth="1"/>
    <col min="10508" max="10508" width="11" style="211" customWidth="1"/>
    <col min="10509" max="10509" width="1.07421875" style="211" customWidth="1"/>
    <col min="10510" max="10510" width="10.84375" style="211" customWidth="1"/>
    <col min="10511" max="10511" width="1.07421875" style="211" customWidth="1"/>
    <col min="10512" max="10512" width="10" style="211" customWidth="1"/>
    <col min="10513" max="10513" width="1.07421875" style="211" customWidth="1"/>
    <col min="10514" max="10514" width="9.07421875" style="211" customWidth="1"/>
    <col min="10515" max="10515" width="1.07421875" style="211" customWidth="1"/>
    <col min="10516" max="10516" width="7.84375" style="211" customWidth="1"/>
    <col min="10517" max="10517" width="1.07421875" style="211" customWidth="1"/>
    <col min="10518" max="10518" width="0.84375" style="211" customWidth="1"/>
    <col min="10519" max="10519" width="9.07421875" style="211" customWidth="1"/>
    <col min="10520" max="10520" width="1.07421875" style="211" customWidth="1"/>
    <col min="10521" max="10521" width="0.84375" style="211" customWidth="1"/>
    <col min="10522" max="10522" width="9.53515625" style="211" bestFit="1" customWidth="1"/>
    <col min="10523" max="10524" width="0.84375" style="211" customWidth="1"/>
    <col min="10525" max="10525" width="9.84375" style="211" customWidth="1"/>
    <col min="10526" max="10526" width="1.07421875" style="211" customWidth="1"/>
    <col min="10527" max="10527" width="8.53515625" style="211" customWidth="1"/>
    <col min="10528" max="10528" width="14.53515625" style="211" customWidth="1"/>
    <col min="10529" max="10529" width="10" style="211" customWidth="1"/>
    <col min="10530" max="10530" width="7.84375" style="211" bestFit="1" customWidth="1"/>
    <col min="10531" max="10531" width="9.84375" style="211" customWidth="1"/>
    <col min="10532" max="10748" width="8.84375" style="211"/>
    <col min="10749" max="10749" width="38.4609375" style="211" customWidth="1"/>
    <col min="10750" max="10750" width="8.53515625" style="211" customWidth="1"/>
    <col min="10751" max="10751" width="1.07421875" style="211" customWidth="1"/>
    <col min="10752" max="10752" width="8.84375" style="211" customWidth="1"/>
    <col min="10753" max="10753" width="1.07421875" style="211" customWidth="1"/>
    <col min="10754" max="10754" width="9.07421875" style="211" customWidth="1"/>
    <col min="10755" max="10755" width="1.07421875" style="211" customWidth="1"/>
    <col min="10756" max="10756" width="10" style="211" customWidth="1"/>
    <col min="10757" max="10757" width="1.07421875" style="211" customWidth="1"/>
    <col min="10758" max="10758" width="9.07421875" style="211" customWidth="1"/>
    <col min="10759" max="10759" width="1.07421875" style="211" customWidth="1"/>
    <col min="10760" max="10760" width="11.07421875" style="211" customWidth="1"/>
    <col min="10761" max="10761" width="1.07421875" style="211" customWidth="1"/>
    <col min="10762" max="10762" width="9.07421875" style="211" customWidth="1"/>
    <col min="10763" max="10763" width="1.84375" style="211" customWidth="1"/>
    <col min="10764" max="10764" width="11" style="211" customWidth="1"/>
    <col min="10765" max="10765" width="1.07421875" style="211" customWidth="1"/>
    <col min="10766" max="10766" width="10.84375" style="211" customWidth="1"/>
    <col min="10767" max="10767" width="1.07421875" style="211" customWidth="1"/>
    <col min="10768" max="10768" width="10" style="211" customWidth="1"/>
    <col min="10769" max="10769" width="1.07421875" style="211" customWidth="1"/>
    <col min="10770" max="10770" width="9.07421875" style="211" customWidth="1"/>
    <col min="10771" max="10771" width="1.07421875" style="211" customWidth="1"/>
    <col min="10772" max="10772" width="7.84375" style="211" customWidth="1"/>
    <col min="10773" max="10773" width="1.07421875" style="211" customWidth="1"/>
    <col min="10774" max="10774" width="0.84375" style="211" customWidth="1"/>
    <col min="10775" max="10775" width="9.07421875" style="211" customWidth="1"/>
    <col min="10776" max="10776" width="1.07421875" style="211" customWidth="1"/>
    <col min="10777" max="10777" width="0.84375" style="211" customWidth="1"/>
    <col min="10778" max="10778" width="9.53515625" style="211" bestFit="1" customWidth="1"/>
    <col min="10779" max="10780" width="0.84375" style="211" customWidth="1"/>
    <col min="10781" max="10781" width="9.84375" style="211" customWidth="1"/>
    <col min="10782" max="10782" width="1.07421875" style="211" customWidth="1"/>
    <col min="10783" max="10783" width="8.53515625" style="211" customWidth="1"/>
    <col min="10784" max="10784" width="14.53515625" style="211" customWidth="1"/>
    <col min="10785" max="10785" width="10" style="211" customWidth="1"/>
    <col min="10786" max="10786" width="7.84375" style="211" bestFit="1" customWidth="1"/>
    <col min="10787" max="10787" width="9.84375" style="211" customWidth="1"/>
    <col min="10788" max="11004" width="8.84375" style="211"/>
    <col min="11005" max="11005" width="38.4609375" style="211" customWidth="1"/>
    <col min="11006" max="11006" width="8.53515625" style="211" customWidth="1"/>
    <col min="11007" max="11007" width="1.07421875" style="211" customWidth="1"/>
    <col min="11008" max="11008" width="8.84375" style="211" customWidth="1"/>
    <col min="11009" max="11009" width="1.07421875" style="211" customWidth="1"/>
    <col min="11010" max="11010" width="9.07421875" style="211" customWidth="1"/>
    <col min="11011" max="11011" width="1.07421875" style="211" customWidth="1"/>
    <col min="11012" max="11012" width="10" style="211" customWidth="1"/>
    <col min="11013" max="11013" width="1.07421875" style="211" customWidth="1"/>
    <col min="11014" max="11014" width="9.07421875" style="211" customWidth="1"/>
    <col min="11015" max="11015" width="1.07421875" style="211" customWidth="1"/>
    <col min="11016" max="11016" width="11.07421875" style="211" customWidth="1"/>
    <col min="11017" max="11017" width="1.07421875" style="211" customWidth="1"/>
    <col min="11018" max="11018" width="9.07421875" style="211" customWidth="1"/>
    <col min="11019" max="11019" width="1.84375" style="211" customWidth="1"/>
    <col min="11020" max="11020" width="11" style="211" customWidth="1"/>
    <col min="11021" max="11021" width="1.07421875" style="211" customWidth="1"/>
    <col min="11022" max="11022" width="10.84375" style="211" customWidth="1"/>
    <col min="11023" max="11023" width="1.07421875" style="211" customWidth="1"/>
    <col min="11024" max="11024" width="10" style="211" customWidth="1"/>
    <col min="11025" max="11025" width="1.07421875" style="211" customWidth="1"/>
    <col min="11026" max="11026" width="9.07421875" style="211" customWidth="1"/>
    <col min="11027" max="11027" width="1.07421875" style="211" customWidth="1"/>
    <col min="11028" max="11028" width="7.84375" style="211" customWidth="1"/>
    <col min="11029" max="11029" width="1.07421875" style="211" customWidth="1"/>
    <col min="11030" max="11030" width="0.84375" style="211" customWidth="1"/>
    <col min="11031" max="11031" width="9.07421875" style="211" customWidth="1"/>
    <col min="11032" max="11032" width="1.07421875" style="211" customWidth="1"/>
    <col min="11033" max="11033" width="0.84375" style="211" customWidth="1"/>
    <col min="11034" max="11034" width="9.53515625" style="211" bestFit="1" customWidth="1"/>
    <col min="11035" max="11036" width="0.84375" style="211" customWidth="1"/>
    <col min="11037" max="11037" width="9.84375" style="211" customWidth="1"/>
    <col min="11038" max="11038" width="1.07421875" style="211" customWidth="1"/>
    <col min="11039" max="11039" width="8.53515625" style="211" customWidth="1"/>
    <col min="11040" max="11040" width="14.53515625" style="211" customWidth="1"/>
    <col min="11041" max="11041" width="10" style="211" customWidth="1"/>
    <col min="11042" max="11042" width="7.84375" style="211" bestFit="1" customWidth="1"/>
    <col min="11043" max="11043" width="9.84375" style="211" customWidth="1"/>
    <col min="11044" max="11260" width="8.84375" style="211"/>
    <col min="11261" max="11261" width="38.4609375" style="211" customWidth="1"/>
    <col min="11262" max="11262" width="8.53515625" style="211" customWidth="1"/>
    <col min="11263" max="11263" width="1.07421875" style="211" customWidth="1"/>
    <col min="11264" max="11264" width="8.84375" style="211" customWidth="1"/>
    <col min="11265" max="11265" width="1.07421875" style="211" customWidth="1"/>
    <col min="11266" max="11266" width="9.07421875" style="211" customWidth="1"/>
    <col min="11267" max="11267" width="1.07421875" style="211" customWidth="1"/>
    <col min="11268" max="11268" width="10" style="211" customWidth="1"/>
    <col min="11269" max="11269" width="1.07421875" style="211" customWidth="1"/>
    <col min="11270" max="11270" width="9.07421875" style="211" customWidth="1"/>
    <col min="11271" max="11271" width="1.07421875" style="211" customWidth="1"/>
    <col min="11272" max="11272" width="11.07421875" style="211" customWidth="1"/>
    <col min="11273" max="11273" width="1.07421875" style="211" customWidth="1"/>
    <col min="11274" max="11274" width="9.07421875" style="211" customWidth="1"/>
    <col min="11275" max="11275" width="1.84375" style="211" customWidth="1"/>
    <col min="11276" max="11276" width="11" style="211" customWidth="1"/>
    <col min="11277" max="11277" width="1.07421875" style="211" customWidth="1"/>
    <col min="11278" max="11278" width="10.84375" style="211" customWidth="1"/>
    <col min="11279" max="11279" width="1.07421875" style="211" customWidth="1"/>
    <col min="11280" max="11280" width="10" style="211" customWidth="1"/>
    <col min="11281" max="11281" width="1.07421875" style="211" customWidth="1"/>
    <col min="11282" max="11282" width="9.07421875" style="211" customWidth="1"/>
    <col min="11283" max="11283" width="1.07421875" style="211" customWidth="1"/>
    <col min="11284" max="11284" width="7.84375" style="211" customWidth="1"/>
    <col min="11285" max="11285" width="1.07421875" style="211" customWidth="1"/>
    <col min="11286" max="11286" width="0.84375" style="211" customWidth="1"/>
    <col min="11287" max="11287" width="9.07421875" style="211" customWidth="1"/>
    <col min="11288" max="11288" width="1.07421875" style="211" customWidth="1"/>
    <col min="11289" max="11289" width="0.84375" style="211" customWidth="1"/>
    <col min="11290" max="11290" width="9.53515625" style="211" bestFit="1" customWidth="1"/>
    <col min="11291" max="11292" width="0.84375" style="211" customWidth="1"/>
    <col min="11293" max="11293" width="9.84375" style="211" customWidth="1"/>
    <col min="11294" max="11294" width="1.07421875" style="211" customWidth="1"/>
    <col min="11295" max="11295" width="8.53515625" style="211" customWidth="1"/>
    <col min="11296" max="11296" width="14.53515625" style="211" customWidth="1"/>
    <col min="11297" max="11297" width="10" style="211" customWidth="1"/>
    <col min="11298" max="11298" width="7.84375" style="211" bestFit="1" customWidth="1"/>
    <col min="11299" max="11299" width="9.84375" style="211" customWidth="1"/>
    <col min="11300" max="11516" width="8.84375" style="211"/>
    <col min="11517" max="11517" width="38.4609375" style="211" customWidth="1"/>
    <col min="11518" max="11518" width="8.53515625" style="211" customWidth="1"/>
    <col min="11519" max="11519" width="1.07421875" style="211" customWidth="1"/>
    <col min="11520" max="11520" width="8.84375" style="211" customWidth="1"/>
    <col min="11521" max="11521" width="1.07421875" style="211" customWidth="1"/>
    <col min="11522" max="11522" width="9.07421875" style="211" customWidth="1"/>
    <col min="11523" max="11523" width="1.07421875" style="211" customWidth="1"/>
    <col min="11524" max="11524" width="10" style="211" customWidth="1"/>
    <col min="11525" max="11525" width="1.07421875" style="211" customWidth="1"/>
    <col min="11526" max="11526" width="9.07421875" style="211" customWidth="1"/>
    <col min="11527" max="11527" width="1.07421875" style="211" customWidth="1"/>
    <col min="11528" max="11528" width="11.07421875" style="211" customWidth="1"/>
    <col min="11529" max="11529" width="1.07421875" style="211" customWidth="1"/>
    <col min="11530" max="11530" width="9.07421875" style="211" customWidth="1"/>
    <col min="11531" max="11531" width="1.84375" style="211" customWidth="1"/>
    <col min="11532" max="11532" width="11" style="211" customWidth="1"/>
    <col min="11533" max="11533" width="1.07421875" style="211" customWidth="1"/>
    <col min="11534" max="11534" width="10.84375" style="211" customWidth="1"/>
    <col min="11535" max="11535" width="1.07421875" style="211" customWidth="1"/>
    <col min="11536" max="11536" width="10" style="211" customWidth="1"/>
    <col min="11537" max="11537" width="1.07421875" style="211" customWidth="1"/>
    <col min="11538" max="11538" width="9.07421875" style="211" customWidth="1"/>
    <col min="11539" max="11539" width="1.07421875" style="211" customWidth="1"/>
    <col min="11540" max="11540" width="7.84375" style="211" customWidth="1"/>
    <col min="11541" max="11541" width="1.07421875" style="211" customWidth="1"/>
    <col min="11542" max="11542" width="0.84375" style="211" customWidth="1"/>
    <col min="11543" max="11543" width="9.07421875" style="211" customWidth="1"/>
    <col min="11544" max="11544" width="1.07421875" style="211" customWidth="1"/>
    <col min="11545" max="11545" width="0.84375" style="211" customWidth="1"/>
    <col min="11546" max="11546" width="9.53515625" style="211" bestFit="1" customWidth="1"/>
    <col min="11547" max="11548" width="0.84375" style="211" customWidth="1"/>
    <col min="11549" max="11549" width="9.84375" style="211" customWidth="1"/>
    <col min="11550" max="11550" width="1.07421875" style="211" customWidth="1"/>
    <col min="11551" max="11551" width="8.53515625" style="211" customWidth="1"/>
    <col min="11552" max="11552" width="14.53515625" style="211" customWidth="1"/>
    <col min="11553" max="11553" width="10" style="211" customWidth="1"/>
    <col min="11554" max="11554" width="7.84375" style="211" bestFit="1" customWidth="1"/>
    <col min="11555" max="11555" width="9.84375" style="211" customWidth="1"/>
    <col min="11556" max="11772" width="8.84375" style="211"/>
    <col min="11773" max="11773" width="38.4609375" style="211" customWidth="1"/>
    <col min="11774" max="11774" width="8.53515625" style="211" customWidth="1"/>
    <col min="11775" max="11775" width="1.07421875" style="211" customWidth="1"/>
    <col min="11776" max="11776" width="8.84375" style="211" customWidth="1"/>
    <col min="11777" max="11777" width="1.07421875" style="211" customWidth="1"/>
    <col min="11778" max="11778" width="9.07421875" style="211" customWidth="1"/>
    <col min="11779" max="11779" width="1.07421875" style="211" customWidth="1"/>
    <col min="11780" max="11780" width="10" style="211" customWidth="1"/>
    <col min="11781" max="11781" width="1.07421875" style="211" customWidth="1"/>
    <col min="11782" max="11782" width="9.07421875" style="211" customWidth="1"/>
    <col min="11783" max="11783" width="1.07421875" style="211" customWidth="1"/>
    <col min="11784" max="11784" width="11.07421875" style="211" customWidth="1"/>
    <col min="11785" max="11785" width="1.07421875" style="211" customWidth="1"/>
    <col min="11786" max="11786" width="9.07421875" style="211" customWidth="1"/>
    <col min="11787" max="11787" width="1.84375" style="211" customWidth="1"/>
    <col min="11788" max="11788" width="11" style="211" customWidth="1"/>
    <col min="11789" max="11789" width="1.07421875" style="211" customWidth="1"/>
    <col min="11790" max="11790" width="10.84375" style="211" customWidth="1"/>
    <col min="11791" max="11791" width="1.07421875" style="211" customWidth="1"/>
    <col min="11792" max="11792" width="10" style="211" customWidth="1"/>
    <col min="11793" max="11793" width="1.07421875" style="211" customWidth="1"/>
    <col min="11794" max="11794" width="9.07421875" style="211" customWidth="1"/>
    <col min="11795" max="11795" width="1.07421875" style="211" customWidth="1"/>
    <col min="11796" max="11796" width="7.84375" style="211" customWidth="1"/>
    <col min="11797" max="11797" width="1.07421875" style="211" customWidth="1"/>
    <col min="11798" max="11798" width="0.84375" style="211" customWidth="1"/>
    <col min="11799" max="11799" width="9.07421875" style="211" customWidth="1"/>
    <col min="11800" max="11800" width="1.07421875" style="211" customWidth="1"/>
    <col min="11801" max="11801" width="0.84375" style="211" customWidth="1"/>
    <col min="11802" max="11802" width="9.53515625" style="211" bestFit="1" customWidth="1"/>
    <col min="11803" max="11804" width="0.84375" style="211" customWidth="1"/>
    <col min="11805" max="11805" width="9.84375" style="211" customWidth="1"/>
    <col min="11806" max="11806" width="1.07421875" style="211" customWidth="1"/>
    <col min="11807" max="11807" width="8.53515625" style="211" customWidth="1"/>
    <col min="11808" max="11808" width="14.53515625" style="211" customWidth="1"/>
    <col min="11809" max="11809" width="10" style="211" customWidth="1"/>
    <col min="11810" max="11810" width="7.84375" style="211" bestFit="1" customWidth="1"/>
    <col min="11811" max="11811" width="9.84375" style="211" customWidth="1"/>
    <col min="11812" max="12028" width="8.84375" style="211"/>
    <col min="12029" max="12029" width="38.4609375" style="211" customWidth="1"/>
    <col min="12030" max="12030" width="8.53515625" style="211" customWidth="1"/>
    <col min="12031" max="12031" width="1.07421875" style="211" customWidth="1"/>
    <col min="12032" max="12032" width="8.84375" style="211" customWidth="1"/>
    <col min="12033" max="12033" width="1.07421875" style="211" customWidth="1"/>
    <col min="12034" max="12034" width="9.07421875" style="211" customWidth="1"/>
    <col min="12035" max="12035" width="1.07421875" style="211" customWidth="1"/>
    <col min="12036" max="12036" width="10" style="211" customWidth="1"/>
    <col min="12037" max="12037" width="1.07421875" style="211" customWidth="1"/>
    <col min="12038" max="12038" width="9.07421875" style="211" customWidth="1"/>
    <col min="12039" max="12039" width="1.07421875" style="211" customWidth="1"/>
    <col min="12040" max="12040" width="11.07421875" style="211" customWidth="1"/>
    <col min="12041" max="12041" width="1.07421875" style="211" customWidth="1"/>
    <col min="12042" max="12042" width="9.07421875" style="211" customWidth="1"/>
    <col min="12043" max="12043" width="1.84375" style="211" customWidth="1"/>
    <col min="12044" max="12044" width="11" style="211" customWidth="1"/>
    <col min="12045" max="12045" width="1.07421875" style="211" customWidth="1"/>
    <col min="12046" max="12046" width="10.84375" style="211" customWidth="1"/>
    <col min="12047" max="12047" width="1.07421875" style="211" customWidth="1"/>
    <col min="12048" max="12048" width="10" style="211" customWidth="1"/>
    <col min="12049" max="12049" width="1.07421875" style="211" customWidth="1"/>
    <col min="12050" max="12050" width="9.07421875" style="211" customWidth="1"/>
    <col min="12051" max="12051" width="1.07421875" style="211" customWidth="1"/>
    <col min="12052" max="12052" width="7.84375" style="211" customWidth="1"/>
    <col min="12053" max="12053" width="1.07421875" style="211" customWidth="1"/>
    <col min="12054" max="12054" width="0.84375" style="211" customWidth="1"/>
    <col min="12055" max="12055" width="9.07421875" style="211" customWidth="1"/>
    <col min="12056" max="12056" width="1.07421875" style="211" customWidth="1"/>
    <col min="12057" max="12057" width="0.84375" style="211" customWidth="1"/>
    <col min="12058" max="12058" width="9.53515625" style="211" bestFit="1" customWidth="1"/>
    <col min="12059" max="12060" width="0.84375" style="211" customWidth="1"/>
    <col min="12061" max="12061" width="9.84375" style="211" customWidth="1"/>
    <col min="12062" max="12062" width="1.07421875" style="211" customWidth="1"/>
    <col min="12063" max="12063" width="8.53515625" style="211" customWidth="1"/>
    <col min="12064" max="12064" width="14.53515625" style="211" customWidth="1"/>
    <col min="12065" max="12065" width="10" style="211" customWidth="1"/>
    <col min="12066" max="12066" width="7.84375" style="211" bestFit="1" customWidth="1"/>
    <col min="12067" max="12067" width="9.84375" style="211" customWidth="1"/>
    <col min="12068" max="12284" width="8.84375" style="211"/>
    <col min="12285" max="12285" width="38.4609375" style="211" customWidth="1"/>
    <col min="12286" max="12286" width="8.53515625" style="211" customWidth="1"/>
    <col min="12287" max="12287" width="1.07421875" style="211" customWidth="1"/>
    <col min="12288" max="12288" width="8.84375" style="211" customWidth="1"/>
    <col min="12289" max="12289" width="1.07421875" style="211" customWidth="1"/>
    <col min="12290" max="12290" width="9.07421875" style="211" customWidth="1"/>
    <col min="12291" max="12291" width="1.07421875" style="211" customWidth="1"/>
    <col min="12292" max="12292" width="10" style="211" customWidth="1"/>
    <col min="12293" max="12293" width="1.07421875" style="211" customWidth="1"/>
    <col min="12294" max="12294" width="9.07421875" style="211" customWidth="1"/>
    <col min="12295" max="12295" width="1.07421875" style="211" customWidth="1"/>
    <col min="12296" max="12296" width="11.07421875" style="211" customWidth="1"/>
    <col min="12297" max="12297" width="1.07421875" style="211" customWidth="1"/>
    <col min="12298" max="12298" width="9.07421875" style="211" customWidth="1"/>
    <col min="12299" max="12299" width="1.84375" style="211" customWidth="1"/>
    <col min="12300" max="12300" width="11" style="211" customWidth="1"/>
    <col min="12301" max="12301" width="1.07421875" style="211" customWidth="1"/>
    <col min="12302" max="12302" width="10.84375" style="211" customWidth="1"/>
    <col min="12303" max="12303" width="1.07421875" style="211" customWidth="1"/>
    <col min="12304" max="12304" width="10" style="211" customWidth="1"/>
    <col min="12305" max="12305" width="1.07421875" style="211" customWidth="1"/>
    <col min="12306" max="12306" width="9.07421875" style="211" customWidth="1"/>
    <col min="12307" max="12307" width="1.07421875" style="211" customWidth="1"/>
    <col min="12308" max="12308" width="7.84375" style="211" customWidth="1"/>
    <col min="12309" max="12309" width="1.07421875" style="211" customWidth="1"/>
    <col min="12310" max="12310" width="0.84375" style="211" customWidth="1"/>
    <col min="12311" max="12311" width="9.07421875" style="211" customWidth="1"/>
    <col min="12312" max="12312" width="1.07421875" style="211" customWidth="1"/>
    <col min="12313" max="12313" width="0.84375" style="211" customWidth="1"/>
    <col min="12314" max="12314" width="9.53515625" style="211" bestFit="1" customWidth="1"/>
    <col min="12315" max="12316" width="0.84375" style="211" customWidth="1"/>
    <col min="12317" max="12317" width="9.84375" style="211" customWidth="1"/>
    <col min="12318" max="12318" width="1.07421875" style="211" customWidth="1"/>
    <col min="12319" max="12319" width="8.53515625" style="211" customWidth="1"/>
    <col min="12320" max="12320" width="14.53515625" style="211" customWidth="1"/>
    <col min="12321" max="12321" width="10" style="211" customWidth="1"/>
    <col min="12322" max="12322" width="7.84375" style="211" bestFit="1" customWidth="1"/>
    <col min="12323" max="12323" width="9.84375" style="211" customWidth="1"/>
    <col min="12324" max="12540" width="8.84375" style="211"/>
    <col min="12541" max="12541" width="38.4609375" style="211" customWidth="1"/>
    <col min="12542" max="12542" width="8.53515625" style="211" customWidth="1"/>
    <col min="12543" max="12543" width="1.07421875" style="211" customWidth="1"/>
    <col min="12544" max="12544" width="8.84375" style="211" customWidth="1"/>
    <col min="12545" max="12545" width="1.07421875" style="211" customWidth="1"/>
    <col min="12546" max="12546" width="9.07421875" style="211" customWidth="1"/>
    <col min="12547" max="12547" width="1.07421875" style="211" customWidth="1"/>
    <col min="12548" max="12548" width="10" style="211" customWidth="1"/>
    <col min="12549" max="12549" width="1.07421875" style="211" customWidth="1"/>
    <col min="12550" max="12550" width="9.07421875" style="211" customWidth="1"/>
    <col min="12551" max="12551" width="1.07421875" style="211" customWidth="1"/>
    <col min="12552" max="12552" width="11.07421875" style="211" customWidth="1"/>
    <col min="12553" max="12553" width="1.07421875" style="211" customWidth="1"/>
    <col min="12554" max="12554" width="9.07421875" style="211" customWidth="1"/>
    <col min="12555" max="12555" width="1.84375" style="211" customWidth="1"/>
    <col min="12556" max="12556" width="11" style="211" customWidth="1"/>
    <col min="12557" max="12557" width="1.07421875" style="211" customWidth="1"/>
    <col min="12558" max="12558" width="10.84375" style="211" customWidth="1"/>
    <col min="12559" max="12559" width="1.07421875" style="211" customWidth="1"/>
    <col min="12560" max="12560" width="10" style="211" customWidth="1"/>
    <col min="12561" max="12561" width="1.07421875" style="211" customWidth="1"/>
    <col min="12562" max="12562" width="9.07421875" style="211" customWidth="1"/>
    <col min="12563" max="12563" width="1.07421875" style="211" customWidth="1"/>
    <col min="12564" max="12564" width="7.84375" style="211" customWidth="1"/>
    <col min="12565" max="12565" width="1.07421875" style="211" customWidth="1"/>
    <col min="12566" max="12566" width="0.84375" style="211" customWidth="1"/>
    <col min="12567" max="12567" width="9.07421875" style="211" customWidth="1"/>
    <col min="12568" max="12568" width="1.07421875" style="211" customWidth="1"/>
    <col min="12569" max="12569" width="0.84375" style="211" customWidth="1"/>
    <col min="12570" max="12570" width="9.53515625" style="211" bestFit="1" customWidth="1"/>
    <col min="12571" max="12572" width="0.84375" style="211" customWidth="1"/>
    <col min="12573" max="12573" width="9.84375" style="211" customWidth="1"/>
    <col min="12574" max="12574" width="1.07421875" style="211" customWidth="1"/>
    <col min="12575" max="12575" width="8.53515625" style="211" customWidth="1"/>
    <col min="12576" max="12576" width="14.53515625" style="211" customWidth="1"/>
    <col min="12577" max="12577" width="10" style="211" customWidth="1"/>
    <col min="12578" max="12578" width="7.84375" style="211" bestFit="1" customWidth="1"/>
    <col min="12579" max="12579" width="9.84375" style="211" customWidth="1"/>
    <col min="12580" max="12796" width="8.84375" style="211"/>
    <col min="12797" max="12797" width="38.4609375" style="211" customWidth="1"/>
    <col min="12798" max="12798" width="8.53515625" style="211" customWidth="1"/>
    <col min="12799" max="12799" width="1.07421875" style="211" customWidth="1"/>
    <col min="12800" max="12800" width="8.84375" style="211" customWidth="1"/>
    <col min="12801" max="12801" width="1.07421875" style="211" customWidth="1"/>
    <col min="12802" max="12802" width="9.07421875" style="211" customWidth="1"/>
    <col min="12803" max="12803" width="1.07421875" style="211" customWidth="1"/>
    <col min="12804" max="12804" width="10" style="211" customWidth="1"/>
    <col min="12805" max="12805" width="1.07421875" style="211" customWidth="1"/>
    <col min="12806" max="12806" width="9.07421875" style="211" customWidth="1"/>
    <col min="12807" max="12807" width="1.07421875" style="211" customWidth="1"/>
    <col min="12808" max="12808" width="11.07421875" style="211" customWidth="1"/>
    <col min="12809" max="12809" width="1.07421875" style="211" customWidth="1"/>
    <col min="12810" max="12810" width="9.07421875" style="211" customWidth="1"/>
    <col min="12811" max="12811" width="1.84375" style="211" customWidth="1"/>
    <col min="12812" max="12812" width="11" style="211" customWidth="1"/>
    <col min="12813" max="12813" width="1.07421875" style="211" customWidth="1"/>
    <col min="12814" max="12814" width="10.84375" style="211" customWidth="1"/>
    <col min="12815" max="12815" width="1.07421875" style="211" customWidth="1"/>
    <col min="12816" max="12816" width="10" style="211" customWidth="1"/>
    <col min="12817" max="12817" width="1.07421875" style="211" customWidth="1"/>
    <col min="12818" max="12818" width="9.07421875" style="211" customWidth="1"/>
    <col min="12819" max="12819" width="1.07421875" style="211" customWidth="1"/>
    <col min="12820" max="12820" width="7.84375" style="211" customWidth="1"/>
    <col min="12821" max="12821" width="1.07421875" style="211" customWidth="1"/>
    <col min="12822" max="12822" width="0.84375" style="211" customWidth="1"/>
    <col min="12823" max="12823" width="9.07421875" style="211" customWidth="1"/>
    <col min="12824" max="12824" width="1.07421875" style="211" customWidth="1"/>
    <col min="12825" max="12825" width="0.84375" style="211" customWidth="1"/>
    <col min="12826" max="12826" width="9.53515625" style="211" bestFit="1" customWidth="1"/>
    <col min="12827" max="12828" width="0.84375" style="211" customWidth="1"/>
    <col min="12829" max="12829" width="9.84375" style="211" customWidth="1"/>
    <col min="12830" max="12830" width="1.07421875" style="211" customWidth="1"/>
    <col min="12831" max="12831" width="8.53515625" style="211" customWidth="1"/>
    <col min="12832" max="12832" width="14.53515625" style="211" customWidth="1"/>
    <col min="12833" max="12833" width="10" style="211" customWidth="1"/>
    <col min="12834" max="12834" width="7.84375" style="211" bestFit="1" customWidth="1"/>
    <col min="12835" max="12835" width="9.84375" style="211" customWidth="1"/>
    <col min="12836" max="13052" width="8.84375" style="211"/>
    <col min="13053" max="13053" width="38.4609375" style="211" customWidth="1"/>
    <col min="13054" max="13054" width="8.53515625" style="211" customWidth="1"/>
    <col min="13055" max="13055" width="1.07421875" style="211" customWidth="1"/>
    <col min="13056" max="13056" width="8.84375" style="211" customWidth="1"/>
    <col min="13057" max="13057" width="1.07421875" style="211" customWidth="1"/>
    <col min="13058" max="13058" width="9.07421875" style="211" customWidth="1"/>
    <col min="13059" max="13059" width="1.07421875" style="211" customWidth="1"/>
    <col min="13060" max="13060" width="10" style="211" customWidth="1"/>
    <col min="13061" max="13061" width="1.07421875" style="211" customWidth="1"/>
    <col min="13062" max="13062" width="9.07421875" style="211" customWidth="1"/>
    <col min="13063" max="13063" width="1.07421875" style="211" customWidth="1"/>
    <col min="13064" max="13064" width="11.07421875" style="211" customWidth="1"/>
    <col min="13065" max="13065" width="1.07421875" style="211" customWidth="1"/>
    <col min="13066" max="13066" width="9.07421875" style="211" customWidth="1"/>
    <col min="13067" max="13067" width="1.84375" style="211" customWidth="1"/>
    <col min="13068" max="13068" width="11" style="211" customWidth="1"/>
    <col min="13069" max="13069" width="1.07421875" style="211" customWidth="1"/>
    <col min="13070" max="13070" width="10.84375" style="211" customWidth="1"/>
    <col min="13071" max="13071" width="1.07421875" style="211" customWidth="1"/>
    <col min="13072" max="13072" width="10" style="211" customWidth="1"/>
    <col min="13073" max="13073" width="1.07421875" style="211" customWidth="1"/>
    <col min="13074" max="13074" width="9.07421875" style="211" customWidth="1"/>
    <col min="13075" max="13075" width="1.07421875" style="211" customWidth="1"/>
    <col min="13076" max="13076" width="7.84375" style="211" customWidth="1"/>
    <col min="13077" max="13077" width="1.07421875" style="211" customWidth="1"/>
    <col min="13078" max="13078" width="0.84375" style="211" customWidth="1"/>
    <col min="13079" max="13079" width="9.07421875" style="211" customWidth="1"/>
    <col min="13080" max="13080" width="1.07421875" style="211" customWidth="1"/>
    <col min="13081" max="13081" width="0.84375" style="211" customWidth="1"/>
    <col min="13082" max="13082" width="9.53515625" style="211" bestFit="1" customWidth="1"/>
    <col min="13083" max="13084" width="0.84375" style="211" customWidth="1"/>
    <col min="13085" max="13085" width="9.84375" style="211" customWidth="1"/>
    <col min="13086" max="13086" width="1.07421875" style="211" customWidth="1"/>
    <col min="13087" max="13087" width="8.53515625" style="211" customWidth="1"/>
    <col min="13088" max="13088" width="14.53515625" style="211" customWidth="1"/>
    <col min="13089" max="13089" width="10" style="211" customWidth="1"/>
    <col min="13090" max="13090" width="7.84375" style="211" bestFit="1" customWidth="1"/>
    <col min="13091" max="13091" width="9.84375" style="211" customWidth="1"/>
    <col min="13092" max="13308" width="8.84375" style="211"/>
    <col min="13309" max="13309" width="38.4609375" style="211" customWidth="1"/>
    <col min="13310" max="13310" width="8.53515625" style="211" customWidth="1"/>
    <col min="13311" max="13311" width="1.07421875" style="211" customWidth="1"/>
    <col min="13312" max="13312" width="8.84375" style="211" customWidth="1"/>
    <col min="13313" max="13313" width="1.07421875" style="211" customWidth="1"/>
    <col min="13314" max="13314" width="9.07421875" style="211" customWidth="1"/>
    <col min="13315" max="13315" width="1.07421875" style="211" customWidth="1"/>
    <col min="13316" max="13316" width="10" style="211" customWidth="1"/>
    <col min="13317" max="13317" width="1.07421875" style="211" customWidth="1"/>
    <col min="13318" max="13318" width="9.07421875" style="211" customWidth="1"/>
    <col min="13319" max="13319" width="1.07421875" style="211" customWidth="1"/>
    <col min="13320" max="13320" width="11.07421875" style="211" customWidth="1"/>
    <col min="13321" max="13321" width="1.07421875" style="211" customWidth="1"/>
    <col min="13322" max="13322" width="9.07421875" style="211" customWidth="1"/>
    <col min="13323" max="13323" width="1.84375" style="211" customWidth="1"/>
    <col min="13324" max="13324" width="11" style="211" customWidth="1"/>
    <col min="13325" max="13325" width="1.07421875" style="211" customWidth="1"/>
    <col min="13326" max="13326" width="10.84375" style="211" customWidth="1"/>
    <col min="13327" max="13327" width="1.07421875" style="211" customWidth="1"/>
    <col min="13328" max="13328" width="10" style="211" customWidth="1"/>
    <col min="13329" max="13329" width="1.07421875" style="211" customWidth="1"/>
    <col min="13330" max="13330" width="9.07421875" style="211" customWidth="1"/>
    <col min="13331" max="13331" width="1.07421875" style="211" customWidth="1"/>
    <col min="13332" max="13332" width="7.84375" style="211" customWidth="1"/>
    <col min="13333" max="13333" width="1.07421875" style="211" customWidth="1"/>
    <col min="13334" max="13334" width="0.84375" style="211" customWidth="1"/>
    <col min="13335" max="13335" width="9.07421875" style="211" customWidth="1"/>
    <col min="13336" max="13336" width="1.07421875" style="211" customWidth="1"/>
    <col min="13337" max="13337" width="0.84375" style="211" customWidth="1"/>
    <col min="13338" max="13338" width="9.53515625" style="211" bestFit="1" customWidth="1"/>
    <col min="13339" max="13340" width="0.84375" style="211" customWidth="1"/>
    <col min="13341" max="13341" width="9.84375" style="211" customWidth="1"/>
    <col min="13342" max="13342" width="1.07421875" style="211" customWidth="1"/>
    <col min="13343" max="13343" width="8.53515625" style="211" customWidth="1"/>
    <col min="13344" max="13344" width="14.53515625" style="211" customWidth="1"/>
    <col min="13345" max="13345" width="10" style="211" customWidth="1"/>
    <col min="13346" max="13346" width="7.84375" style="211" bestFit="1" customWidth="1"/>
    <col min="13347" max="13347" width="9.84375" style="211" customWidth="1"/>
    <col min="13348" max="13564" width="8.84375" style="211"/>
    <col min="13565" max="13565" width="38.4609375" style="211" customWidth="1"/>
    <col min="13566" max="13566" width="8.53515625" style="211" customWidth="1"/>
    <col min="13567" max="13567" width="1.07421875" style="211" customWidth="1"/>
    <col min="13568" max="13568" width="8.84375" style="211" customWidth="1"/>
    <col min="13569" max="13569" width="1.07421875" style="211" customWidth="1"/>
    <col min="13570" max="13570" width="9.07421875" style="211" customWidth="1"/>
    <col min="13571" max="13571" width="1.07421875" style="211" customWidth="1"/>
    <col min="13572" max="13572" width="10" style="211" customWidth="1"/>
    <col min="13573" max="13573" width="1.07421875" style="211" customWidth="1"/>
    <col min="13574" max="13574" width="9.07421875" style="211" customWidth="1"/>
    <col min="13575" max="13575" width="1.07421875" style="211" customWidth="1"/>
    <col min="13576" max="13576" width="11.07421875" style="211" customWidth="1"/>
    <col min="13577" max="13577" width="1.07421875" style="211" customWidth="1"/>
    <col min="13578" max="13578" width="9.07421875" style="211" customWidth="1"/>
    <col min="13579" max="13579" width="1.84375" style="211" customWidth="1"/>
    <col min="13580" max="13580" width="11" style="211" customWidth="1"/>
    <col min="13581" max="13581" width="1.07421875" style="211" customWidth="1"/>
    <col min="13582" max="13582" width="10.84375" style="211" customWidth="1"/>
    <col min="13583" max="13583" width="1.07421875" style="211" customWidth="1"/>
    <col min="13584" max="13584" width="10" style="211" customWidth="1"/>
    <col min="13585" max="13585" width="1.07421875" style="211" customWidth="1"/>
    <col min="13586" max="13586" width="9.07421875" style="211" customWidth="1"/>
    <col min="13587" max="13587" width="1.07421875" style="211" customWidth="1"/>
    <col min="13588" max="13588" width="7.84375" style="211" customWidth="1"/>
    <col min="13589" max="13589" width="1.07421875" style="211" customWidth="1"/>
    <col min="13590" max="13590" width="0.84375" style="211" customWidth="1"/>
    <col min="13591" max="13591" width="9.07421875" style="211" customWidth="1"/>
    <col min="13592" max="13592" width="1.07421875" style="211" customWidth="1"/>
    <col min="13593" max="13593" width="0.84375" style="211" customWidth="1"/>
    <col min="13594" max="13594" width="9.53515625" style="211" bestFit="1" customWidth="1"/>
    <col min="13595" max="13596" width="0.84375" style="211" customWidth="1"/>
    <col min="13597" max="13597" width="9.84375" style="211" customWidth="1"/>
    <col min="13598" max="13598" width="1.07421875" style="211" customWidth="1"/>
    <col min="13599" max="13599" width="8.53515625" style="211" customWidth="1"/>
    <col min="13600" max="13600" width="14.53515625" style="211" customWidth="1"/>
    <col min="13601" max="13601" width="10" style="211" customWidth="1"/>
    <col min="13602" max="13602" width="7.84375" style="211" bestFit="1" customWidth="1"/>
    <col min="13603" max="13603" width="9.84375" style="211" customWidth="1"/>
    <col min="13604" max="13820" width="8.84375" style="211"/>
    <col min="13821" max="13821" width="38.4609375" style="211" customWidth="1"/>
    <col min="13822" max="13822" width="8.53515625" style="211" customWidth="1"/>
    <col min="13823" max="13823" width="1.07421875" style="211" customWidth="1"/>
    <col min="13824" max="13824" width="8.84375" style="211" customWidth="1"/>
    <col min="13825" max="13825" width="1.07421875" style="211" customWidth="1"/>
    <col min="13826" max="13826" width="9.07421875" style="211" customWidth="1"/>
    <col min="13827" max="13827" width="1.07421875" style="211" customWidth="1"/>
    <col min="13828" max="13828" width="10" style="211" customWidth="1"/>
    <col min="13829" max="13829" width="1.07421875" style="211" customWidth="1"/>
    <col min="13830" max="13830" width="9.07421875" style="211" customWidth="1"/>
    <col min="13831" max="13831" width="1.07421875" style="211" customWidth="1"/>
    <col min="13832" max="13832" width="11.07421875" style="211" customWidth="1"/>
    <col min="13833" max="13833" width="1.07421875" style="211" customWidth="1"/>
    <col min="13834" max="13834" width="9.07421875" style="211" customWidth="1"/>
    <col min="13835" max="13835" width="1.84375" style="211" customWidth="1"/>
    <col min="13836" max="13836" width="11" style="211" customWidth="1"/>
    <col min="13837" max="13837" width="1.07421875" style="211" customWidth="1"/>
    <col min="13838" max="13838" width="10.84375" style="211" customWidth="1"/>
    <col min="13839" max="13839" width="1.07421875" style="211" customWidth="1"/>
    <col min="13840" max="13840" width="10" style="211" customWidth="1"/>
    <col min="13841" max="13841" width="1.07421875" style="211" customWidth="1"/>
    <col min="13842" max="13842" width="9.07421875" style="211" customWidth="1"/>
    <col min="13843" max="13843" width="1.07421875" style="211" customWidth="1"/>
    <col min="13844" max="13844" width="7.84375" style="211" customWidth="1"/>
    <col min="13845" max="13845" width="1.07421875" style="211" customWidth="1"/>
    <col min="13846" max="13846" width="0.84375" style="211" customWidth="1"/>
    <col min="13847" max="13847" width="9.07421875" style="211" customWidth="1"/>
    <col min="13848" max="13848" width="1.07421875" style="211" customWidth="1"/>
    <col min="13849" max="13849" width="0.84375" style="211" customWidth="1"/>
    <col min="13850" max="13850" width="9.53515625" style="211" bestFit="1" customWidth="1"/>
    <col min="13851" max="13852" width="0.84375" style="211" customWidth="1"/>
    <col min="13853" max="13853" width="9.84375" style="211" customWidth="1"/>
    <col min="13854" max="13854" width="1.07421875" style="211" customWidth="1"/>
    <col min="13855" max="13855" width="8.53515625" style="211" customWidth="1"/>
    <col min="13856" max="13856" width="14.53515625" style="211" customWidth="1"/>
    <col min="13857" max="13857" width="10" style="211" customWidth="1"/>
    <col min="13858" max="13858" width="7.84375" style="211" bestFit="1" customWidth="1"/>
    <col min="13859" max="13859" width="9.84375" style="211" customWidth="1"/>
    <col min="13860" max="14076" width="8.84375" style="211"/>
    <col min="14077" max="14077" width="38.4609375" style="211" customWidth="1"/>
    <col min="14078" max="14078" width="8.53515625" style="211" customWidth="1"/>
    <col min="14079" max="14079" width="1.07421875" style="211" customWidth="1"/>
    <col min="14080" max="14080" width="8.84375" style="211" customWidth="1"/>
    <col min="14081" max="14081" width="1.07421875" style="211" customWidth="1"/>
    <col min="14082" max="14082" width="9.07421875" style="211" customWidth="1"/>
    <col min="14083" max="14083" width="1.07421875" style="211" customWidth="1"/>
    <col min="14084" max="14084" width="10" style="211" customWidth="1"/>
    <col min="14085" max="14085" width="1.07421875" style="211" customWidth="1"/>
    <col min="14086" max="14086" width="9.07421875" style="211" customWidth="1"/>
    <col min="14087" max="14087" width="1.07421875" style="211" customWidth="1"/>
    <col min="14088" max="14088" width="11.07421875" style="211" customWidth="1"/>
    <col min="14089" max="14089" width="1.07421875" style="211" customWidth="1"/>
    <col min="14090" max="14090" width="9.07421875" style="211" customWidth="1"/>
    <col min="14091" max="14091" width="1.84375" style="211" customWidth="1"/>
    <col min="14092" max="14092" width="11" style="211" customWidth="1"/>
    <col min="14093" max="14093" width="1.07421875" style="211" customWidth="1"/>
    <col min="14094" max="14094" width="10.84375" style="211" customWidth="1"/>
    <col min="14095" max="14095" width="1.07421875" style="211" customWidth="1"/>
    <col min="14096" max="14096" width="10" style="211" customWidth="1"/>
    <col min="14097" max="14097" width="1.07421875" style="211" customWidth="1"/>
    <col min="14098" max="14098" width="9.07421875" style="211" customWidth="1"/>
    <col min="14099" max="14099" width="1.07421875" style="211" customWidth="1"/>
    <col min="14100" max="14100" width="7.84375" style="211" customWidth="1"/>
    <col min="14101" max="14101" width="1.07421875" style="211" customWidth="1"/>
    <col min="14102" max="14102" width="0.84375" style="211" customWidth="1"/>
    <col min="14103" max="14103" width="9.07421875" style="211" customWidth="1"/>
    <col min="14104" max="14104" width="1.07421875" style="211" customWidth="1"/>
    <col min="14105" max="14105" width="0.84375" style="211" customWidth="1"/>
    <col min="14106" max="14106" width="9.53515625" style="211" bestFit="1" customWidth="1"/>
    <col min="14107" max="14108" width="0.84375" style="211" customWidth="1"/>
    <col min="14109" max="14109" width="9.84375" style="211" customWidth="1"/>
    <col min="14110" max="14110" width="1.07421875" style="211" customWidth="1"/>
    <col min="14111" max="14111" width="8.53515625" style="211" customWidth="1"/>
    <col min="14112" max="14112" width="14.53515625" style="211" customWidth="1"/>
    <col min="14113" max="14113" width="10" style="211" customWidth="1"/>
    <col min="14114" max="14114" width="7.84375" style="211" bestFit="1" customWidth="1"/>
    <col min="14115" max="14115" width="9.84375" style="211" customWidth="1"/>
    <col min="14116" max="14332" width="8.84375" style="211"/>
    <col min="14333" max="14333" width="38.4609375" style="211" customWidth="1"/>
    <col min="14334" max="14334" width="8.53515625" style="211" customWidth="1"/>
    <col min="14335" max="14335" width="1.07421875" style="211" customWidth="1"/>
    <col min="14336" max="14336" width="8.84375" style="211" customWidth="1"/>
    <col min="14337" max="14337" width="1.07421875" style="211" customWidth="1"/>
    <col min="14338" max="14338" width="9.07421875" style="211" customWidth="1"/>
    <col min="14339" max="14339" width="1.07421875" style="211" customWidth="1"/>
    <col min="14340" max="14340" width="10" style="211" customWidth="1"/>
    <col min="14341" max="14341" width="1.07421875" style="211" customWidth="1"/>
    <col min="14342" max="14342" width="9.07421875" style="211" customWidth="1"/>
    <col min="14343" max="14343" width="1.07421875" style="211" customWidth="1"/>
    <col min="14344" max="14344" width="11.07421875" style="211" customWidth="1"/>
    <col min="14345" max="14345" width="1.07421875" style="211" customWidth="1"/>
    <col min="14346" max="14346" width="9.07421875" style="211" customWidth="1"/>
    <col min="14347" max="14347" width="1.84375" style="211" customWidth="1"/>
    <col min="14348" max="14348" width="11" style="211" customWidth="1"/>
    <col min="14349" max="14349" width="1.07421875" style="211" customWidth="1"/>
    <col min="14350" max="14350" width="10.84375" style="211" customWidth="1"/>
    <col min="14351" max="14351" width="1.07421875" style="211" customWidth="1"/>
    <col min="14352" max="14352" width="10" style="211" customWidth="1"/>
    <col min="14353" max="14353" width="1.07421875" style="211" customWidth="1"/>
    <col min="14354" max="14354" width="9.07421875" style="211" customWidth="1"/>
    <col min="14355" max="14355" width="1.07421875" style="211" customWidth="1"/>
    <col min="14356" max="14356" width="7.84375" style="211" customWidth="1"/>
    <col min="14357" max="14357" width="1.07421875" style="211" customWidth="1"/>
    <col min="14358" max="14358" width="0.84375" style="211" customWidth="1"/>
    <col min="14359" max="14359" width="9.07421875" style="211" customWidth="1"/>
    <col min="14360" max="14360" width="1.07421875" style="211" customWidth="1"/>
    <col min="14361" max="14361" width="0.84375" style="211" customWidth="1"/>
    <col min="14362" max="14362" width="9.53515625" style="211" bestFit="1" customWidth="1"/>
    <col min="14363" max="14364" width="0.84375" style="211" customWidth="1"/>
    <col min="14365" max="14365" width="9.84375" style="211" customWidth="1"/>
    <col min="14366" max="14366" width="1.07421875" style="211" customWidth="1"/>
    <col min="14367" max="14367" width="8.53515625" style="211" customWidth="1"/>
    <col min="14368" max="14368" width="14.53515625" style="211" customWidth="1"/>
    <col min="14369" max="14369" width="10" style="211" customWidth="1"/>
    <col min="14370" max="14370" width="7.84375" style="211" bestFit="1" customWidth="1"/>
    <col min="14371" max="14371" width="9.84375" style="211" customWidth="1"/>
    <col min="14372" max="14588" width="8.84375" style="211"/>
    <col min="14589" max="14589" width="38.4609375" style="211" customWidth="1"/>
    <col min="14590" max="14590" width="8.53515625" style="211" customWidth="1"/>
    <col min="14591" max="14591" width="1.07421875" style="211" customWidth="1"/>
    <col min="14592" max="14592" width="8.84375" style="211" customWidth="1"/>
    <col min="14593" max="14593" width="1.07421875" style="211" customWidth="1"/>
    <col min="14594" max="14594" width="9.07421875" style="211" customWidth="1"/>
    <col min="14595" max="14595" width="1.07421875" style="211" customWidth="1"/>
    <col min="14596" max="14596" width="10" style="211" customWidth="1"/>
    <col min="14597" max="14597" width="1.07421875" style="211" customWidth="1"/>
    <col min="14598" max="14598" width="9.07421875" style="211" customWidth="1"/>
    <col min="14599" max="14599" width="1.07421875" style="211" customWidth="1"/>
    <col min="14600" max="14600" width="11.07421875" style="211" customWidth="1"/>
    <col min="14601" max="14601" width="1.07421875" style="211" customWidth="1"/>
    <col min="14602" max="14602" width="9.07421875" style="211" customWidth="1"/>
    <col min="14603" max="14603" width="1.84375" style="211" customWidth="1"/>
    <col min="14604" max="14604" width="11" style="211" customWidth="1"/>
    <col min="14605" max="14605" width="1.07421875" style="211" customWidth="1"/>
    <col min="14606" max="14606" width="10.84375" style="211" customWidth="1"/>
    <col min="14607" max="14607" width="1.07421875" style="211" customWidth="1"/>
    <col min="14608" max="14608" width="10" style="211" customWidth="1"/>
    <col min="14609" max="14609" width="1.07421875" style="211" customWidth="1"/>
    <col min="14610" max="14610" width="9.07421875" style="211" customWidth="1"/>
    <col min="14611" max="14611" width="1.07421875" style="211" customWidth="1"/>
    <col min="14612" max="14612" width="7.84375" style="211" customWidth="1"/>
    <col min="14613" max="14613" width="1.07421875" style="211" customWidth="1"/>
    <col min="14614" max="14614" width="0.84375" style="211" customWidth="1"/>
    <col min="14615" max="14615" width="9.07421875" style="211" customWidth="1"/>
    <col min="14616" max="14616" width="1.07421875" style="211" customWidth="1"/>
    <col min="14617" max="14617" width="0.84375" style="211" customWidth="1"/>
    <col min="14618" max="14618" width="9.53515625" style="211" bestFit="1" customWidth="1"/>
    <col min="14619" max="14620" width="0.84375" style="211" customWidth="1"/>
    <col min="14621" max="14621" width="9.84375" style="211" customWidth="1"/>
    <col min="14622" max="14622" width="1.07421875" style="211" customWidth="1"/>
    <col min="14623" max="14623" width="8.53515625" style="211" customWidth="1"/>
    <col min="14624" max="14624" width="14.53515625" style="211" customWidth="1"/>
    <col min="14625" max="14625" width="10" style="211" customWidth="1"/>
    <col min="14626" max="14626" width="7.84375" style="211" bestFit="1" customWidth="1"/>
    <col min="14627" max="14627" width="9.84375" style="211" customWidth="1"/>
    <col min="14628" max="14844" width="8.84375" style="211"/>
    <col min="14845" max="14845" width="38.4609375" style="211" customWidth="1"/>
    <col min="14846" max="14846" width="8.53515625" style="211" customWidth="1"/>
    <col min="14847" max="14847" width="1.07421875" style="211" customWidth="1"/>
    <col min="14848" max="14848" width="8.84375" style="211" customWidth="1"/>
    <col min="14849" max="14849" width="1.07421875" style="211" customWidth="1"/>
    <col min="14850" max="14850" width="9.07421875" style="211" customWidth="1"/>
    <col min="14851" max="14851" width="1.07421875" style="211" customWidth="1"/>
    <col min="14852" max="14852" width="10" style="211" customWidth="1"/>
    <col min="14853" max="14853" width="1.07421875" style="211" customWidth="1"/>
    <col min="14854" max="14854" width="9.07421875" style="211" customWidth="1"/>
    <col min="14855" max="14855" width="1.07421875" style="211" customWidth="1"/>
    <col min="14856" max="14856" width="11.07421875" style="211" customWidth="1"/>
    <col min="14857" max="14857" width="1.07421875" style="211" customWidth="1"/>
    <col min="14858" max="14858" width="9.07421875" style="211" customWidth="1"/>
    <col min="14859" max="14859" width="1.84375" style="211" customWidth="1"/>
    <col min="14860" max="14860" width="11" style="211" customWidth="1"/>
    <col min="14861" max="14861" width="1.07421875" style="211" customWidth="1"/>
    <col min="14862" max="14862" width="10.84375" style="211" customWidth="1"/>
    <col min="14863" max="14863" width="1.07421875" style="211" customWidth="1"/>
    <col min="14864" max="14864" width="10" style="211" customWidth="1"/>
    <col min="14865" max="14865" width="1.07421875" style="211" customWidth="1"/>
    <col min="14866" max="14866" width="9.07421875" style="211" customWidth="1"/>
    <col min="14867" max="14867" width="1.07421875" style="211" customWidth="1"/>
    <col min="14868" max="14868" width="7.84375" style="211" customWidth="1"/>
    <col min="14869" max="14869" width="1.07421875" style="211" customWidth="1"/>
    <col min="14870" max="14870" width="0.84375" style="211" customWidth="1"/>
    <col min="14871" max="14871" width="9.07421875" style="211" customWidth="1"/>
    <col min="14872" max="14872" width="1.07421875" style="211" customWidth="1"/>
    <col min="14873" max="14873" width="0.84375" style="211" customWidth="1"/>
    <col min="14874" max="14874" width="9.53515625" style="211" bestFit="1" customWidth="1"/>
    <col min="14875" max="14876" width="0.84375" style="211" customWidth="1"/>
    <col min="14877" max="14877" width="9.84375" style="211" customWidth="1"/>
    <col min="14878" max="14878" width="1.07421875" style="211" customWidth="1"/>
    <col min="14879" max="14879" width="8.53515625" style="211" customWidth="1"/>
    <col min="14880" max="14880" width="14.53515625" style="211" customWidth="1"/>
    <col min="14881" max="14881" width="10" style="211" customWidth="1"/>
    <col min="14882" max="14882" width="7.84375" style="211" bestFit="1" customWidth="1"/>
    <col min="14883" max="14883" width="9.84375" style="211" customWidth="1"/>
    <col min="14884" max="15100" width="8.84375" style="211"/>
    <col min="15101" max="15101" width="38.4609375" style="211" customWidth="1"/>
    <col min="15102" max="15102" width="8.53515625" style="211" customWidth="1"/>
    <col min="15103" max="15103" width="1.07421875" style="211" customWidth="1"/>
    <col min="15104" max="15104" width="8.84375" style="211" customWidth="1"/>
    <col min="15105" max="15105" width="1.07421875" style="211" customWidth="1"/>
    <col min="15106" max="15106" width="9.07421875" style="211" customWidth="1"/>
    <col min="15107" max="15107" width="1.07421875" style="211" customWidth="1"/>
    <col min="15108" max="15108" width="10" style="211" customWidth="1"/>
    <col min="15109" max="15109" width="1.07421875" style="211" customWidth="1"/>
    <col min="15110" max="15110" width="9.07421875" style="211" customWidth="1"/>
    <col min="15111" max="15111" width="1.07421875" style="211" customWidth="1"/>
    <col min="15112" max="15112" width="11.07421875" style="211" customWidth="1"/>
    <col min="15113" max="15113" width="1.07421875" style="211" customWidth="1"/>
    <col min="15114" max="15114" width="9.07421875" style="211" customWidth="1"/>
    <col min="15115" max="15115" width="1.84375" style="211" customWidth="1"/>
    <col min="15116" max="15116" width="11" style="211" customWidth="1"/>
    <col min="15117" max="15117" width="1.07421875" style="211" customWidth="1"/>
    <col min="15118" max="15118" width="10.84375" style="211" customWidth="1"/>
    <col min="15119" max="15119" width="1.07421875" style="211" customWidth="1"/>
    <col min="15120" max="15120" width="10" style="211" customWidth="1"/>
    <col min="15121" max="15121" width="1.07421875" style="211" customWidth="1"/>
    <col min="15122" max="15122" width="9.07421875" style="211" customWidth="1"/>
    <col min="15123" max="15123" width="1.07421875" style="211" customWidth="1"/>
    <col min="15124" max="15124" width="7.84375" style="211" customWidth="1"/>
    <col min="15125" max="15125" width="1.07421875" style="211" customWidth="1"/>
    <col min="15126" max="15126" width="0.84375" style="211" customWidth="1"/>
    <col min="15127" max="15127" width="9.07421875" style="211" customWidth="1"/>
    <col min="15128" max="15128" width="1.07421875" style="211" customWidth="1"/>
    <col min="15129" max="15129" width="0.84375" style="211" customWidth="1"/>
    <col min="15130" max="15130" width="9.53515625" style="211" bestFit="1" customWidth="1"/>
    <col min="15131" max="15132" width="0.84375" style="211" customWidth="1"/>
    <col min="15133" max="15133" width="9.84375" style="211" customWidth="1"/>
    <col min="15134" max="15134" width="1.07421875" style="211" customWidth="1"/>
    <col min="15135" max="15135" width="8.53515625" style="211" customWidth="1"/>
    <col min="15136" max="15136" width="14.53515625" style="211" customWidth="1"/>
    <col min="15137" max="15137" width="10" style="211" customWidth="1"/>
    <col min="15138" max="15138" width="7.84375" style="211" bestFit="1" customWidth="1"/>
    <col min="15139" max="15139" width="9.84375" style="211" customWidth="1"/>
    <col min="15140" max="15356" width="8.84375" style="211"/>
    <col min="15357" max="15357" width="38.4609375" style="211" customWidth="1"/>
    <col min="15358" max="15358" width="8.53515625" style="211" customWidth="1"/>
    <col min="15359" max="15359" width="1.07421875" style="211" customWidth="1"/>
    <col min="15360" max="15360" width="8.84375" style="211" customWidth="1"/>
    <col min="15361" max="15361" width="1.07421875" style="211" customWidth="1"/>
    <col min="15362" max="15362" width="9.07421875" style="211" customWidth="1"/>
    <col min="15363" max="15363" width="1.07421875" style="211" customWidth="1"/>
    <col min="15364" max="15364" width="10" style="211" customWidth="1"/>
    <col min="15365" max="15365" width="1.07421875" style="211" customWidth="1"/>
    <col min="15366" max="15366" width="9.07421875" style="211" customWidth="1"/>
    <col min="15367" max="15367" width="1.07421875" style="211" customWidth="1"/>
    <col min="15368" max="15368" width="11.07421875" style="211" customWidth="1"/>
    <col min="15369" max="15369" width="1.07421875" style="211" customWidth="1"/>
    <col min="15370" max="15370" width="9.07421875" style="211" customWidth="1"/>
    <col min="15371" max="15371" width="1.84375" style="211" customWidth="1"/>
    <col min="15372" max="15372" width="11" style="211" customWidth="1"/>
    <col min="15373" max="15373" width="1.07421875" style="211" customWidth="1"/>
    <col min="15374" max="15374" width="10.84375" style="211" customWidth="1"/>
    <col min="15375" max="15375" width="1.07421875" style="211" customWidth="1"/>
    <col min="15376" max="15376" width="10" style="211" customWidth="1"/>
    <col min="15377" max="15377" width="1.07421875" style="211" customWidth="1"/>
    <col min="15378" max="15378" width="9.07421875" style="211" customWidth="1"/>
    <col min="15379" max="15379" width="1.07421875" style="211" customWidth="1"/>
    <col min="15380" max="15380" width="7.84375" style="211" customWidth="1"/>
    <col min="15381" max="15381" width="1.07421875" style="211" customWidth="1"/>
    <col min="15382" max="15382" width="0.84375" style="211" customWidth="1"/>
    <col min="15383" max="15383" width="9.07421875" style="211" customWidth="1"/>
    <col min="15384" max="15384" width="1.07421875" style="211" customWidth="1"/>
    <col min="15385" max="15385" width="0.84375" style="211" customWidth="1"/>
    <col min="15386" max="15386" width="9.53515625" style="211" bestFit="1" customWidth="1"/>
    <col min="15387" max="15388" width="0.84375" style="211" customWidth="1"/>
    <col min="15389" max="15389" width="9.84375" style="211" customWidth="1"/>
    <col min="15390" max="15390" width="1.07421875" style="211" customWidth="1"/>
    <col min="15391" max="15391" width="8.53515625" style="211" customWidth="1"/>
    <col min="15392" max="15392" width="14.53515625" style="211" customWidth="1"/>
    <col min="15393" max="15393" width="10" style="211" customWidth="1"/>
    <col min="15394" max="15394" width="7.84375" style="211" bestFit="1" customWidth="1"/>
    <col min="15395" max="15395" width="9.84375" style="211" customWidth="1"/>
    <col min="15396" max="15612" width="8.84375" style="211"/>
    <col min="15613" max="15613" width="38.4609375" style="211" customWidth="1"/>
    <col min="15614" max="15614" width="8.53515625" style="211" customWidth="1"/>
    <col min="15615" max="15615" width="1.07421875" style="211" customWidth="1"/>
    <col min="15616" max="15616" width="8.84375" style="211" customWidth="1"/>
    <col min="15617" max="15617" width="1.07421875" style="211" customWidth="1"/>
    <col min="15618" max="15618" width="9.07421875" style="211" customWidth="1"/>
    <col min="15619" max="15619" width="1.07421875" style="211" customWidth="1"/>
    <col min="15620" max="15620" width="10" style="211" customWidth="1"/>
    <col min="15621" max="15621" width="1.07421875" style="211" customWidth="1"/>
    <col min="15622" max="15622" width="9.07421875" style="211" customWidth="1"/>
    <col min="15623" max="15623" width="1.07421875" style="211" customWidth="1"/>
    <col min="15624" max="15624" width="11.07421875" style="211" customWidth="1"/>
    <col min="15625" max="15625" width="1.07421875" style="211" customWidth="1"/>
    <col min="15626" max="15626" width="9.07421875" style="211" customWidth="1"/>
    <col min="15627" max="15627" width="1.84375" style="211" customWidth="1"/>
    <col min="15628" max="15628" width="11" style="211" customWidth="1"/>
    <col min="15629" max="15629" width="1.07421875" style="211" customWidth="1"/>
    <col min="15630" max="15630" width="10.84375" style="211" customWidth="1"/>
    <col min="15631" max="15631" width="1.07421875" style="211" customWidth="1"/>
    <col min="15632" max="15632" width="10" style="211" customWidth="1"/>
    <col min="15633" max="15633" width="1.07421875" style="211" customWidth="1"/>
    <col min="15634" max="15634" width="9.07421875" style="211" customWidth="1"/>
    <col min="15635" max="15635" width="1.07421875" style="211" customWidth="1"/>
    <col min="15636" max="15636" width="7.84375" style="211" customWidth="1"/>
    <col min="15637" max="15637" width="1.07421875" style="211" customWidth="1"/>
    <col min="15638" max="15638" width="0.84375" style="211" customWidth="1"/>
    <col min="15639" max="15639" width="9.07421875" style="211" customWidth="1"/>
    <col min="15640" max="15640" width="1.07421875" style="211" customWidth="1"/>
    <col min="15641" max="15641" width="0.84375" style="211" customWidth="1"/>
    <col min="15642" max="15642" width="9.53515625" style="211" bestFit="1" customWidth="1"/>
    <col min="15643" max="15644" width="0.84375" style="211" customWidth="1"/>
    <col min="15645" max="15645" width="9.84375" style="211" customWidth="1"/>
    <col min="15646" max="15646" width="1.07421875" style="211" customWidth="1"/>
    <col min="15647" max="15647" width="8.53515625" style="211" customWidth="1"/>
    <col min="15648" max="15648" width="14.53515625" style="211" customWidth="1"/>
    <col min="15649" max="15649" width="10" style="211" customWidth="1"/>
    <col min="15650" max="15650" width="7.84375" style="211" bestFit="1" customWidth="1"/>
    <col min="15651" max="15651" width="9.84375" style="211" customWidth="1"/>
    <col min="15652" max="15868" width="8.84375" style="211"/>
    <col min="15869" max="15869" width="38.4609375" style="211" customWidth="1"/>
    <col min="15870" max="15870" width="8.53515625" style="211" customWidth="1"/>
    <col min="15871" max="15871" width="1.07421875" style="211" customWidth="1"/>
    <col min="15872" max="15872" width="8.84375" style="211" customWidth="1"/>
    <col min="15873" max="15873" width="1.07421875" style="211" customWidth="1"/>
    <col min="15874" max="15874" width="9.07421875" style="211" customWidth="1"/>
    <col min="15875" max="15875" width="1.07421875" style="211" customWidth="1"/>
    <col min="15876" max="15876" width="10" style="211" customWidth="1"/>
    <col min="15877" max="15877" width="1.07421875" style="211" customWidth="1"/>
    <col min="15878" max="15878" width="9.07421875" style="211" customWidth="1"/>
    <col min="15879" max="15879" width="1.07421875" style="211" customWidth="1"/>
    <col min="15880" max="15880" width="11.07421875" style="211" customWidth="1"/>
    <col min="15881" max="15881" width="1.07421875" style="211" customWidth="1"/>
    <col min="15882" max="15882" width="9.07421875" style="211" customWidth="1"/>
    <col min="15883" max="15883" width="1.84375" style="211" customWidth="1"/>
    <col min="15884" max="15884" width="11" style="211" customWidth="1"/>
    <col min="15885" max="15885" width="1.07421875" style="211" customWidth="1"/>
    <col min="15886" max="15886" width="10.84375" style="211" customWidth="1"/>
    <col min="15887" max="15887" width="1.07421875" style="211" customWidth="1"/>
    <col min="15888" max="15888" width="10" style="211" customWidth="1"/>
    <col min="15889" max="15889" width="1.07421875" style="211" customWidth="1"/>
    <col min="15890" max="15890" width="9.07421875" style="211" customWidth="1"/>
    <col min="15891" max="15891" width="1.07421875" style="211" customWidth="1"/>
    <col min="15892" max="15892" width="7.84375" style="211" customWidth="1"/>
    <col min="15893" max="15893" width="1.07421875" style="211" customWidth="1"/>
    <col min="15894" max="15894" width="0.84375" style="211" customWidth="1"/>
    <col min="15895" max="15895" width="9.07421875" style="211" customWidth="1"/>
    <col min="15896" max="15896" width="1.07421875" style="211" customWidth="1"/>
    <col min="15897" max="15897" width="0.84375" style="211" customWidth="1"/>
    <col min="15898" max="15898" width="9.53515625" style="211" bestFit="1" customWidth="1"/>
    <col min="15899" max="15900" width="0.84375" style="211" customWidth="1"/>
    <col min="15901" max="15901" width="9.84375" style="211" customWidth="1"/>
    <col min="15902" max="15902" width="1.07421875" style="211" customWidth="1"/>
    <col min="15903" max="15903" width="8.53515625" style="211" customWidth="1"/>
    <col min="15904" max="15904" width="14.53515625" style="211" customWidth="1"/>
    <col min="15905" max="15905" width="10" style="211" customWidth="1"/>
    <col min="15906" max="15906" width="7.84375" style="211" bestFit="1" customWidth="1"/>
    <col min="15907" max="15907" width="9.84375" style="211" customWidth="1"/>
    <col min="15908" max="16124" width="8.84375" style="211"/>
    <col min="16125" max="16125" width="38.4609375" style="211" customWidth="1"/>
    <col min="16126" max="16126" width="8.53515625" style="211" customWidth="1"/>
    <col min="16127" max="16127" width="1.07421875" style="211" customWidth="1"/>
    <col min="16128" max="16128" width="8.84375" style="211" customWidth="1"/>
    <col min="16129" max="16129" width="1.07421875" style="211" customWidth="1"/>
    <col min="16130" max="16130" width="9.07421875" style="211" customWidth="1"/>
    <col min="16131" max="16131" width="1.07421875" style="211" customWidth="1"/>
    <col min="16132" max="16132" width="10" style="211" customWidth="1"/>
    <col min="16133" max="16133" width="1.07421875" style="211" customWidth="1"/>
    <col min="16134" max="16134" width="9.07421875" style="211" customWidth="1"/>
    <col min="16135" max="16135" width="1.07421875" style="211" customWidth="1"/>
    <col min="16136" max="16136" width="11.07421875" style="211" customWidth="1"/>
    <col min="16137" max="16137" width="1.07421875" style="211" customWidth="1"/>
    <col min="16138" max="16138" width="9.07421875" style="211" customWidth="1"/>
    <col min="16139" max="16139" width="1.84375" style="211" customWidth="1"/>
    <col min="16140" max="16140" width="11" style="211" customWidth="1"/>
    <col min="16141" max="16141" width="1.07421875" style="211" customWidth="1"/>
    <col min="16142" max="16142" width="10.84375" style="211" customWidth="1"/>
    <col min="16143" max="16143" width="1.07421875" style="211" customWidth="1"/>
    <col min="16144" max="16144" width="10" style="211" customWidth="1"/>
    <col min="16145" max="16145" width="1.07421875" style="211" customWidth="1"/>
    <col min="16146" max="16146" width="9.07421875" style="211" customWidth="1"/>
    <col min="16147" max="16147" width="1.07421875" style="211" customWidth="1"/>
    <col min="16148" max="16148" width="7.84375" style="211" customWidth="1"/>
    <col min="16149" max="16149" width="1.07421875" style="211" customWidth="1"/>
    <col min="16150" max="16150" width="0.84375" style="211" customWidth="1"/>
    <col min="16151" max="16151" width="9.07421875" style="211" customWidth="1"/>
    <col min="16152" max="16152" width="1.07421875" style="211" customWidth="1"/>
    <col min="16153" max="16153" width="0.84375" style="211" customWidth="1"/>
    <col min="16154" max="16154" width="9.53515625" style="211" bestFit="1" customWidth="1"/>
    <col min="16155" max="16156" width="0.84375" style="211" customWidth="1"/>
    <col min="16157" max="16157" width="9.84375" style="211" customWidth="1"/>
    <col min="16158" max="16158" width="1.07421875" style="211" customWidth="1"/>
    <col min="16159" max="16159" width="8.53515625" style="211" customWidth="1"/>
    <col min="16160" max="16160" width="14.53515625" style="211" customWidth="1"/>
    <col min="16161" max="16161" width="10" style="211" customWidth="1"/>
    <col min="16162" max="16162" width="7.84375" style="211" bestFit="1" customWidth="1"/>
    <col min="16163" max="16163" width="9.84375" style="211" customWidth="1"/>
    <col min="16164" max="16384" width="8.84375" style="211"/>
  </cols>
  <sheetData>
    <row r="1" spans="1:36" ht="15.5">
      <c r="A1" s="489" t="s">
        <v>868</v>
      </c>
    </row>
    <row r="2" spans="1:36" ht="10.5" customHeight="1"/>
    <row r="3" spans="1:36" ht="18">
      <c r="A3" s="1501" t="s">
        <v>0</v>
      </c>
      <c r="AI3" s="1502" t="s">
        <v>1043</v>
      </c>
    </row>
    <row r="4" spans="1:36" ht="18">
      <c r="A4" s="212" t="s">
        <v>181</v>
      </c>
    </row>
    <row r="5" spans="1:36" ht="18">
      <c r="A5" s="212" t="s">
        <v>145</v>
      </c>
      <c r="AB5" s="2318"/>
      <c r="AC5" s="2319"/>
      <c r="AD5" s="2319"/>
      <c r="AE5" s="1503"/>
      <c r="AF5" s="1503"/>
      <c r="AG5" s="1503"/>
      <c r="AH5" s="1503"/>
      <c r="AI5" s="1503"/>
      <c r="AJ5" s="1504"/>
    </row>
    <row r="6" spans="1:36" ht="18">
      <c r="A6" s="1501" t="str">
        <f>'Cashflow Governmental'!A6</f>
        <v xml:space="preserve">FISCAL YEAR 2022-2023   </v>
      </c>
    </row>
    <row r="7" spans="1:36" ht="18">
      <c r="A7" s="212" t="s">
        <v>1247</v>
      </c>
    </row>
    <row r="8" spans="1:36" ht="15.5">
      <c r="AA8" s="2320" t="s">
        <v>1559</v>
      </c>
      <c r="AB8" s="2320"/>
      <c r="AC8" s="2320"/>
      <c r="AD8" s="2320"/>
      <c r="AE8" s="2320"/>
      <c r="AF8" s="2320"/>
      <c r="AG8" s="2320"/>
      <c r="AH8" s="2320"/>
      <c r="AI8" s="2320"/>
    </row>
    <row r="9" spans="1:36" ht="15.5">
      <c r="B9" s="1505" t="str">
        <f>'Cashflow Governmental'!C13</f>
        <v>2022</v>
      </c>
      <c r="C9" s="217"/>
      <c r="D9" s="217"/>
      <c r="E9" s="217"/>
      <c r="F9" s="1506"/>
      <c r="G9" s="217"/>
      <c r="H9" s="217"/>
      <c r="I9" s="217"/>
      <c r="J9" s="217"/>
      <c r="K9" s="217"/>
      <c r="L9" s="217"/>
      <c r="M9" s="217"/>
      <c r="N9" s="217"/>
      <c r="O9" s="217"/>
      <c r="P9" s="217"/>
      <c r="Q9" s="217"/>
      <c r="R9" s="217"/>
      <c r="S9" s="217"/>
      <c r="T9" s="1505">
        <f>'Cashflow Governmental'!U13</f>
        <v>2023</v>
      </c>
      <c r="U9" s="217"/>
      <c r="V9" s="217"/>
      <c r="W9" s="217"/>
      <c r="X9" s="1505"/>
      <c r="Y9" s="217"/>
      <c r="Z9" s="217"/>
      <c r="AA9" s="217"/>
      <c r="AB9" s="217"/>
      <c r="AC9" s="217"/>
      <c r="AD9" s="217"/>
      <c r="AE9" s="217"/>
      <c r="AF9" s="217"/>
      <c r="AG9" s="1507" t="s">
        <v>7</v>
      </c>
      <c r="AH9" s="1508"/>
      <c r="AI9" s="1509" t="s">
        <v>8</v>
      </c>
      <c r="AJ9" s="1504"/>
    </row>
    <row r="10" spans="1:36" ht="15.5">
      <c r="B10" s="1510" t="s">
        <v>122</v>
      </c>
      <c r="C10" s="217"/>
      <c r="D10" s="1510" t="s">
        <v>123</v>
      </c>
      <c r="E10" s="1505"/>
      <c r="F10" s="1511" t="s">
        <v>124</v>
      </c>
      <c r="G10" s="1505"/>
      <c r="H10" s="1510" t="s">
        <v>125</v>
      </c>
      <c r="I10" s="1505"/>
      <c r="J10" s="1510" t="s">
        <v>126</v>
      </c>
      <c r="K10" s="1505"/>
      <c r="L10" s="1512" t="s">
        <v>141</v>
      </c>
      <c r="M10" s="1505"/>
      <c r="N10" s="1510" t="s">
        <v>142</v>
      </c>
      <c r="O10" s="1505"/>
      <c r="P10" s="1510" t="s">
        <v>129</v>
      </c>
      <c r="Q10" s="1505"/>
      <c r="R10" s="1510" t="s">
        <v>130</v>
      </c>
      <c r="S10" s="217"/>
      <c r="T10" s="1510" t="s">
        <v>131</v>
      </c>
      <c r="U10" s="1505"/>
      <c r="V10" s="1510" t="s">
        <v>132</v>
      </c>
      <c r="W10" s="1505"/>
      <c r="X10" s="1510" t="s">
        <v>182</v>
      </c>
      <c r="Y10" s="1505"/>
      <c r="Z10" s="1505"/>
      <c r="AA10" s="1510">
        <f>'Cashflow Governmental'!AB14</f>
        <v>2023</v>
      </c>
      <c r="AB10" s="1505"/>
      <c r="AC10" s="1505"/>
      <c r="AD10" s="1510">
        <f>'Cashflow Governmental'!AE14</f>
        <v>2022</v>
      </c>
      <c r="AE10" s="1505"/>
      <c r="AF10" s="1505"/>
      <c r="AG10" s="1511" t="s">
        <v>11</v>
      </c>
      <c r="AH10" s="1508"/>
      <c r="AI10" s="1511" t="s">
        <v>12</v>
      </c>
      <c r="AJ10" s="1504"/>
    </row>
    <row r="11" spans="1:36" ht="3" customHeight="1">
      <c r="B11" s="215"/>
      <c r="C11" s="213"/>
      <c r="D11" s="215"/>
      <c r="E11" s="215"/>
      <c r="F11" s="1513"/>
      <c r="G11" s="215"/>
      <c r="H11" s="215"/>
      <c r="I11" s="215"/>
      <c r="J11" s="215"/>
      <c r="K11" s="215"/>
      <c r="L11" s="1514"/>
      <c r="M11" s="215"/>
      <c r="N11" s="215"/>
      <c r="O11" s="215"/>
      <c r="P11" s="215"/>
      <c r="Q11" s="215"/>
      <c r="R11" s="215"/>
      <c r="S11" s="213"/>
      <c r="T11" s="1515"/>
      <c r="U11" s="215"/>
      <c r="V11" s="215"/>
      <c r="W11" s="215"/>
      <c r="X11" s="215"/>
      <c r="Y11" s="215"/>
      <c r="Z11" s="215"/>
      <c r="AA11" s="215"/>
      <c r="AB11" s="215"/>
      <c r="AC11" s="215"/>
      <c r="AD11" s="215"/>
      <c r="AE11" s="215"/>
      <c r="AF11" s="1516"/>
      <c r="AG11" s="215"/>
      <c r="AH11" s="213"/>
      <c r="AI11" s="213"/>
    </row>
    <row r="12" spans="1:36" ht="15.5">
      <c r="A12" s="1517" t="s">
        <v>183</v>
      </c>
      <c r="B12" s="216">
        <v>102</v>
      </c>
      <c r="C12" s="216"/>
      <c r="D12" s="1518">
        <f>B77</f>
        <v>265.89999999999998</v>
      </c>
      <c r="E12" s="216"/>
      <c r="F12" s="1518">
        <f>D77</f>
        <v>320.2</v>
      </c>
      <c r="G12" s="216"/>
      <c r="H12" s="1518">
        <f>F77</f>
        <v>524</v>
      </c>
      <c r="I12" s="216"/>
      <c r="J12" s="1518">
        <f>H77</f>
        <v>846.1</v>
      </c>
      <c r="K12" s="216"/>
      <c r="L12" s="1518">
        <f>J77</f>
        <v>1500.8</v>
      </c>
      <c r="M12" s="216"/>
      <c r="N12" s="1518">
        <f>L77</f>
        <v>630.1</v>
      </c>
      <c r="O12" s="216"/>
      <c r="P12" s="1518">
        <f>N77</f>
        <v>740.6</v>
      </c>
      <c r="Q12" s="1518"/>
      <c r="R12" s="1518">
        <f t="shared" ref="R12" si="0">P77</f>
        <v>881.1</v>
      </c>
      <c r="S12" s="1518"/>
      <c r="T12" s="1518">
        <f t="shared" ref="T12" si="1">R77</f>
        <v>1398.8</v>
      </c>
      <c r="U12" s="1518"/>
      <c r="V12" s="1518">
        <f t="shared" ref="V12" si="2">T77</f>
        <v>4179.6000000000004</v>
      </c>
      <c r="W12" s="1518"/>
      <c r="X12" s="1518">
        <f t="shared" ref="X12" si="3">V77</f>
        <v>5329.1</v>
      </c>
      <c r="Y12" s="1519"/>
      <c r="Z12" s="216"/>
      <c r="AA12" s="216">
        <f>B12</f>
        <v>102</v>
      </c>
      <c r="AB12" s="1519"/>
      <c r="AC12" s="216"/>
      <c r="AD12" s="1878">
        <v>65</v>
      </c>
      <c r="AE12" s="1520"/>
      <c r="AF12" s="1521"/>
      <c r="AG12" s="216">
        <f>ROUND(SUM(AA12-AD12),1)</f>
        <v>37</v>
      </c>
      <c r="AH12" s="217"/>
      <c r="AI12" s="1522">
        <f>ROUND(SUM(AG12/AD12),3)</f>
        <v>0.56899999999999995</v>
      </c>
      <c r="AJ12" s="1504"/>
    </row>
    <row r="13" spans="1:36" ht="12.75" customHeight="1">
      <c r="A13" s="213"/>
      <c r="B13" s="213"/>
      <c r="C13" s="213"/>
      <c r="D13" s="213"/>
      <c r="E13" s="213"/>
      <c r="F13" s="214"/>
      <c r="G13" s="213"/>
      <c r="H13" s="213"/>
      <c r="I13" s="213"/>
      <c r="J13" s="213"/>
      <c r="K13" s="213"/>
      <c r="L13" s="213"/>
      <c r="M13" s="213"/>
      <c r="N13" s="213"/>
      <c r="O13" s="213"/>
      <c r="P13" s="213"/>
      <c r="Q13" s="213"/>
      <c r="R13" s="213"/>
      <c r="S13" s="213"/>
      <c r="T13" s="213"/>
      <c r="U13" s="213"/>
      <c r="V13" s="213"/>
      <c r="W13" s="213"/>
      <c r="X13" s="213"/>
      <c r="Y13" s="1523"/>
      <c r="Z13" s="213"/>
      <c r="AA13" s="214"/>
      <c r="AB13" s="1524"/>
      <c r="AC13" s="214"/>
      <c r="AD13" s="1010"/>
      <c r="AE13" s="215"/>
      <c r="AF13" s="218"/>
      <c r="AG13" s="214"/>
      <c r="AH13" s="213"/>
      <c r="AI13" s="213"/>
    </row>
    <row r="14" spans="1:36" ht="14.25" customHeight="1">
      <c r="A14" s="217" t="s">
        <v>13</v>
      </c>
      <c r="B14" s="213"/>
      <c r="C14" s="213"/>
      <c r="D14" s="213"/>
      <c r="E14" s="213"/>
      <c r="F14" s="214"/>
      <c r="G14" s="213"/>
      <c r="H14" s="213"/>
      <c r="I14" s="213"/>
      <c r="J14" s="213"/>
      <c r="K14" s="213"/>
      <c r="L14" s="213"/>
      <c r="M14" s="213"/>
      <c r="N14" s="213"/>
      <c r="O14" s="213"/>
      <c r="P14" s="213"/>
      <c r="Q14" s="213"/>
      <c r="R14" s="213"/>
      <c r="S14" s="213"/>
      <c r="T14" s="213"/>
      <c r="U14" s="213"/>
      <c r="V14" s="213"/>
      <c r="W14" s="213"/>
      <c r="X14" s="213"/>
      <c r="Y14" s="1523"/>
      <c r="Z14" s="213"/>
      <c r="AA14" s="214"/>
      <c r="AB14" s="1524"/>
      <c r="AC14" s="214"/>
      <c r="AD14" s="1010"/>
      <c r="AE14" s="215"/>
      <c r="AF14" s="218"/>
      <c r="AG14" s="214"/>
      <c r="AH14" s="213"/>
      <c r="AI14" s="213"/>
    </row>
    <row r="15" spans="1:36" ht="14.25" customHeight="1">
      <c r="A15" s="117" t="s">
        <v>978</v>
      </c>
      <c r="B15" s="151"/>
      <c r="C15" s="151"/>
      <c r="D15" s="151"/>
      <c r="E15" s="375"/>
      <c r="F15" s="151"/>
      <c r="G15" s="375"/>
      <c r="H15" s="213"/>
      <c r="I15" s="213"/>
      <c r="J15" s="213"/>
      <c r="K15" s="213"/>
      <c r="L15" s="213"/>
      <c r="M15" s="213"/>
      <c r="N15" s="213"/>
      <c r="O15" s="213"/>
      <c r="P15" s="213"/>
      <c r="Q15" s="213"/>
      <c r="R15" s="213"/>
      <c r="S15" s="213"/>
      <c r="T15" s="213"/>
      <c r="U15" s="213"/>
      <c r="V15" s="213"/>
      <c r="W15" s="213"/>
      <c r="X15" s="213"/>
      <c r="Y15" s="740"/>
      <c r="Z15" s="213"/>
      <c r="AA15" s="214"/>
      <c r="AB15" s="741"/>
      <c r="AC15" s="214"/>
      <c r="AD15" s="151"/>
      <c r="AE15" s="215"/>
      <c r="AF15" s="218"/>
      <c r="AG15" s="214"/>
      <c r="AH15" s="213"/>
      <c r="AI15" s="213"/>
    </row>
    <row r="16" spans="1:36" ht="14.25" customHeight="1">
      <c r="A16" s="739" t="s">
        <v>981</v>
      </c>
      <c r="B16" s="919">
        <v>7360.8</v>
      </c>
      <c r="C16" s="954"/>
      <c r="D16" s="919">
        <v>1362.0999999999995</v>
      </c>
      <c r="E16" s="954"/>
      <c r="F16" s="919">
        <v>2096.6000000000013</v>
      </c>
      <c r="G16" s="919"/>
      <c r="H16" s="919">
        <v>1545.7999999999984</v>
      </c>
      <c r="I16" s="1010"/>
      <c r="J16" s="919">
        <v>1794.4000000000005</v>
      </c>
      <c r="K16" s="1010"/>
      <c r="L16" s="919">
        <v>2429.6000000000004</v>
      </c>
      <c r="M16" s="1010"/>
      <c r="N16" s="919">
        <v>971.60000000000309</v>
      </c>
      <c r="O16" s="1010"/>
      <c r="P16" s="919">
        <v>1357.6999999999971</v>
      </c>
      <c r="Q16" s="919"/>
      <c r="R16" s="919">
        <v>2140.4999999999982</v>
      </c>
      <c r="S16" s="919"/>
      <c r="T16" s="919">
        <v>4136.2</v>
      </c>
      <c r="U16" s="919"/>
      <c r="V16" s="919">
        <v>2073.6999999999998</v>
      </c>
      <c r="W16" s="919"/>
      <c r="X16" s="919">
        <f>$AA16-$B16-$D16-$F16-$H16-$J16-$L16-$N16-$P16-$R16-$T16-$V16</f>
        <v>2118.7999999999993</v>
      </c>
      <c r="Y16" s="740"/>
      <c r="Z16" s="213"/>
      <c r="AA16" s="919">
        <v>29387.8</v>
      </c>
      <c r="AB16" s="741"/>
      <c r="AC16" s="214"/>
      <c r="AD16" s="919">
        <v>35368.699999999997</v>
      </c>
      <c r="AE16" s="215"/>
      <c r="AF16" s="218"/>
      <c r="AG16" s="219">
        <f>ROUND(SUM(AA16-AD16),1)</f>
        <v>-5980.9</v>
      </c>
      <c r="AH16" s="213"/>
      <c r="AI16" s="955">
        <f>ROUND(IF(AD16=0,0,AG16/ABS(AD16)),3)</f>
        <v>-0.16900000000000001</v>
      </c>
    </row>
    <row r="17" spans="1:35" ht="6" customHeight="1">
      <c r="A17" s="739"/>
      <c r="B17" s="919"/>
      <c r="C17" s="954"/>
      <c r="D17" s="919"/>
      <c r="E17" s="954"/>
      <c r="F17" s="919"/>
      <c r="G17" s="499"/>
      <c r="H17" s="919"/>
      <c r="I17" s="213"/>
      <c r="J17" s="919"/>
      <c r="K17" s="213"/>
      <c r="L17" s="919"/>
      <c r="M17" s="213"/>
      <c r="N17" s="919"/>
      <c r="O17" s="213"/>
      <c r="P17" s="919"/>
      <c r="Q17" s="213"/>
      <c r="R17" s="919"/>
      <c r="S17" s="213"/>
      <c r="T17" s="919"/>
      <c r="U17" s="213"/>
      <c r="V17" s="919"/>
      <c r="W17" s="213"/>
      <c r="X17" s="919"/>
      <c r="Y17" s="931"/>
      <c r="Z17" s="213"/>
      <c r="AA17" s="919"/>
      <c r="AB17" s="1239"/>
      <c r="AC17" s="214"/>
      <c r="AD17" s="919"/>
      <c r="AE17" s="215"/>
      <c r="AF17" s="218"/>
      <c r="AG17" s="219"/>
      <c r="AH17" s="213"/>
      <c r="AI17" s="955"/>
    </row>
    <row r="18" spans="1:35" ht="14.25" customHeight="1">
      <c r="A18" s="739" t="s">
        <v>1037</v>
      </c>
      <c r="B18" s="42"/>
      <c r="C18" s="467"/>
      <c r="D18" s="919"/>
      <c r="E18" s="467"/>
      <c r="F18" s="919"/>
      <c r="G18" s="467"/>
      <c r="H18" s="42"/>
      <c r="I18" s="213"/>
      <c r="J18" s="919"/>
      <c r="K18" s="213"/>
      <c r="L18" s="919"/>
      <c r="M18" s="213"/>
      <c r="N18" s="919"/>
      <c r="O18" s="213"/>
      <c r="P18" s="919"/>
      <c r="Q18" s="213"/>
      <c r="R18" s="919"/>
      <c r="S18" s="213"/>
      <c r="T18" s="919"/>
      <c r="U18" s="213"/>
      <c r="V18" s="919"/>
      <c r="W18" s="213"/>
      <c r="X18" s="919"/>
      <c r="Y18" s="740"/>
      <c r="Z18" s="213"/>
      <c r="AA18" s="42"/>
      <c r="AB18" s="741"/>
      <c r="AC18" s="214"/>
      <c r="AD18" s="42"/>
      <c r="AE18" s="215"/>
      <c r="AF18" s="218"/>
      <c r="AG18" s="214"/>
      <c r="AH18" s="213"/>
      <c r="AI18" s="213"/>
    </row>
    <row r="19" spans="1:35" ht="14.25" customHeight="1">
      <c r="A19" s="489" t="s">
        <v>993</v>
      </c>
      <c r="B19" s="919">
        <v>931.6</v>
      </c>
      <c r="C19" s="954"/>
      <c r="D19" s="919">
        <v>982.19999999999993</v>
      </c>
      <c r="E19" s="954"/>
      <c r="F19" s="919">
        <v>1314.7000000000003</v>
      </c>
      <c r="G19" s="467"/>
      <c r="H19" s="919">
        <v>1035.8000000000002</v>
      </c>
      <c r="I19" s="1010"/>
      <c r="J19" s="919">
        <v>1003.9999999999999</v>
      </c>
      <c r="K19" s="1010"/>
      <c r="L19" s="919">
        <v>1326.3999999999992</v>
      </c>
      <c r="M19" s="1010"/>
      <c r="N19" s="919">
        <v>699.40000000000055</v>
      </c>
      <c r="O19" s="1010"/>
      <c r="P19" s="919">
        <v>685.29999999999973</v>
      </c>
      <c r="Q19" s="1010"/>
      <c r="R19" s="919">
        <v>859.10000000000036</v>
      </c>
      <c r="S19" s="1010"/>
      <c r="T19" s="919">
        <v>756.10000000000036</v>
      </c>
      <c r="U19" s="1010"/>
      <c r="V19" s="919">
        <v>652.69999999999709</v>
      </c>
      <c r="W19" s="1010"/>
      <c r="X19" s="919">
        <f>$AA19-$B19-$D19-$F19-$H19-$J19-$L19-$N19-$P19-$R19-$T19-$V19</f>
        <v>806.10000000000082</v>
      </c>
      <c r="Y19" s="740"/>
      <c r="Z19" s="213"/>
      <c r="AA19" s="919">
        <v>11053.4</v>
      </c>
      <c r="AB19" s="741"/>
      <c r="AC19" s="214"/>
      <c r="AD19" s="919">
        <v>12368.9</v>
      </c>
      <c r="AE19" s="215"/>
      <c r="AF19" s="218"/>
      <c r="AG19" s="219">
        <f>ROUND(SUM(AA19-AD19),1)</f>
        <v>-1315.5</v>
      </c>
      <c r="AH19" s="213"/>
      <c r="AI19" s="955">
        <f>ROUND(IF(AD19=0,0,AG19/ABS(AD19)),3)</f>
        <v>-0.106</v>
      </c>
    </row>
    <row r="20" spans="1:35" ht="14.25" customHeight="1">
      <c r="A20" s="217" t="s">
        <v>992</v>
      </c>
      <c r="B20" s="178">
        <f>ROUND(SUM(B19:B19),1)</f>
        <v>931.6</v>
      </c>
      <c r="C20" s="42"/>
      <c r="D20" s="178">
        <f>ROUND(SUM(D19:D19),1)</f>
        <v>982.2</v>
      </c>
      <c r="E20" s="42"/>
      <c r="F20" s="178">
        <f>ROUND(SUM(F19:F19),1)</f>
        <v>1314.7</v>
      </c>
      <c r="G20" s="42"/>
      <c r="H20" s="178">
        <f>ROUND(SUM(H19:H19),1)</f>
        <v>1035.8</v>
      </c>
      <c r="I20" s="213"/>
      <c r="J20" s="178">
        <f>ROUND(SUM(J19:J19),1)</f>
        <v>1004</v>
      </c>
      <c r="K20" s="213"/>
      <c r="L20" s="178">
        <f>ROUND(SUM(L19:L19),1)</f>
        <v>1326.4</v>
      </c>
      <c r="M20" s="213"/>
      <c r="N20" s="178">
        <f>ROUND(SUM(N19:N19),1)</f>
        <v>699.4</v>
      </c>
      <c r="O20" s="213"/>
      <c r="P20" s="178">
        <f>ROUND(SUM(P19:P19),1)</f>
        <v>685.3</v>
      </c>
      <c r="Q20" s="42"/>
      <c r="R20" s="178">
        <f t="shared" ref="R20" si="4">ROUND(SUM(R19:R19),1)</f>
        <v>859.1</v>
      </c>
      <c r="S20" s="213"/>
      <c r="T20" s="178">
        <f>ROUND(SUM(T19:T19),1)</f>
        <v>756.1</v>
      </c>
      <c r="U20" s="213"/>
      <c r="V20" s="178">
        <f>ROUND(SUM(V19:V19),1)</f>
        <v>652.70000000000005</v>
      </c>
      <c r="W20" s="213"/>
      <c r="X20" s="178">
        <f>ROUND(SUM(X19:X19),1)</f>
        <v>806.1</v>
      </c>
      <c r="Y20" s="740"/>
      <c r="Z20" s="213"/>
      <c r="AA20" s="178">
        <f>ROUND(SUM(AA19:AA19),1)</f>
        <v>11053.4</v>
      </c>
      <c r="AB20" s="741"/>
      <c r="AC20" s="214"/>
      <c r="AD20" s="178">
        <f>ROUND(SUM(AD19:AD19),1)</f>
        <v>12368.9</v>
      </c>
      <c r="AE20" s="215"/>
      <c r="AF20" s="218"/>
      <c r="AG20" s="763">
        <f>ROUND(SUM(AA20-AD20),1)</f>
        <v>-1315.5</v>
      </c>
      <c r="AH20" s="217"/>
      <c r="AI20" s="962">
        <f>ROUND(IF(AD20=0,0,AG20/ABS(AD20)),3)</f>
        <v>-0.106</v>
      </c>
    </row>
    <row r="21" spans="1:35" ht="14.25" customHeight="1">
      <c r="A21" s="739" t="s">
        <v>1038</v>
      </c>
      <c r="B21" s="42"/>
      <c r="C21" s="42"/>
      <c r="D21" s="42"/>
      <c r="E21" s="42"/>
      <c r="F21" s="42"/>
      <c r="G21" s="42"/>
      <c r="H21" s="42"/>
      <c r="I21" s="213"/>
      <c r="J21" s="42"/>
      <c r="K21" s="213"/>
      <c r="L21" s="42"/>
      <c r="M21" s="213"/>
      <c r="N21" s="42"/>
      <c r="O21" s="213"/>
      <c r="P21" s="42"/>
      <c r="Q21" s="213"/>
      <c r="R21" s="42"/>
      <c r="S21" s="213"/>
      <c r="T21" s="42"/>
      <c r="U21" s="213"/>
      <c r="V21" s="42"/>
      <c r="W21" s="213"/>
      <c r="X21" s="42"/>
      <c r="Y21" s="2151"/>
      <c r="Z21" s="213"/>
      <c r="AA21" s="42"/>
      <c r="AB21" s="2152"/>
      <c r="AC21" s="214"/>
      <c r="AD21" s="42"/>
      <c r="AE21" s="215"/>
      <c r="AF21" s="218"/>
      <c r="AG21" s="743"/>
      <c r="AH21" s="217"/>
      <c r="AI21" s="486"/>
    </row>
    <row r="22" spans="1:35" ht="14.25" customHeight="1">
      <c r="A22" s="489" t="s">
        <v>1446</v>
      </c>
      <c r="B22" s="919">
        <v>90.6</v>
      </c>
      <c r="C22" s="467"/>
      <c r="D22" s="919">
        <v>-24.199999999999989</v>
      </c>
      <c r="E22" s="467"/>
      <c r="F22" s="919">
        <v>1390.2</v>
      </c>
      <c r="G22" s="467"/>
      <c r="H22" s="919">
        <v>-24.500000000000142</v>
      </c>
      <c r="I22" s="1536"/>
      <c r="J22" s="919">
        <v>43.9</v>
      </c>
      <c r="K22" s="1536"/>
      <c r="L22" s="919">
        <v>1680.6</v>
      </c>
      <c r="M22" s="1536"/>
      <c r="N22" s="919">
        <v>-327.90000000000009</v>
      </c>
      <c r="O22" s="1536"/>
      <c r="P22" s="919">
        <v>15.100000000000364</v>
      </c>
      <c r="Q22" s="1536"/>
      <c r="R22" s="919">
        <v>2016.599999999999</v>
      </c>
      <c r="S22" s="1536"/>
      <c r="T22" s="919">
        <v>284.70000000000073</v>
      </c>
      <c r="U22" s="1536"/>
      <c r="V22" s="919">
        <v>54.199999999999818</v>
      </c>
      <c r="W22" s="1536"/>
      <c r="X22" s="919">
        <f>$AA22-$B22-$D22-$F22-$H22-$J22-$L22-$N22-$P22-$R22-$T22-$V22</f>
        <v>2272.9</v>
      </c>
      <c r="Y22" s="2153"/>
      <c r="Z22" s="1536"/>
      <c r="AA22" s="919">
        <v>7472.2000000000007</v>
      </c>
      <c r="AB22" s="741"/>
      <c r="AC22" s="214"/>
      <c r="AD22" s="919">
        <v>8215.2000000000007</v>
      </c>
      <c r="AE22" s="1933"/>
      <c r="AF22" s="1934"/>
      <c r="AG22" s="219">
        <f>ROUND(SUM(AA22-AD22),1)</f>
        <v>-743</v>
      </c>
      <c r="AH22" s="213"/>
      <c r="AI22" s="955">
        <f>ROUND(IF(AD22=0,1,AG22/ABS(AD22)),3)</f>
        <v>-0.09</v>
      </c>
    </row>
    <row r="23" spans="1:35" ht="14.25" customHeight="1">
      <c r="A23" s="217" t="s">
        <v>999</v>
      </c>
      <c r="B23" s="1257">
        <f>ROUND(SUM(B22),1)</f>
        <v>90.6</v>
      </c>
      <c r="C23" s="42"/>
      <c r="D23" s="1257">
        <f>ROUND(SUM(D22),1)</f>
        <v>-24.2</v>
      </c>
      <c r="E23" s="42"/>
      <c r="F23" s="1257">
        <f>ROUND(SUM(F22),1)</f>
        <v>1390.2</v>
      </c>
      <c r="G23" s="42"/>
      <c r="H23" s="1257">
        <f>ROUND(SUM(H22),1)</f>
        <v>-24.5</v>
      </c>
      <c r="I23" s="213"/>
      <c r="J23" s="1257">
        <f>ROUND(SUM(J22),1)</f>
        <v>43.9</v>
      </c>
      <c r="K23" s="213"/>
      <c r="L23" s="1257">
        <f>ROUND(SUM(L22),1)</f>
        <v>1680.6</v>
      </c>
      <c r="M23" s="213"/>
      <c r="N23" s="1257">
        <f>ROUND(SUM(N22),1)</f>
        <v>-327.9</v>
      </c>
      <c r="O23" s="213"/>
      <c r="P23" s="1257">
        <f>ROUND(SUM(P22),1)</f>
        <v>15.1</v>
      </c>
      <c r="Q23" s="42"/>
      <c r="R23" s="1257">
        <f t="shared" ref="R23" si="5">ROUND(SUM(R22),1)</f>
        <v>2016.6</v>
      </c>
      <c r="S23" s="213"/>
      <c r="T23" s="1257">
        <f>ROUND(SUM(T22),1)</f>
        <v>284.7</v>
      </c>
      <c r="U23" s="213"/>
      <c r="V23" s="1257">
        <f>ROUND(SUM(V22),1)</f>
        <v>54.2</v>
      </c>
      <c r="W23" s="213"/>
      <c r="X23" s="1257">
        <f>ROUND(SUM(X22),1)</f>
        <v>2272.9</v>
      </c>
      <c r="Y23" s="2151"/>
      <c r="Z23" s="213"/>
      <c r="AA23" s="1257">
        <f>ROUND(SUM(AA22),1)</f>
        <v>7472.2</v>
      </c>
      <c r="AB23" s="2152"/>
      <c r="AC23" s="214"/>
      <c r="AD23" s="1257">
        <f>ROUND(SUM(AD22),1)</f>
        <v>8215.2000000000007</v>
      </c>
      <c r="AE23" s="215"/>
      <c r="AF23" s="218"/>
      <c r="AG23" s="763">
        <f>ROUND(SUM(AA23-AD23),1)</f>
        <v>-743</v>
      </c>
      <c r="AH23" s="217"/>
      <c r="AI23" s="962">
        <f>ROUND(IF(AD23=0,1,AG23/ABS(AD23)),3)</f>
        <v>-0.09</v>
      </c>
    </row>
    <row r="24" spans="1:35" ht="14.25" customHeight="1">
      <c r="A24" s="739" t="s">
        <v>1039</v>
      </c>
      <c r="B24" s="42"/>
      <c r="C24" s="42"/>
      <c r="D24" s="42"/>
      <c r="E24" s="42"/>
      <c r="F24" s="42"/>
      <c r="G24" s="42"/>
      <c r="H24" s="42"/>
      <c r="I24" s="213"/>
      <c r="J24" s="42"/>
      <c r="K24" s="213"/>
      <c r="L24" s="42"/>
      <c r="M24" s="213"/>
      <c r="N24" s="42"/>
      <c r="O24" s="213"/>
      <c r="P24" s="42"/>
      <c r="Q24" s="213"/>
      <c r="R24" s="42"/>
      <c r="S24" s="213"/>
      <c r="T24" s="42"/>
      <c r="U24" s="213"/>
      <c r="V24" s="42"/>
      <c r="W24" s="213"/>
      <c r="X24" s="42"/>
      <c r="Y24" s="740"/>
      <c r="Z24" s="213"/>
      <c r="AA24" s="42"/>
      <c r="AB24" s="741"/>
      <c r="AC24" s="214"/>
      <c r="AD24" s="42"/>
      <c r="AE24" s="215"/>
      <c r="AF24" s="218"/>
      <c r="AG24" s="214"/>
      <c r="AH24" s="213"/>
      <c r="AI24" s="213"/>
    </row>
    <row r="25" spans="1:35" ht="14.25" customHeight="1">
      <c r="A25" s="489" t="s">
        <v>1010</v>
      </c>
      <c r="B25" s="919">
        <v>152.4</v>
      </c>
      <c r="C25" s="954"/>
      <c r="D25" s="919">
        <v>129.99999999999997</v>
      </c>
      <c r="E25" s="954"/>
      <c r="F25" s="919">
        <v>117.80000000000004</v>
      </c>
      <c r="G25" s="42"/>
      <c r="H25" s="919">
        <v>144.59999999999988</v>
      </c>
      <c r="I25" s="1010"/>
      <c r="J25" s="919">
        <v>115.99999999999997</v>
      </c>
      <c r="K25" s="1010"/>
      <c r="L25" s="919">
        <v>110.2000000000001</v>
      </c>
      <c r="M25" s="1010"/>
      <c r="N25" s="919">
        <v>105.49999999999997</v>
      </c>
      <c r="O25" s="1010"/>
      <c r="P25" s="919">
        <v>81.200000000000017</v>
      </c>
      <c r="Q25" s="1010"/>
      <c r="R25" s="919">
        <v>76</v>
      </c>
      <c r="S25" s="1010"/>
      <c r="T25" s="919">
        <v>66.399999999999864</v>
      </c>
      <c r="U25" s="1010"/>
      <c r="V25" s="919">
        <v>72.799999999999983</v>
      </c>
      <c r="W25" s="1010"/>
      <c r="X25" s="919">
        <f>$AA25-$B25-$D25-$F25-$H25-$J25-$L25-$N25-$P25-$R25-$T25-$V25</f>
        <v>41.799999999999812</v>
      </c>
      <c r="Y25" s="740"/>
      <c r="Z25" s="213"/>
      <c r="AA25" s="919">
        <v>1214.6999999999998</v>
      </c>
      <c r="AB25" s="741"/>
      <c r="AC25" s="214"/>
      <c r="AD25" s="919">
        <v>1520.4</v>
      </c>
      <c r="AE25" s="215"/>
      <c r="AF25" s="218"/>
      <c r="AG25" s="219">
        <f>ROUND(SUM(AA25-AD25),1)</f>
        <v>-305.7</v>
      </c>
      <c r="AH25" s="213"/>
      <c r="AI25" s="955">
        <f>ROUND(IF(AD25=0,0,AG25/ABS(AD25)),3)</f>
        <v>-0.20100000000000001</v>
      </c>
    </row>
    <row r="26" spans="1:35" ht="14.25" customHeight="1">
      <c r="A26" s="754" t="s">
        <v>1254</v>
      </c>
      <c r="B26" s="919">
        <v>0.2</v>
      </c>
      <c r="C26" s="467"/>
      <c r="D26" s="919">
        <v>9.9999999999999978E-2</v>
      </c>
      <c r="E26" s="467"/>
      <c r="F26" s="919">
        <v>0.10000000000000003</v>
      </c>
      <c r="G26" s="467"/>
      <c r="H26" s="919">
        <v>0.19999999999999996</v>
      </c>
      <c r="I26" s="1536"/>
      <c r="J26" s="919">
        <v>0.2</v>
      </c>
      <c r="K26" s="1536"/>
      <c r="L26" s="919">
        <v>0.20000000000000012</v>
      </c>
      <c r="M26" s="1536"/>
      <c r="N26" s="919">
        <v>0.29999999999999982</v>
      </c>
      <c r="O26" s="1536"/>
      <c r="P26" s="919">
        <v>0.20000000000000018</v>
      </c>
      <c r="Q26" s="1536"/>
      <c r="R26" s="919">
        <v>0.5</v>
      </c>
      <c r="S26" s="1536"/>
      <c r="T26" s="919">
        <v>1.1999999999999993</v>
      </c>
      <c r="U26" s="1536"/>
      <c r="V26" s="919">
        <v>9.9999999999999645E-2</v>
      </c>
      <c r="W26" s="1536"/>
      <c r="X26" s="919">
        <f>$AA26-$B26-$D26-$F26-$H26-$J26-$L26-$N26-$P26-$R26-$T26-$V26</f>
        <v>0</v>
      </c>
      <c r="Y26" s="1930"/>
      <c r="Z26" s="1536"/>
      <c r="AA26" s="919">
        <v>3.3</v>
      </c>
      <c r="AB26" s="1931"/>
      <c r="AC26" s="1932"/>
      <c r="AD26" s="919">
        <v>6.4</v>
      </c>
      <c r="AE26" s="1933"/>
      <c r="AF26" s="1934"/>
      <c r="AG26" s="219">
        <f>ROUND(SUM(AA26-AD26),1)</f>
        <v>-3.1</v>
      </c>
      <c r="AH26" s="213"/>
      <c r="AI26" s="955">
        <f>ROUND(IF(AD26=0,1,AG26/ABS(AD26)),3)</f>
        <v>-0.48399999999999999</v>
      </c>
    </row>
    <row r="27" spans="1:35" ht="14.25" customHeight="1">
      <c r="A27" s="217" t="s">
        <v>1005</v>
      </c>
      <c r="B27" s="1240">
        <f>ROUND(SUM(B25:B26),1)</f>
        <v>152.6</v>
      </c>
      <c r="C27" s="42"/>
      <c r="D27" s="1257">
        <f>ROUND(SUM(D25:D26),1)</f>
        <v>130.1</v>
      </c>
      <c r="E27" s="42"/>
      <c r="F27" s="178">
        <f>ROUND(SUM(F25:F26),1)</f>
        <v>117.9</v>
      </c>
      <c r="G27" s="42"/>
      <c r="H27" s="178">
        <f>ROUND(SUM(H25:H26),1)</f>
        <v>144.80000000000001</v>
      </c>
      <c r="I27" s="213"/>
      <c r="J27" s="178">
        <f>ROUND(SUM(J25:J26),1)</f>
        <v>116.2</v>
      </c>
      <c r="K27" s="213"/>
      <c r="L27" s="178">
        <f>ROUND(SUM(L25:L26),1)</f>
        <v>110.4</v>
      </c>
      <c r="M27" s="213"/>
      <c r="N27" s="178">
        <f>ROUND(SUM(N25:N26),1)</f>
        <v>105.8</v>
      </c>
      <c r="O27" s="213"/>
      <c r="P27" s="178">
        <f>ROUND(SUM(P25:P26),1)</f>
        <v>81.400000000000006</v>
      </c>
      <c r="Q27" s="42"/>
      <c r="R27" s="178">
        <f t="shared" ref="R27" si="6">ROUND(SUM(R25:R26),1)</f>
        <v>76.5</v>
      </c>
      <c r="S27" s="213"/>
      <c r="T27" s="178">
        <f>ROUND(SUM(T25:T26),1)</f>
        <v>67.599999999999994</v>
      </c>
      <c r="U27" s="213"/>
      <c r="V27" s="178">
        <f>ROUND(SUM(V25:V26),1)</f>
        <v>72.900000000000006</v>
      </c>
      <c r="W27" s="213"/>
      <c r="X27" s="178">
        <f>ROUND(SUM(X25:X26),1)</f>
        <v>41.8</v>
      </c>
      <c r="Y27" s="740"/>
      <c r="Z27" s="213"/>
      <c r="AA27" s="178">
        <f>SUM(AA25:AA26)</f>
        <v>1217.9999999999998</v>
      </c>
      <c r="AB27" s="741"/>
      <c r="AC27" s="214"/>
      <c r="AD27" s="178">
        <f>SUM(AD25:AD26)</f>
        <v>1526.8000000000002</v>
      </c>
      <c r="AE27" s="215"/>
      <c r="AF27" s="218"/>
      <c r="AG27" s="1525">
        <f>ROUND(SUM(AA27-AD27),1)</f>
        <v>-308.8</v>
      </c>
      <c r="AH27" s="217"/>
      <c r="AI27" s="968">
        <f>ROUND(IF(AD27=0,0,AG27/ABS(AD27)),3)</f>
        <v>-0.20200000000000001</v>
      </c>
    </row>
    <row r="28" spans="1:35" ht="14.25" customHeight="1">
      <c r="A28" s="217"/>
      <c r="B28" s="1240"/>
      <c r="C28" s="42"/>
      <c r="D28" s="42"/>
      <c r="E28" s="42"/>
      <c r="F28" s="42"/>
      <c r="G28" s="42"/>
      <c r="H28" s="42"/>
      <c r="I28" s="213"/>
      <c r="J28" s="42"/>
      <c r="K28" s="213"/>
      <c r="L28" s="42"/>
      <c r="M28" s="213"/>
      <c r="N28" s="42"/>
      <c r="O28" s="213"/>
      <c r="P28" s="42"/>
      <c r="Q28" s="213"/>
      <c r="R28" s="42"/>
      <c r="S28" s="213"/>
      <c r="T28" s="42"/>
      <c r="U28" s="213"/>
      <c r="V28" s="42"/>
      <c r="W28" s="213"/>
      <c r="X28" s="42"/>
      <c r="Y28" s="740"/>
      <c r="Z28" s="213"/>
      <c r="AA28" s="1240"/>
      <c r="AB28" s="741"/>
      <c r="AC28" s="214"/>
      <c r="AD28" s="1240"/>
      <c r="AE28" s="215"/>
      <c r="AF28" s="218"/>
      <c r="AG28" s="214"/>
      <c r="AH28" s="213"/>
      <c r="AI28" s="213"/>
    </row>
    <row r="29" spans="1:35" ht="14.25" customHeight="1">
      <c r="A29" s="217" t="s">
        <v>1006</v>
      </c>
      <c r="B29" s="1462">
        <f>ROUND(SUM(B16+B20+B23+B27),1)</f>
        <v>8535.6</v>
      </c>
      <c r="C29" s="467"/>
      <c r="D29" s="1462">
        <f>ROUND(SUM(D16+D20+D23+D27),1)</f>
        <v>2450.1999999999998</v>
      </c>
      <c r="E29" s="467"/>
      <c r="F29" s="1462">
        <f>ROUND(SUM(F16+F20+F23+F27),1)</f>
        <v>4919.3999999999996</v>
      </c>
      <c r="G29" s="467"/>
      <c r="H29" s="1462">
        <f>ROUND(SUM(H16+H20+H23+H27),1)</f>
        <v>2701.9</v>
      </c>
      <c r="I29" s="213"/>
      <c r="J29" s="1241">
        <f>ROUND(SUM(J16+J20+J23+J27),1)</f>
        <v>2958.5</v>
      </c>
      <c r="K29" s="213"/>
      <c r="L29" s="1241">
        <f>ROUND(SUM(L16+L20+L23+L27),1)</f>
        <v>5547</v>
      </c>
      <c r="M29" s="213"/>
      <c r="N29" s="1241">
        <f>ROUND(SUM(N16+N20+N23+N27),1)</f>
        <v>1448.9</v>
      </c>
      <c r="O29" s="213"/>
      <c r="P29" s="1241">
        <f>ROUND(SUM(P16+P20+P23+P27),1)</f>
        <v>2139.5</v>
      </c>
      <c r="Q29" s="1253"/>
      <c r="R29" s="1241">
        <f>ROUND(SUM(R16+R20+R23+R27),1)</f>
        <v>5092.7</v>
      </c>
      <c r="S29" s="213"/>
      <c r="T29" s="1241">
        <f>ROUND(SUM(T16+T20+T23+T27),1)</f>
        <v>5244.6</v>
      </c>
      <c r="U29" s="213"/>
      <c r="V29" s="1241">
        <f>ROUND(SUM(V16+V20+V23+V27),1)</f>
        <v>2853.5</v>
      </c>
      <c r="W29" s="213"/>
      <c r="X29" s="1241">
        <f>ROUND(SUM(X16+X20+X23+X27),1)</f>
        <v>5239.6000000000004</v>
      </c>
      <c r="Y29" s="740"/>
      <c r="Z29" s="213"/>
      <c r="AA29" s="1241">
        <f>ROUND(SUM(AA16+AA20+AA23+AA27),1)</f>
        <v>49131.4</v>
      </c>
      <c r="AB29" s="741"/>
      <c r="AC29" s="214"/>
      <c r="AD29" s="1241">
        <f>ROUND(SUM(AD16+AD20+AD23+AD27),1)</f>
        <v>57479.6</v>
      </c>
      <c r="AE29" s="215"/>
      <c r="AF29" s="218"/>
      <c r="AG29" s="1241">
        <f>ROUND(SUM(AG16+AG20+AG23+AG27),1)</f>
        <v>-8348.2000000000007</v>
      </c>
      <c r="AH29" s="217"/>
      <c r="AI29" s="969">
        <f>ROUND(IF(AD29=0,0,AG29/ABS(AD29)),3)</f>
        <v>-0.14499999999999999</v>
      </c>
    </row>
    <row r="30" spans="1:35" ht="14.25" customHeight="1">
      <c r="A30" s="117"/>
      <c r="B30" s="467"/>
      <c r="C30" s="467"/>
      <c r="D30" s="467"/>
      <c r="E30" s="467"/>
      <c r="F30" s="467"/>
      <c r="G30" s="467"/>
      <c r="H30" s="467"/>
      <c r="I30" s="213"/>
      <c r="J30" s="36"/>
      <c r="K30" s="213"/>
      <c r="L30" s="36"/>
      <c r="M30" s="213"/>
      <c r="N30" s="36"/>
      <c r="O30" s="213"/>
      <c r="P30" s="36"/>
      <c r="Q30" s="213"/>
      <c r="R30" s="36"/>
      <c r="S30" s="213"/>
      <c r="T30" s="36"/>
      <c r="U30" s="213"/>
      <c r="V30" s="36"/>
      <c r="W30" s="213"/>
      <c r="X30" s="36"/>
      <c r="Y30" s="740"/>
      <c r="Z30" s="213"/>
      <c r="AA30" s="467"/>
      <c r="AB30" s="741"/>
      <c r="AC30" s="214"/>
      <c r="AD30" s="467"/>
      <c r="AE30" s="215"/>
      <c r="AF30" s="218"/>
      <c r="AG30" s="214"/>
      <c r="AH30" s="213"/>
      <c r="AI30" s="213"/>
    </row>
    <row r="31" spans="1:35" ht="14.25" customHeight="1">
      <c r="A31" s="117" t="s">
        <v>916</v>
      </c>
      <c r="B31" s="1242"/>
      <c r="C31" s="1011"/>
      <c r="D31" s="1011"/>
      <c r="E31" s="1011"/>
      <c r="F31" s="1011"/>
      <c r="G31" s="1011"/>
      <c r="H31" s="1011"/>
      <c r="I31" s="219"/>
      <c r="J31" s="219"/>
      <c r="K31" s="219"/>
      <c r="L31" s="219"/>
      <c r="M31" s="219"/>
      <c r="N31" s="219"/>
      <c r="O31" s="219"/>
      <c r="P31" s="219"/>
      <c r="Q31" s="219"/>
      <c r="R31" s="219"/>
      <c r="S31" s="219"/>
      <c r="T31" s="219"/>
      <c r="U31" s="219"/>
      <c r="V31" s="219"/>
      <c r="W31" s="219"/>
      <c r="X31" s="219"/>
      <c r="Y31" s="1243"/>
      <c r="Z31" s="219"/>
      <c r="AA31" s="1242"/>
      <c r="AB31" s="1243"/>
      <c r="AC31" s="219"/>
      <c r="AD31" s="1242"/>
      <c r="AE31" s="1526"/>
      <c r="AF31" s="1527"/>
      <c r="AG31" s="219"/>
      <c r="AH31" s="213"/>
      <c r="AI31" s="970"/>
    </row>
    <row r="32" spans="1:35" ht="14.25" customHeight="1">
      <c r="A32" s="597" t="s">
        <v>1032</v>
      </c>
      <c r="B32" s="1242"/>
      <c r="C32" s="1011"/>
      <c r="D32" s="1011"/>
      <c r="E32" s="1011"/>
      <c r="F32" s="1011"/>
      <c r="G32" s="1011"/>
      <c r="H32" s="1011"/>
      <c r="I32" s="219"/>
      <c r="J32" s="219"/>
      <c r="K32" s="219"/>
      <c r="L32" s="219"/>
      <c r="M32" s="219"/>
      <c r="N32" s="219"/>
      <c r="O32" s="219"/>
      <c r="P32" s="219"/>
      <c r="Q32" s="219"/>
      <c r="R32" s="219"/>
      <c r="S32" s="219"/>
      <c r="T32" s="219"/>
      <c r="U32" s="219"/>
      <c r="V32" s="219"/>
      <c r="W32" s="219"/>
      <c r="X32" s="219"/>
      <c r="Y32" s="1244"/>
      <c r="Z32" s="219"/>
      <c r="AA32" s="1242"/>
      <c r="AB32" s="1244"/>
      <c r="AC32" s="219"/>
      <c r="AD32" s="1242"/>
      <c r="AE32" s="1526"/>
      <c r="AF32" s="1527"/>
      <c r="AG32" s="219"/>
      <c r="AH32" s="213"/>
      <c r="AI32" s="970"/>
    </row>
    <row r="33" spans="1:35" ht="14.25" customHeight="1">
      <c r="A33" s="597" t="s">
        <v>920</v>
      </c>
      <c r="B33" s="919">
        <v>0</v>
      </c>
      <c r="C33" s="1011"/>
      <c r="D33" s="919">
        <v>0</v>
      </c>
      <c r="E33" s="1011"/>
      <c r="F33" s="919">
        <v>0</v>
      </c>
      <c r="G33" s="1011"/>
      <c r="H33" s="919">
        <v>0</v>
      </c>
      <c r="I33" s="1010"/>
      <c r="J33" s="919">
        <v>0</v>
      </c>
      <c r="K33" s="1010"/>
      <c r="L33" s="919">
        <v>0</v>
      </c>
      <c r="M33" s="1010"/>
      <c r="N33" s="919">
        <v>0</v>
      </c>
      <c r="O33" s="1010"/>
      <c r="P33" s="919">
        <v>0</v>
      </c>
      <c r="Q33" s="1010"/>
      <c r="R33" s="919">
        <v>0</v>
      </c>
      <c r="S33" s="1010"/>
      <c r="T33" s="919">
        <v>0</v>
      </c>
      <c r="U33" s="1010"/>
      <c r="V33" s="919">
        <v>0</v>
      </c>
      <c r="W33" s="1010"/>
      <c r="X33" s="919">
        <f>$AA33-$B33-$D33-$F33-$H33-$J33-$L33-$N33-$P33-$R33-$T33-$V33</f>
        <v>0</v>
      </c>
      <c r="Y33" s="740"/>
      <c r="Z33" s="213"/>
      <c r="AA33" s="919">
        <v>0</v>
      </c>
      <c r="AB33" s="741"/>
      <c r="AC33" s="214"/>
      <c r="AD33" s="919">
        <v>0</v>
      </c>
      <c r="AE33" s="1526"/>
      <c r="AF33" s="1527"/>
      <c r="AG33" s="219">
        <f>ROUND(SUM(AA33-AD33),1)</f>
        <v>0</v>
      </c>
      <c r="AH33" s="213"/>
      <c r="AI33" s="955">
        <f>ROUND(IF(AD33=0,0,AG33/ABS(AD33)),3)</f>
        <v>0</v>
      </c>
    </row>
    <row r="34" spans="1:35" ht="14.25" customHeight="1">
      <c r="A34" s="597" t="s">
        <v>1036</v>
      </c>
      <c r="B34" s="919" t="s">
        <v>14</v>
      </c>
      <c r="C34" s="1011"/>
      <c r="D34" s="919"/>
      <c r="E34" s="1011"/>
      <c r="F34" s="919"/>
      <c r="G34" s="1011"/>
      <c r="H34" s="919"/>
      <c r="I34" s="1010"/>
      <c r="J34" s="919"/>
      <c r="K34" s="1010"/>
      <c r="L34" s="919" t="s">
        <v>14</v>
      </c>
      <c r="M34" s="1010"/>
      <c r="N34" s="919" t="s">
        <v>14</v>
      </c>
      <c r="O34" s="1010"/>
      <c r="P34" s="919" t="s">
        <v>14</v>
      </c>
      <c r="Q34" s="1010"/>
      <c r="R34" s="919"/>
      <c r="S34" s="1010"/>
      <c r="T34" s="919"/>
      <c r="U34" s="1010"/>
      <c r="V34" s="919"/>
      <c r="W34" s="1010"/>
      <c r="X34" s="919"/>
      <c r="Y34" s="740"/>
      <c r="Z34" s="213"/>
      <c r="AA34" s="919"/>
      <c r="AB34" s="741"/>
      <c r="AC34" s="214"/>
      <c r="AD34" s="919"/>
      <c r="AE34" s="1526"/>
      <c r="AF34" s="1527"/>
      <c r="AG34" s="219"/>
      <c r="AH34" s="213"/>
      <c r="AI34" s="970"/>
    </row>
    <row r="35" spans="1:35" ht="14.25" customHeight="1">
      <c r="A35" s="597" t="s">
        <v>923</v>
      </c>
      <c r="B35" s="919">
        <v>0</v>
      </c>
      <c r="C35" s="1011"/>
      <c r="D35" s="919">
        <v>0</v>
      </c>
      <c r="E35" s="1011"/>
      <c r="F35" s="919">
        <v>0</v>
      </c>
      <c r="G35" s="1011"/>
      <c r="H35" s="919">
        <v>0</v>
      </c>
      <c r="I35" s="1010"/>
      <c r="J35" s="919">
        <v>0</v>
      </c>
      <c r="K35" s="1010"/>
      <c r="L35" s="919">
        <v>0</v>
      </c>
      <c r="M35" s="1010"/>
      <c r="N35" s="919">
        <v>0</v>
      </c>
      <c r="O35" s="1010"/>
      <c r="P35" s="919">
        <v>0</v>
      </c>
      <c r="Q35" s="1010"/>
      <c r="R35" s="919">
        <v>0</v>
      </c>
      <c r="S35" s="1010"/>
      <c r="T35" s="919">
        <v>0</v>
      </c>
      <c r="U35" s="1010"/>
      <c r="V35" s="919">
        <v>0</v>
      </c>
      <c r="W35" s="1010"/>
      <c r="X35" s="919">
        <f t="shared" ref="X35:X49" si="7">$AA35-$B35-$D35-$F35-$H35-$J35-$L35-$N35-$P35-$R35-$T35-$V35</f>
        <v>0</v>
      </c>
      <c r="Y35" s="740"/>
      <c r="Z35" s="213"/>
      <c r="AA35" s="919">
        <v>0</v>
      </c>
      <c r="AB35" s="741"/>
      <c r="AC35" s="214"/>
      <c r="AD35" s="919">
        <v>0</v>
      </c>
      <c r="AE35" s="1526"/>
      <c r="AF35" s="1527"/>
      <c r="AG35" s="219">
        <f t="shared" ref="AG35:AG45" si="8">ROUND(SUM(AA35-AD35),1)</f>
        <v>0</v>
      </c>
      <c r="AH35" s="213"/>
      <c r="AI35" s="955">
        <f t="shared" ref="AI35:AI45" si="9">ROUND(IF(AD35=0,0,AG35/ABS(AD35)),3)</f>
        <v>0</v>
      </c>
    </row>
    <row r="36" spans="1:35" ht="14.25" customHeight="1">
      <c r="A36" s="597" t="s">
        <v>924</v>
      </c>
      <c r="B36" s="919">
        <v>0</v>
      </c>
      <c r="C36" s="1011"/>
      <c r="D36" s="919">
        <v>0</v>
      </c>
      <c r="E36" s="1011"/>
      <c r="F36" s="919">
        <v>0</v>
      </c>
      <c r="G36" s="1011"/>
      <c r="H36" s="919">
        <v>0</v>
      </c>
      <c r="I36" s="1010"/>
      <c r="J36" s="919">
        <v>0</v>
      </c>
      <c r="K36" s="1010"/>
      <c r="L36" s="919">
        <v>0</v>
      </c>
      <c r="M36" s="1010"/>
      <c r="N36" s="919">
        <v>0</v>
      </c>
      <c r="O36" s="1010"/>
      <c r="P36" s="919">
        <v>0</v>
      </c>
      <c r="Q36" s="1010"/>
      <c r="R36" s="919">
        <v>0</v>
      </c>
      <c r="S36" s="1010"/>
      <c r="T36" s="919">
        <v>0</v>
      </c>
      <c r="U36" s="1010"/>
      <c r="V36" s="919">
        <v>0</v>
      </c>
      <c r="W36" s="1010"/>
      <c r="X36" s="919">
        <f t="shared" si="7"/>
        <v>0</v>
      </c>
      <c r="Y36" s="740"/>
      <c r="Z36" s="213"/>
      <c r="AA36" s="919">
        <v>0</v>
      </c>
      <c r="AB36" s="741"/>
      <c r="AC36" s="214"/>
      <c r="AD36" s="919">
        <v>0</v>
      </c>
      <c r="AE36" s="1526"/>
      <c r="AF36" s="1527"/>
      <c r="AG36" s="219">
        <f t="shared" si="8"/>
        <v>0</v>
      </c>
      <c r="AH36" s="213"/>
      <c r="AI36" s="955">
        <f t="shared" si="9"/>
        <v>0</v>
      </c>
    </row>
    <row r="37" spans="1:35" ht="14.25" customHeight="1">
      <c r="A37" s="597" t="s">
        <v>925</v>
      </c>
      <c r="B37" s="919">
        <v>0</v>
      </c>
      <c r="C37" s="1011"/>
      <c r="D37" s="919">
        <v>0</v>
      </c>
      <c r="E37" s="1011"/>
      <c r="F37" s="919">
        <v>0</v>
      </c>
      <c r="G37" s="1011"/>
      <c r="H37" s="919">
        <v>0</v>
      </c>
      <c r="I37" s="1010"/>
      <c r="J37" s="919">
        <v>0</v>
      </c>
      <c r="K37" s="1010"/>
      <c r="L37" s="919">
        <v>0</v>
      </c>
      <c r="M37" s="1010"/>
      <c r="N37" s="919">
        <v>0</v>
      </c>
      <c r="O37" s="1010"/>
      <c r="P37" s="919">
        <v>0</v>
      </c>
      <c r="Q37" s="1010"/>
      <c r="R37" s="919">
        <v>0</v>
      </c>
      <c r="S37" s="1010"/>
      <c r="T37" s="919">
        <v>0</v>
      </c>
      <c r="U37" s="1010"/>
      <c r="V37" s="919">
        <v>0</v>
      </c>
      <c r="W37" s="1010"/>
      <c r="X37" s="919">
        <f t="shared" si="7"/>
        <v>0</v>
      </c>
      <c r="Y37" s="740"/>
      <c r="Z37" s="213"/>
      <c r="AA37" s="919">
        <v>0</v>
      </c>
      <c r="AB37" s="741"/>
      <c r="AC37" s="214"/>
      <c r="AD37" s="919">
        <v>0</v>
      </c>
      <c r="AE37" s="1526"/>
      <c r="AF37" s="1527"/>
      <c r="AG37" s="219">
        <f t="shared" si="8"/>
        <v>0</v>
      </c>
      <c r="AH37" s="213"/>
      <c r="AI37" s="955">
        <f t="shared" si="9"/>
        <v>0</v>
      </c>
    </row>
    <row r="38" spans="1:35" ht="14.25" customHeight="1">
      <c r="A38" s="597" t="s">
        <v>926</v>
      </c>
      <c r="B38" s="919">
        <v>0</v>
      </c>
      <c r="C38" s="1011"/>
      <c r="D38" s="919">
        <v>0</v>
      </c>
      <c r="E38" s="1011"/>
      <c r="F38" s="919">
        <v>0</v>
      </c>
      <c r="G38" s="1011"/>
      <c r="H38" s="919">
        <v>0</v>
      </c>
      <c r="I38" s="1010"/>
      <c r="J38" s="919">
        <v>0</v>
      </c>
      <c r="K38" s="1010"/>
      <c r="L38" s="919">
        <v>0</v>
      </c>
      <c r="M38" s="1010"/>
      <c r="N38" s="919">
        <v>0</v>
      </c>
      <c r="O38" s="1010"/>
      <c r="P38" s="919">
        <v>0</v>
      </c>
      <c r="Q38" s="1010"/>
      <c r="R38" s="919">
        <v>0</v>
      </c>
      <c r="S38" s="1010"/>
      <c r="T38" s="919">
        <v>0</v>
      </c>
      <c r="U38" s="1010"/>
      <c r="V38" s="919">
        <v>0</v>
      </c>
      <c r="W38" s="1010"/>
      <c r="X38" s="919">
        <f t="shared" si="7"/>
        <v>0</v>
      </c>
      <c r="Y38" s="740"/>
      <c r="Z38" s="213"/>
      <c r="AA38" s="919">
        <v>0</v>
      </c>
      <c r="AB38" s="741"/>
      <c r="AC38" s="214"/>
      <c r="AD38" s="919">
        <v>0</v>
      </c>
      <c r="AE38" s="1526"/>
      <c r="AF38" s="1527"/>
      <c r="AG38" s="219">
        <f t="shared" si="8"/>
        <v>0</v>
      </c>
      <c r="AH38" s="213"/>
      <c r="AI38" s="955">
        <f t="shared" si="9"/>
        <v>0</v>
      </c>
    </row>
    <row r="39" spans="1:35" ht="14.25" customHeight="1">
      <c r="A39" s="597" t="s">
        <v>927</v>
      </c>
      <c r="B39" s="919">
        <v>0</v>
      </c>
      <c r="C39" s="1011"/>
      <c r="D39" s="919">
        <v>0</v>
      </c>
      <c r="E39" s="1011"/>
      <c r="F39" s="919">
        <v>0</v>
      </c>
      <c r="G39" s="1011"/>
      <c r="H39" s="919">
        <v>0</v>
      </c>
      <c r="I39" s="1010"/>
      <c r="J39" s="919">
        <v>0</v>
      </c>
      <c r="K39" s="1010"/>
      <c r="L39" s="919">
        <v>0</v>
      </c>
      <c r="M39" s="1010"/>
      <c r="N39" s="919">
        <v>0</v>
      </c>
      <c r="O39" s="1010"/>
      <c r="P39" s="919">
        <v>0</v>
      </c>
      <c r="Q39" s="1010"/>
      <c r="R39" s="919">
        <v>0</v>
      </c>
      <c r="S39" s="1010"/>
      <c r="T39" s="919">
        <v>0</v>
      </c>
      <c r="U39" s="1010"/>
      <c r="V39" s="919">
        <v>0</v>
      </c>
      <c r="W39" s="1010"/>
      <c r="X39" s="919">
        <f t="shared" si="7"/>
        <v>0</v>
      </c>
      <c r="Y39" s="740"/>
      <c r="Z39" s="213"/>
      <c r="AA39" s="919">
        <v>0</v>
      </c>
      <c r="AB39" s="741"/>
      <c r="AC39" s="214"/>
      <c r="AD39" s="919">
        <v>0</v>
      </c>
      <c r="AE39" s="1526"/>
      <c r="AF39" s="1527"/>
      <c r="AG39" s="219">
        <f t="shared" si="8"/>
        <v>0</v>
      </c>
      <c r="AH39" s="213"/>
      <c r="AI39" s="955">
        <f t="shared" si="9"/>
        <v>0</v>
      </c>
    </row>
    <row r="40" spans="1:35" ht="14.25" customHeight="1">
      <c r="A40" s="597" t="s">
        <v>928</v>
      </c>
      <c r="B40" s="919">
        <v>0</v>
      </c>
      <c r="C40" s="1011"/>
      <c r="D40" s="919">
        <v>0</v>
      </c>
      <c r="E40" s="1011"/>
      <c r="F40" s="919">
        <v>0</v>
      </c>
      <c r="G40" s="1011"/>
      <c r="H40" s="919">
        <v>0</v>
      </c>
      <c r="I40" s="1010"/>
      <c r="J40" s="919">
        <v>0</v>
      </c>
      <c r="K40" s="1010"/>
      <c r="L40" s="919">
        <v>0</v>
      </c>
      <c r="M40" s="1010"/>
      <c r="N40" s="919">
        <v>0</v>
      </c>
      <c r="O40" s="1010"/>
      <c r="P40" s="919">
        <v>0</v>
      </c>
      <c r="Q40" s="1010"/>
      <c r="R40" s="919">
        <v>0</v>
      </c>
      <c r="S40" s="1010"/>
      <c r="T40" s="919">
        <v>0</v>
      </c>
      <c r="U40" s="1010"/>
      <c r="V40" s="919">
        <v>0</v>
      </c>
      <c r="W40" s="1010"/>
      <c r="X40" s="919">
        <f t="shared" si="7"/>
        <v>0</v>
      </c>
      <c r="Y40" s="740"/>
      <c r="Z40" s="213"/>
      <c r="AA40" s="919">
        <v>0</v>
      </c>
      <c r="AB40" s="741"/>
      <c r="AC40" s="214"/>
      <c r="AD40" s="919">
        <v>0</v>
      </c>
      <c r="AE40" s="1526"/>
      <c r="AF40" s="1527"/>
      <c r="AG40" s="219">
        <f t="shared" si="8"/>
        <v>0</v>
      </c>
      <c r="AH40" s="213"/>
      <c r="AI40" s="955">
        <f t="shared" si="9"/>
        <v>0</v>
      </c>
    </row>
    <row r="41" spans="1:35" ht="14.25" customHeight="1">
      <c r="A41" s="597" t="s">
        <v>918</v>
      </c>
      <c r="B41" s="919">
        <v>0</v>
      </c>
      <c r="C41" s="1011"/>
      <c r="D41" s="919">
        <v>0</v>
      </c>
      <c r="E41" s="1011"/>
      <c r="F41" s="919">
        <v>0</v>
      </c>
      <c r="G41" s="1011"/>
      <c r="H41" s="919">
        <v>0</v>
      </c>
      <c r="I41" s="1010"/>
      <c r="J41" s="919">
        <v>0</v>
      </c>
      <c r="K41" s="1010"/>
      <c r="L41" s="919">
        <v>0</v>
      </c>
      <c r="M41" s="1010"/>
      <c r="N41" s="919">
        <v>0</v>
      </c>
      <c r="O41" s="1010"/>
      <c r="P41" s="919">
        <v>0.1</v>
      </c>
      <c r="Q41" s="1010"/>
      <c r="R41" s="919">
        <v>0</v>
      </c>
      <c r="S41" s="1010"/>
      <c r="T41" s="919">
        <v>0.1</v>
      </c>
      <c r="U41" s="1010"/>
      <c r="V41" s="919">
        <v>0</v>
      </c>
      <c r="W41" s="1010"/>
      <c r="X41" s="919">
        <f t="shared" si="7"/>
        <v>0</v>
      </c>
      <c r="Y41" s="740"/>
      <c r="Z41" s="213"/>
      <c r="AA41" s="919">
        <v>0.2</v>
      </c>
      <c r="AB41" s="741"/>
      <c r="AC41" s="214"/>
      <c r="AD41" s="919">
        <v>0</v>
      </c>
      <c r="AE41" s="1526"/>
      <c r="AF41" s="1527"/>
      <c r="AG41" s="219">
        <f t="shared" si="8"/>
        <v>0.2</v>
      </c>
      <c r="AH41" s="213"/>
      <c r="AI41" s="955">
        <f>ROUND(IF(AD41=0,1,AG41/ABS(AD41)),3)</f>
        <v>1</v>
      </c>
    </row>
    <row r="42" spans="1:35" ht="14.25" customHeight="1">
      <c r="A42" s="597" t="s">
        <v>935</v>
      </c>
      <c r="B42" s="919">
        <v>0</v>
      </c>
      <c r="C42" s="1011"/>
      <c r="D42" s="919">
        <v>0</v>
      </c>
      <c r="E42" s="1011"/>
      <c r="F42" s="919">
        <v>1</v>
      </c>
      <c r="G42" s="1011"/>
      <c r="H42" s="919">
        <v>0</v>
      </c>
      <c r="I42" s="1010"/>
      <c r="J42" s="919">
        <v>0</v>
      </c>
      <c r="K42" s="1010"/>
      <c r="L42" s="919">
        <v>0</v>
      </c>
      <c r="M42" s="1010"/>
      <c r="N42" s="919">
        <v>0</v>
      </c>
      <c r="O42" s="1010"/>
      <c r="P42" s="919">
        <v>3.8</v>
      </c>
      <c r="Q42" s="1010"/>
      <c r="R42" s="919">
        <v>0</v>
      </c>
      <c r="S42" s="1010"/>
      <c r="T42" s="919">
        <v>0</v>
      </c>
      <c r="U42" s="1010"/>
      <c r="V42" s="919">
        <v>0</v>
      </c>
      <c r="W42" s="1010"/>
      <c r="X42" s="919">
        <f t="shared" si="7"/>
        <v>0</v>
      </c>
      <c r="Y42" s="740"/>
      <c r="Z42" s="213"/>
      <c r="AA42" s="919">
        <v>4.8</v>
      </c>
      <c r="AB42" s="741"/>
      <c r="AC42" s="214"/>
      <c r="AD42" s="919">
        <v>3.3</v>
      </c>
      <c r="AE42" s="1526"/>
      <c r="AF42" s="1527"/>
      <c r="AG42" s="219">
        <f>ROUND(SUM(AA42-AD42),1)</f>
        <v>1.5</v>
      </c>
      <c r="AH42" s="213"/>
      <c r="AI42" s="955">
        <f>ROUND(IF(AD42=0,0,AG42/ABS(AD42)),3)</f>
        <v>0.45500000000000002</v>
      </c>
    </row>
    <row r="43" spans="1:35" ht="14.25" customHeight="1">
      <c r="A43" s="597" t="s">
        <v>1034</v>
      </c>
      <c r="B43" s="919" t="s">
        <v>14</v>
      </c>
      <c r="C43" s="1011"/>
      <c r="D43" s="919"/>
      <c r="E43" s="1011"/>
      <c r="F43" s="919"/>
      <c r="G43" s="1011"/>
      <c r="H43" s="919"/>
      <c r="I43" s="1010"/>
      <c r="J43" s="919"/>
      <c r="K43" s="1010"/>
      <c r="L43" s="919" t="s">
        <v>14</v>
      </c>
      <c r="M43" s="1010"/>
      <c r="N43" s="919" t="s">
        <v>14</v>
      </c>
      <c r="O43" s="1010"/>
      <c r="P43" s="919" t="s">
        <v>14</v>
      </c>
      <c r="Q43" s="1010"/>
      <c r="R43" s="919"/>
      <c r="S43" s="1010"/>
      <c r="T43" s="919"/>
      <c r="U43" s="1010"/>
      <c r="V43" s="919"/>
      <c r="W43" s="1010"/>
      <c r="X43" s="919"/>
      <c r="Y43" s="1528"/>
      <c r="Z43" s="213"/>
      <c r="AA43" s="919" t="s">
        <v>14</v>
      </c>
      <c r="AB43" s="1330"/>
      <c r="AC43" s="1932" t="s">
        <v>14</v>
      </c>
      <c r="AD43" s="919" t="s">
        <v>14</v>
      </c>
      <c r="AE43" s="1526"/>
      <c r="AF43" s="2103" t="s">
        <v>14</v>
      </c>
      <c r="AG43" s="2104" t="s">
        <v>14</v>
      </c>
      <c r="AH43" s="213"/>
      <c r="AI43" s="955" t="s">
        <v>14</v>
      </c>
    </row>
    <row r="44" spans="1:35" ht="14.25" customHeight="1">
      <c r="A44" s="597" t="s">
        <v>961</v>
      </c>
      <c r="B44" s="919">
        <v>0</v>
      </c>
      <c r="C44" s="1011"/>
      <c r="D44" s="919">
        <v>0</v>
      </c>
      <c r="E44" s="1011"/>
      <c r="F44" s="919">
        <v>0</v>
      </c>
      <c r="G44" s="1011"/>
      <c r="H44" s="919">
        <v>0</v>
      </c>
      <c r="I44" s="1010"/>
      <c r="J44" s="919">
        <v>0</v>
      </c>
      <c r="K44" s="1010"/>
      <c r="L44" s="919">
        <v>0</v>
      </c>
      <c r="M44" s="1010"/>
      <c r="N44" s="919">
        <v>0</v>
      </c>
      <c r="O44" s="1010"/>
      <c r="P44" s="919">
        <v>0</v>
      </c>
      <c r="Q44" s="1010"/>
      <c r="R44" s="919">
        <v>0</v>
      </c>
      <c r="S44" s="1010"/>
      <c r="T44" s="919">
        <v>0</v>
      </c>
      <c r="U44" s="1010"/>
      <c r="V44" s="919">
        <v>0</v>
      </c>
      <c r="W44" s="1010"/>
      <c r="X44" s="919">
        <f t="shared" si="7"/>
        <v>0</v>
      </c>
      <c r="Y44" s="1528"/>
      <c r="Z44" s="213"/>
      <c r="AA44" s="919">
        <v>0</v>
      </c>
      <c r="AB44" s="1330"/>
      <c r="AC44" s="214"/>
      <c r="AD44" s="919">
        <v>0</v>
      </c>
      <c r="AE44" s="1526"/>
      <c r="AF44" s="1527"/>
      <c r="AG44" s="219">
        <f>ROUND(SUM(AA44-AD44),1)</f>
        <v>0</v>
      </c>
      <c r="AH44" s="213"/>
      <c r="AI44" s="955">
        <f>ROUND(IF(AD44=0,0,AG44/ABS(AD44)),3)</f>
        <v>0</v>
      </c>
    </row>
    <row r="45" spans="1:35" ht="14.25" customHeight="1">
      <c r="A45" s="597" t="s">
        <v>936</v>
      </c>
      <c r="B45" s="919">
        <v>0</v>
      </c>
      <c r="C45" s="1011"/>
      <c r="D45" s="919">
        <v>0</v>
      </c>
      <c r="E45" s="1011"/>
      <c r="F45" s="919">
        <v>0</v>
      </c>
      <c r="G45" s="1011"/>
      <c r="H45" s="919">
        <v>0</v>
      </c>
      <c r="I45" s="1010"/>
      <c r="J45" s="919">
        <v>0</v>
      </c>
      <c r="K45" s="1010"/>
      <c r="L45" s="919">
        <v>0</v>
      </c>
      <c r="M45" s="1010"/>
      <c r="N45" s="919">
        <v>0</v>
      </c>
      <c r="O45" s="1010"/>
      <c r="P45" s="919">
        <v>0</v>
      </c>
      <c r="Q45" s="1010"/>
      <c r="R45" s="919">
        <v>0</v>
      </c>
      <c r="S45" s="1010"/>
      <c r="T45" s="919">
        <v>0</v>
      </c>
      <c r="U45" s="1010"/>
      <c r="V45" s="919">
        <v>0</v>
      </c>
      <c r="W45" s="1010"/>
      <c r="X45" s="919">
        <f t="shared" si="7"/>
        <v>0</v>
      </c>
      <c r="Y45" s="740"/>
      <c r="Z45" s="213"/>
      <c r="AA45" s="919">
        <v>0</v>
      </c>
      <c r="AB45" s="741"/>
      <c r="AC45" s="214"/>
      <c r="AD45" s="919">
        <v>0</v>
      </c>
      <c r="AE45" s="1526"/>
      <c r="AF45" s="1527"/>
      <c r="AG45" s="219">
        <f t="shared" si="8"/>
        <v>0</v>
      </c>
      <c r="AH45" s="213"/>
      <c r="AI45" s="955">
        <f t="shared" si="9"/>
        <v>0</v>
      </c>
    </row>
    <row r="46" spans="1:35" ht="14.25" customHeight="1">
      <c r="A46" s="597" t="s">
        <v>1035</v>
      </c>
      <c r="B46" s="919" t="s">
        <v>14</v>
      </c>
      <c r="C46" s="1011"/>
      <c r="D46" s="919"/>
      <c r="E46" s="1011"/>
      <c r="F46" s="919"/>
      <c r="G46" s="1011"/>
      <c r="H46" s="919"/>
      <c r="I46" s="1010"/>
      <c r="J46" s="919"/>
      <c r="K46" s="1010"/>
      <c r="L46" s="919" t="s">
        <v>14</v>
      </c>
      <c r="M46" s="1010"/>
      <c r="N46" s="919" t="s">
        <v>14</v>
      </c>
      <c r="O46" s="1010"/>
      <c r="P46" s="919" t="s">
        <v>14</v>
      </c>
      <c r="Q46" s="1010"/>
      <c r="R46" s="919"/>
      <c r="S46" s="1010"/>
      <c r="T46" s="919"/>
      <c r="U46" s="1010"/>
      <c r="V46" s="919"/>
      <c r="W46" s="1010"/>
      <c r="X46" s="919"/>
      <c r="Y46" s="740"/>
      <c r="Z46" s="213"/>
      <c r="AA46" s="919"/>
      <c r="AB46" s="741"/>
      <c r="AC46" s="214"/>
      <c r="AD46" s="919"/>
      <c r="AE46" s="1526"/>
      <c r="AF46" s="1527"/>
      <c r="AG46" s="219"/>
      <c r="AH46" s="213"/>
      <c r="AI46" s="970"/>
    </row>
    <row r="47" spans="1:35" ht="14.25" customHeight="1">
      <c r="A47" s="597" t="s">
        <v>1100</v>
      </c>
      <c r="B47" s="919">
        <v>58.6</v>
      </c>
      <c r="C47" s="1011"/>
      <c r="D47" s="919">
        <v>25.9</v>
      </c>
      <c r="E47" s="1011"/>
      <c r="F47" s="919">
        <v>44.099999999999987</v>
      </c>
      <c r="G47" s="1011"/>
      <c r="H47" s="919">
        <v>46.499999999999993</v>
      </c>
      <c r="I47" s="1010"/>
      <c r="J47" s="919">
        <v>26.20000000000001</v>
      </c>
      <c r="K47" s="1010"/>
      <c r="L47" s="919">
        <v>49.199999999999996</v>
      </c>
      <c r="M47" s="1010"/>
      <c r="N47" s="919">
        <v>18.600000000000016</v>
      </c>
      <c r="O47" s="1010"/>
      <c r="P47" s="919">
        <v>79.699999999999989</v>
      </c>
      <c r="Q47" s="1010"/>
      <c r="R47" s="919">
        <v>15.900000000000034</v>
      </c>
      <c r="S47" s="1010"/>
      <c r="T47" s="919">
        <v>31.599999999999994</v>
      </c>
      <c r="U47" s="1010"/>
      <c r="V47" s="919">
        <v>30.399999999999977</v>
      </c>
      <c r="W47" s="1010"/>
      <c r="X47" s="919">
        <f t="shared" si="7"/>
        <v>23.900000000000034</v>
      </c>
      <c r="Y47" s="740"/>
      <c r="Z47" s="213"/>
      <c r="AA47" s="919">
        <v>450.6</v>
      </c>
      <c r="AB47" s="741"/>
      <c r="AC47" s="214"/>
      <c r="AD47" s="919">
        <v>424.4</v>
      </c>
      <c r="AE47" s="1526"/>
      <c r="AF47" s="1527"/>
      <c r="AG47" s="219">
        <f>ROUND(SUM(AA47-AD47),1)</f>
        <v>26.2</v>
      </c>
      <c r="AH47" s="213"/>
      <c r="AI47" s="971">
        <f>ROUND(IF(AD47=0,0,AG47/ABS(AD47)),3)</f>
        <v>6.2E-2</v>
      </c>
    </row>
    <row r="48" spans="1:35" ht="14.25" customHeight="1">
      <c r="A48" s="597" t="s">
        <v>945</v>
      </c>
      <c r="B48" s="919">
        <v>0</v>
      </c>
      <c r="C48" s="1011"/>
      <c r="D48" s="919">
        <v>0</v>
      </c>
      <c r="E48" s="1011"/>
      <c r="F48" s="919">
        <v>0</v>
      </c>
      <c r="G48" s="1011"/>
      <c r="H48" s="919">
        <v>0</v>
      </c>
      <c r="I48" s="1010"/>
      <c r="J48" s="919">
        <v>0</v>
      </c>
      <c r="K48" s="1010"/>
      <c r="L48" s="919">
        <v>0</v>
      </c>
      <c r="M48" s="1010"/>
      <c r="N48" s="919">
        <v>0</v>
      </c>
      <c r="O48" s="1010"/>
      <c r="P48" s="919">
        <v>0</v>
      </c>
      <c r="Q48" s="1010"/>
      <c r="R48" s="919">
        <v>0</v>
      </c>
      <c r="S48" s="1010"/>
      <c r="T48" s="919">
        <v>0</v>
      </c>
      <c r="U48" s="1010"/>
      <c r="V48" s="919">
        <v>0</v>
      </c>
      <c r="W48" s="1010"/>
      <c r="X48" s="919">
        <f t="shared" si="7"/>
        <v>0</v>
      </c>
      <c r="Y48" s="1528"/>
      <c r="Z48" s="213"/>
      <c r="AA48" s="919">
        <v>0</v>
      </c>
      <c r="AB48" s="1330"/>
      <c r="AC48" s="214"/>
      <c r="AD48" s="919">
        <v>0.1</v>
      </c>
      <c r="AE48" s="1526"/>
      <c r="AF48" s="1527"/>
      <c r="AG48" s="219">
        <f>ROUND(SUM(AA48-AD48),1)</f>
        <v>-0.1</v>
      </c>
      <c r="AH48" s="213"/>
      <c r="AI48" s="955">
        <f>ROUND(IF(AD48=0,0,AG48/ABS(AD48)),3)</f>
        <v>-1</v>
      </c>
    </row>
    <row r="49" spans="1:36" ht="14.25" customHeight="1">
      <c r="A49" s="597" t="s">
        <v>946</v>
      </c>
      <c r="B49" s="919">
        <v>0</v>
      </c>
      <c r="C49" s="1011"/>
      <c r="D49" s="919">
        <v>0</v>
      </c>
      <c r="E49" s="1011"/>
      <c r="F49" s="919">
        <v>0</v>
      </c>
      <c r="G49" s="1011"/>
      <c r="H49" s="919">
        <v>0</v>
      </c>
      <c r="I49" s="1010"/>
      <c r="J49" s="919">
        <v>0</v>
      </c>
      <c r="K49" s="1010"/>
      <c r="L49" s="919">
        <v>0</v>
      </c>
      <c r="M49" s="1010"/>
      <c r="N49" s="919">
        <v>0</v>
      </c>
      <c r="O49" s="1010"/>
      <c r="P49" s="919">
        <v>0</v>
      </c>
      <c r="Q49" s="1010"/>
      <c r="R49" s="919">
        <v>0</v>
      </c>
      <c r="S49" s="1010"/>
      <c r="T49" s="919">
        <v>0</v>
      </c>
      <c r="U49" s="1010"/>
      <c r="V49" s="919">
        <v>0</v>
      </c>
      <c r="W49" s="1010"/>
      <c r="X49" s="919">
        <f t="shared" si="7"/>
        <v>0</v>
      </c>
      <c r="Y49" s="740"/>
      <c r="Z49" s="213"/>
      <c r="AA49" s="919">
        <v>0</v>
      </c>
      <c r="AB49" s="741"/>
      <c r="AC49" s="214"/>
      <c r="AD49" s="919">
        <v>0</v>
      </c>
      <c r="AE49" s="1526"/>
      <c r="AF49" s="1527"/>
      <c r="AG49" s="219">
        <f>ROUND(SUM(AA49-AD49),1)</f>
        <v>0</v>
      </c>
      <c r="AH49" s="213"/>
      <c r="AI49" s="955">
        <f>ROUND(IF(AD49=0,0,AG49/ABS(AD49)),3)</f>
        <v>0</v>
      </c>
    </row>
    <row r="50" spans="1:36" s="1534" customFormat="1" ht="15.5">
      <c r="A50" s="217" t="s">
        <v>980</v>
      </c>
      <c r="B50" s="178">
        <f>ROUND(SUM(B33:B49),1)</f>
        <v>58.6</v>
      </c>
      <c r="C50" s="1529"/>
      <c r="D50" s="178">
        <f>ROUND(SUM(D33:D49),1)</f>
        <v>25.9</v>
      </c>
      <c r="E50" s="1529"/>
      <c r="F50" s="178">
        <f>ROUND(SUM(F33:F49),1)</f>
        <v>45.1</v>
      </c>
      <c r="G50" s="1529"/>
      <c r="H50" s="178">
        <f>ROUND(SUM(H33:H49),1)</f>
        <v>46.5</v>
      </c>
      <c r="I50" s="743"/>
      <c r="J50" s="41">
        <f>ROUND(SUM(J33:J49),1)</f>
        <v>26.2</v>
      </c>
      <c r="K50" s="743"/>
      <c r="L50" s="41">
        <f>ROUND(SUM(L33:L49),1)</f>
        <v>49.2</v>
      </c>
      <c r="M50" s="743"/>
      <c r="N50" s="41">
        <f>ROUND(SUM(N33:N49),1)</f>
        <v>18.600000000000001</v>
      </c>
      <c r="O50" s="743"/>
      <c r="P50" s="41">
        <f>ROUND(SUM(P33:P49),1)</f>
        <v>83.6</v>
      </c>
      <c r="Q50" s="42"/>
      <c r="R50" s="41">
        <f t="shared" ref="R50" si="10">ROUND(SUM(R33:R49),1)</f>
        <v>15.9</v>
      </c>
      <c r="S50" s="743"/>
      <c r="T50" s="41">
        <f>ROUND(SUM(T33:T49),1)</f>
        <v>31.7</v>
      </c>
      <c r="U50" s="743"/>
      <c r="V50" s="41">
        <f>ROUND(SUM(V33:V49),1)</f>
        <v>30.4</v>
      </c>
      <c r="W50" s="743"/>
      <c r="X50" s="41">
        <f>ROUND(SUM(X33:X49),1)</f>
        <v>23.9</v>
      </c>
      <c r="Y50" s="1530"/>
      <c r="Z50" s="743"/>
      <c r="AA50" s="41">
        <f>ROUND(SUM(AA33:AA49),1)</f>
        <v>455.6</v>
      </c>
      <c r="AB50" s="1530"/>
      <c r="AC50" s="743"/>
      <c r="AD50" s="41">
        <f>ROUND(SUM(AD33:AD49),1)</f>
        <v>427.8</v>
      </c>
      <c r="AE50" s="1531"/>
      <c r="AF50" s="1532"/>
      <c r="AG50" s="41">
        <f>ROUND(SUM(AG33:AG49),1)</f>
        <v>27.8</v>
      </c>
      <c r="AH50" s="217"/>
      <c r="AI50" s="1533">
        <f>ROUND(IF(AD50=0,0,AG50/ABS(AD50)),3)</f>
        <v>6.5000000000000002E-2</v>
      </c>
      <c r="AJ50" s="1504"/>
    </row>
    <row r="51" spans="1:36" s="1534" customFormat="1" ht="14.25" customHeight="1">
      <c r="A51" s="217"/>
      <c r="B51" s="42"/>
      <c r="C51" s="1529"/>
      <c r="D51" s="42"/>
      <c r="E51" s="1529"/>
      <c r="F51" s="42"/>
      <c r="G51" s="1529"/>
      <c r="H51" s="42"/>
      <c r="I51" s="743"/>
      <c r="J51" s="42"/>
      <c r="K51" s="743"/>
      <c r="L51" s="42"/>
      <c r="M51" s="743"/>
      <c r="N51" s="42"/>
      <c r="O51" s="743"/>
      <c r="P51" s="42"/>
      <c r="Q51" s="743"/>
      <c r="R51" s="42"/>
      <c r="S51" s="743"/>
      <c r="T51" s="42"/>
      <c r="U51" s="743"/>
      <c r="V51" s="42"/>
      <c r="W51" s="743"/>
      <c r="X51" s="42"/>
      <c r="Y51" s="1535"/>
      <c r="Z51" s="743"/>
      <c r="AA51" s="42"/>
      <c r="AB51" s="1535"/>
      <c r="AC51" s="743"/>
      <c r="AD51" s="42"/>
      <c r="AE51" s="1531"/>
      <c r="AF51" s="1532"/>
      <c r="AG51" s="743"/>
      <c r="AH51" s="217"/>
      <c r="AI51" s="1522"/>
      <c r="AJ51" s="1504"/>
    </row>
    <row r="52" spans="1:36" ht="15.5">
      <c r="A52" s="1536" t="s">
        <v>834</v>
      </c>
      <c r="B52" s="919">
        <v>0</v>
      </c>
      <c r="C52" s="1011"/>
      <c r="D52" s="919">
        <v>0</v>
      </c>
      <c r="E52" s="1011"/>
      <c r="F52" s="919">
        <v>1.3</v>
      </c>
      <c r="G52" s="1011"/>
      <c r="H52" s="919">
        <v>3</v>
      </c>
      <c r="I52" s="219"/>
      <c r="J52" s="919">
        <v>36.5</v>
      </c>
      <c r="K52" s="219"/>
      <c r="L52" s="919">
        <v>0</v>
      </c>
      <c r="M52" s="219"/>
      <c r="N52" s="919">
        <v>0</v>
      </c>
      <c r="O52" s="219"/>
      <c r="P52" s="919">
        <v>0</v>
      </c>
      <c r="Q52" s="219"/>
      <c r="R52" s="919">
        <v>0</v>
      </c>
      <c r="S52" s="219"/>
      <c r="T52" s="919">
        <v>8.6000000000000014</v>
      </c>
      <c r="U52" s="219"/>
      <c r="V52" s="919">
        <v>21.6</v>
      </c>
      <c r="W52" s="219"/>
      <c r="X52" s="919">
        <f>$AA52-$B52-$D52-$F52-$H52-$J52-$L52-$N52-$P52-$R52-$T52-$V52</f>
        <v>0</v>
      </c>
      <c r="Y52" s="1537"/>
      <c r="Z52" s="219"/>
      <c r="AA52" s="1538">
        <v>71</v>
      </c>
      <c r="AB52" s="1537"/>
      <c r="AC52" s="219"/>
      <c r="AD52" s="1538">
        <v>67.8</v>
      </c>
      <c r="AE52" s="1526"/>
      <c r="AF52" s="1527"/>
      <c r="AG52" s="1539">
        <f>ROUND(SUM(AA52-AD52),1)</f>
        <v>3.2</v>
      </c>
      <c r="AH52" s="213"/>
      <c r="AI52" s="956">
        <f>ROUND(IF(AD52=0,1,AG52/ABS(AD52)),3)</f>
        <v>4.7E-2</v>
      </c>
    </row>
    <row r="53" spans="1:36" ht="12" customHeight="1">
      <c r="A53" s="213"/>
      <c r="B53" s="1540"/>
      <c r="C53" s="1011"/>
      <c r="D53" s="1540"/>
      <c r="E53" s="1011"/>
      <c r="F53" s="1540"/>
      <c r="G53" s="1011"/>
      <c r="H53" s="1540"/>
      <c r="I53" s="219"/>
      <c r="J53" s="1541"/>
      <c r="K53" s="219"/>
      <c r="L53" s="1541"/>
      <c r="M53" s="219"/>
      <c r="N53" s="1541"/>
      <c r="O53" s="219"/>
      <c r="P53" s="1541"/>
      <c r="Q53" s="219"/>
      <c r="R53" s="1541"/>
      <c r="S53" s="219"/>
      <c r="T53" s="1541"/>
      <c r="U53" s="219"/>
      <c r="V53" s="1541"/>
      <c r="W53" s="219"/>
      <c r="X53" s="1541"/>
      <c r="Y53" s="1537"/>
      <c r="Z53" s="219"/>
      <c r="AA53" s="1011"/>
      <c r="AB53" s="1537"/>
      <c r="AC53" s="219"/>
      <c r="AD53" s="1011"/>
      <c r="AE53" s="1526"/>
      <c r="AF53" s="1527"/>
      <c r="AG53" s="219"/>
      <c r="AH53" s="213"/>
      <c r="AI53" s="213"/>
    </row>
    <row r="54" spans="1:36" ht="14.25" customHeight="1">
      <c r="A54" s="217" t="s">
        <v>184</v>
      </c>
      <c r="B54" s="1153">
        <f>B29+B50+B52</f>
        <v>8594.2000000000007</v>
      </c>
      <c r="C54" s="1529"/>
      <c r="D54" s="1153">
        <f>D29+D50+D52</f>
        <v>2476.1</v>
      </c>
      <c r="E54" s="1542"/>
      <c r="F54" s="1153">
        <f>ROUND(SUM(F29+F50+F52),1)</f>
        <v>4965.8</v>
      </c>
      <c r="G54" s="1542"/>
      <c r="H54" s="1153">
        <f>ROUND(SUM(H29+H50+H52),1)</f>
        <v>2751.4</v>
      </c>
      <c r="I54" s="1543"/>
      <c r="J54" s="220">
        <f>ROUND(SUM(J29+J50+J52),1)</f>
        <v>3021.2</v>
      </c>
      <c r="K54" s="1543"/>
      <c r="L54" s="220">
        <f>ROUND(SUM(L29+L50+L52),1)</f>
        <v>5596.2</v>
      </c>
      <c r="M54" s="1543"/>
      <c r="N54" s="220">
        <f>ROUND(SUM(N29+N50+N52),1)</f>
        <v>1467.5</v>
      </c>
      <c r="O54" s="1543"/>
      <c r="P54" s="220">
        <f>ROUND(SUM(P29+P50+P52),1)</f>
        <v>2223.1</v>
      </c>
      <c r="Q54" s="743"/>
      <c r="R54" s="220">
        <f t="shared" ref="R54" si="11">ROUND(SUM(R29+R50+R52),1)</f>
        <v>5108.6000000000004</v>
      </c>
      <c r="S54" s="1543"/>
      <c r="T54" s="220">
        <f>ROUND(SUM(T29+T50+T52),1)</f>
        <v>5284.9</v>
      </c>
      <c r="U54" s="1543"/>
      <c r="V54" s="220">
        <f>ROUND(SUM(V29+V50+V52),1)</f>
        <v>2905.5</v>
      </c>
      <c r="W54" s="1543"/>
      <c r="X54" s="220">
        <f>ROUND(SUM(X29+X50+X52),1)</f>
        <v>5263.5</v>
      </c>
      <c r="Y54" s="1530"/>
      <c r="Z54" s="743"/>
      <c r="AA54" s="220">
        <f>ROUND(SUM(AA29+AA50+AA52),1)</f>
        <v>49658</v>
      </c>
      <c r="AB54" s="1530"/>
      <c r="AC54" s="743"/>
      <c r="AD54" s="220">
        <f>ROUND(SUM(AD29+AD50+AD52),1)</f>
        <v>57975.199999999997</v>
      </c>
      <c r="AE54" s="1531"/>
      <c r="AF54" s="1532"/>
      <c r="AG54" s="220">
        <f>ROUND(SUM(AG29+AG50+AG52),1)</f>
        <v>-8317.2000000000007</v>
      </c>
      <c r="AH54" s="217"/>
      <c r="AI54" s="969">
        <f>ROUND(IF(AD54=0,0,AG54/ABS(AD54)),3)</f>
        <v>-0.14299999999999999</v>
      </c>
      <c r="AJ54" s="1544"/>
    </row>
    <row r="55" spans="1:36" ht="19.5" customHeight="1">
      <c r="A55" s="213"/>
      <c r="B55" s="1011"/>
      <c r="C55" s="1011"/>
      <c r="D55" s="1011"/>
      <c r="E55" s="1011"/>
      <c r="F55" s="1011"/>
      <c r="G55" s="1011"/>
      <c r="H55" s="1011"/>
      <c r="I55" s="219"/>
      <c r="J55" s="219"/>
      <c r="K55" s="219"/>
      <c r="L55" s="219"/>
      <c r="M55" s="219"/>
      <c r="N55" s="219"/>
      <c r="O55" s="219"/>
      <c r="P55" s="219"/>
      <c r="Q55" s="219"/>
      <c r="R55" s="219"/>
      <c r="S55" s="219"/>
      <c r="T55" s="219"/>
      <c r="U55" s="219"/>
      <c r="V55" s="219"/>
      <c r="W55" s="219"/>
      <c r="X55" s="219"/>
      <c r="Y55" s="1537"/>
      <c r="Z55" s="219"/>
      <c r="AA55" s="1011"/>
      <c r="AB55" s="1537"/>
      <c r="AC55" s="219"/>
      <c r="AD55" s="1011"/>
      <c r="AE55" s="1526"/>
      <c r="AF55" s="1527"/>
      <c r="AG55" s="219"/>
      <c r="AH55" s="213"/>
      <c r="AI55" s="213"/>
    </row>
    <row r="56" spans="1:36" ht="15.5">
      <c r="A56" s="1545" t="s">
        <v>185</v>
      </c>
      <c r="B56" s="1011"/>
      <c r="C56" s="1011"/>
      <c r="D56" s="1011"/>
      <c r="E56" s="1011"/>
      <c r="F56" s="1011"/>
      <c r="G56" s="1011"/>
      <c r="H56" s="1011"/>
      <c r="I56" s="219"/>
      <c r="J56" s="219"/>
      <c r="K56" s="219"/>
      <c r="L56" s="219"/>
      <c r="M56" s="219"/>
      <c r="N56" s="219"/>
      <c r="O56" s="219"/>
      <c r="P56" s="219"/>
      <c r="Q56" s="219"/>
      <c r="R56" s="219"/>
      <c r="S56" s="219"/>
      <c r="T56" s="219"/>
      <c r="U56" s="219"/>
      <c r="V56" s="219"/>
      <c r="W56" s="219"/>
      <c r="X56" s="219"/>
      <c r="Y56" s="1537"/>
      <c r="Z56" s="219"/>
      <c r="AA56" s="1011"/>
      <c r="AB56" s="1537"/>
      <c r="AC56" s="219"/>
      <c r="AD56" s="1011"/>
      <c r="AE56" s="1526"/>
      <c r="AF56" s="1527"/>
      <c r="AG56" s="219"/>
      <c r="AH56" s="213"/>
      <c r="AI56" s="213"/>
    </row>
    <row r="57" spans="1:36" ht="14.25" customHeight="1">
      <c r="A57" s="1546" t="s">
        <v>149</v>
      </c>
      <c r="B57" s="1011"/>
      <c r="C57" s="1011"/>
      <c r="D57" s="1011"/>
      <c r="E57" s="1011"/>
      <c r="F57" s="1011"/>
      <c r="G57" s="1011"/>
      <c r="H57" s="1011"/>
      <c r="I57" s="219"/>
      <c r="J57" s="219"/>
      <c r="K57" s="219"/>
      <c r="L57" s="219"/>
      <c r="M57" s="219"/>
      <c r="N57" s="219"/>
      <c r="O57" s="219"/>
      <c r="P57" s="219"/>
      <c r="Q57" s="219"/>
      <c r="R57" s="219"/>
      <c r="S57" s="219"/>
      <c r="T57" s="219"/>
      <c r="U57" s="219"/>
      <c r="V57" s="219"/>
      <c r="W57" s="219"/>
      <c r="X57" s="219"/>
      <c r="Y57" s="1537"/>
      <c r="Z57" s="219"/>
      <c r="AA57" s="1011"/>
      <c r="AB57" s="1537"/>
      <c r="AC57" s="219"/>
      <c r="AD57" s="1011"/>
      <c r="AE57" s="1526"/>
      <c r="AF57" s="1527"/>
      <c r="AG57" s="219"/>
      <c r="AH57" s="213"/>
      <c r="AI57" s="213"/>
    </row>
    <row r="58" spans="1:36" ht="14.25" customHeight="1">
      <c r="A58" s="1546" t="s">
        <v>37</v>
      </c>
      <c r="B58" s="919">
        <v>0</v>
      </c>
      <c r="C58" s="1011"/>
      <c r="D58" s="919">
        <v>1.5</v>
      </c>
      <c r="E58" s="1547"/>
      <c r="F58" s="919">
        <v>0.10000000000000009</v>
      </c>
      <c r="G58" s="1011"/>
      <c r="H58" s="919">
        <v>17.499999999999996</v>
      </c>
      <c r="I58" s="219"/>
      <c r="J58" s="919">
        <v>5.3000000000000025</v>
      </c>
      <c r="K58" s="219"/>
      <c r="L58" s="919">
        <v>0.79999999999999893</v>
      </c>
      <c r="M58" s="219"/>
      <c r="N58" s="919">
        <v>0.10000000000000142</v>
      </c>
      <c r="O58" s="219"/>
      <c r="P58" s="919">
        <v>0.80000000000000071</v>
      </c>
      <c r="Q58" s="219"/>
      <c r="R58" s="919">
        <v>0</v>
      </c>
      <c r="S58" s="219"/>
      <c r="T58" s="919">
        <v>0</v>
      </c>
      <c r="U58" s="219"/>
      <c r="V58" s="919">
        <v>4.5</v>
      </c>
      <c r="W58" s="219"/>
      <c r="X58" s="919">
        <f>$AA58-$B58-$D58-$F58-$H58-$J58-$L58-$N58-$P58-$R58-$T58-$V58</f>
        <v>17.000000000000004</v>
      </c>
      <c r="Y58" s="1537"/>
      <c r="Z58" s="219"/>
      <c r="AA58" s="1242">
        <v>47.6</v>
      </c>
      <c r="AB58" s="1537"/>
      <c r="AC58" s="219"/>
      <c r="AD58" s="1242">
        <v>14.2</v>
      </c>
      <c r="AE58" s="1526"/>
      <c r="AF58" s="1527"/>
      <c r="AG58" s="219">
        <f>ROUND(SUM(AA58-AD58),1)</f>
        <v>33.4</v>
      </c>
      <c r="AH58" s="213"/>
      <c r="AI58" s="971">
        <f>ROUND(IF(AD58=0,1,AG58/ABS(AD58)),3)</f>
        <v>2.3519999999999999</v>
      </c>
    </row>
    <row r="59" spans="1:36" ht="14.25" customHeight="1">
      <c r="A59" s="1548" t="s">
        <v>1262</v>
      </c>
      <c r="B59" s="919" t="s">
        <v>1148</v>
      </c>
      <c r="C59" s="1011"/>
      <c r="D59" s="919"/>
      <c r="E59" s="1011"/>
      <c r="F59" s="919"/>
      <c r="G59" s="1011"/>
      <c r="H59" s="919"/>
      <c r="I59" s="219"/>
      <c r="J59" s="919"/>
      <c r="K59" s="219"/>
      <c r="L59" s="919" t="s">
        <v>1148</v>
      </c>
      <c r="M59" s="219"/>
      <c r="N59" s="919" t="s">
        <v>14</v>
      </c>
      <c r="O59" s="219"/>
      <c r="P59" s="919" t="s">
        <v>14</v>
      </c>
      <c r="Q59" s="219"/>
      <c r="R59" s="919"/>
      <c r="S59" s="219"/>
      <c r="T59" s="919"/>
      <c r="U59" s="219"/>
      <c r="V59" s="919"/>
      <c r="W59" s="219"/>
      <c r="X59" s="919"/>
      <c r="Y59" s="1537"/>
      <c r="Z59" s="219"/>
      <c r="AA59" s="1011"/>
      <c r="AB59" s="1537"/>
      <c r="AC59" s="219"/>
      <c r="AD59" s="1011"/>
      <c r="AE59" s="1526"/>
      <c r="AF59" s="1527"/>
      <c r="AG59" s="219"/>
      <c r="AH59" s="213"/>
      <c r="AI59" s="213"/>
    </row>
    <row r="60" spans="1:36" ht="14.25" customHeight="1">
      <c r="A60" s="1549" t="s">
        <v>1041</v>
      </c>
      <c r="B60" s="919">
        <v>115.8</v>
      </c>
      <c r="C60" s="1011"/>
      <c r="D60" s="919">
        <v>29.500000000000014</v>
      </c>
      <c r="E60" s="1011"/>
      <c r="F60" s="919">
        <v>46.7</v>
      </c>
      <c r="G60" s="1011"/>
      <c r="H60" s="919">
        <v>8</v>
      </c>
      <c r="I60" s="219"/>
      <c r="J60" s="919">
        <v>164.3</v>
      </c>
      <c r="K60" s="219"/>
      <c r="L60" s="919">
        <v>1061.1000000000001</v>
      </c>
      <c r="M60" s="219"/>
      <c r="N60" s="919">
        <v>2.3999999999998636</v>
      </c>
      <c r="O60" s="219"/>
      <c r="P60" s="919">
        <v>12.799999999999955</v>
      </c>
      <c r="Q60" s="219"/>
      <c r="R60" s="919">
        <v>82.700000000000045</v>
      </c>
      <c r="S60" s="219"/>
      <c r="T60" s="919">
        <v>1.2999999999999545</v>
      </c>
      <c r="U60" s="219"/>
      <c r="V60" s="919">
        <v>389.10000000000014</v>
      </c>
      <c r="W60" s="219"/>
      <c r="X60" s="919">
        <f>$AA60-$B60-$D60-$F60-$H60-$J60-$L60-$N60-$P60-$R60-$T60-$V60</f>
        <v>8567.2000000000007</v>
      </c>
      <c r="Y60" s="1537"/>
      <c r="Z60" s="219"/>
      <c r="AA60" s="1550">
        <v>10480.9</v>
      </c>
      <c r="AB60" s="1537"/>
      <c r="AC60" s="219"/>
      <c r="AD60" s="1550">
        <v>12544.9</v>
      </c>
      <c r="AE60" s="1526"/>
      <c r="AF60" s="1527"/>
      <c r="AG60" s="1551">
        <f>ROUND(SUM(AA60-AD60),1)</f>
        <v>-2064</v>
      </c>
      <c r="AH60" s="213"/>
      <c r="AI60" s="956">
        <f>ROUND(IF(AD60=0,0,AG60/ABS(AD60)),3)</f>
        <v>-0.16500000000000001</v>
      </c>
    </row>
    <row r="61" spans="1:36" ht="15.5">
      <c r="A61" s="213"/>
      <c r="B61" s="1540"/>
      <c r="C61" s="1011"/>
      <c r="D61" s="1540"/>
      <c r="E61" s="1011"/>
      <c r="F61" s="1540"/>
      <c r="G61" s="1011"/>
      <c r="H61" s="1540"/>
      <c r="I61" s="219"/>
      <c r="J61" s="1541"/>
      <c r="K61" s="219"/>
      <c r="L61" s="1541"/>
      <c r="M61" s="219"/>
      <c r="N61" s="1541"/>
      <c r="O61" s="219"/>
      <c r="P61" s="1541"/>
      <c r="Q61" s="219"/>
      <c r="R61" s="1541"/>
      <c r="S61" s="219"/>
      <c r="T61" s="1541"/>
      <c r="U61" s="219"/>
      <c r="V61" s="1541"/>
      <c r="W61" s="219"/>
      <c r="X61" s="1541"/>
      <c r="Y61" s="1537"/>
      <c r="Z61" s="219"/>
      <c r="AA61" s="1011"/>
      <c r="AB61" s="1537"/>
      <c r="AC61" s="219"/>
      <c r="AD61" s="1011"/>
      <c r="AE61" s="1526"/>
      <c r="AF61" s="1527"/>
      <c r="AG61" s="219"/>
      <c r="AH61" s="213"/>
      <c r="AI61" s="213"/>
    </row>
    <row r="62" spans="1:36" ht="14.25" customHeight="1">
      <c r="A62" s="1545" t="s">
        <v>186</v>
      </c>
      <c r="B62" s="1153">
        <f>ROUND(SUM(B58:B60),1)</f>
        <v>115.8</v>
      </c>
      <c r="C62" s="1529"/>
      <c r="D62" s="1153">
        <f>ROUND(SUM(D58:D60),1)</f>
        <v>31</v>
      </c>
      <c r="E62" s="1542"/>
      <c r="F62" s="1153">
        <f>ROUND(SUM(F58:F60),1)</f>
        <v>46.8</v>
      </c>
      <c r="G62" s="1542"/>
      <c r="H62" s="1153">
        <f>ROUND(SUM(H58:H60),1)</f>
        <v>25.5</v>
      </c>
      <c r="I62" s="1543"/>
      <c r="J62" s="220">
        <f>ROUND(SUM(J58:J60),1)</f>
        <v>169.6</v>
      </c>
      <c r="K62" s="1543"/>
      <c r="L62" s="220">
        <f>ROUND(SUM(L58:L60),1)</f>
        <v>1061.9000000000001</v>
      </c>
      <c r="M62" s="1543"/>
      <c r="N62" s="220">
        <f>ROUND(SUM(N58:N60),1)</f>
        <v>2.5</v>
      </c>
      <c r="O62" s="1543"/>
      <c r="P62" s="220">
        <f>ROUND(SUM(P58:P60),1)</f>
        <v>13.6</v>
      </c>
      <c r="Q62" s="743"/>
      <c r="R62" s="220">
        <f t="shared" ref="R62" si="12">ROUND(SUM(R58:R60),1)</f>
        <v>82.7</v>
      </c>
      <c r="S62" s="1543"/>
      <c r="T62" s="220">
        <f>ROUND(SUM(T58:T60),1)</f>
        <v>1.3</v>
      </c>
      <c r="U62" s="1543"/>
      <c r="V62" s="220">
        <f>ROUND(SUM(V58:V60),1)</f>
        <v>393.6</v>
      </c>
      <c r="W62" s="1543"/>
      <c r="X62" s="220">
        <f>ROUND(SUM(X58:X60),1)</f>
        <v>8584.2000000000007</v>
      </c>
      <c r="Y62" s="1530"/>
      <c r="Z62" s="743"/>
      <c r="AA62" s="220">
        <f>ROUND(SUM(AA58:AA60),1)</f>
        <v>10528.5</v>
      </c>
      <c r="AB62" s="1530"/>
      <c r="AC62" s="743"/>
      <c r="AD62" s="220">
        <f>ROUND(SUM(AD58:AD60),1)</f>
        <v>12559.1</v>
      </c>
      <c r="AE62" s="1531"/>
      <c r="AF62" s="1532"/>
      <c r="AG62" s="220">
        <f>ROUND(SUM(AG58:AG60),1)</f>
        <v>-2030.6</v>
      </c>
      <c r="AH62" s="217"/>
      <c r="AI62" s="969">
        <f>ROUND(IF(AD62=0,0,AG62/ABS(AD62)),3)</f>
        <v>-0.16200000000000001</v>
      </c>
      <c r="AJ62" s="1552"/>
    </row>
    <row r="63" spans="1:36" ht="12" customHeight="1">
      <c r="A63" s="213"/>
      <c r="B63" s="1011"/>
      <c r="C63" s="1011"/>
      <c r="D63" s="1553"/>
      <c r="E63" s="1553"/>
      <c r="F63" s="1553"/>
      <c r="G63" s="1553"/>
      <c r="H63" s="1553"/>
      <c r="I63" s="1554"/>
      <c r="J63" s="1554"/>
      <c r="K63" s="1554"/>
      <c r="L63" s="1554"/>
      <c r="M63" s="1554"/>
      <c r="N63" s="1554"/>
      <c r="O63" s="1554"/>
      <c r="P63" s="1554"/>
      <c r="Q63" s="1554"/>
      <c r="R63" s="1554"/>
      <c r="S63" s="1554"/>
      <c r="T63" s="1554"/>
      <c r="U63" s="1554"/>
      <c r="V63" s="1554"/>
      <c r="W63" s="1554"/>
      <c r="X63" s="1554"/>
      <c r="Y63" s="1537"/>
      <c r="Z63" s="219"/>
      <c r="AA63" s="1011"/>
      <c r="AB63" s="1537"/>
      <c r="AC63" s="219"/>
      <c r="AD63" s="1011"/>
      <c r="AE63" s="1526"/>
      <c r="AF63" s="1527"/>
      <c r="AG63" s="219"/>
      <c r="AH63" s="213"/>
      <c r="AI63" s="213"/>
    </row>
    <row r="64" spans="1:36" ht="14.25" customHeight="1">
      <c r="A64" s="1545" t="s">
        <v>43</v>
      </c>
      <c r="B64" s="1011"/>
      <c r="C64" s="1011"/>
      <c r="D64" s="1553"/>
      <c r="E64" s="1553"/>
      <c r="F64" s="1553"/>
      <c r="G64" s="1553"/>
      <c r="H64" s="1553"/>
      <c r="I64" s="1554"/>
      <c r="J64" s="1554"/>
      <c r="K64" s="1554"/>
      <c r="L64" s="1554"/>
      <c r="M64" s="1554"/>
      <c r="N64" s="1554"/>
      <c r="O64" s="1554"/>
      <c r="P64" s="1554"/>
      <c r="Q64" s="1554"/>
      <c r="R64" s="1554"/>
      <c r="S64" s="1554"/>
      <c r="T64" s="1554"/>
      <c r="U64" s="1554"/>
      <c r="V64" s="1554"/>
      <c r="W64" s="1554"/>
      <c r="X64" s="1554"/>
      <c r="Y64" s="1537"/>
      <c r="Z64" s="219"/>
      <c r="AA64" s="1011"/>
      <c r="AB64" s="1537"/>
      <c r="AC64" s="219"/>
      <c r="AD64" s="1011"/>
      <c r="AE64" s="1526"/>
      <c r="AF64" s="1527"/>
      <c r="AG64" s="219"/>
      <c r="AH64" s="213"/>
      <c r="AI64" s="213"/>
    </row>
    <row r="65" spans="1:38" ht="14.25" customHeight="1">
      <c r="A65" s="217" t="s">
        <v>187</v>
      </c>
      <c r="B65" s="1153">
        <f>ROUND(SUM(B54-B62),1)</f>
        <v>8478.4</v>
      </c>
      <c r="C65" s="1529"/>
      <c r="D65" s="1153">
        <f>ROUND(SUM(D54-D62),1)</f>
        <v>2445.1</v>
      </c>
      <c r="E65" s="1542"/>
      <c r="F65" s="1153">
        <f>ROUND(SUM(F54-F62),1)</f>
        <v>4919</v>
      </c>
      <c r="G65" s="1542"/>
      <c r="H65" s="1153">
        <f>ROUND(SUM(H54-H62),1)</f>
        <v>2725.9</v>
      </c>
      <c r="I65" s="1543"/>
      <c r="J65" s="220">
        <f>ROUND(SUM(J54-J62),1)</f>
        <v>2851.6</v>
      </c>
      <c r="K65" s="1543"/>
      <c r="L65" s="220">
        <f>ROUND(SUM(L54-L62),1)</f>
        <v>4534.3</v>
      </c>
      <c r="M65" s="1543"/>
      <c r="N65" s="220">
        <f>ROUND(SUM(N54-N62),1)</f>
        <v>1465</v>
      </c>
      <c r="O65" s="1543"/>
      <c r="P65" s="220">
        <f>ROUND(SUM(P54-P62),1)</f>
        <v>2209.5</v>
      </c>
      <c r="Q65" s="743"/>
      <c r="R65" s="220">
        <f t="shared" ref="R65" si="13">ROUND(SUM(R54-R62),1)</f>
        <v>5025.8999999999996</v>
      </c>
      <c r="S65" s="1543"/>
      <c r="T65" s="220">
        <f>ROUND(SUM(T54-T62),1)</f>
        <v>5283.6</v>
      </c>
      <c r="U65" s="1543"/>
      <c r="V65" s="220">
        <f>ROUND(SUM(V54-V62),1)</f>
        <v>2511.9</v>
      </c>
      <c r="W65" s="1543"/>
      <c r="X65" s="220">
        <f>ROUND(SUM(X54-X62),1)</f>
        <v>-3320.7</v>
      </c>
      <c r="Y65" s="1530"/>
      <c r="Z65" s="743"/>
      <c r="AA65" s="220">
        <f>ROUND(SUM(AA54-AA62),1)</f>
        <v>39129.5</v>
      </c>
      <c r="AB65" s="1530"/>
      <c r="AC65" s="743"/>
      <c r="AD65" s="220">
        <f>ROUND(SUM(AD54-AD62),1)</f>
        <v>45416.1</v>
      </c>
      <c r="AE65" s="1531"/>
      <c r="AF65" s="1532"/>
      <c r="AG65" s="220">
        <f>ROUND(SUM(+AG54-AG62),1)</f>
        <v>-6286.6</v>
      </c>
      <c r="AH65" s="217"/>
      <c r="AI65" s="969">
        <f>ROUND(IF(AD65=0,0,AG65/ABS(AD65)),3)</f>
        <v>-0.13800000000000001</v>
      </c>
      <c r="AJ65" s="1544"/>
    </row>
    <row r="66" spans="1:38" ht="19.5" customHeight="1">
      <c r="A66" s="213"/>
      <c r="B66" s="1011"/>
      <c r="C66" s="1011"/>
      <c r="D66" s="1011"/>
      <c r="E66" s="1011"/>
      <c r="F66" s="1011"/>
      <c r="G66" s="1011"/>
      <c r="H66" s="1011"/>
      <c r="I66" s="219"/>
      <c r="J66" s="219"/>
      <c r="K66" s="219"/>
      <c r="L66" s="219"/>
      <c r="M66" s="219"/>
      <c r="N66" s="219"/>
      <c r="O66" s="219"/>
      <c r="P66" s="219"/>
      <c r="Q66" s="219"/>
      <c r="R66" s="219"/>
      <c r="S66" s="219"/>
      <c r="T66" s="219"/>
      <c r="U66" s="219"/>
      <c r="V66" s="219"/>
      <c r="W66" s="219"/>
      <c r="X66" s="219"/>
      <c r="Y66" s="1537"/>
      <c r="Z66" s="219"/>
      <c r="AA66" s="1011"/>
      <c r="AB66" s="1537"/>
      <c r="AC66" s="219"/>
      <c r="AD66" s="1011"/>
      <c r="AE66" s="1526"/>
      <c r="AF66" s="1527"/>
      <c r="AG66" s="219"/>
      <c r="AH66" s="213"/>
      <c r="AI66" s="213"/>
    </row>
    <row r="67" spans="1:38" ht="14.25" customHeight="1">
      <c r="A67" s="1545" t="s">
        <v>45</v>
      </c>
      <c r="B67" s="1011"/>
      <c r="C67" s="1011"/>
      <c r="D67" s="1011"/>
      <c r="E67" s="1011"/>
      <c r="F67" s="1011"/>
      <c r="G67" s="1011"/>
      <c r="H67" s="1011"/>
      <c r="I67" s="219"/>
      <c r="J67" s="219"/>
      <c r="K67" s="219"/>
      <c r="L67" s="219"/>
      <c r="M67" s="219"/>
      <c r="N67" s="219"/>
      <c r="O67" s="219"/>
      <c r="P67" s="219"/>
      <c r="Q67" s="219"/>
      <c r="R67" s="219"/>
      <c r="S67" s="219"/>
      <c r="T67" s="219"/>
      <c r="U67" s="219"/>
      <c r="V67" s="219"/>
      <c r="W67" s="219"/>
      <c r="X67" s="219"/>
      <c r="Y67" s="1537"/>
      <c r="Z67" s="219"/>
      <c r="AA67" s="1011"/>
      <c r="AB67" s="1537"/>
      <c r="AC67" s="219"/>
      <c r="AD67" s="1011"/>
      <c r="AE67" s="1526"/>
      <c r="AF67" s="1527"/>
      <c r="AG67" s="219"/>
      <c r="AH67" s="213"/>
      <c r="AI67" s="213"/>
    </row>
    <row r="68" spans="1:38" ht="14.25" customHeight="1">
      <c r="A68" s="1546" t="s">
        <v>178</v>
      </c>
      <c r="B68" s="919">
        <v>353</v>
      </c>
      <c r="C68" s="1011"/>
      <c r="D68" s="919">
        <v>20.599999999999966</v>
      </c>
      <c r="E68" s="1011"/>
      <c r="F68" s="919">
        <v>190.70000000000005</v>
      </c>
      <c r="G68" s="1011"/>
      <c r="H68" s="919">
        <v>131.09999999999997</v>
      </c>
      <c r="I68" s="219"/>
      <c r="J68" s="919">
        <v>8.8000000000001251</v>
      </c>
      <c r="K68" s="219"/>
      <c r="L68" s="919">
        <v>174.19999999999987</v>
      </c>
      <c r="M68" s="219"/>
      <c r="N68" s="919">
        <v>59.60000000000008</v>
      </c>
      <c r="O68" s="219"/>
      <c r="P68" s="919">
        <v>122.59999999999991</v>
      </c>
      <c r="Q68" s="219"/>
      <c r="R68" s="919">
        <v>150.7000000000001</v>
      </c>
      <c r="S68" s="219"/>
      <c r="T68" s="919">
        <v>208.5</v>
      </c>
      <c r="U68" s="219"/>
      <c r="V68" s="919">
        <v>75.900000000000034</v>
      </c>
      <c r="W68" s="219"/>
      <c r="X68" s="919">
        <f>$AA68-$B68-$D68-$F68-$H68-$J68-$L68-$N68-$P68-$R68-$T68-$V68</f>
        <v>145.89999999999986</v>
      </c>
      <c r="Y68" s="1537"/>
      <c r="Z68" s="219"/>
      <c r="AA68" s="1242">
        <v>1641.6</v>
      </c>
      <c r="AB68" s="1537"/>
      <c r="AC68" s="219"/>
      <c r="AD68" s="1242">
        <v>1896.1</v>
      </c>
      <c r="AE68" s="1526"/>
      <c r="AF68" s="1527"/>
      <c r="AG68" s="219">
        <f>ROUND(SUM(AA68-AD68),1)</f>
        <v>-254.5</v>
      </c>
      <c r="AH68" s="213"/>
      <c r="AI68" s="955">
        <f>ROUND(IF(AD68=0,0,AG68/ABS(AD68)),3)</f>
        <v>-0.13400000000000001</v>
      </c>
    </row>
    <row r="69" spans="1:38" ht="14.25" customHeight="1">
      <c r="A69" s="1546" t="s">
        <v>188</v>
      </c>
      <c r="B69" s="919">
        <v>-8667.5</v>
      </c>
      <c r="C69" s="1011"/>
      <c r="D69" s="919">
        <v>-2411.3999999999996</v>
      </c>
      <c r="E69" s="1011"/>
      <c r="F69" s="919">
        <v>-4905.8999999999996</v>
      </c>
      <c r="G69" s="1011"/>
      <c r="H69" s="919">
        <v>-2534.9000000000015</v>
      </c>
      <c r="I69" s="219"/>
      <c r="J69" s="919">
        <v>-2205.7000000000007</v>
      </c>
      <c r="K69" s="219"/>
      <c r="L69" s="919">
        <v>-5579.1999999999971</v>
      </c>
      <c r="M69" s="219"/>
      <c r="N69" s="919">
        <v>-1414.100000000004</v>
      </c>
      <c r="O69" s="219"/>
      <c r="P69" s="919">
        <v>-2191.5999999999985</v>
      </c>
      <c r="Q69" s="219"/>
      <c r="R69" s="919">
        <v>-4658.8999999999924</v>
      </c>
      <c r="S69" s="219"/>
      <c r="T69" s="919">
        <v>-2711.3000000000029</v>
      </c>
      <c r="U69" s="219"/>
      <c r="V69" s="919">
        <v>-1438.3000000000029</v>
      </c>
      <c r="W69" s="219"/>
      <c r="X69" s="919">
        <f>$AA69-$B69-$D69-$F69-$H69-$J69-$L69-$N69-$P69-$R69-$T69-$V69</f>
        <v>-1994.8999999999942</v>
      </c>
      <c r="Y69" s="1537"/>
      <c r="Z69" s="219"/>
      <c r="AA69" s="1555">
        <v>-40713.699999999997</v>
      </c>
      <c r="AB69" s="1537"/>
      <c r="AC69" s="219"/>
      <c r="AD69" s="1555">
        <v>-47275.199999999997</v>
      </c>
      <c r="AE69" s="1526"/>
      <c r="AF69" s="1527"/>
      <c r="AG69" s="1551">
        <f>ROUND(SUM(-(AA69-AD69)),1)</f>
        <v>-6561.5</v>
      </c>
      <c r="AH69" s="213"/>
      <c r="AI69" s="956">
        <f>ROUND(IF(AD69=0,0,AG69/ABS(AD69)),3)</f>
        <v>-0.13900000000000001</v>
      </c>
    </row>
    <row r="70" spans="1:38" ht="15.5">
      <c r="A70" s="213"/>
      <c r="B70" s="1541"/>
      <c r="C70" s="219"/>
      <c r="D70" s="1556"/>
      <c r="E70" s="219"/>
      <c r="F70" s="1556"/>
      <c r="G70" s="219"/>
      <c r="H70" s="1556"/>
      <c r="I70" s="219"/>
      <c r="J70" s="1556"/>
      <c r="K70" s="219"/>
      <c r="L70" s="1556"/>
      <c r="M70" s="219"/>
      <c r="N70" s="1556"/>
      <c r="O70" s="219"/>
      <c r="P70" s="1556"/>
      <c r="Q70" s="219"/>
      <c r="R70" s="1556"/>
      <c r="S70" s="219"/>
      <c r="T70" s="1556"/>
      <c r="U70" s="219"/>
      <c r="V70" s="1556"/>
      <c r="W70" s="219"/>
      <c r="X70" s="1556"/>
      <c r="Y70" s="1537"/>
      <c r="Z70" s="219"/>
      <c r="AA70" s="1011"/>
      <c r="AB70" s="1537"/>
      <c r="AC70" s="219"/>
      <c r="AD70" s="1011"/>
      <c r="AE70" s="1526"/>
      <c r="AF70" s="1527"/>
      <c r="AG70" s="219"/>
      <c r="AH70" s="213"/>
      <c r="AI70" s="213"/>
    </row>
    <row r="71" spans="1:38" ht="14.25" customHeight="1">
      <c r="A71" s="1545" t="s">
        <v>853</v>
      </c>
      <c r="B71" s="1241">
        <f>ROUND(SUM(B68:B69),1)</f>
        <v>-8314.5</v>
      </c>
      <c r="C71" s="743"/>
      <c r="D71" s="1241">
        <f>ROUND(SUM(D68:D69),1)</f>
        <v>-2390.8000000000002</v>
      </c>
      <c r="E71" s="1543"/>
      <c r="F71" s="1241">
        <f>ROUND(SUM(F68:F69),1)</f>
        <v>-4715.2</v>
      </c>
      <c r="G71" s="1543"/>
      <c r="H71" s="1241">
        <f>ROUND(SUM(H68:H69),1)</f>
        <v>-2403.8000000000002</v>
      </c>
      <c r="I71" s="1543"/>
      <c r="J71" s="1241">
        <f>ROUND(SUM(J68:J69),1)</f>
        <v>-2196.9</v>
      </c>
      <c r="K71" s="1543"/>
      <c r="L71" s="1241">
        <f>ROUND(SUM(L68:L69),1)</f>
        <v>-5405</v>
      </c>
      <c r="M71" s="1543"/>
      <c r="N71" s="1241">
        <f>ROUND(SUM(N68:N69),1)</f>
        <v>-1354.5</v>
      </c>
      <c r="O71" s="1543"/>
      <c r="P71" s="1241">
        <f>ROUND(SUM(P68:P69),1)</f>
        <v>-2069</v>
      </c>
      <c r="Q71" s="1253"/>
      <c r="R71" s="1241">
        <f t="shared" ref="R71" si="14">ROUND(SUM(R68:R69),1)</f>
        <v>-4508.2</v>
      </c>
      <c r="S71" s="1543"/>
      <c r="T71" s="1241">
        <f>ROUND(SUM(T68:T69),1)</f>
        <v>-2502.8000000000002</v>
      </c>
      <c r="U71" s="1543"/>
      <c r="V71" s="1241">
        <f>ROUND(SUM(V68:V69),1)</f>
        <v>-1362.4</v>
      </c>
      <c r="W71" s="1543"/>
      <c r="X71" s="1241">
        <f>ROUND(SUM(X68:X69),1)</f>
        <v>-1849</v>
      </c>
      <c r="Y71" s="1530"/>
      <c r="Z71" s="743"/>
      <c r="AA71" s="1241">
        <f>ROUND(SUM(AA68:AA69),1)</f>
        <v>-39072.1</v>
      </c>
      <c r="AB71" s="1530"/>
      <c r="AC71" s="743"/>
      <c r="AD71" s="1241">
        <f>ROUND(SUM(AD68:AD69),1)</f>
        <v>-45379.1</v>
      </c>
      <c r="AE71" s="1531"/>
      <c r="AF71" s="1532"/>
      <c r="AG71" s="1241">
        <f>ROUND(SUM(AA71-AD71),1)</f>
        <v>6307</v>
      </c>
      <c r="AH71" s="217"/>
      <c r="AI71" s="969">
        <f>ROUND(IF(AD71=0,0,AG71/ABS(AD71)),3)</f>
        <v>0.13900000000000001</v>
      </c>
      <c r="AJ71" s="1544"/>
    </row>
    <row r="72" spans="1:38" ht="19.5" customHeight="1">
      <c r="A72" s="213"/>
      <c r="B72" s="219"/>
      <c r="C72" s="219"/>
      <c r="D72" s="1526"/>
      <c r="E72" s="219"/>
      <c r="F72" s="1526"/>
      <c r="G72" s="219"/>
      <c r="H72" s="1526"/>
      <c r="I72" s="219"/>
      <c r="J72" s="1526"/>
      <c r="K72" s="219"/>
      <c r="L72" s="1526"/>
      <c r="M72" s="219"/>
      <c r="N72" s="1526"/>
      <c r="O72" s="219"/>
      <c r="P72" s="1526"/>
      <c r="Q72" s="219"/>
      <c r="R72" s="1526"/>
      <c r="S72" s="219"/>
      <c r="T72" s="1526"/>
      <c r="U72" s="219"/>
      <c r="V72" s="1526"/>
      <c r="W72" s="219"/>
      <c r="X72" s="1526"/>
      <c r="Y72" s="1537"/>
      <c r="Z72" s="219"/>
      <c r="AA72" s="1011"/>
      <c r="AB72" s="1537"/>
      <c r="AC72" s="219"/>
      <c r="AD72" s="1011"/>
      <c r="AE72" s="1526"/>
      <c r="AF72" s="1527"/>
      <c r="AG72" s="219"/>
      <c r="AH72" s="213"/>
      <c r="AI72" s="213"/>
    </row>
    <row r="73" spans="1:38" ht="14.25" customHeight="1">
      <c r="A73" s="217" t="s">
        <v>189</v>
      </c>
      <c r="B73" s="219"/>
      <c r="C73" s="219"/>
      <c r="D73" s="1554"/>
      <c r="E73" s="219"/>
      <c r="F73" s="1554"/>
      <c r="G73" s="219"/>
      <c r="H73" s="1554"/>
      <c r="I73" s="219"/>
      <c r="J73" s="1554"/>
      <c r="K73" s="219"/>
      <c r="L73" s="1554"/>
      <c r="M73" s="219"/>
      <c r="N73" s="1554"/>
      <c r="O73" s="219"/>
      <c r="P73" s="1554"/>
      <c r="Q73" s="219"/>
      <c r="R73" s="1554"/>
      <c r="S73" s="219"/>
      <c r="T73" s="1554"/>
      <c r="U73" s="219"/>
      <c r="V73" s="1554"/>
      <c r="W73" s="219"/>
      <c r="X73" s="1554"/>
      <c r="Y73" s="1537"/>
      <c r="Z73" s="219"/>
      <c r="AA73" s="1011"/>
      <c r="AB73" s="1537"/>
      <c r="AC73" s="219"/>
      <c r="AD73" s="1011"/>
      <c r="AE73" s="1526"/>
      <c r="AF73" s="1527"/>
      <c r="AG73" s="219"/>
      <c r="AH73" s="213"/>
      <c r="AI73" s="213"/>
    </row>
    <row r="74" spans="1:38" ht="14.25" customHeight="1">
      <c r="A74" s="217" t="s">
        <v>190</v>
      </c>
      <c r="B74" s="219"/>
      <c r="C74" s="219"/>
      <c r="D74" s="1554"/>
      <c r="E74" s="219"/>
      <c r="F74" s="1554"/>
      <c r="G74" s="219"/>
      <c r="H74" s="1554"/>
      <c r="I74" s="219"/>
      <c r="J74" s="1554"/>
      <c r="K74" s="219"/>
      <c r="L74" s="1554"/>
      <c r="M74" s="219"/>
      <c r="N74" s="1554"/>
      <c r="O74" s="219"/>
      <c r="P74" s="1554"/>
      <c r="Q74" s="219"/>
      <c r="R74" s="1554"/>
      <c r="S74" s="219"/>
      <c r="T74" s="1554"/>
      <c r="U74" s="219"/>
      <c r="V74" s="1554"/>
      <c r="W74" s="219"/>
      <c r="X74" s="1554"/>
      <c r="Y74" s="1537"/>
      <c r="Z74" s="219"/>
      <c r="AA74" s="1011"/>
      <c r="AB74" s="1537"/>
      <c r="AC74" s="219"/>
      <c r="AD74" s="1011"/>
      <c r="AE74" s="1526"/>
      <c r="AF74" s="1527"/>
      <c r="AG74" s="219"/>
      <c r="AH74" s="213"/>
      <c r="AI74" s="213"/>
    </row>
    <row r="75" spans="1:38" ht="14.25" customHeight="1">
      <c r="A75" s="217" t="s">
        <v>1116</v>
      </c>
      <c r="B75" s="220">
        <f>ROUND(SUM(+B65+B71),1)</f>
        <v>163.9</v>
      </c>
      <c r="C75" s="743"/>
      <c r="D75" s="220">
        <f>ROUND(SUM(+D65+D71),1)</f>
        <v>54.3</v>
      </c>
      <c r="E75" s="743"/>
      <c r="F75" s="220">
        <f>ROUND(SUM(+F65+F71),1)</f>
        <v>203.8</v>
      </c>
      <c r="G75" s="743"/>
      <c r="H75" s="220">
        <f>ROUND(SUM(+H65+H71),1)</f>
        <v>322.10000000000002</v>
      </c>
      <c r="I75" s="743"/>
      <c r="J75" s="220">
        <f>ROUND(SUM(+J65+J71),1)</f>
        <v>654.70000000000005</v>
      </c>
      <c r="K75" s="743"/>
      <c r="L75" s="220">
        <f>ROUND(SUM(+L65+L71),1)</f>
        <v>-870.7</v>
      </c>
      <c r="M75" s="743"/>
      <c r="N75" s="220">
        <f>ROUND(SUM(+N65+N71),1)</f>
        <v>110.5</v>
      </c>
      <c r="O75" s="743"/>
      <c r="P75" s="220">
        <f>ROUND(SUM(+P65+P71),1)</f>
        <v>140.5</v>
      </c>
      <c r="Q75" s="743"/>
      <c r="R75" s="220">
        <f>ROUND(SUM(+R65+R71),1)</f>
        <v>517.70000000000005</v>
      </c>
      <c r="S75" s="743"/>
      <c r="T75" s="220">
        <f>ROUND(SUM(+T65+T71),1)</f>
        <v>2780.8</v>
      </c>
      <c r="U75" s="743"/>
      <c r="V75" s="220">
        <f>ROUND(SUM(+V65+V71),1)</f>
        <v>1149.5</v>
      </c>
      <c r="W75" s="743"/>
      <c r="X75" s="220">
        <f>ROUND(SUM(+X65+X71),1)</f>
        <v>-5169.7</v>
      </c>
      <c r="Y75" s="1530"/>
      <c r="Z75" s="743"/>
      <c r="AA75" s="220">
        <f>ROUND(SUM(+AA65+AA71),1)</f>
        <v>57.4</v>
      </c>
      <c r="AB75" s="1530"/>
      <c r="AC75" s="743"/>
      <c r="AD75" s="220">
        <f>ROUND(SUM(+AD65+AD71),1)</f>
        <v>37</v>
      </c>
      <c r="AE75" s="1531"/>
      <c r="AF75" s="1532"/>
      <c r="AG75" s="220">
        <f>ROUND(SUM(+AG65+AG71),1)</f>
        <v>20.399999999999999</v>
      </c>
      <c r="AH75" s="217"/>
      <c r="AI75" s="972">
        <f>ROUND(IF(AD75=0,0,AG75/ABS(AD75)),3)</f>
        <v>0.55100000000000005</v>
      </c>
      <c r="AJ75" s="1544"/>
    </row>
    <row r="76" spans="1:38" ht="15.5">
      <c r="A76" s="213"/>
      <c r="B76" s="214"/>
      <c r="C76" s="214"/>
      <c r="D76" s="1513"/>
      <c r="E76" s="214"/>
      <c r="F76" s="1557"/>
      <c r="G76" s="214"/>
      <c r="H76" s="1557"/>
      <c r="I76" s="214"/>
      <c r="J76" s="1557"/>
      <c r="K76" s="214"/>
      <c r="L76" s="1558"/>
      <c r="M76" s="214"/>
      <c r="N76" s="1557"/>
      <c r="O76" s="214"/>
      <c r="P76" s="1557"/>
      <c r="Q76" s="214"/>
      <c r="R76" s="1557"/>
      <c r="S76" s="214"/>
      <c r="T76" s="1557"/>
      <c r="U76" s="214"/>
      <c r="V76" s="1557"/>
      <c r="W76" s="214"/>
      <c r="X76" s="1557"/>
      <c r="Y76" s="1524"/>
      <c r="Z76" s="214"/>
      <c r="AA76" s="214" t="s">
        <v>14</v>
      </c>
      <c r="AB76" s="1524"/>
      <c r="AC76" s="214"/>
      <c r="AD76" s="1884"/>
      <c r="AE76" s="1513"/>
      <c r="AF76" s="218"/>
      <c r="AG76" s="214"/>
      <c r="AH76" s="213"/>
      <c r="AI76" s="213"/>
    </row>
    <row r="77" spans="1:38" ht="19.5" customHeight="1" thickBot="1">
      <c r="A77" s="217" t="s">
        <v>139</v>
      </c>
      <c r="B77" s="1559">
        <f>ROUND(SUM(B12+B75),1)</f>
        <v>265.89999999999998</v>
      </c>
      <c r="C77" s="216"/>
      <c r="D77" s="1559">
        <f>ROUND(SUM(D12+D75),1)</f>
        <v>320.2</v>
      </c>
      <c r="E77" s="216"/>
      <c r="F77" s="1559">
        <f>ROUND(SUM(F12+F75),1)</f>
        <v>524</v>
      </c>
      <c r="G77" s="216"/>
      <c r="H77" s="1559">
        <f>ROUND(SUM(H12+H75),1)</f>
        <v>846.1</v>
      </c>
      <c r="I77" s="216"/>
      <c r="J77" s="1559">
        <f>ROUND(SUM(J12+J75),1)</f>
        <v>1500.8</v>
      </c>
      <c r="K77" s="216"/>
      <c r="L77" s="1559">
        <f>ROUND(SUM(L12+L75),1)</f>
        <v>630.1</v>
      </c>
      <c r="M77" s="216"/>
      <c r="N77" s="1559">
        <f>ROUND(SUM(N12+N75),1)</f>
        <v>740.6</v>
      </c>
      <c r="O77" s="216"/>
      <c r="P77" s="1559">
        <f>ROUND(SUM(P12+P75),1)</f>
        <v>881.1</v>
      </c>
      <c r="Q77" s="216"/>
      <c r="R77" s="1559">
        <f>ROUND(SUM(R12+R75),1)</f>
        <v>1398.8</v>
      </c>
      <c r="S77" s="216"/>
      <c r="T77" s="1559">
        <f>ROUND(SUM(T12+T75),1)</f>
        <v>4179.6000000000004</v>
      </c>
      <c r="U77" s="216"/>
      <c r="V77" s="1559">
        <f>ROUND(SUM(V12+V75),1)</f>
        <v>5329.1</v>
      </c>
      <c r="W77" s="216"/>
      <c r="X77" s="1559">
        <f>ROUND(SUM(X12+X75),1)</f>
        <v>159.4</v>
      </c>
      <c r="Y77" s="1519"/>
      <c r="Z77" s="216"/>
      <c r="AA77" s="1559">
        <f>ROUND(SUM(AA12+AA75),1)</f>
        <v>159.4</v>
      </c>
      <c r="AB77" s="1519"/>
      <c r="AC77" s="216"/>
      <c r="AD77" s="1559">
        <f>ROUND(SUM(AD12+AD75),1)</f>
        <v>102</v>
      </c>
      <c r="AE77" s="1560"/>
      <c r="AF77" s="1521"/>
      <c r="AG77" s="1559">
        <f>ROUND(SUM(+AG12+AG75),1)</f>
        <v>57.4</v>
      </c>
      <c r="AH77" s="217"/>
      <c r="AI77" s="2240">
        <f>ROUND(IF(AD77=0,0,AG77/ABS(AD77)),3)</f>
        <v>0.56299999999999994</v>
      </c>
      <c r="AJ77" s="1561"/>
      <c r="AK77" s="1534"/>
      <c r="AL77" s="1534"/>
    </row>
    <row r="78" spans="1:38" ht="14.25" customHeight="1" thickTop="1">
      <c r="A78" s="1534"/>
      <c r="B78" s="1562"/>
      <c r="C78" s="1562"/>
      <c r="D78" s="1562"/>
      <c r="F78" s="1562"/>
      <c r="H78" s="1563"/>
      <c r="J78" s="1563"/>
      <c r="L78" s="1563"/>
      <c r="N78" s="1563"/>
      <c r="P78" s="1563"/>
      <c r="R78" s="1563"/>
      <c r="T78" s="1563"/>
      <c r="U78" s="1499"/>
      <c r="V78" s="1563"/>
      <c r="W78" s="1499"/>
      <c r="X78" s="1563"/>
      <c r="Y78" s="1562"/>
      <c r="Z78" s="1562"/>
      <c r="AA78" s="1562"/>
      <c r="AB78" s="1562"/>
      <c r="AC78" s="1562"/>
      <c r="AD78" s="1562"/>
      <c r="AE78" s="1564"/>
      <c r="AF78" s="1562"/>
      <c r="AG78" s="1562"/>
      <c r="AI78" s="1565"/>
    </row>
    <row r="79" spans="1:38">
      <c r="L79" s="1499"/>
      <c r="T79" s="1566"/>
      <c r="U79" s="1566"/>
      <c r="V79" s="1566"/>
      <c r="W79" s="1566"/>
      <c r="X79" s="1566"/>
      <c r="AD79" s="1567"/>
    </row>
    <row r="80" spans="1:38" ht="12" customHeight="1">
      <c r="A80" s="213"/>
      <c r="L80" s="1499"/>
      <c r="R80" s="1568"/>
      <c r="T80" s="1562"/>
      <c r="V80" s="1562"/>
      <c r="X80" s="1562"/>
    </row>
    <row r="81" spans="1:35">
      <c r="B81" s="1567"/>
      <c r="L81" s="1499"/>
      <c r="R81" s="1568"/>
      <c r="T81" s="1562"/>
      <c r="V81" s="1562"/>
      <c r="X81" s="1562"/>
    </row>
    <row r="82" spans="1:35">
      <c r="A82" s="1569"/>
      <c r="L82" s="1499"/>
    </row>
    <row r="83" spans="1:35">
      <c r="A83" s="1570"/>
      <c r="B83" s="1567"/>
      <c r="L83" s="1499"/>
      <c r="R83" s="1571"/>
    </row>
    <row r="84" spans="1:35">
      <c r="A84" s="1572"/>
      <c r="B84" s="1567"/>
      <c r="L84" s="1499"/>
    </row>
    <row r="85" spans="1:35">
      <c r="A85" s="1573"/>
      <c r="L85" s="1499"/>
      <c r="AI85" s="1562"/>
    </row>
    <row r="86" spans="1:35">
      <c r="L86" s="1499"/>
    </row>
    <row r="87" spans="1:35">
      <c r="L87" s="1499"/>
    </row>
    <row r="88" spans="1:35">
      <c r="L88" s="1499"/>
    </row>
    <row r="89" spans="1:35">
      <c r="L89" s="1499"/>
    </row>
    <row r="90" spans="1:35">
      <c r="L90" s="1499"/>
    </row>
    <row r="91" spans="1:35">
      <c r="L91" s="1499"/>
    </row>
    <row r="92" spans="1:35">
      <c r="L92" s="1499"/>
    </row>
    <row r="93" spans="1:35">
      <c r="L93" s="1499"/>
    </row>
    <row r="94" spans="1:35">
      <c r="L94" s="1499"/>
    </row>
    <row r="95" spans="1:35">
      <c r="L95" s="1499"/>
    </row>
    <row r="96" spans="1:35">
      <c r="L96" s="1499"/>
    </row>
    <row r="97" spans="12:12">
      <c r="L97" s="1499"/>
    </row>
    <row r="98" spans="12:12">
      <c r="L98" s="1499"/>
    </row>
    <row r="99" spans="12:12">
      <c r="L99" s="1499"/>
    </row>
    <row r="100" spans="12:12">
      <c r="L100" s="1499"/>
    </row>
    <row r="101" spans="12:12">
      <c r="L101" s="1499"/>
    </row>
    <row r="102" spans="12:12">
      <c r="L102" s="1499"/>
    </row>
    <row r="103" spans="12:12">
      <c r="L103" s="1499"/>
    </row>
    <row r="104" spans="12:12">
      <c r="L104" s="1499"/>
    </row>
    <row r="105" spans="12:12">
      <c r="L105" s="1499"/>
    </row>
    <row r="106" spans="12:12">
      <c r="L106" s="1499"/>
    </row>
    <row r="107" spans="12:12">
      <c r="L107" s="1499"/>
    </row>
    <row r="108" spans="12:12">
      <c r="L108" s="1499"/>
    </row>
    <row r="109" spans="12:12">
      <c r="L109" s="1499"/>
    </row>
    <row r="110" spans="12:12">
      <c r="L110" s="1499"/>
    </row>
    <row r="111" spans="12:12">
      <c r="L111" s="1499"/>
    </row>
    <row r="112" spans="12:12">
      <c r="L112" s="1499"/>
    </row>
    <row r="113" spans="12:12">
      <c r="L113" s="1499"/>
    </row>
    <row r="114" spans="12:12">
      <c r="L114" s="1499"/>
    </row>
    <row r="115" spans="12:12">
      <c r="L115" s="1499"/>
    </row>
    <row r="116" spans="12:12">
      <c r="L116" s="1499"/>
    </row>
    <row r="117" spans="12:12">
      <c r="L117" s="1499"/>
    </row>
    <row r="118" spans="12:12">
      <c r="L118" s="1499"/>
    </row>
    <row r="119" spans="12:12">
      <c r="L119" s="1499"/>
    </row>
    <row r="120" spans="12:12">
      <c r="L120" s="1499"/>
    </row>
    <row r="121" spans="12:12">
      <c r="L121" s="1499"/>
    </row>
    <row r="122" spans="12:12">
      <c r="L122" s="1499"/>
    </row>
    <row r="123" spans="12:12">
      <c r="L123" s="1499"/>
    </row>
    <row r="124" spans="12:12">
      <c r="L124" s="1499"/>
    </row>
    <row r="125" spans="12:12">
      <c r="L125" s="1499"/>
    </row>
    <row r="126" spans="12:12">
      <c r="L126" s="1499"/>
    </row>
    <row r="127" spans="12:12">
      <c r="L127" s="1499"/>
    </row>
    <row r="128" spans="12:12">
      <c r="L128" s="1499"/>
    </row>
    <row r="129" spans="12:12">
      <c r="L129" s="1499"/>
    </row>
    <row r="130" spans="12:12">
      <c r="L130" s="1499"/>
    </row>
    <row r="131" spans="12:12">
      <c r="L131" s="1499"/>
    </row>
    <row r="132" spans="12:12">
      <c r="L132" s="1499"/>
    </row>
    <row r="133" spans="12:12">
      <c r="L133" s="1499"/>
    </row>
    <row r="134" spans="12:12">
      <c r="L134" s="1499"/>
    </row>
    <row r="135" spans="12:12">
      <c r="L135" s="1499"/>
    </row>
    <row r="136" spans="12:12">
      <c r="L136" s="1499"/>
    </row>
    <row r="137" spans="12:12">
      <c r="L137" s="1499"/>
    </row>
    <row r="138" spans="12:12">
      <c r="L138" s="1499"/>
    </row>
    <row r="139" spans="12:12">
      <c r="L139" s="1499"/>
    </row>
    <row r="140" spans="12:12">
      <c r="L140" s="1499"/>
    </row>
    <row r="141" spans="12:12">
      <c r="L141" s="1499"/>
    </row>
    <row r="142" spans="12:12">
      <c r="L142" s="1499"/>
    </row>
    <row r="143" spans="12:12">
      <c r="L143" s="1499"/>
    </row>
    <row r="144" spans="12:12">
      <c r="L144" s="1499"/>
    </row>
    <row r="145" spans="12:12">
      <c r="L145" s="1499"/>
    </row>
    <row r="146" spans="12:12">
      <c r="L146" s="1499"/>
    </row>
    <row r="147" spans="12:12">
      <c r="L147" s="1499"/>
    </row>
    <row r="148" spans="12:12">
      <c r="L148" s="1499"/>
    </row>
    <row r="149" spans="12:12">
      <c r="L149" s="1499"/>
    </row>
    <row r="150" spans="12:12">
      <c r="L150" s="1499"/>
    </row>
    <row r="151" spans="12:12">
      <c r="L151" s="1499"/>
    </row>
    <row r="152" spans="12:12">
      <c r="L152" s="1499"/>
    </row>
    <row r="153" spans="12:12">
      <c r="L153" s="1499"/>
    </row>
    <row r="154" spans="12:12">
      <c r="L154" s="1499"/>
    </row>
    <row r="155" spans="12:12">
      <c r="L155" s="1499"/>
    </row>
    <row r="156" spans="12:12">
      <c r="L156" s="1499"/>
    </row>
    <row r="157" spans="12:12">
      <c r="L157" s="1499"/>
    </row>
    <row r="158" spans="12:12">
      <c r="L158" s="1499"/>
    </row>
    <row r="159" spans="12:12">
      <c r="L159" s="1499"/>
    </row>
    <row r="160" spans="12:12">
      <c r="L160" s="1499"/>
    </row>
    <row r="161" spans="12:12">
      <c r="L161" s="1499"/>
    </row>
    <row r="162" spans="12:12">
      <c r="L162" s="1499"/>
    </row>
    <row r="163" spans="12:12">
      <c r="L163" s="1499"/>
    </row>
    <row r="164" spans="12:12">
      <c r="L164" s="1499"/>
    </row>
    <row r="165" spans="12:12">
      <c r="L165" s="1499"/>
    </row>
    <row r="166" spans="12:12">
      <c r="L166" s="1499"/>
    </row>
    <row r="167" spans="12:12">
      <c r="L167" s="1499"/>
    </row>
    <row r="168" spans="12:12">
      <c r="L168" s="1499"/>
    </row>
    <row r="169" spans="12:12">
      <c r="L169" s="1499"/>
    </row>
    <row r="170" spans="12:12">
      <c r="L170" s="1499"/>
    </row>
    <row r="171" spans="12:12">
      <c r="L171" s="1499"/>
    </row>
    <row r="172" spans="12:12">
      <c r="L172" s="1499"/>
    </row>
    <row r="173" spans="12:12">
      <c r="L173" s="1499"/>
    </row>
    <row r="174" spans="12:12">
      <c r="L174" s="1499"/>
    </row>
    <row r="175" spans="12:12">
      <c r="L175" s="1499"/>
    </row>
    <row r="176" spans="12:12">
      <c r="L176" s="1499"/>
    </row>
    <row r="177" spans="12:12">
      <c r="L177" s="1499"/>
    </row>
    <row r="178" spans="12:12">
      <c r="L178" s="1499"/>
    </row>
    <row r="179" spans="12:12">
      <c r="L179" s="1499"/>
    </row>
    <row r="180" spans="12:12">
      <c r="L180" s="1499"/>
    </row>
    <row r="181" spans="12:12">
      <c r="L181" s="1499"/>
    </row>
    <row r="182" spans="12:12">
      <c r="L182" s="1499"/>
    </row>
    <row r="183" spans="12:12">
      <c r="L183" s="1499"/>
    </row>
    <row r="184" spans="12:12">
      <c r="L184" s="1499"/>
    </row>
    <row r="185" spans="12:12">
      <c r="L185" s="1499"/>
    </row>
    <row r="186" spans="12:12">
      <c r="L186" s="1499"/>
    </row>
    <row r="187" spans="12:12">
      <c r="L187" s="1499"/>
    </row>
    <row r="188" spans="12:12">
      <c r="L188" s="1499"/>
    </row>
    <row r="189" spans="12:12">
      <c r="L189" s="1499"/>
    </row>
    <row r="190" spans="12:12">
      <c r="L190" s="1499"/>
    </row>
    <row r="191" spans="12:12">
      <c r="L191" s="1499"/>
    </row>
    <row r="192" spans="12:12">
      <c r="L192" s="1499"/>
    </row>
    <row r="193" spans="12:12">
      <c r="L193" s="1499"/>
    </row>
    <row r="194" spans="12:12">
      <c r="L194" s="1499"/>
    </row>
    <row r="195" spans="12:12">
      <c r="L195" s="1499"/>
    </row>
    <row r="196" spans="12:12">
      <c r="L196" s="1499"/>
    </row>
    <row r="197" spans="12:12">
      <c r="L197" s="1499"/>
    </row>
    <row r="198" spans="12:12">
      <c r="L198" s="1499"/>
    </row>
    <row r="199" spans="12:12">
      <c r="L199" s="1499"/>
    </row>
    <row r="200" spans="12:12">
      <c r="L200" s="1499"/>
    </row>
    <row r="201" spans="12:12">
      <c r="L201" s="1499"/>
    </row>
    <row r="202" spans="12:12">
      <c r="L202" s="1499"/>
    </row>
    <row r="203" spans="12:12">
      <c r="L203" s="1499"/>
    </row>
    <row r="204" spans="12:12">
      <c r="L204" s="1499"/>
    </row>
    <row r="205" spans="12:12">
      <c r="L205" s="1499"/>
    </row>
    <row r="206" spans="12:12">
      <c r="L206" s="1499"/>
    </row>
    <row r="207" spans="12:12">
      <c r="L207" s="1499"/>
    </row>
    <row r="208" spans="12:12">
      <c r="L208" s="1499"/>
    </row>
    <row r="209" spans="12:12">
      <c r="L209" s="1499"/>
    </row>
    <row r="210" spans="12:12">
      <c r="L210" s="1499"/>
    </row>
    <row r="211" spans="12:12">
      <c r="L211" s="1499"/>
    </row>
    <row r="212" spans="12:12">
      <c r="L212" s="1499"/>
    </row>
    <row r="213" spans="12:12">
      <c r="L213" s="1499"/>
    </row>
    <row r="214" spans="12:12">
      <c r="L214" s="1499"/>
    </row>
    <row r="215" spans="12:12">
      <c r="L215" s="1499"/>
    </row>
    <row r="216" spans="12:12">
      <c r="L216" s="1499"/>
    </row>
    <row r="217" spans="12:12">
      <c r="L217" s="1499"/>
    </row>
    <row r="218" spans="12:12">
      <c r="L218" s="1499"/>
    </row>
    <row r="219" spans="12:12">
      <c r="L219" s="1499"/>
    </row>
    <row r="220" spans="12:12">
      <c r="L220" s="1499"/>
    </row>
    <row r="221" spans="12:12">
      <c r="L221" s="1499"/>
    </row>
    <row r="222" spans="12:12">
      <c r="L222" s="1499"/>
    </row>
    <row r="223" spans="12:12">
      <c r="L223" s="1499"/>
    </row>
    <row r="224" spans="12:12">
      <c r="L224" s="1499"/>
    </row>
    <row r="225" spans="12:12">
      <c r="L225" s="1499"/>
    </row>
    <row r="226" spans="12:12">
      <c r="L226" s="1499"/>
    </row>
    <row r="227" spans="12:12">
      <c r="L227" s="1499"/>
    </row>
    <row r="228" spans="12:12">
      <c r="L228" s="1499"/>
    </row>
    <row r="229" spans="12:12">
      <c r="L229" s="1499"/>
    </row>
    <row r="230" spans="12:12">
      <c r="L230" s="1499"/>
    </row>
    <row r="231" spans="12:12">
      <c r="L231" s="1499"/>
    </row>
    <row r="232" spans="12:12">
      <c r="L232" s="1499"/>
    </row>
    <row r="233" spans="12:12">
      <c r="L233" s="1499"/>
    </row>
    <row r="234" spans="12:12">
      <c r="L234" s="1499"/>
    </row>
    <row r="235" spans="12:12">
      <c r="L235" s="1499"/>
    </row>
    <row r="236" spans="12:12">
      <c r="L236" s="1499"/>
    </row>
    <row r="237" spans="12:12">
      <c r="L237" s="1499"/>
    </row>
    <row r="238" spans="12:12">
      <c r="L238" s="1499"/>
    </row>
    <row r="239" spans="12:12">
      <c r="L239" s="1499"/>
    </row>
    <row r="240" spans="12:12">
      <c r="L240" s="1499"/>
    </row>
    <row r="241" spans="12:12">
      <c r="L241" s="1499"/>
    </row>
    <row r="242" spans="12:12">
      <c r="L242" s="1499"/>
    </row>
    <row r="243" spans="12:12">
      <c r="L243" s="1499"/>
    </row>
    <row r="244" spans="12:12">
      <c r="L244" s="1499"/>
    </row>
    <row r="245" spans="12:12">
      <c r="L245" s="1499"/>
    </row>
    <row r="246" spans="12:12">
      <c r="L246" s="1499"/>
    </row>
    <row r="247" spans="12:12">
      <c r="L247" s="1499"/>
    </row>
    <row r="248" spans="12:12">
      <c r="L248" s="1499"/>
    </row>
    <row r="249" spans="12:12">
      <c r="L249" s="1499"/>
    </row>
    <row r="250" spans="12:12">
      <c r="L250" s="1499"/>
    </row>
    <row r="251" spans="12:12">
      <c r="L251" s="1499"/>
    </row>
    <row r="252" spans="12:12">
      <c r="L252" s="1499"/>
    </row>
    <row r="253" spans="12:12">
      <c r="L253" s="1499"/>
    </row>
    <row r="254" spans="12:12">
      <c r="L254" s="1499"/>
    </row>
    <row r="255" spans="12:12">
      <c r="L255" s="1499"/>
    </row>
    <row r="256" spans="12:12">
      <c r="L256" s="1499"/>
    </row>
    <row r="257" spans="12:12">
      <c r="L257" s="1499"/>
    </row>
    <row r="258" spans="12:12">
      <c r="L258" s="1499"/>
    </row>
    <row r="259" spans="12:12">
      <c r="L259" s="1499"/>
    </row>
    <row r="260" spans="12:12">
      <c r="L260" s="1499"/>
    </row>
    <row r="261" spans="12:12">
      <c r="L261" s="1499"/>
    </row>
  </sheetData>
  <mergeCells count="2">
    <mergeCell ref="AB5:AD5"/>
    <mergeCell ref="AA8:AI8"/>
  </mergeCells>
  <printOptions horizontalCentered="1"/>
  <pageMargins left="0.25" right="0.25" top="0.5" bottom="0.25" header="0.5" footer="0.25"/>
  <pageSetup scale="48" firstPageNumber="29" orientation="landscape" useFirstPageNumber="1" r:id="rId1"/>
  <headerFooter scaleWithDoc="0" alignWithMargins="0">
    <oddFooter>&amp;C&amp;8&amp;P</oddFooter>
  </headerFooter>
  <rowBreaks count="1" manualBreakCount="1">
    <brk id="85" max="34" man="1"/>
  </rowBreaks>
  <ignoredErrors>
    <ignoredError sqref="AJ41 AI18 AJ45:AJ46 AJ47 AI76 AI24 AI28 AI55:AI57 AI73:AI74 AI72 AI66 AI63:AI64 AI61 AI59 AI70 AI71 AI60 AI62 AI65 AI68:AI69 AI51 AI53 AI54 AI50 AI67 AI77" unlockedFormula="1"/>
    <ignoredError sqref="I50 K50" formulaRange="1"/>
    <ignoredError sqref="AI47 AI45 AI46" formula="1" unlockedFormula="1"/>
    <ignoredError sqref="AI26 AI4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workbookViewId="0"/>
  </sheetViews>
  <sheetFormatPr defaultColWidth="8.84375" defaultRowHeight="15.5"/>
  <cols>
    <col min="1" max="1" width="2.53515625" style="71" customWidth="1"/>
    <col min="2" max="2" width="15.84375" style="71" customWidth="1"/>
    <col min="3" max="3" width="25.07421875" style="71" customWidth="1"/>
    <col min="4" max="4" width="2" style="71" customWidth="1"/>
    <col min="5" max="5" width="12.53515625" style="71" customWidth="1"/>
    <col min="6" max="6" width="1.84375" style="71" customWidth="1"/>
    <col min="7" max="7" width="11.84375" style="71" bestFit="1" customWidth="1"/>
    <col min="8" max="8" width="1.84375" style="71" customWidth="1"/>
    <col min="9" max="9" width="11.4609375" style="71" bestFit="1" customWidth="1"/>
    <col min="10" max="10" width="1.84375" style="71" customWidth="1"/>
    <col min="11" max="11" width="11.84375" style="71" bestFit="1" customWidth="1"/>
    <col min="12" max="12" width="1.07421875" style="71" customWidth="1"/>
    <col min="13" max="13" width="10.53515625" style="71" customWidth="1"/>
    <col min="14" max="14" width="1.84375" style="71" customWidth="1"/>
    <col min="15" max="15" width="12.4609375" style="71" customWidth="1"/>
    <col min="16" max="16" width="1.84375" style="71" customWidth="1"/>
    <col min="17" max="17" width="12.07421875" style="71" customWidth="1"/>
    <col min="18" max="18" width="1.84375" style="71" customWidth="1"/>
    <col min="19" max="19" width="12.07421875" style="71" customWidth="1"/>
    <col min="20" max="20" width="1.84375" style="71" customWidth="1"/>
    <col min="21" max="21" width="10.84375" style="71" customWidth="1"/>
    <col min="22" max="22" width="1.84375" style="71" customWidth="1"/>
    <col min="23" max="23" width="13.84375" style="71" customWidth="1"/>
    <col min="24" max="24" width="1.84375" style="71" customWidth="1"/>
    <col min="25" max="25" width="12.84375" style="71" customWidth="1"/>
    <col min="26" max="26" width="1.84375" style="71" customWidth="1"/>
    <col min="27" max="27" width="11.84375" style="71" bestFit="1" customWidth="1"/>
    <col min="28" max="28" width="1.4609375" style="71" customWidth="1"/>
    <col min="29" max="29" width="11.07421875" style="71" customWidth="1"/>
    <col min="30" max="31" width="1.84375" style="71" customWidth="1"/>
    <col min="32" max="32" width="12.84375" style="71" customWidth="1"/>
    <col min="33" max="34" width="1.07421875" style="71" customWidth="1"/>
    <col min="35" max="35" width="12.84375" style="71" customWidth="1"/>
    <col min="36" max="37" width="1" style="71" customWidth="1"/>
    <col min="38" max="38" width="13.07421875" style="71" bestFit="1" customWidth="1"/>
    <col min="39" max="39" width="1.07421875" style="71" customWidth="1"/>
    <col min="40" max="40" width="12.07421875" style="71" customWidth="1"/>
    <col min="41" max="16384" width="8.84375" style="71"/>
  </cols>
  <sheetData>
    <row r="1" spans="1:41">
      <c r="B1" s="468" t="s">
        <v>868</v>
      </c>
    </row>
    <row r="2" spans="1:41">
      <c r="B2" s="600"/>
    </row>
    <row r="3" spans="1:41" ht="19.5" customHeight="1">
      <c r="A3" s="222"/>
      <c r="B3" s="128" t="s">
        <v>0</v>
      </c>
      <c r="C3" s="223"/>
      <c r="D3" s="223"/>
      <c r="E3" s="223"/>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N3" s="276" t="s">
        <v>191</v>
      </c>
    </row>
    <row r="4" spans="1:41" ht="19.5" customHeight="1">
      <c r="A4" s="222"/>
      <c r="B4" s="128" t="s">
        <v>895</v>
      </c>
      <c r="C4" s="223"/>
      <c r="D4" s="223"/>
      <c r="E4" s="223"/>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G4" s="225"/>
      <c r="AH4" s="225"/>
    </row>
    <row r="5" spans="1:41" ht="19.5" customHeight="1">
      <c r="A5" s="222"/>
      <c r="B5" s="212" t="s">
        <v>145</v>
      </c>
      <c r="C5" s="223"/>
      <c r="D5" s="223"/>
      <c r="E5" s="223"/>
      <c r="F5" s="224"/>
      <c r="G5" s="224"/>
      <c r="H5" s="224"/>
      <c r="I5" s="224"/>
      <c r="J5" s="224"/>
      <c r="K5" s="224"/>
      <c r="L5" s="224"/>
      <c r="M5" s="224"/>
      <c r="N5" s="224"/>
      <c r="O5" s="224"/>
      <c r="P5" s="224"/>
      <c r="Q5" s="224"/>
      <c r="R5" s="224"/>
      <c r="S5" s="224" t="s">
        <v>14</v>
      </c>
      <c r="T5" s="224"/>
      <c r="U5" s="224" t="s">
        <v>14</v>
      </c>
      <c r="V5" s="224"/>
      <c r="W5" s="224"/>
      <c r="X5" s="224"/>
      <c r="Y5" s="224"/>
      <c r="Z5" s="224"/>
      <c r="AA5" s="224"/>
      <c r="AB5" s="224"/>
      <c r="AC5" s="224"/>
      <c r="AD5" s="224"/>
      <c r="AE5" s="224"/>
      <c r="AF5" s="224"/>
      <c r="AG5" s="224"/>
      <c r="AH5" s="224"/>
      <c r="AI5" s="224"/>
      <c r="AJ5" s="224"/>
      <c r="AK5" s="224"/>
      <c r="AN5" s="186"/>
    </row>
    <row r="6" spans="1:41" ht="19.5" customHeight="1">
      <c r="A6" s="222"/>
      <c r="B6" s="974" t="str">
        <f>'Cashflow Governmental'!A6</f>
        <v xml:space="preserve">FISCAL YEAR 2022-2023   </v>
      </c>
      <c r="C6" s="223"/>
      <c r="D6" s="223"/>
      <c r="E6" s="223"/>
      <c r="F6" s="224"/>
      <c r="G6" s="224"/>
      <c r="H6" s="226"/>
      <c r="I6" s="224"/>
      <c r="J6" s="224"/>
      <c r="K6" s="224"/>
      <c r="L6" s="224"/>
      <c r="M6" s="224"/>
      <c r="N6" s="224"/>
      <c r="O6" s="224"/>
      <c r="P6" s="224"/>
      <c r="Q6" s="224"/>
      <c r="R6" s="224"/>
      <c r="S6" s="224" t="s">
        <v>14</v>
      </c>
      <c r="T6" s="224"/>
      <c r="U6" s="224"/>
      <c r="V6" s="224"/>
      <c r="W6" s="224"/>
      <c r="X6" s="224"/>
      <c r="Y6" s="224"/>
      <c r="Z6" s="224"/>
      <c r="AA6" s="224"/>
      <c r="AB6" s="224"/>
      <c r="AC6" s="224"/>
      <c r="AD6" s="224"/>
      <c r="AE6" s="224"/>
      <c r="AF6" s="224"/>
      <c r="AG6" s="227"/>
      <c r="AH6" s="227"/>
      <c r="AI6" s="227"/>
      <c r="AJ6" s="227"/>
      <c r="AK6" s="227"/>
    </row>
    <row r="7" spans="1:41" ht="19.5" customHeight="1">
      <c r="A7" s="222"/>
      <c r="B7" s="128" t="s">
        <v>1251</v>
      </c>
      <c r="C7" s="223"/>
      <c r="D7" s="223"/>
      <c r="E7" s="223"/>
      <c r="F7" s="224"/>
      <c r="G7" s="224"/>
      <c r="H7" s="226"/>
      <c r="I7" s="224"/>
      <c r="J7" s="224"/>
      <c r="K7" s="224"/>
      <c r="L7" s="224"/>
      <c r="M7" s="224"/>
      <c r="N7" s="224"/>
      <c r="O7" s="224"/>
      <c r="P7" s="224"/>
      <c r="Q7" s="224"/>
      <c r="R7" s="224"/>
      <c r="S7" s="224" t="s">
        <v>14</v>
      </c>
      <c r="T7" s="224"/>
      <c r="U7" s="224"/>
      <c r="V7" s="224"/>
      <c r="W7" s="224"/>
      <c r="X7" s="224"/>
      <c r="Y7" s="224"/>
      <c r="Z7" s="224"/>
      <c r="AA7" s="224"/>
      <c r="AB7" s="224"/>
      <c r="AC7" s="224"/>
      <c r="AD7" s="224"/>
      <c r="AE7" s="224"/>
      <c r="AF7" s="224"/>
      <c r="AG7" s="227"/>
      <c r="AH7" s="227"/>
      <c r="AI7" s="227"/>
      <c r="AJ7" s="227"/>
      <c r="AK7" s="227"/>
    </row>
    <row r="8" spans="1:41" ht="19.5" customHeight="1">
      <c r="A8" s="222"/>
      <c r="C8" s="223"/>
      <c r="D8" s="223"/>
      <c r="E8" s="223"/>
      <c r="F8" s="224"/>
      <c r="G8" s="224"/>
      <c r="H8" s="224"/>
      <c r="I8" s="224"/>
      <c r="J8" s="224"/>
      <c r="K8" s="224"/>
      <c r="L8" s="224"/>
      <c r="M8" s="224"/>
      <c r="N8" s="224"/>
      <c r="O8" s="224"/>
      <c r="P8" s="224"/>
      <c r="Q8" s="224"/>
      <c r="R8" s="224"/>
      <c r="S8" s="224" t="s">
        <v>14</v>
      </c>
      <c r="T8" s="224"/>
      <c r="U8" s="224"/>
      <c r="V8" s="224"/>
      <c r="W8" s="224"/>
      <c r="X8" s="224"/>
      <c r="Y8" s="224"/>
      <c r="Z8" s="224"/>
      <c r="AA8" s="224"/>
      <c r="AB8" s="224"/>
      <c r="AC8" s="224"/>
      <c r="AD8" s="224"/>
      <c r="AE8" s="228"/>
    </row>
    <row r="9" spans="1:41" ht="15.75" customHeight="1">
      <c r="A9" s="222"/>
      <c r="B9" s="128"/>
      <c r="C9" s="223"/>
      <c r="D9" s="223"/>
      <c r="E9" s="223"/>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8"/>
    </row>
    <row r="10" spans="1:41" ht="15.75" customHeight="1">
      <c r="A10" s="222"/>
      <c r="B10" s="229"/>
      <c r="C10" s="223"/>
      <c r="D10" s="223"/>
      <c r="E10" s="223"/>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8"/>
    </row>
    <row r="11" spans="1:41" ht="15.75" customHeight="1">
      <c r="A11" s="222"/>
      <c r="B11" s="229"/>
      <c r="C11" s="223"/>
      <c r="D11" s="223"/>
      <c r="E11" s="550"/>
      <c r="F11" s="551"/>
      <c r="G11" s="551"/>
      <c r="H11" s="551"/>
      <c r="I11" s="551"/>
      <c r="J11" s="551"/>
      <c r="K11" s="551"/>
      <c r="L11" s="551"/>
      <c r="M11" s="551"/>
      <c r="N11" s="551"/>
      <c r="O11" s="551"/>
      <c r="P11" s="551"/>
      <c r="Q11" s="551"/>
      <c r="R11" s="551"/>
      <c r="S11" s="551"/>
      <c r="T11" s="551"/>
      <c r="U11" s="551"/>
      <c r="V11" s="551"/>
      <c r="W11" s="551"/>
      <c r="X11" s="551"/>
      <c r="Y11" s="551"/>
      <c r="Z11" s="551"/>
      <c r="AA11" s="551"/>
      <c r="AB11" s="551"/>
      <c r="AC11" s="132" t="s">
        <v>1151</v>
      </c>
      <c r="AD11" s="551"/>
      <c r="AE11" s="552"/>
      <c r="AF11" s="2317" t="s">
        <v>1559</v>
      </c>
      <c r="AG11" s="2321"/>
      <c r="AH11" s="2321"/>
      <c r="AI11" s="2321"/>
      <c r="AJ11" s="2321"/>
      <c r="AK11" s="2321"/>
      <c r="AL11" s="2321"/>
      <c r="AM11" s="2321"/>
      <c r="AN11" s="2321"/>
    </row>
    <row r="12" spans="1:41" ht="15.75" customHeight="1">
      <c r="A12" s="230"/>
      <c r="B12" s="230"/>
      <c r="C12" s="230"/>
      <c r="D12" s="230"/>
      <c r="E12" s="537" t="str">
        <f>'Cashflow Governmental'!C13</f>
        <v>2022</v>
      </c>
      <c r="F12" s="553"/>
      <c r="G12" s="553"/>
      <c r="H12" s="553"/>
      <c r="I12" s="553"/>
      <c r="J12" s="553"/>
      <c r="K12" s="553"/>
      <c r="L12" s="553"/>
      <c r="M12" s="553"/>
      <c r="N12" s="553"/>
      <c r="O12" s="553"/>
      <c r="P12" s="553"/>
      <c r="Q12" s="553"/>
      <c r="R12" s="553"/>
      <c r="S12" s="553"/>
      <c r="T12" s="553"/>
      <c r="U12" s="553"/>
      <c r="V12" s="553"/>
      <c r="W12" s="537">
        <f>'Cashflow Governmental'!U13</f>
        <v>2023</v>
      </c>
      <c r="X12" s="553"/>
      <c r="Y12" s="553"/>
      <c r="Z12" s="553"/>
      <c r="AA12" s="553"/>
      <c r="AB12" s="553"/>
      <c r="AC12" s="132" t="s">
        <v>1152</v>
      </c>
      <c r="AD12" s="553"/>
      <c r="AE12" s="553"/>
      <c r="AF12" s="553"/>
      <c r="AG12" s="553"/>
      <c r="AH12" s="553"/>
      <c r="AI12" s="553"/>
      <c r="AJ12" s="553"/>
      <c r="AK12" s="553"/>
      <c r="AL12" s="545" t="s">
        <v>7</v>
      </c>
      <c r="AM12" s="545"/>
      <c r="AN12" s="543" t="s">
        <v>8</v>
      </c>
      <c r="AO12" s="555"/>
    </row>
    <row r="13" spans="1:41" ht="15.75" customHeight="1">
      <c r="A13" s="21"/>
      <c r="B13" s="21"/>
      <c r="C13" s="21"/>
      <c r="D13" s="21"/>
      <c r="E13" s="554" t="s">
        <v>122</v>
      </c>
      <c r="F13" s="19"/>
      <c r="G13" s="554" t="s">
        <v>123</v>
      </c>
      <c r="H13" s="19"/>
      <c r="I13" s="554" t="s">
        <v>124</v>
      </c>
      <c r="J13" s="19"/>
      <c r="K13" s="554" t="s">
        <v>125</v>
      </c>
      <c r="L13" s="19"/>
      <c r="M13" s="745" t="s">
        <v>126</v>
      </c>
      <c r="N13" s="19"/>
      <c r="O13" s="554" t="s">
        <v>141</v>
      </c>
      <c r="P13" s="19"/>
      <c r="Q13" s="554" t="s">
        <v>142</v>
      </c>
      <c r="R13" s="19"/>
      <c r="S13" s="554" t="s">
        <v>129</v>
      </c>
      <c r="T13" s="19"/>
      <c r="U13" s="554" t="s">
        <v>130</v>
      </c>
      <c r="V13" s="19"/>
      <c r="W13" s="554" t="s">
        <v>131</v>
      </c>
      <c r="X13" s="19"/>
      <c r="Y13" s="554" t="s">
        <v>132</v>
      </c>
      <c r="Z13" s="19"/>
      <c r="AA13" s="554" t="s">
        <v>182</v>
      </c>
      <c r="AB13" s="132"/>
      <c r="AC13" s="745" t="s">
        <v>1153</v>
      </c>
      <c r="AD13" s="19"/>
      <c r="AE13" s="19"/>
      <c r="AF13" s="554">
        <f>'Cashflow Governmental'!AB14</f>
        <v>2023</v>
      </c>
      <c r="AG13" s="19"/>
      <c r="AH13" s="19"/>
      <c r="AI13" s="554">
        <f>'Cashflow Governmental'!AE14</f>
        <v>2022</v>
      </c>
      <c r="AJ13" s="132"/>
      <c r="AK13" s="132"/>
      <c r="AL13" s="549" t="s">
        <v>11</v>
      </c>
      <c r="AM13" s="545"/>
      <c r="AN13" s="549" t="s">
        <v>12</v>
      </c>
      <c r="AO13" s="555"/>
    </row>
    <row r="14" spans="1:41" ht="6" customHeight="1">
      <c r="A14" s="21"/>
      <c r="B14" s="19"/>
      <c r="C14" s="19"/>
      <c r="D14" s="21"/>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111"/>
    </row>
    <row r="15" spans="1:41" ht="15.75" customHeight="1">
      <c r="A15" s="21"/>
      <c r="B15" s="117" t="s">
        <v>1117</v>
      </c>
      <c r="C15" s="19"/>
      <c r="D15" s="21"/>
      <c r="E15" s="216">
        <f>'Exhibit I State'!E14+'Exhibit I Federal'!E14</f>
        <v>-1543.9</v>
      </c>
      <c r="F15" s="65"/>
      <c r="G15" s="65">
        <f>E103</f>
        <v>-1643.7</v>
      </c>
      <c r="H15" s="65"/>
      <c r="I15" s="65">
        <f>G103</f>
        <v>-1319.8</v>
      </c>
      <c r="J15" s="65"/>
      <c r="K15" s="65">
        <f>I103</f>
        <v>-1358.2</v>
      </c>
      <c r="L15" s="65"/>
      <c r="M15" s="65">
        <f>K103</f>
        <v>-1403.4</v>
      </c>
      <c r="N15" s="65"/>
      <c r="O15" s="65">
        <f>M103</f>
        <v>-1623.1</v>
      </c>
      <c r="P15" s="65"/>
      <c r="Q15" s="65">
        <f>O103</f>
        <v>-1849.1</v>
      </c>
      <c r="R15" s="65"/>
      <c r="S15" s="65">
        <f>Q103</f>
        <v>-1167.5</v>
      </c>
      <c r="T15" s="65"/>
      <c r="U15" s="65">
        <f t="shared" ref="U15" si="0">S103</f>
        <v>-1275.7</v>
      </c>
      <c r="V15" s="65"/>
      <c r="W15" s="65">
        <f t="shared" ref="W15" si="1">U103</f>
        <v>-1326.2</v>
      </c>
      <c r="X15" s="65"/>
      <c r="Y15" s="65">
        <f t="shared" ref="Y15" si="2">W103</f>
        <v>-1418</v>
      </c>
      <c r="Z15" s="65"/>
      <c r="AA15" s="65">
        <f t="shared" ref="AA15" si="3">Y103</f>
        <v>-1489.4</v>
      </c>
      <c r="AB15" s="65"/>
      <c r="AC15" s="65">
        <v>0</v>
      </c>
      <c r="AD15" s="65"/>
      <c r="AE15" s="66"/>
      <c r="AF15" s="65">
        <f>E15</f>
        <v>-1543.9</v>
      </c>
      <c r="AG15" s="145"/>
      <c r="AH15" s="65"/>
      <c r="AI15" s="1878">
        <f>'Exhibit I State'!AG14+'Exhibit I Federal'!AG14</f>
        <v>-1144</v>
      </c>
      <c r="AJ15" s="65"/>
      <c r="AK15" s="233"/>
      <c r="AL15" s="232">
        <f>+AF15-AI15</f>
        <v>-399.90000000000009</v>
      </c>
      <c r="AM15" s="65"/>
      <c r="AN15" s="486">
        <f>ROUND(IF(AI15=0,0,-AL15/(AI15)),3)</f>
        <v>-0.35</v>
      </c>
      <c r="AO15" s="19"/>
    </row>
    <row r="16" spans="1:41" ht="15.75" customHeight="1">
      <c r="A16" s="21"/>
      <c r="B16" s="19"/>
      <c r="C16" s="19"/>
      <c r="D16" s="21"/>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174"/>
      <c r="AF16" s="39"/>
      <c r="AG16" s="180"/>
      <c r="AH16" s="39"/>
      <c r="AI16" s="39"/>
      <c r="AJ16" s="39"/>
      <c r="AK16" s="231"/>
    </row>
    <row r="17" spans="1:46">
      <c r="A17" s="21"/>
      <c r="B17" s="19" t="s">
        <v>192</v>
      </c>
      <c r="C17" s="21"/>
      <c r="D17" s="21"/>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174"/>
      <c r="AF17" s="39"/>
      <c r="AG17" s="180"/>
      <c r="AH17" s="39"/>
      <c r="AI17" s="39"/>
      <c r="AJ17" s="39"/>
      <c r="AK17" s="231"/>
    </row>
    <row r="18" spans="1:46">
      <c r="A18" s="21"/>
      <c r="B18" s="117" t="s">
        <v>978</v>
      </c>
      <c r="C18" s="21"/>
      <c r="D18" s="21"/>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174"/>
      <c r="AF18" s="39"/>
      <c r="AG18" s="748"/>
      <c r="AH18" s="39"/>
      <c r="AI18" s="39"/>
      <c r="AJ18" s="39"/>
      <c r="AK18" s="231"/>
    </row>
    <row r="19" spans="1:46">
      <c r="A19" s="21"/>
      <c r="B19" s="739" t="s">
        <v>1037</v>
      </c>
      <c r="C19" s="21"/>
      <c r="D19" s="21"/>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174"/>
      <c r="AF19" s="39"/>
      <c r="AG19" s="748"/>
      <c r="AH19" s="39"/>
      <c r="AI19" s="39"/>
      <c r="AJ19" s="39"/>
      <c r="AK19" s="231"/>
    </row>
    <row r="20" spans="1:46">
      <c r="A20" s="21"/>
      <c r="B20" s="489" t="s">
        <v>994</v>
      </c>
      <c r="C20" s="21"/>
      <c r="D20" s="21"/>
      <c r="E20" s="919">
        <f>+'Exhibit I State'!E19</f>
        <v>9.4</v>
      </c>
      <c r="F20" s="954"/>
      <c r="G20" s="919">
        <f>+'Exhibit I State'!G19</f>
        <v>9.9999999999999645E-2</v>
      </c>
      <c r="H20" s="954"/>
      <c r="I20" s="919">
        <f>+'Exhibit I State'!I19</f>
        <v>21.200000000000003</v>
      </c>
      <c r="J20" s="467"/>
      <c r="K20" s="919">
        <f>+'Exhibit I State'!K19</f>
        <v>0</v>
      </c>
      <c r="L20" s="213"/>
      <c r="M20" s="919">
        <f>+'Exhibit I State'!M19</f>
        <v>9.9999999999997868E-2</v>
      </c>
      <c r="N20" s="213"/>
      <c r="O20" s="2230">
        <f>+ROUND('Exhibit I State'!O19,1)</f>
        <v>29.9</v>
      </c>
      <c r="P20" s="213"/>
      <c r="Q20" s="919">
        <f>+ROUND('Exhibit I State'!Q19,1)</f>
        <v>0</v>
      </c>
      <c r="R20" s="213"/>
      <c r="S20" s="919">
        <f>+ROUND('Exhibit I State'!S19,1)</f>
        <v>0</v>
      </c>
      <c r="T20" s="919"/>
      <c r="U20" s="919">
        <f>+ROUND('Exhibit I State'!U19,1)</f>
        <v>23.4</v>
      </c>
      <c r="V20" s="919"/>
      <c r="W20" s="919">
        <f>+ROUND('Exhibit I State'!W19,1)</f>
        <v>0.2</v>
      </c>
      <c r="X20" s="919"/>
      <c r="Y20" s="919">
        <f>+ROUND('Exhibit I State'!Y19,1)</f>
        <v>0</v>
      </c>
      <c r="Z20" s="919"/>
      <c r="AA20" s="919">
        <f>+ROUND('Exhibit I State'!AA19,1)</f>
        <v>9.6999999999999993</v>
      </c>
      <c r="AB20" s="919"/>
      <c r="AC20" s="919">
        <v>0</v>
      </c>
      <c r="AD20" s="740"/>
      <c r="AE20" s="213"/>
      <c r="AF20" s="36">
        <f>ROUND(SUM(E20:AC20),1)</f>
        <v>94</v>
      </c>
      <c r="AG20" s="741"/>
      <c r="AH20" s="214"/>
      <c r="AI20" s="219">
        <f>+'Exhibit I State'!AG19</f>
        <v>77</v>
      </c>
      <c r="AJ20" s="215"/>
      <c r="AK20" s="218"/>
      <c r="AL20" s="219">
        <f>ROUND(SUM(AF20-AI20),1)</f>
        <v>17</v>
      </c>
      <c r="AM20" s="213"/>
      <c r="AN20" s="978">
        <f>ROUND(IF(AI20=0,0,AL20/ABS(AI20)),3)</f>
        <v>0.221</v>
      </c>
      <c r="AO20" s="396"/>
    </row>
    <row r="21" spans="1:46">
      <c r="A21" s="21"/>
      <c r="B21" s="489" t="s">
        <v>996</v>
      </c>
      <c r="C21" s="21"/>
      <c r="D21" s="21"/>
      <c r="E21" s="919">
        <f>+'Exhibit I State'!E20</f>
        <v>21.5</v>
      </c>
      <c r="F21" s="954"/>
      <c r="G21" s="919">
        <f>+'Exhibit I State'!G20</f>
        <v>29.5</v>
      </c>
      <c r="H21" s="954"/>
      <c r="I21" s="919">
        <f>+'Exhibit I State'!I20</f>
        <v>15.200000000000003</v>
      </c>
      <c r="J21" s="467"/>
      <c r="K21" s="919">
        <f>+'Exhibit I State'!K20</f>
        <v>-1</v>
      </c>
      <c r="L21" s="213"/>
      <c r="M21" s="919">
        <f>+'Exhibit I State'!M20</f>
        <v>-0.70000000000000284</v>
      </c>
      <c r="N21" s="213"/>
      <c r="O21" s="919">
        <f>+'Exhibit I State'!O20</f>
        <v>-1.3999999999999986</v>
      </c>
      <c r="P21" s="213"/>
      <c r="Q21" s="919">
        <f>+'Exhibit I State'!Q20</f>
        <v>-1</v>
      </c>
      <c r="R21" s="213"/>
      <c r="S21" s="919">
        <f>+'Exhibit I State'!S20</f>
        <v>-1.6</v>
      </c>
      <c r="T21" s="919"/>
      <c r="U21" s="919">
        <f>+'Exhibit I State'!U20</f>
        <v>0</v>
      </c>
      <c r="V21" s="919"/>
      <c r="W21" s="919">
        <f>+'Exhibit I State'!W20</f>
        <v>20</v>
      </c>
      <c r="X21" s="919"/>
      <c r="Y21" s="919">
        <f>+'Exhibit I State'!Y20</f>
        <v>30.5</v>
      </c>
      <c r="Z21" s="919"/>
      <c r="AA21" s="919">
        <f>+'Exhibit I State'!AA20</f>
        <v>29.900000000000006</v>
      </c>
      <c r="AB21" s="919"/>
      <c r="AC21" s="919">
        <v>0</v>
      </c>
      <c r="AD21" s="740"/>
      <c r="AE21" s="213"/>
      <c r="AF21" s="36">
        <f>ROUND(SUM(E21:AC21),1)</f>
        <v>140.9</v>
      </c>
      <c r="AG21" s="741"/>
      <c r="AH21" s="214"/>
      <c r="AI21" s="219">
        <f>+'Exhibit I State'!AG20</f>
        <v>389.4</v>
      </c>
      <c r="AJ21" s="215"/>
      <c r="AK21" s="218"/>
      <c r="AL21" s="219">
        <f>ROUND(SUM(AF21-AI21),1)</f>
        <v>-248.5</v>
      </c>
      <c r="AM21" s="213"/>
      <c r="AN21" s="8">
        <f>ROUND(IF(AI21=0,0,AL21/ABS(AI21)),3)</f>
        <v>-0.63800000000000001</v>
      </c>
      <c r="AO21" s="396"/>
    </row>
    <row r="22" spans="1:46">
      <c r="A22" s="21"/>
      <c r="B22" s="489" t="s">
        <v>998</v>
      </c>
      <c r="C22" s="21"/>
      <c r="D22" s="21"/>
      <c r="E22" s="919">
        <f>+'Exhibit I State'!E21</f>
        <v>11.9</v>
      </c>
      <c r="F22" s="954"/>
      <c r="G22" s="919">
        <f>+'Exhibit I State'!G21</f>
        <v>10.499999999999998</v>
      </c>
      <c r="H22" s="954"/>
      <c r="I22" s="919">
        <f>+'Exhibit I State'!I21</f>
        <v>9.4000000000000039</v>
      </c>
      <c r="J22" s="467"/>
      <c r="K22" s="919">
        <f>+'Exhibit I State'!K21</f>
        <v>11.699999999999994</v>
      </c>
      <c r="L22" s="213"/>
      <c r="M22" s="919">
        <f>+'Exhibit I State'!M21</f>
        <v>11.399999999999997</v>
      </c>
      <c r="N22" s="213"/>
      <c r="O22" s="919">
        <f>+'Exhibit I State'!O21</f>
        <v>9.9</v>
      </c>
      <c r="P22" s="213"/>
      <c r="Q22" s="919">
        <f>+'Exhibit I State'!Q21</f>
        <v>13.1</v>
      </c>
      <c r="R22" s="213"/>
      <c r="S22" s="919">
        <f>+'Exhibit I State'!S21</f>
        <v>11.2</v>
      </c>
      <c r="T22" s="919"/>
      <c r="U22" s="919">
        <f>+'Exhibit I State'!U21</f>
        <v>11.099999999999998</v>
      </c>
      <c r="V22" s="919"/>
      <c r="W22" s="919">
        <f>+'Exhibit I State'!W21</f>
        <v>18.900000000000006</v>
      </c>
      <c r="X22" s="919"/>
      <c r="Y22" s="919">
        <f>+'Exhibit I State'!Y21</f>
        <v>13.599999999999994</v>
      </c>
      <c r="Z22" s="919"/>
      <c r="AA22" s="919">
        <f>+'Exhibit I State'!AA21</f>
        <v>9.2000000000000171</v>
      </c>
      <c r="AB22" s="919"/>
      <c r="AC22" s="919">
        <v>0</v>
      </c>
      <c r="AD22" s="740"/>
      <c r="AE22" s="213"/>
      <c r="AF22" s="36">
        <f>ROUND(SUM(E22:AC22),1)</f>
        <v>141.9</v>
      </c>
      <c r="AG22" s="741"/>
      <c r="AH22" s="214"/>
      <c r="AI22" s="219">
        <f>+'Exhibit I State'!AG21</f>
        <v>140.30000000000001</v>
      </c>
      <c r="AJ22" s="215"/>
      <c r="AK22" s="218"/>
      <c r="AL22" s="219">
        <f>ROUND(SUM(AF22-AI22),1)</f>
        <v>1.6</v>
      </c>
      <c r="AM22" s="213"/>
      <c r="AN22" s="971">
        <f>ROUND(IF(AI22=0,0,AL22/ABS(AI22)),3)</f>
        <v>1.0999999999999999E-2</v>
      </c>
      <c r="AO22" s="396"/>
    </row>
    <row r="23" spans="1:46">
      <c r="A23" s="21"/>
      <c r="B23" s="217" t="s">
        <v>1078</v>
      </c>
      <c r="C23" s="21"/>
      <c r="D23" s="21"/>
      <c r="E23" s="178">
        <f>ROUND(SUM(E20:E22),1)</f>
        <v>42.8</v>
      </c>
      <c r="F23" s="42"/>
      <c r="G23" s="178">
        <f>ROUND(SUM(G20:G22),1)</f>
        <v>40.1</v>
      </c>
      <c r="H23" s="42"/>
      <c r="I23" s="178">
        <f>ROUND(SUM(I20:I22),1)</f>
        <v>45.8</v>
      </c>
      <c r="J23" s="42"/>
      <c r="K23" s="178">
        <f>ROUND(SUM(K20:K22),1)</f>
        <v>10.7</v>
      </c>
      <c r="L23" s="213"/>
      <c r="M23" s="178">
        <f>ROUND(SUM(M20:M22),1)</f>
        <v>10.8</v>
      </c>
      <c r="N23" s="213"/>
      <c r="O23" s="178">
        <f>ROUND(SUM(O20:O22),1)</f>
        <v>38.4</v>
      </c>
      <c r="P23" s="213"/>
      <c r="Q23" s="178">
        <f>ROUND(SUM(Q20:Q22),1)</f>
        <v>12.1</v>
      </c>
      <c r="R23" s="213"/>
      <c r="S23" s="178">
        <f>ROUND(SUM(S20:S22),1)</f>
        <v>9.6</v>
      </c>
      <c r="T23" s="213"/>
      <c r="U23" s="178">
        <f>ROUND(SUM(U20:U22),1)</f>
        <v>34.5</v>
      </c>
      <c r="V23" s="213"/>
      <c r="W23" s="178">
        <f>ROUND(SUM(W20:W22),1)</f>
        <v>39.1</v>
      </c>
      <c r="X23" s="213"/>
      <c r="Y23" s="178">
        <f>ROUND(SUM(Y20:Y22),1)</f>
        <v>44.1</v>
      </c>
      <c r="Z23" s="213"/>
      <c r="AA23" s="178">
        <f>ROUND(SUM(AA20:AA22),1)</f>
        <v>48.8</v>
      </c>
      <c r="AB23" s="42"/>
      <c r="AC23" s="178">
        <f>ROUND(SUM(AC20:AC22),1)</f>
        <v>0</v>
      </c>
      <c r="AD23" s="740"/>
      <c r="AE23" s="213"/>
      <c r="AF23" s="178">
        <f>ROUND(SUM(AF20:AF22),1)</f>
        <v>376.8</v>
      </c>
      <c r="AG23" s="741"/>
      <c r="AH23" s="214"/>
      <c r="AI23" s="178">
        <f>ROUND(SUM(AI20:AI22),1)</f>
        <v>606.70000000000005</v>
      </c>
      <c r="AJ23" s="215"/>
      <c r="AK23" s="218"/>
      <c r="AL23" s="763">
        <f>ROUND(SUM(AF23-AI23),1)</f>
        <v>-229.9</v>
      </c>
      <c r="AM23" s="217"/>
      <c r="AN23" s="13">
        <f>ROUND(IF(AI23=0,0,AL23/ABS(AI23)),3)</f>
        <v>-0.379</v>
      </c>
      <c r="AO23" s="396"/>
    </row>
    <row r="24" spans="1:46">
      <c r="A24" s="21"/>
      <c r="B24" s="739" t="s">
        <v>1038</v>
      </c>
      <c r="C24" s="21"/>
      <c r="D24" s="21"/>
      <c r="E24" s="42"/>
      <c r="F24" s="42"/>
      <c r="G24" s="42"/>
      <c r="H24" s="42"/>
      <c r="I24" s="42"/>
      <c r="J24" s="42"/>
      <c r="K24" s="42"/>
      <c r="L24" s="213"/>
      <c r="M24" s="42"/>
      <c r="N24" s="213"/>
      <c r="O24" s="42"/>
      <c r="P24" s="213"/>
      <c r="Q24" s="42"/>
      <c r="R24" s="213"/>
      <c r="S24" s="42"/>
      <c r="T24" s="213"/>
      <c r="U24" s="42"/>
      <c r="V24" s="213"/>
      <c r="W24" s="42"/>
      <c r="X24" s="213"/>
      <c r="Y24" s="42"/>
      <c r="Z24" s="213"/>
      <c r="AA24" s="42"/>
      <c r="AB24" s="42"/>
      <c r="AC24" s="42"/>
      <c r="AD24" s="740"/>
      <c r="AE24" s="213"/>
      <c r="AF24" s="42"/>
      <c r="AG24" s="741"/>
      <c r="AH24" s="214"/>
      <c r="AI24" s="42"/>
      <c r="AJ24" s="215"/>
      <c r="AK24" s="218"/>
      <c r="AL24" s="743"/>
      <c r="AM24" s="217"/>
      <c r="AN24" s="17"/>
      <c r="AO24" s="396"/>
    </row>
    <row r="25" spans="1:46">
      <c r="A25" s="21"/>
      <c r="B25" s="489" t="s">
        <v>1000</v>
      </c>
      <c r="C25" s="21"/>
      <c r="D25" s="21"/>
      <c r="E25" s="919">
        <f>+'Exhibit I State'!E24</f>
        <v>0</v>
      </c>
      <c r="F25" s="42"/>
      <c r="G25" s="919">
        <f>+'Exhibit I State'!G24</f>
        <v>0</v>
      </c>
      <c r="H25" s="42"/>
      <c r="I25" s="919">
        <f>+'Exhibit I State'!I24</f>
        <v>0</v>
      </c>
      <c r="J25" s="42"/>
      <c r="K25" s="919">
        <f>+'Exhibit I State'!K24</f>
        <v>0</v>
      </c>
      <c r="L25" s="213"/>
      <c r="M25" s="919">
        <f>+'Exhibit I State'!M24</f>
        <v>0</v>
      </c>
      <c r="N25" s="213"/>
      <c r="O25" s="919">
        <f>+'Exhibit I State'!O24</f>
        <v>0</v>
      </c>
      <c r="P25" s="213"/>
      <c r="Q25" s="919">
        <f>+'Exhibit I State'!Q24</f>
        <v>0</v>
      </c>
      <c r="R25" s="213"/>
      <c r="S25" s="919">
        <f>+'Exhibit I State'!S24</f>
        <v>0</v>
      </c>
      <c r="T25" s="919"/>
      <c r="U25" s="919">
        <f>+'Exhibit I State'!U24</f>
        <v>0</v>
      </c>
      <c r="V25" s="919"/>
      <c r="W25" s="919">
        <f>+'Exhibit I State'!W24</f>
        <v>0</v>
      </c>
      <c r="X25" s="919"/>
      <c r="Y25" s="919">
        <f>+'Exhibit I State'!Y24</f>
        <v>0</v>
      </c>
      <c r="Z25" s="919"/>
      <c r="AA25" s="919">
        <f>+'Exhibit I State'!AA24</f>
        <v>0</v>
      </c>
      <c r="AB25" s="919"/>
      <c r="AC25" s="919">
        <v>0</v>
      </c>
      <c r="AD25" s="740"/>
      <c r="AE25" s="213"/>
      <c r="AF25" s="467">
        <v>0</v>
      </c>
      <c r="AG25" s="741"/>
      <c r="AH25" s="214"/>
      <c r="AI25" s="219">
        <f>+'Exhibit I State'!AG24</f>
        <v>0</v>
      </c>
      <c r="AJ25" s="215"/>
      <c r="AK25" s="218"/>
      <c r="AL25" s="219">
        <f>ROUND(SUM(AF25-AI25),1)</f>
        <v>0</v>
      </c>
      <c r="AM25" s="213"/>
      <c r="AN25" s="970">
        <f>ROUND(IF(AI25=0,0,AL25/ABS(AI25)),3)</f>
        <v>0</v>
      </c>
      <c r="AO25" s="396"/>
      <c r="AP25" s="211"/>
      <c r="AQ25" s="211"/>
      <c r="AR25" s="211"/>
      <c r="AS25" s="211"/>
      <c r="AT25" s="211"/>
    </row>
    <row r="26" spans="1:46">
      <c r="A26" s="21"/>
      <c r="B26" s="489" t="s">
        <v>1001</v>
      </c>
      <c r="C26" s="21"/>
      <c r="D26" s="21"/>
      <c r="E26" s="919">
        <f>+'Exhibit I State'!E25</f>
        <v>1.6</v>
      </c>
      <c r="F26" s="954"/>
      <c r="G26" s="919">
        <f>+'Exhibit I State'!G25</f>
        <v>0</v>
      </c>
      <c r="H26" s="954"/>
      <c r="I26" s="919">
        <f>+'Exhibit I State'!I25</f>
        <v>1.7999999999999998</v>
      </c>
      <c r="J26" s="42"/>
      <c r="K26" s="919">
        <f>+'Exhibit I State'!K25</f>
        <v>0.20000000000000018</v>
      </c>
      <c r="L26" s="213"/>
      <c r="M26" s="919">
        <f>+'Exhibit I State'!M25</f>
        <v>0.10000000000000009</v>
      </c>
      <c r="N26" s="213"/>
      <c r="O26" s="919">
        <f>+'Exhibit I State'!O25</f>
        <v>1</v>
      </c>
      <c r="P26" s="213"/>
      <c r="Q26" s="919">
        <f>+'Exhibit I State'!Q25</f>
        <v>0.20000000000000018</v>
      </c>
      <c r="R26" s="213"/>
      <c r="S26" s="919">
        <f>+'Exhibit I State'!S25</f>
        <v>0.49999999999999911</v>
      </c>
      <c r="T26" s="919"/>
      <c r="U26" s="919">
        <f>+'Exhibit I State'!U25</f>
        <v>1.4</v>
      </c>
      <c r="V26" s="919"/>
      <c r="W26" s="919">
        <f>+'Exhibit I State'!W25</f>
        <v>0</v>
      </c>
      <c r="X26" s="919"/>
      <c r="Y26" s="919">
        <f>+'Exhibit I State'!Y25</f>
        <v>0.30000000000000071</v>
      </c>
      <c r="Z26" s="919"/>
      <c r="AA26" s="919">
        <f>+'Exhibit I State'!AA25</f>
        <v>3.0000000000000004</v>
      </c>
      <c r="AB26" s="919"/>
      <c r="AC26" s="919">
        <v>0</v>
      </c>
      <c r="AD26" s="740"/>
      <c r="AE26" s="213"/>
      <c r="AF26" s="36">
        <f>ROUND(SUM(E26:AC26),1)</f>
        <v>10.1</v>
      </c>
      <c r="AG26" s="741"/>
      <c r="AH26" s="214"/>
      <c r="AI26" s="219">
        <f>+'Exhibit I State'!AG25</f>
        <v>9.3000000000000007</v>
      </c>
      <c r="AJ26" s="215"/>
      <c r="AK26" s="218"/>
      <c r="AL26" s="219">
        <f>ROUND(SUM(AF26-AI26),1)</f>
        <v>0.8</v>
      </c>
      <c r="AM26" s="213"/>
      <c r="AN26" s="978">
        <f>ROUND(IF(AI26=0,1,AL26/ABS(AI26)),3)</f>
        <v>8.5999999999999993E-2</v>
      </c>
      <c r="AO26" s="396"/>
      <c r="AP26" s="211"/>
      <c r="AQ26" s="211"/>
      <c r="AR26" s="211"/>
      <c r="AS26" s="211"/>
      <c r="AT26" s="211"/>
    </row>
    <row r="27" spans="1:46">
      <c r="A27" s="21"/>
      <c r="B27" s="489" t="s">
        <v>1004</v>
      </c>
      <c r="C27" s="21"/>
      <c r="D27" s="21"/>
      <c r="E27" s="919">
        <f>+'Exhibit I State'!E26</f>
        <v>47.5</v>
      </c>
      <c r="F27" s="954"/>
      <c r="G27" s="919">
        <f>+'Exhibit I State'!G26</f>
        <v>50.199999999999989</v>
      </c>
      <c r="H27" s="954"/>
      <c r="I27" s="919">
        <f>+'Exhibit I State'!I26</f>
        <v>53.900000000000006</v>
      </c>
      <c r="J27" s="42"/>
      <c r="K27" s="919">
        <f>+'Exhibit I State'!K26</f>
        <v>49.599999999999994</v>
      </c>
      <c r="L27" s="213"/>
      <c r="M27" s="919">
        <f>+'Exhibit I State'!M26</f>
        <v>52.700000000000017</v>
      </c>
      <c r="N27" s="213"/>
      <c r="O27" s="919">
        <f>+'Exhibit I State'!O26</f>
        <v>58.099999999999994</v>
      </c>
      <c r="P27" s="213"/>
      <c r="Q27" s="919">
        <f>+'Exhibit I State'!Q26</f>
        <v>49.5</v>
      </c>
      <c r="R27" s="213"/>
      <c r="S27" s="919">
        <f>+'Exhibit I State'!S26</f>
        <v>50.30000000000004</v>
      </c>
      <c r="T27" s="919"/>
      <c r="U27" s="919">
        <f>+'Exhibit I State'!U26</f>
        <v>53.699999999999903</v>
      </c>
      <c r="V27" s="919"/>
      <c r="W27" s="919">
        <f>+'Exhibit I State'!W26</f>
        <v>47.700000000000017</v>
      </c>
      <c r="X27" s="919"/>
      <c r="Y27" s="919">
        <f>+'Exhibit I State'!Y26</f>
        <v>52.099999999999909</v>
      </c>
      <c r="Z27" s="919"/>
      <c r="AA27" s="919">
        <f>+'Exhibit I State'!AA26</f>
        <v>49.200000000000017</v>
      </c>
      <c r="AB27" s="919"/>
      <c r="AC27" s="919">
        <v>0</v>
      </c>
      <c r="AD27" s="740"/>
      <c r="AE27" s="213"/>
      <c r="AF27" s="36">
        <f>ROUND(SUM(E27:AC27),1)</f>
        <v>614.5</v>
      </c>
      <c r="AG27" s="741"/>
      <c r="AH27" s="214"/>
      <c r="AI27" s="219">
        <f>+'Exhibit I State'!AG26</f>
        <v>577.70000000000005</v>
      </c>
      <c r="AJ27" s="215"/>
      <c r="AK27" s="218"/>
      <c r="AL27" s="219">
        <f>ROUND(SUM(AF27-AI27),1)</f>
        <v>36.799999999999997</v>
      </c>
      <c r="AM27" s="213"/>
      <c r="AN27" s="955">
        <f>ROUND(IF(AI27=0,0,AL27/ABS(AI27)),3)</f>
        <v>6.4000000000000001E-2</v>
      </c>
      <c r="AO27" s="396"/>
      <c r="AP27" s="211"/>
      <c r="AQ27" s="211"/>
      <c r="AR27" s="211"/>
      <c r="AS27" s="211"/>
      <c r="AT27" s="211"/>
    </row>
    <row r="28" spans="1:46">
      <c r="A28" s="21"/>
      <c r="B28" s="217" t="s">
        <v>1079</v>
      </c>
      <c r="C28" s="21"/>
      <c r="D28" s="21"/>
      <c r="E28" s="178">
        <f>ROUND(SUM(E25:E27),1)</f>
        <v>49.1</v>
      </c>
      <c r="F28" s="954"/>
      <c r="G28" s="178">
        <f>ROUND(SUM(G25:G27),1)</f>
        <v>50.2</v>
      </c>
      <c r="H28" s="954"/>
      <c r="I28" s="178">
        <f>ROUND(SUM(I25:I27),1)</f>
        <v>55.7</v>
      </c>
      <c r="J28" s="42"/>
      <c r="K28" s="178">
        <f>ROUND(SUM(K25:K27),1)</f>
        <v>49.8</v>
      </c>
      <c r="L28" s="213"/>
      <c r="M28" s="178">
        <f>ROUND(SUM(M25:M27),1)</f>
        <v>52.8</v>
      </c>
      <c r="N28" s="213"/>
      <c r="O28" s="178">
        <f>ROUND(SUM(O25:O27),1)</f>
        <v>59.1</v>
      </c>
      <c r="P28" s="213"/>
      <c r="Q28" s="178">
        <f>ROUND(SUM(Q25:Q27),1)</f>
        <v>49.7</v>
      </c>
      <c r="R28" s="213"/>
      <c r="S28" s="178">
        <f>ROUND(SUM(S25:S27),1)</f>
        <v>50.8</v>
      </c>
      <c r="T28" s="213"/>
      <c r="U28" s="178">
        <f>ROUND(SUM(U25:U27),1)</f>
        <v>55.1</v>
      </c>
      <c r="V28" s="213"/>
      <c r="W28" s="178">
        <f>ROUND(SUM(W25:W27),1)</f>
        <v>47.7</v>
      </c>
      <c r="X28" s="213"/>
      <c r="Y28" s="178">
        <f>ROUND(SUM(Y25:Y27),1)</f>
        <v>52.4</v>
      </c>
      <c r="Z28" s="213"/>
      <c r="AA28" s="178">
        <f>ROUND(SUM(AA25:AA27),1)</f>
        <v>52.2</v>
      </c>
      <c r="AB28" s="42"/>
      <c r="AC28" s="178">
        <f>ROUND(SUM(AC25:AC27),1)</f>
        <v>0</v>
      </c>
      <c r="AD28" s="740"/>
      <c r="AE28" s="213"/>
      <c r="AF28" s="178">
        <f>ROUND(SUM(AF25:AF27),1)</f>
        <v>624.6</v>
      </c>
      <c r="AG28" s="741"/>
      <c r="AH28" s="214"/>
      <c r="AI28" s="178">
        <f>ROUND(SUM(AI25:AI27),1)</f>
        <v>587</v>
      </c>
      <c r="AJ28" s="215"/>
      <c r="AK28" s="218"/>
      <c r="AL28" s="178">
        <f>ROUND(SUM(AL25:AL27),1)</f>
        <v>37.6</v>
      </c>
      <c r="AM28" s="213"/>
      <c r="AN28" s="968">
        <f>ROUND(IF(AI28=0,0,AL28/ABS(AI28)),3)</f>
        <v>6.4000000000000001E-2</v>
      </c>
      <c r="AO28" s="396"/>
      <c r="AP28" s="211"/>
      <c r="AQ28" s="211"/>
      <c r="AR28" s="211"/>
      <c r="AS28" s="211"/>
      <c r="AT28" s="211"/>
    </row>
    <row r="29" spans="1:46">
      <c r="A29" s="21"/>
      <c r="B29" s="739" t="s">
        <v>1039</v>
      </c>
      <c r="C29" s="21"/>
      <c r="D29" s="21"/>
      <c r="E29" s="472"/>
      <c r="F29" s="472"/>
      <c r="G29" s="472"/>
      <c r="H29" s="472"/>
      <c r="I29" s="472"/>
      <c r="J29" s="472"/>
      <c r="K29" s="472"/>
      <c r="L29" s="39"/>
      <c r="M29" s="472"/>
      <c r="N29" s="39"/>
      <c r="O29" s="472"/>
      <c r="P29" s="39"/>
      <c r="Q29" s="472"/>
      <c r="R29" s="39"/>
      <c r="S29" s="39"/>
      <c r="T29" s="39"/>
      <c r="U29" s="39"/>
      <c r="V29" s="39"/>
      <c r="W29" s="39"/>
      <c r="X29" s="39"/>
      <c r="Y29" s="39"/>
      <c r="Z29" s="39"/>
      <c r="AA29" s="39"/>
      <c r="AB29" s="39"/>
      <c r="AC29" s="39"/>
      <c r="AD29" s="39"/>
      <c r="AE29" s="174"/>
      <c r="AF29" s="39"/>
      <c r="AG29" s="748"/>
      <c r="AH29" s="39"/>
      <c r="AI29" s="39"/>
      <c r="AJ29" s="39"/>
      <c r="AK29" s="231"/>
    </row>
    <row r="30" spans="1:46">
      <c r="A30" s="21"/>
      <c r="B30" s="489" t="s">
        <v>1010</v>
      </c>
      <c r="C30" s="21"/>
      <c r="D30" s="21"/>
      <c r="E30" s="919">
        <f>+'Exhibit I State'!E29</f>
        <v>0</v>
      </c>
      <c r="F30" s="954"/>
      <c r="G30" s="919">
        <f>+'Exhibit I State'!G29</f>
        <v>0</v>
      </c>
      <c r="H30" s="954"/>
      <c r="I30" s="919">
        <f>+'Exhibit I State'!I29</f>
        <v>25.7</v>
      </c>
      <c r="J30" s="42"/>
      <c r="K30" s="919">
        <f>+'Exhibit I State'!K29</f>
        <v>25.8</v>
      </c>
      <c r="L30" s="213"/>
      <c r="M30" s="919">
        <f>+'Exhibit I State'!M29</f>
        <v>25.700000000000006</v>
      </c>
      <c r="N30" s="213"/>
      <c r="O30" s="919">
        <f>+'Exhibit I State'!O29</f>
        <v>25.799999999999994</v>
      </c>
      <c r="P30" s="213"/>
      <c r="Q30" s="919">
        <f>+'Exhibit I State'!Q29</f>
        <v>25.699999999999992</v>
      </c>
      <c r="R30" s="213"/>
      <c r="S30" s="919">
        <f>+'Exhibit I State'!S29</f>
        <v>25.7</v>
      </c>
      <c r="T30" s="919"/>
      <c r="U30" s="919">
        <f>+'Exhibit I State'!U29</f>
        <v>25.700000000000006</v>
      </c>
      <c r="V30" s="919"/>
      <c r="W30" s="919">
        <f>+'Exhibit I State'!W29</f>
        <v>25.799999999999994</v>
      </c>
      <c r="X30" s="919"/>
      <c r="Y30" s="919">
        <f>+'Exhibit I State'!Y29</f>
        <v>25.700000000000006</v>
      </c>
      <c r="Z30" s="919"/>
      <c r="AA30" s="919">
        <f>+'Exhibit I State'!AA29</f>
        <v>25.699999999999957</v>
      </c>
      <c r="AB30" s="919"/>
      <c r="AC30" s="919">
        <v>0</v>
      </c>
      <c r="AD30" s="740"/>
      <c r="AE30" s="213"/>
      <c r="AF30" s="36">
        <f>ROUND(SUM(E30:AC30),1)</f>
        <v>257.3</v>
      </c>
      <c r="AG30" s="741"/>
      <c r="AH30" s="214"/>
      <c r="AI30" s="219">
        <f>+'Exhibit I State'!AG29</f>
        <v>119.1</v>
      </c>
      <c r="AJ30" s="215"/>
      <c r="AK30" s="218"/>
      <c r="AL30" s="219">
        <f>ROUND(SUM(AF30-AI30),1)</f>
        <v>138.19999999999999</v>
      </c>
      <c r="AM30" s="213"/>
      <c r="AN30" s="955">
        <f>ROUND(IF(AI30=0,0,AL30/ABS(AI30)),3)</f>
        <v>1.1599999999999999</v>
      </c>
      <c r="AO30" s="396"/>
      <c r="AP30" s="211"/>
      <c r="AQ30" s="211"/>
      <c r="AR30" s="211"/>
    </row>
    <row r="31" spans="1:46">
      <c r="A31" s="21"/>
      <c r="B31" s="217" t="s">
        <v>1080</v>
      </c>
      <c r="C31" s="21"/>
      <c r="D31" s="21"/>
      <c r="E31" s="178">
        <f>ROUND(SUM(E30:E30),1)</f>
        <v>0</v>
      </c>
      <c r="F31" s="42"/>
      <c r="G31" s="178">
        <f>ROUND(SUM(G30:G30),1)</f>
        <v>0</v>
      </c>
      <c r="H31" s="42"/>
      <c r="I31" s="178">
        <f>ROUND(SUM(I30:I30),1)</f>
        <v>25.7</v>
      </c>
      <c r="J31" s="42"/>
      <c r="K31" s="178">
        <f>ROUND(SUM(K30:K30),1)</f>
        <v>25.8</v>
      </c>
      <c r="L31" s="213"/>
      <c r="M31" s="178">
        <f>ROUND(SUM(M30:M30),1)</f>
        <v>25.7</v>
      </c>
      <c r="N31" s="213"/>
      <c r="O31" s="178">
        <f>ROUND(SUM(O30:O30),1)</f>
        <v>25.8</v>
      </c>
      <c r="P31" s="213"/>
      <c r="Q31" s="178">
        <f>ROUND(SUM(Q30:Q30),1)</f>
        <v>25.7</v>
      </c>
      <c r="R31" s="213"/>
      <c r="S31" s="41">
        <f>ROUND(SUM(S30:S30),1)</f>
        <v>25.7</v>
      </c>
      <c r="T31" s="213"/>
      <c r="U31" s="41">
        <f>ROUND(SUM(U30:U30),1)</f>
        <v>25.7</v>
      </c>
      <c r="V31" s="213"/>
      <c r="W31" s="41">
        <f>ROUND(SUM(W30:W30),1)</f>
        <v>25.8</v>
      </c>
      <c r="X31" s="213"/>
      <c r="Y31" s="41">
        <f>ROUND(SUM(Y30:Y30),1)</f>
        <v>25.7</v>
      </c>
      <c r="Z31" s="213"/>
      <c r="AA31" s="41">
        <f>ROUND(SUM(AA30:AA30),1)</f>
        <v>25.7</v>
      </c>
      <c r="AB31" s="42"/>
      <c r="AC31" s="41">
        <f>ROUND(SUM(AC30:AC30),1)</f>
        <v>0</v>
      </c>
      <c r="AD31" s="740"/>
      <c r="AE31" s="213"/>
      <c r="AF31" s="41">
        <f>ROUND(SUM(AF30:AF30),1)</f>
        <v>257.3</v>
      </c>
      <c r="AG31" s="741"/>
      <c r="AH31" s="214"/>
      <c r="AI31" s="41">
        <f>ROUND(SUM(AI30:AI30),1)</f>
        <v>119.1</v>
      </c>
      <c r="AJ31" s="215"/>
      <c r="AK31" s="218"/>
      <c r="AL31" s="763">
        <f>ROUND(SUM(AF31-AI31),1)</f>
        <v>138.19999999999999</v>
      </c>
      <c r="AM31" s="217"/>
      <c r="AN31" s="962">
        <f>ROUND(IF(AI31=0,0,AL31/ABS(AI31)),3)</f>
        <v>1.1599999999999999</v>
      </c>
      <c r="AO31" s="396"/>
      <c r="AP31" s="211"/>
      <c r="AQ31" s="211"/>
      <c r="AR31" s="211"/>
    </row>
    <row r="32" spans="1:46">
      <c r="A32" s="21"/>
      <c r="B32" s="217"/>
      <c r="C32" s="21"/>
      <c r="D32" s="21"/>
      <c r="E32" s="178"/>
      <c r="F32" s="42"/>
      <c r="G32" s="178"/>
      <c r="H32" s="42"/>
      <c r="I32" s="178"/>
      <c r="J32" s="42"/>
      <c r="K32" s="178"/>
      <c r="L32" s="213"/>
      <c r="M32" s="178"/>
      <c r="N32" s="213"/>
      <c r="O32" s="178"/>
      <c r="P32" s="213"/>
      <c r="Q32" s="178"/>
      <c r="R32" s="213"/>
      <c r="S32" s="178"/>
      <c r="T32" s="213"/>
      <c r="U32" s="178"/>
      <c r="V32" s="213"/>
      <c r="W32" s="178"/>
      <c r="X32" s="213"/>
      <c r="Y32" s="178"/>
      <c r="Z32" s="213"/>
      <c r="AA32" s="178"/>
      <c r="AB32" s="42"/>
      <c r="AC32" s="178"/>
      <c r="AD32" s="740"/>
      <c r="AE32" s="213"/>
      <c r="AF32" s="178"/>
      <c r="AG32" s="741"/>
      <c r="AH32" s="214"/>
      <c r="AI32" s="214"/>
      <c r="AJ32" s="215"/>
      <c r="AK32" s="218"/>
      <c r="AL32" s="214"/>
      <c r="AM32" s="213"/>
      <c r="AN32" s="213"/>
      <c r="AO32" s="396"/>
      <c r="AP32" s="211"/>
      <c r="AQ32" s="211"/>
      <c r="AR32" s="211"/>
    </row>
    <row r="33" spans="1:44">
      <c r="A33" s="21"/>
      <c r="B33" s="217" t="s">
        <v>1006</v>
      </c>
      <c r="C33" s="21"/>
      <c r="D33" s="21"/>
      <c r="E33" s="1154">
        <f>ROUND(SUM(E11+E28+E23+E31),1)</f>
        <v>91.9</v>
      </c>
      <c r="F33" s="467"/>
      <c r="G33" s="1154">
        <f>ROUND(SUM(G11+G28+G23+G31),1)</f>
        <v>90.3</v>
      </c>
      <c r="H33" s="467"/>
      <c r="I33" s="1154">
        <f>ROUND(SUM(I11+I28+I23+I31),1)</f>
        <v>127.2</v>
      </c>
      <c r="J33" s="467"/>
      <c r="K33" s="1154">
        <f>ROUND(SUM(K11+K28+K23+K31),1)</f>
        <v>86.3</v>
      </c>
      <c r="L33" s="213"/>
      <c r="M33" s="1154">
        <f>ROUND(SUM(M11+M28+M23+M31),1)</f>
        <v>89.3</v>
      </c>
      <c r="N33" s="213"/>
      <c r="O33" s="1154">
        <f>ROUND(SUM(O11+O28+O23+O31),1)</f>
        <v>123.3</v>
      </c>
      <c r="P33" s="213"/>
      <c r="Q33" s="1154">
        <f>ROUND(SUM(Q11+Q28+Q23+Q31),1)</f>
        <v>87.5</v>
      </c>
      <c r="R33" s="213"/>
      <c r="S33" s="742">
        <f>ROUND(SUM(S11+S28+S23+S31),1)</f>
        <v>86.1</v>
      </c>
      <c r="T33" s="213"/>
      <c r="U33" s="742">
        <f>ROUND(SUM(U11+U28+U23+U31),1)</f>
        <v>115.3</v>
      </c>
      <c r="V33" s="213"/>
      <c r="W33" s="742">
        <f>ROUND(SUM(W11+W28+W23+W31),1)</f>
        <v>112.6</v>
      </c>
      <c r="X33" s="213"/>
      <c r="Y33" s="742">
        <f>ROUND(SUM(Y11+Y28+Y23+Y31),1)</f>
        <v>122.2</v>
      </c>
      <c r="Z33" s="213"/>
      <c r="AA33" s="742">
        <f>ROUND(SUM(AA11+AA28+AA23+AA31),1)</f>
        <v>126.7</v>
      </c>
      <c r="AB33" s="744"/>
      <c r="AC33" s="742">
        <f>ROUND(SUM(AC15+AC28+AC23+AC31),1)</f>
        <v>0</v>
      </c>
      <c r="AD33" s="740"/>
      <c r="AE33" s="213"/>
      <c r="AF33" s="742">
        <f>ROUND(SUM(AF28+AF23+AF31),1)</f>
        <v>1258.7</v>
      </c>
      <c r="AG33" s="741"/>
      <c r="AH33" s="214"/>
      <c r="AI33" s="742">
        <f>ROUND(SUM(AI28+AI23+AI31),1)</f>
        <v>1312.8</v>
      </c>
      <c r="AJ33" s="215"/>
      <c r="AK33" s="218"/>
      <c r="AL33" s="763">
        <f>ROUND(SUM(AF33-AI33),1)</f>
        <v>-54.1</v>
      </c>
      <c r="AM33" s="217"/>
      <c r="AN33" s="962">
        <f>ROUND(IF(AI33=0,0,AL33/ABS(AI33)),3)</f>
        <v>-4.1000000000000002E-2</v>
      </c>
      <c r="AO33" s="396"/>
      <c r="AP33" s="211"/>
      <c r="AQ33" s="211"/>
      <c r="AR33" s="211"/>
    </row>
    <row r="34" spans="1:44">
      <c r="A34" s="21"/>
      <c r="B34" s="217"/>
      <c r="C34" s="21"/>
      <c r="D34" s="21"/>
      <c r="E34" s="1155"/>
      <c r="F34" s="467"/>
      <c r="G34" s="1155"/>
      <c r="H34" s="467"/>
      <c r="I34" s="1155"/>
      <c r="J34" s="467"/>
      <c r="K34" s="1155"/>
      <c r="L34" s="213"/>
      <c r="M34" s="1155"/>
      <c r="N34" s="213"/>
      <c r="O34" s="1155"/>
      <c r="P34" s="213"/>
      <c r="Q34" s="1155"/>
      <c r="R34" s="213"/>
      <c r="S34" s="744"/>
      <c r="T34" s="213"/>
      <c r="U34" s="744"/>
      <c r="V34" s="213"/>
      <c r="W34" s="744"/>
      <c r="X34" s="213"/>
      <c r="Y34" s="744"/>
      <c r="Z34" s="213"/>
      <c r="AA34" s="744"/>
      <c r="AB34" s="744"/>
      <c r="AC34" s="744"/>
      <c r="AD34" s="931"/>
      <c r="AE34" s="213"/>
      <c r="AF34" s="744"/>
      <c r="AG34" s="741"/>
      <c r="AH34" s="214"/>
      <c r="AI34" s="744"/>
      <c r="AJ34" s="215"/>
      <c r="AK34" s="218"/>
      <c r="AL34" s="743"/>
      <c r="AM34" s="217"/>
      <c r="AN34" s="486"/>
      <c r="AO34" s="396"/>
      <c r="AP34" s="211"/>
      <c r="AQ34" s="211"/>
      <c r="AR34" s="211"/>
    </row>
    <row r="35" spans="1:44">
      <c r="A35" s="21"/>
      <c r="B35" s="117" t="s">
        <v>916</v>
      </c>
      <c r="C35" s="21"/>
      <c r="D35" s="21"/>
      <c r="E35" s="480"/>
      <c r="F35" s="467"/>
      <c r="G35" s="480"/>
      <c r="H35" s="467"/>
      <c r="I35" s="480"/>
      <c r="J35" s="467"/>
      <c r="K35" s="480"/>
      <c r="L35" s="36"/>
      <c r="M35" s="480"/>
      <c r="N35" s="36"/>
      <c r="O35" s="480"/>
      <c r="P35" s="36"/>
      <c r="Q35" s="480"/>
      <c r="R35" s="36"/>
      <c r="S35" s="115"/>
      <c r="T35" s="36"/>
      <c r="U35" s="115"/>
      <c r="V35" s="36"/>
      <c r="W35" s="115"/>
      <c r="X35" s="36"/>
      <c r="Y35" s="115"/>
      <c r="Z35" s="36"/>
      <c r="AA35" s="115"/>
      <c r="AB35" s="115"/>
      <c r="AC35" s="115"/>
      <c r="AD35" s="36"/>
      <c r="AE35" s="37"/>
      <c r="AF35" s="193"/>
      <c r="AG35" s="691"/>
      <c r="AH35" s="40"/>
      <c r="AI35" s="1879"/>
      <c r="AJ35" s="46"/>
      <c r="AK35" s="236"/>
      <c r="AL35" s="38"/>
      <c r="AM35" s="234"/>
      <c r="AN35" s="955"/>
    </row>
    <row r="36" spans="1:44">
      <c r="A36" s="21"/>
      <c r="B36" s="597" t="s">
        <v>1031</v>
      </c>
      <c r="C36" s="21"/>
      <c r="D36" s="21"/>
      <c r="E36" s="480"/>
      <c r="F36" s="467"/>
      <c r="G36" s="480"/>
      <c r="H36" s="467"/>
      <c r="I36" s="480"/>
      <c r="J36" s="467"/>
      <c r="K36" s="480"/>
      <c r="L36" s="36"/>
      <c r="M36" s="480"/>
      <c r="N36" s="36"/>
      <c r="O36" s="480"/>
      <c r="P36" s="36"/>
      <c r="Q36" s="480"/>
      <c r="R36" s="36"/>
      <c r="S36" s="115"/>
      <c r="T36" s="36"/>
      <c r="U36" s="115"/>
      <c r="V36" s="36"/>
      <c r="W36" s="115"/>
      <c r="X36" s="36"/>
      <c r="Y36" s="115"/>
      <c r="Z36" s="36"/>
      <c r="AA36" s="115"/>
      <c r="AB36" s="115"/>
      <c r="AC36" s="115"/>
      <c r="AD36" s="36"/>
      <c r="AE36" s="37"/>
      <c r="AF36" s="193"/>
      <c r="AG36" s="691"/>
      <c r="AH36" s="40"/>
      <c r="AI36" s="1879"/>
      <c r="AJ36" s="46"/>
      <c r="AK36" s="236"/>
      <c r="AL36" s="38"/>
      <c r="AM36" s="234"/>
      <c r="AN36" s="955"/>
    </row>
    <row r="37" spans="1:44">
      <c r="A37" s="21"/>
      <c r="B37" s="597" t="s">
        <v>949</v>
      </c>
      <c r="C37" s="21"/>
      <c r="D37" s="21"/>
      <c r="E37" s="480">
        <f>+'Exhibit I State'!E36+'Exhibit I Federal'!E19</f>
        <v>0</v>
      </c>
      <c r="F37" s="467"/>
      <c r="G37" s="480">
        <f>+'Exhibit I State'!G36+'Exhibit I Federal'!G19</f>
        <v>0</v>
      </c>
      <c r="H37" s="467"/>
      <c r="I37" s="480">
        <f>+'Exhibit I State'!I36+'Exhibit I Federal'!I19</f>
        <v>23</v>
      </c>
      <c r="J37" s="467"/>
      <c r="K37" s="480">
        <f>+'Exhibit I State'!K36+'Exhibit I Federal'!K19</f>
        <v>0</v>
      </c>
      <c r="L37" s="36"/>
      <c r="M37" s="480">
        <f>+'Exhibit I State'!M36+'Exhibit I Federal'!M19</f>
        <v>0</v>
      </c>
      <c r="N37" s="36"/>
      <c r="O37" s="480">
        <f>+'Exhibit I State'!O36+'Exhibit I Federal'!O19</f>
        <v>0</v>
      </c>
      <c r="P37" s="36"/>
      <c r="Q37" s="480">
        <f>+'Exhibit I State'!Q36+'Exhibit I Federal'!Q19</f>
        <v>0</v>
      </c>
      <c r="R37" s="36"/>
      <c r="S37" s="480">
        <f>+'Exhibit I State'!S36+'Exhibit I Federal'!S19</f>
        <v>0</v>
      </c>
      <c r="T37" s="480"/>
      <c r="U37" s="480">
        <f>+'Exhibit I State'!U36+'Exhibit I Federal'!U19</f>
        <v>0</v>
      </c>
      <c r="V37" s="480"/>
      <c r="W37" s="480">
        <f>+'Exhibit I State'!W36+'Exhibit I Federal'!W19</f>
        <v>0</v>
      </c>
      <c r="X37" s="480"/>
      <c r="Y37" s="480">
        <f>+'Exhibit I State'!Y36+'Exhibit I Federal'!Y19</f>
        <v>0</v>
      </c>
      <c r="Z37" s="480"/>
      <c r="AA37" s="480">
        <f>+'Exhibit I State'!AA36+'Exhibit I Federal'!AA19</f>
        <v>0</v>
      </c>
      <c r="AB37" s="115"/>
      <c r="AC37" s="115">
        <v>0</v>
      </c>
      <c r="AD37" s="36"/>
      <c r="AE37" s="37"/>
      <c r="AF37" s="193">
        <f>ROUND(SUM(E37:AC37),1)</f>
        <v>23</v>
      </c>
      <c r="AG37" s="691"/>
      <c r="AH37" s="40"/>
      <c r="AI37" s="1879">
        <f>+'Exhibit I State'!AG36+'Exhibit I Federal'!AG19</f>
        <v>29.6</v>
      </c>
      <c r="AJ37" s="46"/>
      <c r="AK37" s="236"/>
      <c r="AL37" s="38">
        <f t="shared" ref="AL37:AL60" si="4">ROUND(SUM(+AF37-AI37),1)</f>
        <v>-6.6</v>
      </c>
      <c r="AM37" s="234"/>
      <c r="AN37" s="955">
        <f>ROUND(IF(AI37=0,0,AL37/ABS(AI37)),3)</f>
        <v>-0.223</v>
      </c>
    </row>
    <row r="38" spans="1:44">
      <c r="A38" s="21"/>
      <c r="B38" s="597" t="s">
        <v>1032</v>
      </c>
      <c r="C38" s="21"/>
      <c r="D38" s="21"/>
      <c r="E38" s="480"/>
      <c r="F38" s="467"/>
      <c r="G38" s="480"/>
      <c r="H38" s="467"/>
      <c r="I38" s="480"/>
      <c r="J38" s="467"/>
      <c r="K38" s="480"/>
      <c r="L38" s="36"/>
      <c r="M38" s="480"/>
      <c r="N38" s="36"/>
      <c r="O38" s="480"/>
      <c r="P38" s="36"/>
      <c r="Q38" s="480"/>
      <c r="R38" s="36"/>
      <c r="S38" s="480"/>
      <c r="T38" s="480"/>
      <c r="U38" s="480"/>
      <c r="V38" s="480"/>
      <c r="W38" s="480"/>
      <c r="X38" s="480"/>
      <c r="Y38" s="480"/>
      <c r="Z38" s="480"/>
      <c r="AA38" s="480"/>
      <c r="AB38" s="115"/>
      <c r="AC38" s="115"/>
      <c r="AD38" s="36"/>
      <c r="AE38" s="37"/>
      <c r="AF38" s="193"/>
      <c r="AG38" s="691"/>
      <c r="AH38" s="40"/>
      <c r="AI38" s="1879"/>
      <c r="AJ38" s="46"/>
      <c r="AK38" s="236"/>
      <c r="AL38" s="38"/>
      <c r="AM38" s="234"/>
      <c r="AN38" s="955"/>
    </row>
    <row r="39" spans="1:44">
      <c r="A39" s="21"/>
      <c r="B39" s="597" t="s">
        <v>950</v>
      </c>
      <c r="C39" s="21"/>
      <c r="D39" s="21"/>
      <c r="E39" s="480">
        <f>+'Exhibit I State'!E38+'Exhibit I Federal'!E21</f>
        <v>7.1</v>
      </c>
      <c r="F39" s="467"/>
      <c r="G39" s="480">
        <f>+'Exhibit I State'!G38+'Exhibit I Federal'!G21</f>
        <v>5.9</v>
      </c>
      <c r="H39" s="467"/>
      <c r="I39" s="480">
        <f>+'Exhibit I State'!I38+'Exhibit I Federal'!I21</f>
        <v>5.6999999999999993</v>
      </c>
      <c r="J39" s="467"/>
      <c r="K39" s="480">
        <f>+'Exhibit I State'!K38+'Exhibit I Federal'!K21</f>
        <v>5.4000000000000021</v>
      </c>
      <c r="L39" s="36"/>
      <c r="M39" s="480">
        <f>+'Exhibit I State'!M38+'Exhibit I Federal'!M21</f>
        <v>5.1999999999999993</v>
      </c>
      <c r="N39" s="36"/>
      <c r="O39" s="480">
        <f>+'Exhibit I State'!O38+'Exhibit I Federal'!O21</f>
        <v>5.8000000000000007</v>
      </c>
      <c r="P39" s="36"/>
      <c r="Q39" s="480">
        <f>+'Exhibit I State'!Q38+'Exhibit I Federal'!Q21</f>
        <v>5.3999999999999986</v>
      </c>
      <c r="R39" s="36"/>
      <c r="S39" s="480">
        <f>+'Exhibit I State'!S38+'Exhibit I Federal'!S21</f>
        <v>5.3</v>
      </c>
      <c r="T39" s="480"/>
      <c r="U39" s="480">
        <f>+'Exhibit I State'!U38+'Exhibit I Federal'!U21</f>
        <v>5.1999999999999966</v>
      </c>
      <c r="V39" s="480"/>
      <c r="W39" s="480">
        <f>+'Exhibit I State'!W38+'Exhibit I Federal'!W21</f>
        <v>5.1999999999999984</v>
      </c>
      <c r="X39" s="480"/>
      <c r="Y39" s="480">
        <f>+'Exhibit I State'!Y38+'Exhibit I Federal'!Y21</f>
        <v>5.5999999999999917</v>
      </c>
      <c r="Z39" s="480"/>
      <c r="AA39" s="480">
        <f>+'Exhibit I State'!AA38+'Exhibit I Federal'!AA21</f>
        <v>5.4000000000000083</v>
      </c>
      <c r="AB39" s="115"/>
      <c r="AC39" s="115">
        <v>0</v>
      </c>
      <c r="AD39" s="36"/>
      <c r="AE39" s="37"/>
      <c r="AF39" s="193">
        <f>ROUND(SUM(E39:AC39),1)</f>
        <v>67.2</v>
      </c>
      <c r="AG39" s="691"/>
      <c r="AH39" s="40"/>
      <c r="AI39" s="1879">
        <f>+'Exhibit I State'!AG38+'Exhibit I Federal'!AG21</f>
        <v>78</v>
      </c>
      <c r="AJ39" s="46"/>
      <c r="AK39" s="236"/>
      <c r="AL39" s="38">
        <f t="shared" si="4"/>
        <v>-10.8</v>
      </c>
      <c r="AM39" s="234"/>
      <c r="AN39" s="955">
        <f>ROUND(IF(AI39=0,0,AL39/ABS(AI39)),3)</f>
        <v>-0.13800000000000001</v>
      </c>
    </row>
    <row r="40" spans="1:44">
      <c r="A40" s="21"/>
      <c r="B40" s="597" t="s">
        <v>1036</v>
      </c>
      <c r="C40" s="21"/>
      <c r="D40" s="21"/>
      <c r="E40" s="480"/>
      <c r="F40" s="467"/>
      <c r="G40" s="480"/>
      <c r="H40" s="467"/>
      <c r="I40" s="480"/>
      <c r="J40" s="467"/>
      <c r="K40" s="480"/>
      <c r="L40" s="36"/>
      <c r="M40" s="480"/>
      <c r="N40" s="36"/>
      <c r="O40" s="480"/>
      <c r="P40" s="36"/>
      <c r="Q40" s="480"/>
      <c r="R40" s="36"/>
      <c r="S40" s="480"/>
      <c r="T40" s="480"/>
      <c r="U40" s="480"/>
      <c r="V40" s="480"/>
      <c r="W40" s="480"/>
      <c r="X40" s="480"/>
      <c r="Y40" s="480"/>
      <c r="Z40" s="480"/>
      <c r="AA40" s="480"/>
      <c r="AB40" s="115"/>
      <c r="AC40" s="115"/>
      <c r="AD40" s="36"/>
      <c r="AE40" s="37"/>
      <c r="AF40" s="193"/>
      <c r="AG40" s="691"/>
      <c r="AH40" s="40"/>
      <c r="AI40" s="1879"/>
      <c r="AJ40" s="46"/>
      <c r="AK40" s="236"/>
      <c r="AL40" s="38"/>
      <c r="AM40" s="234"/>
      <c r="AN40" s="955"/>
    </row>
    <row r="41" spans="1:44">
      <c r="A41" s="21"/>
      <c r="B41" s="597" t="s">
        <v>954</v>
      </c>
      <c r="C41" s="21"/>
      <c r="D41" s="21"/>
      <c r="E41" s="480">
        <f>+'Exhibit I State'!E40+'Exhibit I Federal'!E23</f>
        <v>3.3</v>
      </c>
      <c r="F41" s="467"/>
      <c r="G41" s="480">
        <f>+'Exhibit I State'!G40+'Exhibit I Federal'!G23</f>
        <v>1.2000000000000002</v>
      </c>
      <c r="H41" s="467"/>
      <c r="I41" s="480">
        <f>+'Exhibit I State'!I40+'Exhibit I Federal'!I23</f>
        <v>1.4000000000000004</v>
      </c>
      <c r="J41" s="467"/>
      <c r="K41" s="480">
        <f>+'Exhibit I State'!K40+'Exhibit I Federal'!K23</f>
        <v>1</v>
      </c>
      <c r="L41" s="36"/>
      <c r="M41" s="480">
        <f>+'Exhibit I State'!M40+'Exhibit I Federal'!M23</f>
        <v>1.7999999999999989</v>
      </c>
      <c r="N41" s="36"/>
      <c r="O41" s="480">
        <f>+'Exhibit I State'!O40+'Exhibit I Federal'!O23</f>
        <v>2.4000000000000004</v>
      </c>
      <c r="P41" s="36"/>
      <c r="Q41" s="480">
        <f>+'Exhibit I State'!Q40+'Exhibit I Federal'!Q23</f>
        <v>8.0000000000000018</v>
      </c>
      <c r="R41" s="36"/>
      <c r="S41" s="480">
        <f>+'Exhibit I State'!S40+'Exhibit I Federal'!S23</f>
        <v>2.6</v>
      </c>
      <c r="T41" s="480"/>
      <c r="U41" s="480">
        <f>+'Exhibit I State'!U40+'Exhibit I Federal'!U23</f>
        <v>2.6999999999999988</v>
      </c>
      <c r="V41" s="480"/>
      <c r="W41" s="480">
        <f>+'Exhibit I State'!W40+'Exhibit I Federal'!W23</f>
        <v>2.9000000000000026</v>
      </c>
      <c r="X41" s="480"/>
      <c r="Y41" s="480">
        <f>+'Exhibit I State'!Y40+'Exhibit I Federal'!Y23</f>
        <v>1.3999999999999981</v>
      </c>
      <c r="Z41" s="480"/>
      <c r="AA41" s="480">
        <f>+'Exhibit I State'!AA40+'Exhibit I Federal'!AA23</f>
        <v>3.1000000000000019</v>
      </c>
      <c r="AB41" s="115"/>
      <c r="AC41" s="115">
        <v>0</v>
      </c>
      <c r="AD41" s="36"/>
      <c r="AE41" s="37"/>
      <c r="AF41" s="193">
        <f t="shared" ref="AF41:AF44" si="5">ROUND(SUM(E41:AC41),1)</f>
        <v>31.8</v>
      </c>
      <c r="AG41" s="691"/>
      <c r="AH41" s="40"/>
      <c r="AI41" s="1879">
        <f>+'Exhibit I State'!AG40+'Exhibit I Federal'!AG23</f>
        <v>30.7</v>
      </c>
      <c r="AJ41" s="46"/>
      <c r="AK41" s="236"/>
      <c r="AL41" s="38">
        <f t="shared" si="4"/>
        <v>1.1000000000000001</v>
      </c>
      <c r="AM41" s="234"/>
      <c r="AN41" s="955">
        <f>ROUND(IF(AI41=0,0,AL41/ABS(AI41)),3)</f>
        <v>3.5999999999999997E-2</v>
      </c>
    </row>
    <row r="42" spans="1:44">
      <c r="A42" s="21"/>
      <c r="B42" s="597" t="s">
        <v>1091</v>
      </c>
      <c r="C42" s="21"/>
      <c r="D42" s="21"/>
      <c r="E42" s="480">
        <f>+'Exhibit I State'!E41+'Exhibit I Federal'!E24</f>
        <v>0</v>
      </c>
      <c r="F42" s="467"/>
      <c r="G42" s="480">
        <f>+'Exhibit I State'!G41+'Exhibit I Federal'!G24</f>
        <v>0</v>
      </c>
      <c r="H42" s="467"/>
      <c r="I42" s="480">
        <f>+'Exhibit I State'!I41+'Exhibit I Federal'!I24</f>
        <v>0</v>
      </c>
      <c r="J42" s="467"/>
      <c r="K42" s="480">
        <f>+'Exhibit I State'!K41+'Exhibit I Federal'!K24</f>
        <v>0</v>
      </c>
      <c r="L42" s="36"/>
      <c r="M42" s="480">
        <f>+'Exhibit I State'!M41+'Exhibit I Federal'!M24</f>
        <v>0</v>
      </c>
      <c r="N42" s="36"/>
      <c r="O42" s="480">
        <f>+'Exhibit I State'!O41+'Exhibit I Federal'!O24</f>
        <v>0</v>
      </c>
      <c r="P42" s="36"/>
      <c r="Q42" s="480">
        <f>+'Exhibit I State'!Q41+'Exhibit I Federal'!Q24</f>
        <v>0</v>
      </c>
      <c r="R42" s="36"/>
      <c r="S42" s="480">
        <f>+'Exhibit I State'!S41+'Exhibit I Federal'!S24</f>
        <v>0</v>
      </c>
      <c r="T42" s="480"/>
      <c r="U42" s="480">
        <f>+'Exhibit I State'!U41+'Exhibit I Federal'!U24</f>
        <v>0</v>
      </c>
      <c r="V42" s="480"/>
      <c r="W42" s="480">
        <f>+'Exhibit I State'!W41+'Exhibit I Federal'!W24</f>
        <v>0</v>
      </c>
      <c r="X42" s="480"/>
      <c r="Y42" s="480">
        <f>+'Exhibit I State'!Y41+'Exhibit I Federal'!Y24</f>
        <v>0</v>
      </c>
      <c r="Z42" s="480"/>
      <c r="AA42" s="480">
        <f>+'Exhibit I State'!AA41+'Exhibit I Federal'!AA24</f>
        <v>0</v>
      </c>
      <c r="AB42" s="115"/>
      <c r="AC42" s="115">
        <v>0</v>
      </c>
      <c r="AD42" s="36"/>
      <c r="AE42" s="37"/>
      <c r="AF42" s="193">
        <f t="shared" si="5"/>
        <v>0</v>
      </c>
      <c r="AG42" s="979"/>
      <c r="AH42" s="40"/>
      <c r="AI42" s="1879">
        <f>+'Exhibit I State'!AG41+'Exhibit I Federal'!AG24</f>
        <v>0</v>
      </c>
      <c r="AJ42" s="46"/>
      <c r="AK42" s="236"/>
      <c r="AL42" s="38">
        <f>ROUND(SUM(+AF42-AI42),1)</f>
        <v>0</v>
      </c>
      <c r="AM42" s="234"/>
      <c r="AN42" s="955">
        <f>ROUND(IF(AI42=0,0,AL42/ABS(AI42)),3)</f>
        <v>0</v>
      </c>
    </row>
    <row r="43" spans="1:44">
      <c r="A43" s="21"/>
      <c r="B43" s="597" t="s">
        <v>957</v>
      </c>
      <c r="C43" s="21"/>
      <c r="D43" s="21"/>
      <c r="E43" s="480">
        <f>+'Exhibit I State'!E42+'Exhibit I Federal'!E25</f>
        <v>60</v>
      </c>
      <c r="F43" s="467"/>
      <c r="G43" s="480">
        <f>+'Exhibit I State'!G42+'Exhibit I Federal'!G25</f>
        <v>57</v>
      </c>
      <c r="H43" s="467"/>
      <c r="I43" s="480">
        <f>+'Exhibit I State'!I42+'Exhibit I Federal'!I25</f>
        <v>55.900000000000006</v>
      </c>
      <c r="J43" s="467"/>
      <c r="K43" s="480">
        <f>+'Exhibit I State'!K42+'Exhibit I Federal'!K25</f>
        <v>58.900000000000006</v>
      </c>
      <c r="L43" s="36"/>
      <c r="M43" s="480">
        <f>+'Exhibit I State'!M42+'Exhibit I Federal'!M25</f>
        <v>54.800000000000011</v>
      </c>
      <c r="N43" s="36"/>
      <c r="O43" s="480">
        <f>+'Exhibit I State'!O42+'Exhibit I Federal'!O25</f>
        <v>54.199999999999989</v>
      </c>
      <c r="P43" s="36"/>
      <c r="Q43" s="480">
        <f>+'Exhibit I State'!Q42+'Exhibit I Federal'!Q25</f>
        <v>57.399999999999977</v>
      </c>
      <c r="R43" s="36"/>
      <c r="S43" s="480">
        <f>+'Exhibit I State'!S42+'Exhibit I Federal'!S25</f>
        <v>46.9</v>
      </c>
      <c r="T43" s="480"/>
      <c r="U43" s="480">
        <f>+'Exhibit I State'!U42+'Exhibit I Federal'!U25</f>
        <v>58.000000000000092</v>
      </c>
      <c r="V43" s="480"/>
      <c r="W43" s="480">
        <f>+'Exhibit I State'!W42+'Exhibit I Federal'!W25</f>
        <v>55.299999999999947</v>
      </c>
      <c r="X43" s="480"/>
      <c r="Y43" s="480">
        <f>+'Exhibit I State'!Y42+'Exhibit I Federal'!Y25</f>
        <v>51.800000000000075</v>
      </c>
      <c r="Z43" s="480"/>
      <c r="AA43" s="480">
        <f>+'Exhibit I State'!AA42+'Exhibit I Federal'!AA25</f>
        <v>49.599999999999902</v>
      </c>
      <c r="AB43" s="115"/>
      <c r="AC43" s="115">
        <v>0</v>
      </c>
      <c r="AD43" s="36"/>
      <c r="AE43" s="37"/>
      <c r="AF43" s="193">
        <f>ROUND(SUM(E43:AC43),1)</f>
        <v>659.8</v>
      </c>
      <c r="AG43" s="691"/>
      <c r="AH43" s="40"/>
      <c r="AI43" s="1879">
        <f>+'Exhibit I State'!AG42+'Exhibit I Federal'!AG25</f>
        <v>697.7</v>
      </c>
      <c r="AJ43" s="46"/>
      <c r="AK43" s="236"/>
      <c r="AL43" s="38">
        <f t="shared" si="4"/>
        <v>-37.9</v>
      </c>
      <c r="AM43" s="234"/>
      <c r="AN43" s="955">
        <f>ROUND(IF(AI43=0,0,AL43/ABS(AI43)),3)</f>
        <v>-5.3999999999999999E-2</v>
      </c>
    </row>
    <row r="44" spans="1:44">
      <c r="A44" s="21"/>
      <c r="B44" s="597" t="s">
        <v>958</v>
      </c>
      <c r="C44" s="21"/>
      <c r="D44" s="21"/>
      <c r="E44" s="480">
        <f>+'Exhibit I State'!E43+'Exhibit I Federal'!E26</f>
        <v>1.4</v>
      </c>
      <c r="F44" s="467"/>
      <c r="G44" s="480">
        <f>+'Exhibit I State'!G43+'Exhibit I Federal'!G26</f>
        <v>7</v>
      </c>
      <c r="H44" s="467"/>
      <c r="I44" s="480">
        <f>+'Exhibit I State'!I43+'Exhibit I Federal'!I26</f>
        <v>1.5000000000000004</v>
      </c>
      <c r="J44" s="467"/>
      <c r="K44" s="480">
        <f>+'Exhibit I State'!K43+'Exhibit I Federal'!K26</f>
        <v>5.2999999999999989</v>
      </c>
      <c r="L44" s="36"/>
      <c r="M44" s="480">
        <f>+'Exhibit I State'!M43+'Exhibit I Federal'!M26</f>
        <v>5.5</v>
      </c>
      <c r="N44" s="36"/>
      <c r="O44" s="480">
        <f>+'Exhibit I State'!O43+'Exhibit I Federal'!O26</f>
        <v>1.5000000000000018</v>
      </c>
      <c r="P44" s="36"/>
      <c r="Q44" s="480">
        <f>+'Exhibit I State'!Q43+'Exhibit I Federal'!Q26</f>
        <v>2.6999999999999993</v>
      </c>
      <c r="R44" s="36"/>
      <c r="S44" s="480">
        <f>+'Exhibit I State'!S43+'Exhibit I Federal'!S26</f>
        <v>0</v>
      </c>
      <c r="T44" s="480"/>
      <c r="U44" s="480">
        <f>+'Exhibit I State'!U43+'Exhibit I Federal'!U26</f>
        <v>3.1000000000000014</v>
      </c>
      <c r="V44" s="480"/>
      <c r="W44" s="480">
        <f>+'Exhibit I State'!W43+'Exhibit I Federal'!W26</f>
        <v>0</v>
      </c>
      <c r="X44" s="480"/>
      <c r="Y44" s="480">
        <f>+'Exhibit I State'!Y43+'Exhibit I Federal'!Y26</f>
        <v>0</v>
      </c>
      <c r="Z44" s="480"/>
      <c r="AA44" s="480">
        <f>+'Exhibit I State'!AA43+'Exhibit I Federal'!AA26</f>
        <v>8.2000000000000046</v>
      </c>
      <c r="AB44" s="115"/>
      <c r="AC44" s="115">
        <v>0</v>
      </c>
      <c r="AD44" s="36"/>
      <c r="AE44" s="37"/>
      <c r="AF44" s="193">
        <f t="shared" si="5"/>
        <v>36.200000000000003</v>
      </c>
      <c r="AG44" s="691"/>
      <c r="AH44" s="40"/>
      <c r="AI44" s="1880">
        <f>+'Exhibit I State'!AG43+'Exhibit I Federal'!AG26</f>
        <v>34.799999999999997</v>
      </c>
      <c r="AJ44" s="46"/>
      <c r="AK44" s="236"/>
      <c r="AL44" s="467">
        <f>ROUND(SUM(+AF44-AI44),1)</f>
        <v>1.4</v>
      </c>
      <c r="AM44" s="467"/>
      <c r="AN44" s="971">
        <f>ROUND(IF(AI44=0,1,AL44/ABS(AI44)),3)</f>
        <v>0.04</v>
      </c>
    </row>
    <row r="45" spans="1:44">
      <c r="A45" s="21"/>
      <c r="B45" s="597" t="s">
        <v>917</v>
      </c>
      <c r="C45" s="21"/>
      <c r="D45" s="21"/>
      <c r="E45" s="480">
        <f>+'Exhibit I State'!E44+'Exhibit I Federal'!E27</f>
        <v>1.8</v>
      </c>
      <c r="F45" s="467"/>
      <c r="G45" s="480">
        <f>+'Exhibit I State'!G44+'Exhibit I Federal'!G27</f>
        <v>2.2999999999999998</v>
      </c>
      <c r="H45" s="467"/>
      <c r="I45" s="480">
        <f>+'Exhibit I State'!I44+'Exhibit I Federal'!I27</f>
        <v>1.9999999999999998</v>
      </c>
      <c r="J45" s="467"/>
      <c r="K45" s="480">
        <f>+'Exhibit I State'!K44+'Exhibit I Federal'!K27</f>
        <v>1.3000000000000005</v>
      </c>
      <c r="L45" s="36"/>
      <c r="M45" s="480">
        <f>+'Exhibit I State'!M44+'Exhibit I Federal'!M27</f>
        <v>1.9999999999999998</v>
      </c>
      <c r="N45" s="36"/>
      <c r="O45" s="480">
        <f>+'Exhibit I State'!O44+'Exhibit I Federal'!O27</f>
        <v>1.7999999999999983</v>
      </c>
      <c r="P45" s="36"/>
      <c r="Q45" s="480">
        <f>+'Exhibit I State'!Q44+'Exhibit I Federal'!Q27</f>
        <v>2.2999999999999998</v>
      </c>
      <c r="R45" s="36"/>
      <c r="S45" s="480">
        <f>+'Exhibit I State'!S44+'Exhibit I Federal'!S27</f>
        <v>1.6</v>
      </c>
      <c r="T45" s="480"/>
      <c r="U45" s="480">
        <f>+'Exhibit I State'!U44+'Exhibit I Federal'!U27</f>
        <v>2.300000000000002</v>
      </c>
      <c r="V45" s="480"/>
      <c r="W45" s="480">
        <f>+'Exhibit I State'!W44+'Exhibit I Federal'!W27</f>
        <v>2.2999999999999958</v>
      </c>
      <c r="X45" s="480"/>
      <c r="Y45" s="480">
        <f>+'Exhibit I State'!Y44+'Exhibit I Federal'!Y27</f>
        <v>1</v>
      </c>
      <c r="Z45" s="480"/>
      <c r="AA45" s="480">
        <f>+'Exhibit I State'!AA44+'Exhibit I Federal'!AA27</f>
        <v>2.5000000000000013</v>
      </c>
      <c r="AB45" s="115"/>
      <c r="AC45" s="115">
        <v>0</v>
      </c>
      <c r="AD45" s="36"/>
      <c r="AE45" s="37"/>
      <c r="AF45" s="193">
        <f>ROUND(SUM(E45:AC45),1)</f>
        <v>23.2</v>
      </c>
      <c r="AG45" s="691"/>
      <c r="AH45" s="40"/>
      <c r="AI45" s="1879">
        <f>+'Exhibit I State'!AG44+'Exhibit I Federal'!AG27</f>
        <v>25.3</v>
      </c>
      <c r="AJ45" s="46"/>
      <c r="AK45" s="236"/>
      <c r="AL45" s="38">
        <f t="shared" si="4"/>
        <v>-2.1</v>
      </c>
      <c r="AM45" s="234"/>
      <c r="AN45" s="978">
        <f>ROUND(IF(AI45=0,1,AL45/ABS(AI45)),3)</f>
        <v>-8.3000000000000004E-2</v>
      </c>
    </row>
    <row r="46" spans="1:44">
      <c r="A46" s="21"/>
      <c r="B46" s="597" t="s">
        <v>918</v>
      </c>
      <c r="C46" s="21"/>
      <c r="D46" s="21"/>
      <c r="E46" s="480">
        <f>+'Exhibit I State'!E45+'Exhibit I Federal'!E28</f>
        <v>0.1</v>
      </c>
      <c r="F46" s="467"/>
      <c r="G46" s="480">
        <f>+'Exhibit I State'!G45+'Exhibit I Federal'!G28</f>
        <v>0.1</v>
      </c>
      <c r="H46" s="467"/>
      <c r="I46" s="480">
        <f>+'Exhibit I State'!I45+'Exhibit I Federal'!I28</f>
        <v>0.30000000000000004</v>
      </c>
      <c r="J46" s="467"/>
      <c r="K46" s="480">
        <f>+'Exhibit I State'!K45+'Exhibit I Federal'!K28</f>
        <v>0.5</v>
      </c>
      <c r="L46" s="36"/>
      <c r="M46" s="480">
        <f>+'Exhibit I State'!M45+'Exhibit I Federal'!M28</f>
        <v>0.60000000000000009</v>
      </c>
      <c r="N46" s="36"/>
      <c r="O46" s="480">
        <f>+'Exhibit I State'!O45+'Exhibit I Federal'!O28</f>
        <v>0.89999999999999969</v>
      </c>
      <c r="P46" s="36"/>
      <c r="Q46" s="480">
        <f>+'Exhibit I State'!Q45+'Exhibit I Federal'!Q28</f>
        <v>1.0000000000000002</v>
      </c>
      <c r="R46" s="36"/>
      <c r="S46" s="480">
        <f>+'Exhibit I State'!S45+'Exhibit I Federal'!S28</f>
        <v>1.4</v>
      </c>
      <c r="T46" s="480"/>
      <c r="U46" s="480">
        <f>+'Exhibit I State'!U45+'Exhibit I Federal'!U28</f>
        <v>1.600000000000001</v>
      </c>
      <c r="V46" s="480"/>
      <c r="W46" s="480">
        <f>+'Exhibit I State'!W45+'Exhibit I Federal'!W28</f>
        <v>1.9000000000000004</v>
      </c>
      <c r="X46" s="480"/>
      <c r="Y46" s="480">
        <f>+'Exhibit I State'!Y45+'Exhibit I Federal'!Y28</f>
        <v>2.1999999999999975</v>
      </c>
      <c r="Z46" s="480"/>
      <c r="AA46" s="480">
        <f>+'Exhibit I State'!AA45+'Exhibit I Federal'!AA28</f>
        <v>2</v>
      </c>
      <c r="AB46" s="115"/>
      <c r="AC46" s="115">
        <v>0</v>
      </c>
      <c r="AD46" s="36"/>
      <c r="AE46" s="37"/>
      <c r="AF46" s="193">
        <f>ROUND(SUM(E46:AC46),1)</f>
        <v>12.6</v>
      </c>
      <c r="AG46" s="691"/>
      <c r="AH46" s="40"/>
      <c r="AI46" s="1879">
        <f>+'Exhibit I State'!AG45+'Exhibit I Federal'!AG28</f>
        <v>0.4</v>
      </c>
      <c r="AJ46" s="46"/>
      <c r="AK46" s="236"/>
      <c r="AL46" s="38">
        <f>ROUND(SUM(+AF46-AI46),1)</f>
        <v>12.2</v>
      </c>
      <c r="AM46" s="234"/>
      <c r="AN46" s="2227">
        <f>ROUND(IF(AI46=0,1,AL46/ABS(AI46)),3)</f>
        <v>30.5</v>
      </c>
    </row>
    <row r="47" spans="1:44">
      <c r="A47" s="21"/>
      <c r="B47" s="597" t="s">
        <v>935</v>
      </c>
      <c r="C47" s="21"/>
      <c r="D47" s="21"/>
      <c r="E47" s="480">
        <f>+'Exhibit I State'!E46+'Exhibit I Federal'!E29</f>
        <v>0</v>
      </c>
      <c r="F47" s="467"/>
      <c r="G47" s="480">
        <f>+'Exhibit I State'!G46+'Exhibit I Federal'!G29</f>
        <v>0.2</v>
      </c>
      <c r="H47" s="467"/>
      <c r="I47" s="480">
        <f>+'Exhibit I State'!I46+'Exhibit I Federal'!I29</f>
        <v>0.3</v>
      </c>
      <c r="J47" s="467"/>
      <c r="K47" s="480">
        <f>+'Exhibit I State'!K46+'Exhibit I Federal'!K29</f>
        <v>0</v>
      </c>
      <c r="L47" s="36"/>
      <c r="M47" s="480">
        <f>+'Exhibit I State'!M46+'Exhibit I Federal'!M29</f>
        <v>0</v>
      </c>
      <c r="N47" s="36"/>
      <c r="O47" s="480">
        <f>+'Exhibit I State'!O46+'Exhibit I Federal'!O29</f>
        <v>9.9999999999999978E-2</v>
      </c>
      <c r="P47" s="36"/>
      <c r="Q47" s="480">
        <f>+'Exhibit I State'!Q46+'Exhibit I Federal'!Q29</f>
        <v>0</v>
      </c>
      <c r="R47" s="36"/>
      <c r="S47" s="480">
        <f>+'Exhibit I State'!S46+'Exhibit I Federal'!S29</f>
        <v>0</v>
      </c>
      <c r="T47" s="480"/>
      <c r="U47" s="480">
        <f>+'Exhibit I State'!U46+'Exhibit I Federal'!U29</f>
        <v>0</v>
      </c>
      <c r="V47" s="480"/>
      <c r="W47" s="480">
        <f>+'Exhibit I State'!W46+'Exhibit I Federal'!W29</f>
        <v>0</v>
      </c>
      <c r="X47" s="480"/>
      <c r="Y47" s="480">
        <f>+'Exhibit I State'!Y46+'Exhibit I Federal'!Y29</f>
        <v>0</v>
      </c>
      <c r="Z47" s="480"/>
      <c r="AA47" s="480">
        <f>+'Exhibit I State'!AA46+'Exhibit I Federal'!AA29</f>
        <v>0</v>
      </c>
      <c r="AB47" s="115"/>
      <c r="AC47" s="115">
        <v>0</v>
      </c>
      <c r="AD47" s="36"/>
      <c r="AE47" s="37"/>
      <c r="AF47" s="193">
        <f>ROUND(SUM(E47:AC47),1)</f>
        <v>0.6</v>
      </c>
      <c r="AG47" s="691"/>
      <c r="AH47" s="40"/>
      <c r="AI47" s="1879">
        <f>+'Exhibit I State'!AG46+'Exhibit I Federal'!AG29</f>
        <v>0.5</v>
      </c>
      <c r="AJ47" s="46"/>
      <c r="AK47" s="236"/>
      <c r="AL47" s="38">
        <f>ROUND(SUM(+AF47-AI47),1)</f>
        <v>0.1</v>
      </c>
      <c r="AM47" s="234"/>
      <c r="AN47" s="955">
        <f>ROUND(IF(AI47=0,1,AL47/ABS(AI47)),3)</f>
        <v>0.2</v>
      </c>
    </row>
    <row r="48" spans="1:44">
      <c r="A48" s="21"/>
      <c r="B48" s="597" t="s">
        <v>1034</v>
      </c>
      <c r="C48" s="21"/>
      <c r="D48" s="21"/>
      <c r="E48" s="480"/>
      <c r="F48" s="467"/>
      <c r="G48" s="480"/>
      <c r="H48" s="467"/>
      <c r="I48" s="480"/>
      <c r="J48" s="467"/>
      <c r="K48" s="480"/>
      <c r="L48" s="36"/>
      <c r="M48" s="480"/>
      <c r="N48" s="36"/>
      <c r="O48" s="480"/>
      <c r="P48" s="36"/>
      <c r="Q48" s="480"/>
      <c r="R48" s="36"/>
      <c r="S48" s="480"/>
      <c r="T48" s="480"/>
      <c r="U48" s="480"/>
      <c r="V48" s="480"/>
      <c r="W48" s="480"/>
      <c r="X48" s="480"/>
      <c r="Y48" s="480"/>
      <c r="Z48" s="480"/>
      <c r="AA48" s="480"/>
      <c r="AB48" s="115"/>
      <c r="AC48" s="115"/>
      <c r="AD48" s="36"/>
      <c r="AE48" s="37"/>
      <c r="AF48" s="193"/>
      <c r="AG48" s="691"/>
      <c r="AH48" s="40"/>
      <c r="AI48" s="1879"/>
      <c r="AJ48" s="46"/>
      <c r="AK48" s="236"/>
      <c r="AL48" s="38"/>
      <c r="AM48" s="234"/>
      <c r="AN48" s="8"/>
    </row>
    <row r="49" spans="1:40">
      <c r="A49" s="21"/>
      <c r="B49" s="597" t="s">
        <v>961</v>
      </c>
      <c r="C49" s="21"/>
      <c r="D49" s="21"/>
      <c r="E49" s="480">
        <f>+'Exhibit I State'!E48+'Exhibit I Federal'!E31</f>
        <v>882.7</v>
      </c>
      <c r="F49" s="467"/>
      <c r="G49" s="480">
        <f>+'Exhibit I State'!G48+'Exhibit I Federal'!G31</f>
        <v>972.59999999999991</v>
      </c>
      <c r="H49" s="467"/>
      <c r="I49" s="480">
        <f>+'Exhibit I State'!I48+'Exhibit I Federal'!I31</f>
        <v>513.00000000000023</v>
      </c>
      <c r="J49" s="467"/>
      <c r="K49" s="480">
        <f>+'Exhibit I State'!K48+'Exhibit I Federal'!K31</f>
        <v>51.5</v>
      </c>
      <c r="L49" s="36"/>
      <c r="M49" s="480">
        <f>+'Exhibit I State'!M48+'Exhibit I Federal'!M31</f>
        <v>271.89999999999986</v>
      </c>
      <c r="N49" s="36"/>
      <c r="O49" s="480">
        <f>+'Exhibit I State'!O48+'Exhibit I Federal'!O31</f>
        <v>683.10000000000036</v>
      </c>
      <c r="P49" s="36"/>
      <c r="Q49" s="480">
        <f>+'Exhibit I State'!Q48+'Exhibit I Federal'!Q31</f>
        <v>487.59999999999945</v>
      </c>
      <c r="R49" s="36"/>
      <c r="S49" s="480">
        <f>+'Exhibit I State'!S48+'Exhibit I Federal'!S31</f>
        <v>351.5</v>
      </c>
      <c r="T49" s="480"/>
      <c r="U49" s="480">
        <f>+'Exhibit I State'!U48+'Exhibit I Federal'!U31</f>
        <v>587</v>
      </c>
      <c r="V49" s="480"/>
      <c r="W49" s="480">
        <f>+'Exhibit I State'!W48+'Exhibit I Federal'!W31</f>
        <v>0</v>
      </c>
      <c r="X49" s="480"/>
      <c r="Y49" s="480">
        <f>+'Exhibit I State'!Y48+'Exhibit I Federal'!Y31</f>
        <v>0.3000000000001819</v>
      </c>
      <c r="Z49" s="480"/>
      <c r="AA49" s="480">
        <f>+'Exhibit I State'!AA48+'Exhibit I Federal'!AA31</f>
        <v>495.80000000000018</v>
      </c>
      <c r="AB49" s="115"/>
      <c r="AC49" s="115">
        <v>0</v>
      </c>
      <c r="AD49" s="36"/>
      <c r="AE49" s="37"/>
      <c r="AF49" s="193">
        <f>ROUND(SUM(E49:AC49),1)</f>
        <v>5297</v>
      </c>
      <c r="AG49" s="691"/>
      <c r="AH49" s="40"/>
      <c r="AI49" s="1879">
        <f>+'Exhibit I State'!AG48+'Exhibit I Federal'!AG31</f>
        <v>3890.9</v>
      </c>
      <c r="AJ49" s="46"/>
      <c r="AK49" s="236"/>
      <c r="AL49" s="38">
        <f t="shared" si="4"/>
        <v>1406.1</v>
      </c>
      <c r="AM49" s="234"/>
      <c r="AN49" s="1173">
        <f>ROUND(IF(AI49=0,1,AL49/ABS(AI49)),3)</f>
        <v>0.36099999999999999</v>
      </c>
    </row>
    <row r="50" spans="1:40">
      <c r="A50" s="21"/>
      <c r="B50" s="597" t="s">
        <v>963</v>
      </c>
      <c r="C50" s="21"/>
      <c r="D50" s="21"/>
      <c r="E50" s="480">
        <f>+'Exhibit I State'!E49+'Exhibit I Federal'!E32</f>
        <v>0</v>
      </c>
      <c r="F50" s="480">
        <v>0</v>
      </c>
      <c r="G50" s="480">
        <f>+'Exhibit I State'!G49+'Exhibit I Federal'!G32</f>
        <v>0</v>
      </c>
      <c r="H50" s="480"/>
      <c r="I50" s="480">
        <f>+'Exhibit I State'!I49+'Exhibit I Federal'!I32</f>
        <v>0</v>
      </c>
      <c r="J50" s="480"/>
      <c r="K50" s="480">
        <f>+'Exhibit I State'!K49+'Exhibit I Federal'!K32</f>
        <v>0</v>
      </c>
      <c r="L50" s="115"/>
      <c r="M50" s="480">
        <f>+'Exhibit I State'!M49+'Exhibit I Federal'!M32</f>
        <v>0</v>
      </c>
      <c r="N50" s="115"/>
      <c r="O50" s="480">
        <f>+'Exhibit I State'!O49+'Exhibit I Federal'!O32</f>
        <v>0</v>
      </c>
      <c r="P50" s="115"/>
      <c r="Q50" s="480">
        <f>+'Exhibit I State'!Q49+'Exhibit I Federal'!Q32</f>
        <v>0</v>
      </c>
      <c r="R50" s="36"/>
      <c r="S50" s="480">
        <f>+'Exhibit I State'!S49+'Exhibit I Federal'!S32</f>
        <v>0</v>
      </c>
      <c r="T50" s="480"/>
      <c r="U50" s="480">
        <f>+'Exhibit I State'!U49+'Exhibit I Federal'!U32</f>
        <v>0</v>
      </c>
      <c r="V50" s="480"/>
      <c r="W50" s="480">
        <f>+'Exhibit I State'!W49+'Exhibit I Federal'!W32</f>
        <v>0</v>
      </c>
      <c r="X50" s="480"/>
      <c r="Y50" s="480">
        <f>+'Exhibit I State'!Y49+'Exhibit I Federal'!Y32</f>
        <v>0</v>
      </c>
      <c r="Z50" s="480"/>
      <c r="AA50" s="480">
        <f>+'Exhibit I State'!AA49+'Exhibit I Federal'!AA32</f>
        <v>0</v>
      </c>
      <c r="AB50" s="115"/>
      <c r="AC50" s="115">
        <v>0</v>
      </c>
      <c r="AD50" s="36"/>
      <c r="AE50" s="37"/>
      <c r="AF50" s="193">
        <f>ROUND(SUM(E50:AC50),1)</f>
        <v>0</v>
      </c>
      <c r="AG50" s="979"/>
      <c r="AH50" s="40"/>
      <c r="AI50" s="1879">
        <f>+'Exhibit I State'!AG49+'Exhibit I Federal'!AG32</f>
        <v>0</v>
      </c>
      <c r="AJ50" s="46"/>
      <c r="AK50" s="236"/>
      <c r="AL50" s="38">
        <f t="shared" si="4"/>
        <v>0</v>
      </c>
      <c r="AM50" s="234"/>
      <c r="AN50" s="955">
        <f>ROUND(IF(AI50=0,0,AL50/ABS(AI50)),3)</f>
        <v>0</v>
      </c>
    </row>
    <row r="51" spans="1:40">
      <c r="A51" s="21"/>
      <c r="B51" s="597" t="s">
        <v>964</v>
      </c>
      <c r="C51" s="21"/>
      <c r="D51" s="21"/>
      <c r="E51" s="480">
        <f>+'Exhibit I State'!E50+'Exhibit I Federal'!E33</f>
        <v>0.4</v>
      </c>
      <c r="F51" s="467"/>
      <c r="G51" s="480">
        <f>+'Exhibit I State'!G50+'Exhibit I Federal'!G33</f>
        <v>-0.10000000000000003</v>
      </c>
      <c r="H51" s="467"/>
      <c r="I51" s="480">
        <f>+'Exhibit I State'!I50+'Exhibit I Federal'!I33</f>
        <v>1.3000000000000003</v>
      </c>
      <c r="J51" s="467"/>
      <c r="K51" s="480">
        <f>+'Exhibit I State'!K50+'Exhibit I Federal'!K33</f>
        <v>0</v>
      </c>
      <c r="L51" s="36"/>
      <c r="M51" s="480">
        <f>+'Exhibit I State'!M50+'Exhibit I Federal'!M33</f>
        <v>0.79999999999999971</v>
      </c>
      <c r="N51" s="36"/>
      <c r="O51" s="480">
        <f>+'Exhibit I State'!O50+'Exhibit I Federal'!O33</f>
        <v>-0.3999999999999998</v>
      </c>
      <c r="P51" s="36"/>
      <c r="Q51" s="480">
        <f>+'Exhibit I State'!Q50+'Exhibit I Federal'!Q33</f>
        <v>0</v>
      </c>
      <c r="R51" s="36"/>
      <c r="S51" s="480">
        <f>+'Exhibit I State'!S50+'Exhibit I Federal'!S33</f>
        <v>0</v>
      </c>
      <c r="T51" s="480"/>
      <c r="U51" s="480">
        <f>+'Exhibit I State'!U50+'Exhibit I Federal'!U33</f>
        <v>9.3000000000000007</v>
      </c>
      <c r="V51" s="480"/>
      <c r="W51" s="480">
        <f>+'Exhibit I State'!W50+'Exhibit I Federal'!W33</f>
        <v>0.59999999999999964</v>
      </c>
      <c r="X51" s="480"/>
      <c r="Y51" s="480">
        <f>+'Exhibit I State'!Y50+'Exhibit I Federal'!Y33</f>
        <v>0</v>
      </c>
      <c r="Z51" s="480"/>
      <c r="AA51" s="480">
        <f>+'Exhibit I State'!AA50+'Exhibit I Federal'!AA33</f>
        <v>9.9999999999999645E-2</v>
      </c>
      <c r="AB51" s="115"/>
      <c r="AC51" s="115">
        <v>0</v>
      </c>
      <c r="AD51" s="36"/>
      <c r="AE51" s="37"/>
      <c r="AF51" s="193">
        <f>ROUND(SUM(E51:AC51),1)</f>
        <v>12</v>
      </c>
      <c r="AG51" s="691"/>
      <c r="AH51" s="40"/>
      <c r="AI51" s="1879">
        <f>+'Exhibit I State'!AG50+'Exhibit I Federal'!AG33</f>
        <v>11.8</v>
      </c>
      <c r="AJ51" s="46"/>
      <c r="AK51" s="236"/>
      <c r="AL51" s="38">
        <f t="shared" si="4"/>
        <v>0.2</v>
      </c>
      <c r="AM51" s="234"/>
      <c r="AN51" s="1025">
        <f>ROUND(IF(AI51=0,1,AL51/ABS(AI51)),3)</f>
        <v>1.7000000000000001E-2</v>
      </c>
    </row>
    <row r="52" spans="1:40">
      <c r="A52" s="21"/>
      <c r="B52" s="597" t="s">
        <v>936</v>
      </c>
      <c r="C52" s="21"/>
      <c r="D52" s="21"/>
      <c r="E52" s="480">
        <f>+'Exhibit I State'!E51+'Exhibit I Federal'!E34</f>
        <v>2.6</v>
      </c>
      <c r="F52" s="467"/>
      <c r="G52" s="480">
        <f>+'Exhibit I State'!G51+'Exhibit I Federal'!G34</f>
        <v>10.6</v>
      </c>
      <c r="H52" s="467"/>
      <c r="I52" s="480">
        <f>+'Exhibit I State'!I51+'Exhibit I Federal'!I34</f>
        <v>1.8000000000000003</v>
      </c>
      <c r="J52" s="467"/>
      <c r="K52" s="480">
        <f>+'Exhibit I State'!K51+'Exhibit I Federal'!K34</f>
        <v>2.6999999999999988</v>
      </c>
      <c r="L52" s="36"/>
      <c r="M52" s="480">
        <f>+'Exhibit I State'!M51+'Exhibit I Federal'!M34</f>
        <v>2.1999999999999988</v>
      </c>
      <c r="N52" s="36"/>
      <c r="O52" s="480">
        <f>+'Exhibit I State'!O51+'Exhibit I Federal'!O34</f>
        <v>0.99999999999999911</v>
      </c>
      <c r="P52" s="36"/>
      <c r="Q52" s="480">
        <f>+'Exhibit I State'!Q51+'Exhibit I Federal'!Q34</f>
        <v>1.8000000000000003</v>
      </c>
      <c r="R52" s="36"/>
      <c r="S52" s="480">
        <f>+'Exhibit I State'!S51+'Exhibit I Federal'!S34</f>
        <v>2</v>
      </c>
      <c r="T52" s="480"/>
      <c r="U52" s="480">
        <f>+'Exhibit I State'!U51+'Exhibit I Federal'!U34</f>
        <v>1.100000000000001</v>
      </c>
      <c r="V52" s="480"/>
      <c r="W52" s="480">
        <f>+'Exhibit I State'!W51+'Exhibit I Federal'!W34</f>
        <v>1.1999999999999997</v>
      </c>
      <c r="X52" s="480"/>
      <c r="Y52" s="480">
        <f>+'Exhibit I State'!Y51+'Exhibit I Federal'!Y34</f>
        <v>2.399999999999995</v>
      </c>
      <c r="Z52" s="480"/>
      <c r="AA52" s="480">
        <f>+'Exhibit I State'!AA51+'Exhibit I Federal'!AA34</f>
        <v>2.3000000000000043</v>
      </c>
      <c r="AB52" s="115"/>
      <c r="AC52" s="115">
        <v>0</v>
      </c>
      <c r="AD52" s="36"/>
      <c r="AE52" s="37"/>
      <c r="AF52" s="193">
        <f>ROUND(SUM(E52:AC52),1)</f>
        <v>31.7</v>
      </c>
      <c r="AG52" s="691"/>
      <c r="AH52" s="40"/>
      <c r="AI52" s="1881">
        <f>+'Exhibit I State'!AG51+'Exhibit I Federal'!AG34</f>
        <v>26.3</v>
      </c>
      <c r="AJ52" s="46"/>
      <c r="AK52" s="236"/>
      <c r="AL52" s="38">
        <f t="shared" si="4"/>
        <v>5.4</v>
      </c>
      <c r="AM52" s="234"/>
      <c r="AN52" s="8">
        <f>ROUND(IF(AI52=0,0,AL52/ABS(AI52)),3)</f>
        <v>0.20499999999999999</v>
      </c>
    </row>
    <row r="53" spans="1:40">
      <c r="A53" s="21"/>
      <c r="B53" s="597" t="s">
        <v>1035</v>
      </c>
      <c r="C53" s="21"/>
      <c r="D53" s="21"/>
      <c r="E53" s="480"/>
      <c r="F53" s="467"/>
      <c r="G53" s="480"/>
      <c r="H53" s="467"/>
      <c r="I53" s="480"/>
      <c r="J53" s="467"/>
      <c r="K53" s="480"/>
      <c r="L53" s="36"/>
      <c r="M53" s="480"/>
      <c r="N53" s="36"/>
      <c r="O53" s="480"/>
      <c r="P53" s="36"/>
      <c r="Q53" s="480"/>
      <c r="R53" s="36"/>
      <c r="S53" s="480"/>
      <c r="T53" s="480"/>
      <c r="U53" s="480"/>
      <c r="V53" s="480"/>
      <c r="W53" s="480"/>
      <c r="X53" s="480"/>
      <c r="Y53" s="480"/>
      <c r="Z53" s="480"/>
      <c r="AA53" s="480"/>
      <c r="AB53" s="115"/>
      <c r="AC53" s="480" t="s">
        <v>14</v>
      </c>
      <c r="AD53" s="36"/>
      <c r="AE53" s="37"/>
      <c r="AF53" s="193"/>
      <c r="AG53" s="691"/>
      <c r="AH53" s="40"/>
      <c r="AI53" s="1879"/>
      <c r="AJ53" s="46"/>
      <c r="AK53" s="236"/>
      <c r="AL53" s="38"/>
      <c r="AM53" s="234"/>
      <c r="AN53" s="8"/>
    </row>
    <row r="54" spans="1:40">
      <c r="A54" s="21"/>
      <c r="B54" s="597" t="s">
        <v>965</v>
      </c>
      <c r="C54" s="21"/>
      <c r="D54" s="21"/>
      <c r="E54" s="480">
        <f>+'Exhibit I State'!E53+'Exhibit I Federal'!E36</f>
        <v>0</v>
      </c>
      <c r="F54" s="467"/>
      <c r="G54" s="480">
        <f>+'Exhibit I State'!G53+'Exhibit I Federal'!G36</f>
        <v>0</v>
      </c>
      <c r="H54" s="467"/>
      <c r="I54" s="480">
        <f>+'Exhibit I State'!I53+'Exhibit I Federal'!I36</f>
        <v>0</v>
      </c>
      <c r="J54" s="467"/>
      <c r="K54" s="480">
        <f>+'Exhibit I State'!K53+'Exhibit I Federal'!K36</f>
        <v>0</v>
      </c>
      <c r="L54" s="36"/>
      <c r="M54" s="480">
        <f>+'Exhibit I State'!M53+'Exhibit I Federal'!M36</f>
        <v>0</v>
      </c>
      <c r="N54" s="36"/>
      <c r="O54" s="480">
        <f>+'Exhibit I State'!O53+'Exhibit I Federal'!O36</f>
        <v>0</v>
      </c>
      <c r="P54" s="36"/>
      <c r="Q54" s="480">
        <f>+'Exhibit I State'!Q53+'Exhibit I Federal'!Q36</f>
        <v>0</v>
      </c>
      <c r="R54" s="36"/>
      <c r="S54" s="480">
        <f>+'Exhibit I State'!S53+'Exhibit I Federal'!S36</f>
        <v>0</v>
      </c>
      <c r="T54" s="480"/>
      <c r="U54" s="480">
        <f>+'Exhibit I State'!U53+'Exhibit I Federal'!U36</f>
        <v>0</v>
      </c>
      <c r="V54" s="480"/>
      <c r="W54" s="480">
        <f>+'Exhibit I State'!W53+'Exhibit I Federal'!W36</f>
        <v>0</v>
      </c>
      <c r="X54" s="480"/>
      <c r="Y54" s="480">
        <f>+'Exhibit I State'!Y53+'Exhibit I Federal'!Y36</f>
        <v>0</v>
      </c>
      <c r="Z54" s="480"/>
      <c r="AA54" s="480">
        <f>+'Exhibit I State'!AA53+'Exhibit I Federal'!AA36</f>
        <v>0</v>
      </c>
      <c r="AB54" s="115"/>
      <c r="AC54" s="115">
        <v>0</v>
      </c>
      <c r="AD54" s="36"/>
      <c r="AE54" s="37"/>
      <c r="AF54" s="193">
        <f t="shared" ref="AF54:AF58" si="6">ROUND(SUM(E54:AC54),1)</f>
        <v>0</v>
      </c>
      <c r="AG54" s="691"/>
      <c r="AH54" s="40"/>
      <c r="AI54" s="1879">
        <f>+'Exhibit I State'!AG53+'Exhibit I Federal'!AG36</f>
        <v>0</v>
      </c>
      <c r="AJ54" s="46"/>
      <c r="AK54" s="236"/>
      <c r="AL54" s="467">
        <f>ROUND(SUM(+AF54-AI54),1)</f>
        <v>0</v>
      </c>
      <c r="AM54" s="467"/>
      <c r="AN54" s="955">
        <f>ROUND(IF(AI54=0,0,AL54/ABS(AI54)),3)</f>
        <v>0</v>
      </c>
    </row>
    <row r="55" spans="1:40">
      <c r="A55" s="21"/>
      <c r="B55" s="597" t="s">
        <v>967</v>
      </c>
      <c r="C55" s="21"/>
      <c r="D55" s="21"/>
      <c r="E55" s="480">
        <f>+'Exhibit I State'!E54+'Exhibit I Federal'!E37</f>
        <v>0</v>
      </c>
      <c r="F55" s="467"/>
      <c r="G55" s="480">
        <f>+'Exhibit I State'!G54+'Exhibit I Federal'!G37</f>
        <v>1.3</v>
      </c>
      <c r="H55" s="467"/>
      <c r="I55" s="480">
        <f>+'Exhibit I State'!I54+'Exhibit I Federal'!I37</f>
        <v>1.2</v>
      </c>
      <c r="J55" s="467"/>
      <c r="K55" s="480">
        <f>+'Exhibit I State'!K54+'Exhibit I Federal'!K37</f>
        <v>0.90000000000000013</v>
      </c>
      <c r="L55" s="36"/>
      <c r="M55" s="480">
        <f>+'Exhibit I State'!M54+'Exhibit I Federal'!M37</f>
        <v>0.29999999999999982</v>
      </c>
      <c r="N55" s="36"/>
      <c r="O55" s="480">
        <f>+'Exhibit I State'!O54+'Exhibit I Federal'!O37</f>
        <v>2</v>
      </c>
      <c r="P55" s="36"/>
      <c r="Q55" s="480">
        <f>+'Exhibit I State'!Q54+'Exhibit I Federal'!Q37</f>
        <v>2</v>
      </c>
      <c r="R55" s="36"/>
      <c r="S55" s="480">
        <f>+'Exhibit I State'!S54+'Exhibit I Federal'!S37</f>
        <v>0.9</v>
      </c>
      <c r="T55" s="480"/>
      <c r="U55" s="480">
        <f>+'Exhibit I State'!U54+'Exhibit I Federal'!U37</f>
        <v>1.4999999999999987</v>
      </c>
      <c r="V55" s="480"/>
      <c r="W55" s="480">
        <f>+'Exhibit I State'!W54+'Exhibit I Federal'!W37</f>
        <v>0.20000000000000107</v>
      </c>
      <c r="X55" s="480"/>
      <c r="Y55" s="480">
        <f>+'Exhibit I State'!Y54+'Exhibit I Federal'!Y37</f>
        <v>0.89999999999999947</v>
      </c>
      <c r="Z55" s="480"/>
      <c r="AA55" s="480">
        <f>+'Exhibit I State'!AA54+'Exhibit I Federal'!AA37</f>
        <v>1.3000000000000016</v>
      </c>
      <c r="AB55" s="115"/>
      <c r="AC55" s="115">
        <v>0</v>
      </c>
      <c r="AD55" s="36"/>
      <c r="AE55" s="37"/>
      <c r="AF55" s="193">
        <f t="shared" si="6"/>
        <v>12.5</v>
      </c>
      <c r="AG55" s="691"/>
      <c r="AH55" s="40"/>
      <c r="AI55" s="1879">
        <f>+'Exhibit I State'!AG54+'Exhibit I Federal'!AG37</f>
        <v>24</v>
      </c>
      <c r="AJ55" s="46"/>
      <c r="AK55" s="236"/>
      <c r="AL55" s="467">
        <f>ROUND(SUM(+AF55-AI55),1)</f>
        <v>-11.5</v>
      </c>
      <c r="AM55" s="467"/>
      <c r="AN55" s="971">
        <f>ROUND(IF(AI55=0,1,AL55/ABS(AI55)),3)</f>
        <v>-0.47899999999999998</v>
      </c>
    </row>
    <row r="56" spans="1:40">
      <c r="A56" s="21"/>
      <c r="B56" s="597" t="s">
        <v>968</v>
      </c>
      <c r="C56" s="21"/>
      <c r="D56" s="21"/>
      <c r="E56" s="480">
        <f>+'Exhibit I State'!E55+'Exhibit I Federal'!E38</f>
        <v>5.7</v>
      </c>
      <c r="F56" s="467"/>
      <c r="G56" s="480">
        <f>+'Exhibit I State'!G55+'Exhibit I Federal'!G38</f>
        <v>4.2</v>
      </c>
      <c r="H56" s="467"/>
      <c r="I56" s="480">
        <f>+'Exhibit I State'!I55+'Exhibit I Federal'!I38</f>
        <v>11.100000000000001</v>
      </c>
      <c r="J56" s="467"/>
      <c r="K56" s="480">
        <f>+'Exhibit I State'!K55+'Exhibit I Federal'!K38</f>
        <v>8.5</v>
      </c>
      <c r="L56" s="36"/>
      <c r="M56" s="480">
        <f>+'Exhibit I State'!M55+'Exhibit I Federal'!M38</f>
        <v>9.7999999999999972</v>
      </c>
      <c r="N56" s="36"/>
      <c r="O56" s="480">
        <f>+'Exhibit I State'!O55+'Exhibit I Federal'!O38</f>
        <v>10.099999999999994</v>
      </c>
      <c r="P56" s="36"/>
      <c r="Q56" s="480">
        <f>+'Exhibit I State'!Q55+'Exhibit I Federal'!Q38</f>
        <v>-0.29999999999999716</v>
      </c>
      <c r="R56" s="36"/>
      <c r="S56" s="480">
        <f>+'Exhibit I State'!S55+'Exhibit I Federal'!S38</f>
        <v>7.5</v>
      </c>
      <c r="T56" s="480"/>
      <c r="U56" s="480">
        <f>+'Exhibit I State'!U55+'Exhibit I Federal'!U38</f>
        <v>23.1</v>
      </c>
      <c r="V56" s="480"/>
      <c r="W56" s="480">
        <f>+'Exhibit I State'!W55+'Exhibit I Federal'!W38</f>
        <v>12.300000000000004</v>
      </c>
      <c r="X56" s="480"/>
      <c r="Y56" s="480">
        <f>+'Exhibit I State'!Y55+'Exhibit I Federal'!Y38</f>
        <v>14.299999999999983</v>
      </c>
      <c r="Z56" s="480"/>
      <c r="AA56" s="480">
        <f>+'Exhibit I State'!AA55+'Exhibit I Federal'!AA38</f>
        <v>10.700000000000017</v>
      </c>
      <c r="AB56" s="115"/>
      <c r="AC56" s="115">
        <v>0</v>
      </c>
      <c r="AD56" s="36"/>
      <c r="AE56" s="37"/>
      <c r="AF56" s="193">
        <f t="shared" si="6"/>
        <v>117</v>
      </c>
      <c r="AG56" s="1342"/>
      <c r="AH56" s="40"/>
      <c r="AI56" s="1879">
        <f>+'Exhibit I State'!AG55+'Exhibit I Federal'!AG38</f>
        <v>79</v>
      </c>
      <c r="AJ56" s="46"/>
      <c r="AK56" s="236"/>
      <c r="AL56" s="467">
        <f>ROUND(SUM(+AF56-AI56),1)</f>
        <v>38</v>
      </c>
      <c r="AM56" s="467"/>
      <c r="AN56" s="955">
        <f>ROUND(IF(AI56=0,1,AL56/ABS(AI56)),3)</f>
        <v>0.48099999999999998</v>
      </c>
    </row>
    <row r="57" spans="1:40">
      <c r="A57" s="21"/>
      <c r="B57" s="597" t="s">
        <v>970</v>
      </c>
      <c r="C57" s="21"/>
      <c r="D57" s="21"/>
      <c r="E57" s="480">
        <f>+'Exhibit I State'!E56</f>
        <v>0</v>
      </c>
      <c r="F57" s="467"/>
      <c r="G57" s="480">
        <f>+'Exhibit I State'!G56</f>
        <v>0</v>
      </c>
      <c r="H57" s="467"/>
      <c r="I57" s="480">
        <f>+'Exhibit I State'!I56</f>
        <v>0</v>
      </c>
      <c r="J57" s="467"/>
      <c r="K57" s="480">
        <f>+'Exhibit I State'!K56</f>
        <v>0</v>
      </c>
      <c r="L57" s="36"/>
      <c r="M57" s="480">
        <f>+'Exhibit I State'!M56</f>
        <v>0</v>
      </c>
      <c r="N57" s="36"/>
      <c r="O57" s="480">
        <f>+'Exhibit I State'!O56</f>
        <v>0</v>
      </c>
      <c r="P57" s="36"/>
      <c r="Q57" s="480">
        <f>+'Exhibit I State'!Q56</f>
        <v>0</v>
      </c>
      <c r="R57" s="36"/>
      <c r="S57" s="480">
        <f>+'Exhibit I State'!S56</f>
        <v>0</v>
      </c>
      <c r="T57" s="480"/>
      <c r="U57" s="480">
        <f>+'Exhibit I State'!U56</f>
        <v>0</v>
      </c>
      <c r="V57" s="480"/>
      <c r="W57" s="480">
        <f>+'Exhibit I State'!W56</f>
        <v>0</v>
      </c>
      <c r="X57" s="480"/>
      <c r="Y57" s="480">
        <f>+'Exhibit I State'!Y56</f>
        <v>0</v>
      </c>
      <c r="Z57" s="480"/>
      <c r="AA57" s="480">
        <f>+'Exhibit I State'!AA56</f>
        <v>0</v>
      </c>
      <c r="AB57" s="115"/>
      <c r="AC57" s="115">
        <v>0</v>
      </c>
      <c r="AD57" s="36"/>
      <c r="AE57" s="37"/>
      <c r="AF57" s="193">
        <f t="shared" si="6"/>
        <v>0</v>
      </c>
      <c r="AG57" s="1343"/>
      <c r="AH57" s="40"/>
      <c r="AI57" s="1879">
        <f>+'Exhibit I State'!AG56</f>
        <v>0.1</v>
      </c>
      <c r="AJ57" s="46"/>
      <c r="AK57" s="236"/>
      <c r="AL57" s="467">
        <f>ROUND(SUM(+AF57-AI57),1)</f>
        <v>-0.1</v>
      </c>
      <c r="AM57" s="467"/>
      <c r="AN57" s="955">
        <f>ROUND(IF(AI57=0,0,AL57/ABS(AI57)),3)</f>
        <v>-1</v>
      </c>
    </row>
    <row r="58" spans="1:40">
      <c r="A58" s="21"/>
      <c r="B58" s="597" t="s">
        <v>971</v>
      </c>
      <c r="C58" s="21"/>
      <c r="D58" s="21"/>
      <c r="E58" s="480">
        <f>+'Exhibit I State'!E57+'Exhibit I Federal'!E39</f>
        <v>0.5</v>
      </c>
      <c r="F58" s="467"/>
      <c r="G58" s="480">
        <f>+'Exhibit I State'!G57+'Exhibit I Federal'!G39</f>
        <v>3</v>
      </c>
      <c r="H58" s="467"/>
      <c r="I58" s="480">
        <f>+'Exhibit I State'!I57+'Exhibit I Federal'!I39</f>
        <v>0.20000000000000018</v>
      </c>
      <c r="J58" s="467"/>
      <c r="K58" s="480">
        <f>+'Exhibit I State'!K57+'Exhibit I Federal'!K39</f>
        <v>0.39999999999999947</v>
      </c>
      <c r="L58" s="36"/>
      <c r="M58" s="480">
        <f>+'Exhibit I State'!M57+'Exhibit I Federal'!M39</f>
        <v>0.20000000000000018</v>
      </c>
      <c r="N58" s="36"/>
      <c r="O58" s="480">
        <f>+'Exhibit I State'!O57+'Exhibit I Federal'!O39</f>
        <v>0.10000000000000053</v>
      </c>
      <c r="P58" s="36"/>
      <c r="Q58" s="480">
        <f>+'Exhibit I State'!Q57+'Exhibit I Federal'!Q39</f>
        <v>0.59999999999999964</v>
      </c>
      <c r="R58" s="36"/>
      <c r="S58" s="480">
        <f>+'Exhibit I State'!S57+'Exhibit I Federal'!S39</f>
        <v>4.0999999999999996</v>
      </c>
      <c r="T58" s="480"/>
      <c r="U58" s="480">
        <f>+'Exhibit I State'!U57+'Exhibit I Federal'!U39</f>
        <v>0.20000000000000107</v>
      </c>
      <c r="V58" s="480"/>
      <c r="W58" s="480">
        <f>+'Exhibit I State'!W57+'Exhibit I Federal'!W39</f>
        <v>9.9999999999999645E-2</v>
      </c>
      <c r="X58" s="480"/>
      <c r="Y58" s="480">
        <f>+'Exhibit I State'!Y57+'Exhibit I Federal'!Y39</f>
        <v>9.9999999999999645E-2</v>
      </c>
      <c r="Z58" s="480"/>
      <c r="AA58" s="480">
        <f>+'Exhibit I State'!AA57+'Exhibit I Federal'!AA39</f>
        <v>1.1999999999999993</v>
      </c>
      <c r="AB58" s="115"/>
      <c r="AC58" s="115">
        <v>0</v>
      </c>
      <c r="AD58" s="36"/>
      <c r="AE58" s="37"/>
      <c r="AF58" s="193">
        <f t="shared" si="6"/>
        <v>10.7</v>
      </c>
      <c r="AG58" s="691"/>
      <c r="AH58" s="40"/>
      <c r="AI58" s="1879">
        <f>+'Exhibit I State'!AG57+'Exhibit I Federal'!AG39</f>
        <v>29.1</v>
      </c>
      <c r="AJ58" s="46"/>
      <c r="AK58" s="236"/>
      <c r="AL58" s="38">
        <f t="shared" si="4"/>
        <v>-18.399999999999999</v>
      </c>
      <c r="AM58" s="234"/>
      <c r="AN58" s="1173">
        <f>ROUND(IF(AI58=0,1,AL58/ABS(AI58)),3)</f>
        <v>-0.63200000000000001</v>
      </c>
    </row>
    <row r="59" spans="1:40">
      <c r="A59" s="21"/>
      <c r="B59" s="597" t="s">
        <v>973</v>
      </c>
      <c r="C59" s="21"/>
      <c r="D59" s="21"/>
      <c r="E59" s="480">
        <f>+'Exhibit I State'!E58+'Exhibit I Federal'!E40</f>
        <v>7.3</v>
      </c>
      <c r="F59" s="467"/>
      <c r="G59" s="480">
        <f>+'Exhibit I State'!G58+'Exhibit I Federal'!G40</f>
        <v>1.8999999999999995</v>
      </c>
      <c r="H59" s="467"/>
      <c r="I59" s="480">
        <f>+'Exhibit I State'!I58+'Exhibit I Federal'!I40</f>
        <v>1.2000000000000002</v>
      </c>
      <c r="J59" s="467"/>
      <c r="K59" s="480">
        <f>+'Exhibit I State'!K58+'Exhibit I Federal'!K40</f>
        <v>1.2000000000000002</v>
      </c>
      <c r="L59" s="36"/>
      <c r="M59" s="480">
        <f>+'Exhibit I State'!M58+'Exhibit I Federal'!M40</f>
        <v>1.1000000000000023</v>
      </c>
      <c r="N59" s="36"/>
      <c r="O59" s="480">
        <f>+'Exhibit I State'!O58+'Exhibit I Federal'!O40</f>
        <v>1.299999999999998</v>
      </c>
      <c r="P59" s="36"/>
      <c r="Q59" s="480">
        <f>+'Exhibit I State'!Q58+'Exhibit I Federal'!Q40</f>
        <v>2.8</v>
      </c>
      <c r="R59" s="36"/>
      <c r="S59" s="480">
        <f>+'Exhibit I State'!S58+'Exhibit I Federal'!S40</f>
        <v>3.4</v>
      </c>
      <c r="T59" s="480"/>
      <c r="U59" s="480">
        <f>+'Exhibit I State'!U58+'Exhibit I Federal'!U40</f>
        <v>0.70000000000000151</v>
      </c>
      <c r="V59" s="480"/>
      <c r="W59" s="480">
        <f>+'Exhibit I State'!W58+'Exhibit I Federal'!W40</f>
        <v>0.70000000000000284</v>
      </c>
      <c r="X59" s="480"/>
      <c r="Y59" s="480">
        <f>+'Exhibit I State'!Y58+'Exhibit I Federal'!Y40</f>
        <v>2.2000000000000002</v>
      </c>
      <c r="Z59" s="480"/>
      <c r="AA59" s="480">
        <f>+'Exhibit I State'!AA58+'Exhibit I Federal'!AA40</f>
        <v>0.60000000000000187</v>
      </c>
      <c r="AB59" s="115"/>
      <c r="AC59" s="115">
        <v>0</v>
      </c>
      <c r="AD59" s="36"/>
      <c r="AE59" s="37"/>
      <c r="AF59" s="193">
        <f>ROUND(SUM(E59:AC59),1)</f>
        <v>24.4</v>
      </c>
      <c r="AG59" s="691"/>
      <c r="AH59" s="40"/>
      <c r="AI59" s="1881">
        <f>+'Exhibit I State'!AG58+'Exhibit I Federal'!AG40</f>
        <v>41.9</v>
      </c>
      <c r="AJ59" s="46"/>
      <c r="AK59" s="236"/>
      <c r="AL59" s="38">
        <f t="shared" si="4"/>
        <v>-17.5</v>
      </c>
      <c r="AM59" s="234"/>
      <c r="AN59" s="921">
        <f>ROUND(IF(AI59=0,0,AL59/ABS(AI59)),3)</f>
        <v>-0.41799999999999998</v>
      </c>
    </row>
    <row r="60" spans="1:40">
      <c r="A60" s="21"/>
      <c r="B60" s="597" t="s">
        <v>946</v>
      </c>
      <c r="C60" s="21"/>
      <c r="D60" s="21"/>
      <c r="E60" s="480">
        <f>+'Exhibit I State'!E59+'Exhibit I Federal'!E41</f>
        <v>0</v>
      </c>
      <c r="F60" s="467"/>
      <c r="G60" s="480">
        <f>+'Exhibit I State'!G59+'Exhibit I Federal'!G41</f>
        <v>0.2</v>
      </c>
      <c r="H60" s="467"/>
      <c r="I60" s="480">
        <f>+'Exhibit I State'!I59+'Exhibit I Federal'!I41</f>
        <v>0</v>
      </c>
      <c r="J60" s="467"/>
      <c r="K60" s="480">
        <f>+'Exhibit I State'!K59+'Exhibit I Federal'!K41</f>
        <v>0</v>
      </c>
      <c r="L60" s="36"/>
      <c r="M60" s="480">
        <f>+'Exhibit I State'!M59+'Exhibit I Federal'!M41</f>
        <v>0</v>
      </c>
      <c r="N60" s="36"/>
      <c r="O60" s="480">
        <f>+'Exhibit I State'!O59+'Exhibit I Federal'!O41</f>
        <v>9.9999999999999978E-2</v>
      </c>
      <c r="P60" s="36"/>
      <c r="Q60" s="480">
        <f>+'Exhibit I State'!Q59+'Exhibit I Federal'!Q41</f>
        <v>0</v>
      </c>
      <c r="R60" s="36"/>
      <c r="S60" s="480">
        <f>+'Exhibit I State'!S59+'Exhibit I Federal'!S41</f>
        <v>0</v>
      </c>
      <c r="T60" s="480"/>
      <c r="U60" s="480">
        <f>+'Exhibit I State'!U59+'Exhibit I Federal'!U41</f>
        <v>0</v>
      </c>
      <c r="V60" s="480"/>
      <c r="W60" s="480">
        <f>+'Exhibit I State'!W59+'Exhibit I Federal'!W41</f>
        <v>0</v>
      </c>
      <c r="X60" s="480"/>
      <c r="Y60" s="480">
        <f>+'Exhibit I State'!Y59+'Exhibit I Federal'!Y41</f>
        <v>2.5999999999999996</v>
      </c>
      <c r="Z60" s="480"/>
      <c r="AA60" s="480">
        <f>+'Exhibit I State'!AA59+'Exhibit I Federal'!AA41</f>
        <v>0</v>
      </c>
      <c r="AB60" s="115"/>
      <c r="AC60" s="115">
        <v>0</v>
      </c>
      <c r="AD60" s="36"/>
      <c r="AE60" s="37"/>
      <c r="AF60" s="193">
        <f>ROUND(SUM(E60:AC60),1)</f>
        <v>2.9</v>
      </c>
      <c r="AG60" s="691"/>
      <c r="AH60" s="40"/>
      <c r="AI60" s="1879">
        <f>+'Exhibit I State'!AG59+'Exhibit I Federal'!AG41</f>
        <v>6.6</v>
      </c>
      <c r="AJ60" s="46"/>
      <c r="AK60" s="236"/>
      <c r="AL60" s="38">
        <f t="shared" si="4"/>
        <v>-3.7</v>
      </c>
      <c r="AM60" s="234"/>
      <c r="AN60" s="978">
        <f>ROUND(IF(AI60=0,1,AL60/ABS(AI60)),3)</f>
        <v>-0.56100000000000005</v>
      </c>
    </row>
    <row r="61" spans="1:40" s="19" customFormat="1">
      <c r="B61" s="217" t="s">
        <v>1074</v>
      </c>
      <c r="E61" s="178">
        <f>ROUND(SUM(E37:E60),1)</f>
        <v>972.9</v>
      </c>
      <c r="F61" s="42"/>
      <c r="G61" s="178">
        <f>ROUND(SUM(G37:G60),1)</f>
        <v>1067.4000000000001</v>
      </c>
      <c r="H61" s="693"/>
      <c r="I61" s="178">
        <f>ROUND(SUM(I37:I60),1)</f>
        <v>619.9</v>
      </c>
      <c r="J61" s="42"/>
      <c r="K61" s="178">
        <f>ROUND(SUM(K37:K60),1)</f>
        <v>137.6</v>
      </c>
      <c r="L61" s="42"/>
      <c r="M61" s="178">
        <f>ROUND(SUM(M37:M60),1)</f>
        <v>356.2</v>
      </c>
      <c r="N61" s="42"/>
      <c r="O61" s="178">
        <f>ROUND(SUM(O37:O60),1)</f>
        <v>764</v>
      </c>
      <c r="P61" s="42"/>
      <c r="Q61" s="178">
        <f>ROUND(SUM(Q37:Q60),1)</f>
        <v>571.29999999999995</v>
      </c>
      <c r="R61" s="42"/>
      <c r="S61" s="178">
        <f>ROUND(SUM(S37:S60),1)</f>
        <v>427.2</v>
      </c>
      <c r="T61" s="42"/>
      <c r="U61" s="178">
        <f>ROUND(SUM(U37:U60),1)</f>
        <v>695.8</v>
      </c>
      <c r="V61" s="42"/>
      <c r="W61" s="178">
        <f>ROUND(SUM(W37:W60),1)</f>
        <v>82.7</v>
      </c>
      <c r="X61" s="42"/>
      <c r="Y61" s="178">
        <f>ROUND(SUM(Y37:Y60),1)</f>
        <v>84.8</v>
      </c>
      <c r="Z61" s="42"/>
      <c r="AA61" s="178">
        <f>ROUND(SUM(AA37:AA60),1)</f>
        <v>582.79999999999995</v>
      </c>
      <c r="AB61" s="42"/>
      <c r="AC61" s="178">
        <f>ROUND(SUM(AC37:AC60),1)</f>
        <v>0</v>
      </c>
      <c r="AD61" s="42"/>
      <c r="AE61" s="44"/>
      <c r="AF61" s="178">
        <f>ROUND(SUM(AF37:AF60),1)</f>
        <v>6362.6</v>
      </c>
      <c r="AG61" s="143"/>
      <c r="AH61" s="42"/>
      <c r="AI61" s="178">
        <f>ROUND(SUM(AI37:AI60),1)</f>
        <v>5006.7</v>
      </c>
      <c r="AJ61" s="57"/>
      <c r="AK61" s="236"/>
      <c r="AL61" s="178">
        <f>ROUND(SUM(AL37:AL60),1)</f>
        <v>1355.9</v>
      </c>
      <c r="AM61" s="111"/>
      <c r="AN61" s="749">
        <f>ROUND(SUM(AL61/AI61),3)</f>
        <v>0.27100000000000002</v>
      </c>
    </row>
    <row r="62" spans="1:40">
      <c r="A62" s="21"/>
      <c r="B62" s="217"/>
      <c r="C62" s="21"/>
      <c r="D62" s="21"/>
      <c r="E62" s="467"/>
      <c r="F62" s="467"/>
      <c r="G62" s="467"/>
      <c r="H62" s="496"/>
      <c r="I62" s="467"/>
      <c r="J62" s="467"/>
      <c r="K62" s="467"/>
      <c r="L62" s="36"/>
      <c r="M62" s="467"/>
      <c r="N62" s="36"/>
      <c r="O62" s="467"/>
      <c r="P62" s="36"/>
      <c r="Q62" s="467"/>
      <c r="R62" s="36"/>
      <c r="S62" s="467"/>
      <c r="T62" s="36"/>
      <c r="U62" s="467"/>
      <c r="V62" s="36"/>
      <c r="W62" s="467"/>
      <c r="X62" s="36"/>
      <c r="Y62" s="467"/>
      <c r="Z62" s="36"/>
      <c r="AA62" s="467"/>
      <c r="AB62" s="467"/>
      <c r="AC62" s="467"/>
      <c r="AD62" s="36"/>
      <c r="AE62" s="37"/>
      <c r="AF62" s="193"/>
      <c r="AG62" s="757"/>
      <c r="AH62" s="36"/>
      <c r="AI62" s="36"/>
      <c r="AJ62" s="46"/>
      <c r="AK62" s="236"/>
      <c r="AL62" s="38"/>
      <c r="AM62" s="112"/>
      <c r="AN62" s="235"/>
    </row>
    <row r="63" spans="1:40">
      <c r="A63" s="21"/>
      <c r="B63" s="21" t="s">
        <v>146</v>
      </c>
      <c r="C63" s="21"/>
      <c r="D63" s="21"/>
      <c r="E63" s="496">
        <f>+'Exhibit I State'!E62+'Exhibit I Federal'!E44</f>
        <v>134.4</v>
      </c>
      <c r="F63" s="467"/>
      <c r="G63" s="496">
        <f>+'Exhibit I State'!G62+'Exhibit I Federal'!G44</f>
        <v>166.20000000000002</v>
      </c>
      <c r="H63" s="467"/>
      <c r="I63" s="496">
        <f>+'Exhibit I State'!I62+'Exhibit I Federal'!I44</f>
        <v>210.1</v>
      </c>
      <c r="J63" s="467"/>
      <c r="K63" s="496">
        <f>+'Exhibit I State'!K62+'Exhibit I Federal'!K44</f>
        <v>187.89999999999992</v>
      </c>
      <c r="L63" s="36"/>
      <c r="M63" s="496">
        <f>+'Exhibit I State'!M62+'Exhibit I Federal'!M44</f>
        <v>288.5</v>
      </c>
      <c r="N63" s="36"/>
      <c r="O63" s="496">
        <f>+'Exhibit I State'!O62+'Exhibit I Federal'!O44</f>
        <v>180.59999999999991</v>
      </c>
      <c r="P63" s="36"/>
      <c r="Q63" s="496">
        <f>+'Exhibit I State'!Q62+'Exhibit I Federal'!Q44</f>
        <v>344.1</v>
      </c>
      <c r="R63" s="36"/>
      <c r="S63" s="496">
        <f>+'Exhibit I State'!S62+'Exhibit I Federal'!S44</f>
        <v>258.3</v>
      </c>
      <c r="T63" s="496"/>
      <c r="U63" s="496">
        <f>+'Exhibit I State'!U62+'Exhibit I Federal'!U44</f>
        <v>215.70000000000019</v>
      </c>
      <c r="V63" s="496"/>
      <c r="W63" s="496">
        <f>+'Exhibit I State'!W62+'Exhibit I Federal'!W44</f>
        <v>169.49999999999989</v>
      </c>
      <c r="X63" s="496"/>
      <c r="Y63" s="496">
        <f>+'Exhibit I State'!Y62+'Exhibit I Federal'!Y44</f>
        <v>137.99999999999977</v>
      </c>
      <c r="Z63" s="496"/>
      <c r="AA63" s="496">
        <f>+'Exhibit I State'!AA62+'Exhibit I Federal'!AA44</f>
        <v>229.4000000000006</v>
      </c>
      <c r="AB63" s="193"/>
      <c r="AC63" s="193">
        <v>0</v>
      </c>
      <c r="AD63" s="36"/>
      <c r="AE63" s="37"/>
      <c r="AF63" s="36">
        <f>ROUND(SUM(E63:AC63),1)</f>
        <v>2522.6999999999998</v>
      </c>
      <c r="AG63" s="52"/>
      <c r="AH63" s="36"/>
      <c r="AI63" s="36">
        <f>+'Exhibit I State'!AG62+'Exhibit I Federal'!AG44</f>
        <v>2065.9</v>
      </c>
      <c r="AJ63" s="46"/>
      <c r="AK63" s="237"/>
      <c r="AL63" s="238">
        <f>ROUND(SUM(+AF63-AI63),1)</f>
        <v>456.8</v>
      </c>
      <c r="AM63" s="112"/>
      <c r="AN63" s="2184">
        <f>ROUND(SUM(AL63/AI63),3)</f>
        <v>0.221</v>
      </c>
    </row>
    <row r="64" spans="1:40">
      <c r="A64" s="21"/>
      <c r="B64" s="21"/>
      <c r="C64" s="21"/>
      <c r="D64" s="21"/>
      <c r="E64" s="497"/>
      <c r="F64" s="467"/>
      <c r="G64" s="497"/>
      <c r="H64" s="467"/>
      <c r="I64" s="497"/>
      <c r="J64" s="467"/>
      <c r="K64" s="497"/>
      <c r="L64" s="36"/>
      <c r="M64" s="497"/>
      <c r="N64" s="36"/>
      <c r="O64" s="497"/>
      <c r="P64" s="36"/>
      <c r="Q64" s="497"/>
      <c r="R64" s="36"/>
      <c r="S64" s="61"/>
      <c r="T64" s="36"/>
      <c r="U64" s="61"/>
      <c r="V64" s="36"/>
      <c r="W64" s="61"/>
      <c r="X64" s="36"/>
      <c r="Y64" s="61"/>
      <c r="Z64" s="36"/>
      <c r="AA64" s="61"/>
      <c r="AB64" s="36"/>
      <c r="AC64" s="61"/>
      <c r="AD64" s="36"/>
      <c r="AE64" s="37"/>
      <c r="AF64" s="61"/>
      <c r="AG64" s="52"/>
      <c r="AH64" s="36"/>
      <c r="AI64" s="61"/>
      <c r="AJ64" s="36"/>
      <c r="AK64" s="237"/>
      <c r="AL64" s="38"/>
      <c r="AN64" s="235"/>
    </row>
    <row r="65" spans="1:44">
      <c r="A65" s="21"/>
      <c r="B65" s="19" t="s">
        <v>193</v>
      </c>
      <c r="C65" s="21"/>
      <c r="D65" s="21"/>
      <c r="E65" s="1153">
        <f>ROUND(SUM(+E61+E63+E33),1)</f>
        <v>1199.2</v>
      </c>
      <c r="F65" s="42"/>
      <c r="G65" s="1153">
        <f>ROUND(SUM(+G61+G63+G33),1)</f>
        <v>1323.9</v>
      </c>
      <c r="H65" s="42"/>
      <c r="I65" s="1153">
        <f>ROUND(SUM(+I61+I63+I33),1)</f>
        <v>957.2</v>
      </c>
      <c r="J65" s="42"/>
      <c r="K65" s="1153">
        <f>ROUND(SUM(+K61+K63+K33),1)</f>
        <v>411.8</v>
      </c>
      <c r="L65" s="42"/>
      <c r="M65" s="1153">
        <f>ROUND(SUM(+M61+M63+M33),1)</f>
        <v>734</v>
      </c>
      <c r="N65" s="42"/>
      <c r="O65" s="1153">
        <f>ROUND(SUM(+O61+O63+O33),1)</f>
        <v>1067.9000000000001</v>
      </c>
      <c r="P65" s="42"/>
      <c r="Q65" s="1153">
        <f>ROUND(SUM(+Q61+Q63+Q33),1)</f>
        <v>1002.9</v>
      </c>
      <c r="R65" s="42"/>
      <c r="S65" s="220">
        <f>ROUND(SUM(+S61+S63+S33),1)</f>
        <v>771.6</v>
      </c>
      <c r="T65" s="42"/>
      <c r="U65" s="220">
        <f>ROUND(SUM(+U61+U63+U33),1)</f>
        <v>1026.8</v>
      </c>
      <c r="V65" s="42"/>
      <c r="W65" s="220">
        <f>ROUND(SUM(+W61+W63+W33),1)</f>
        <v>364.8</v>
      </c>
      <c r="X65" s="42"/>
      <c r="Y65" s="220">
        <f>ROUND(SUM(+Y61+Y63+Y33),1)</f>
        <v>345</v>
      </c>
      <c r="Z65" s="42"/>
      <c r="AA65" s="220">
        <f>ROUND(SUM(+AA61+AA63+AA33),1)</f>
        <v>938.9</v>
      </c>
      <c r="AB65" s="743"/>
      <c r="AC65" s="220">
        <f>ROUND(SUM(+AC61+AC63+AC33),1)</f>
        <v>0</v>
      </c>
      <c r="AD65" s="42"/>
      <c r="AE65" s="44"/>
      <c r="AF65" s="220">
        <f>ROUND(SUM(+AF61+AF63+AF33),1)</f>
        <v>10144</v>
      </c>
      <c r="AG65" s="143"/>
      <c r="AH65" s="42"/>
      <c r="AI65" s="220">
        <f>ROUND(SUM(+AI61+AI63+AI33),1)</f>
        <v>8385.4</v>
      </c>
      <c r="AJ65" s="57"/>
      <c r="AK65" s="237"/>
      <c r="AL65" s="220">
        <f>ROUND(SUM(+AL61+AL63+AL33),1)</f>
        <v>1758.6</v>
      </c>
      <c r="AM65" s="111"/>
      <c r="AN65" s="653">
        <f>ROUND(SUM(AL65/AI65),3)</f>
        <v>0.21</v>
      </c>
      <c r="AO65" s="19"/>
      <c r="AP65" s="111"/>
      <c r="AQ65" s="19"/>
      <c r="AR65" s="19"/>
    </row>
    <row r="66" spans="1:44">
      <c r="A66" s="21"/>
      <c r="B66" s="21"/>
      <c r="C66" s="21"/>
      <c r="D66" s="21"/>
      <c r="E66" s="497"/>
      <c r="F66" s="467"/>
      <c r="G66" s="497"/>
      <c r="H66" s="467"/>
      <c r="I66" s="497"/>
      <c r="J66" s="467"/>
      <c r="K66" s="497"/>
      <c r="L66" s="36"/>
      <c r="M66" s="497"/>
      <c r="N66" s="36"/>
      <c r="O66" s="497"/>
      <c r="P66" s="36"/>
      <c r="Q66" s="497"/>
      <c r="R66" s="36"/>
      <c r="S66" s="61"/>
      <c r="T66" s="36"/>
      <c r="U66" s="61"/>
      <c r="V66" s="36"/>
      <c r="W66" s="61"/>
      <c r="X66" s="36"/>
      <c r="Y66" s="61"/>
      <c r="Z66" s="36"/>
      <c r="AA66" s="61"/>
      <c r="AB66" s="36"/>
      <c r="AC66" s="61"/>
      <c r="AD66" s="36"/>
      <c r="AE66" s="37"/>
      <c r="AF66" s="61"/>
      <c r="AG66" s="52"/>
      <c r="AH66" s="36"/>
      <c r="AI66" s="61"/>
      <c r="AJ66" s="36"/>
      <c r="AK66" s="237"/>
      <c r="AL66" s="38"/>
      <c r="AN66" s="235"/>
    </row>
    <row r="67" spans="1:44">
      <c r="A67" s="21"/>
      <c r="B67" s="19" t="s">
        <v>22</v>
      </c>
      <c r="C67" s="21"/>
      <c r="D67" s="21"/>
      <c r="E67" s="467"/>
      <c r="F67" s="467"/>
      <c r="G67" s="467"/>
      <c r="H67" s="467"/>
      <c r="I67" s="467"/>
      <c r="J67" s="467"/>
      <c r="K67" s="467"/>
      <c r="L67" s="36"/>
      <c r="M67" s="467"/>
      <c r="N67" s="36"/>
      <c r="O67" s="467"/>
      <c r="P67" s="36"/>
      <c r="Q67" s="467"/>
      <c r="R67" s="36"/>
      <c r="S67" s="36"/>
      <c r="T67" s="36"/>
      <c r="U67" s="36"/>
      <c r="V67" s="36"/>
      <c r="W67" s="36"/>
      <c r="X67" s="36"/>
      <c r="Y67" s="36"/>
      <c r="Z67" s="36"/>
      <c r="AA67" s="36"/>
      <c r="AB67" s="36"/>
      <c r="AC67" s="36"/>
      <c r="AD67" s="36"/>
      <c r="AE67" s="37"/>
      <c r="AF67" s="36"/>
      <c r="AG67" s="52"/>
      <c r="AH67" s="36"/>
      <c r="AI67" s="36"/>
      <c r="AJ67" s="36"/>
      <c r="AK67" s="237"/>
      <c r="AL67" s="38"/>
      <c r="AN67" s="235"/>
    </row>
    <row r="68" spans="1:44">
      <c r="A68" s="21"/>
      <c r="B68" s="21" t="s">
        <v>148</v>
      </c>
      <c r="C68" s="21"/>
      <c r="D68" s="21"/>
      <c r="E68" s="467"/>
      <c r="F68" s="467"/>
      <c r="G68" s="467"/>
      <c r="H68" s="467"/>
      <c r="I68" s="467"/>
      <c r="J68" s="467"/>
      <c r="K68" s="467"/>
      <c r="L68" s="36"/>
      <c r="M68" s="467"/>
      <c r="N68" s="36"/>
      <c r="O68" s="467"/>
      <c r="P68" s="36"/>
      <c r="Q68" s="467"/>
      <c r="R68" s="36"/>
      <c r="S68" s="36"/>
      <c r="T68" s="36"/>
      <c r="U68" s="36"/>
      <c r="V68" s="36"/>
      <c r="W68" s="36"/>
      <c r="X68" s="36"/>
      <c r="Y68" s="36"/>
      <c r="Z68" s="36"/>
      <c r="AA68" s="467" t="s">
        <v>14</v>
      </c>
      <c r="AB68" s="36"/>
      <c r="AC68" s="36"/>
      <c r="AD68" s="36"/>
      <c r="AE68" s="37"/>
      <c r="AF68" s="46"/>
      <c r="AG68" s="52"/>
      <c r="AH68" s="36"/>
      <c r="AI68" s="36"/>
      <c r="AJ68" s="36"/>
      <c r="AK68" s="237"/>
      <c r="AL68" s="38"/>
      <c r="AN68" s="235"/>
    </row>
    <row r="69" spans="1:44">
      <c r="A69" s="21"/>
      <c r="B69" s="21" t="s">
        <v>24</v>
      </c>
      <c r="C69" s="21"/>
      <c r="D69" s="21"/>
      <c r="E69" s="496">
        <f>+'Exhibit I State'!E68+'Exhibit I Federal'!E50</f>
        <v>18.600000000000001</v>
      </c>
      <c r="F69" s="467"/>
      <c r="G69" s="496">
        <f>+'Exhibit I State'!G68+'Exhibit I Federal'!G50</f>
        <v>7.5999999999999979</v>
      </c>
      <c r="H69" s="496"/>
      <c r="I69" s="496">
        <f>+'Exhibit I State'!I68+'Exhibit I Federal'!I50</f>
        <v>10.199999999999999</v>
      </c>
      <c r="J69" s="467"/>
      <c r="K69" s="496">
        <f>+'Exhibit I State'!K68+'Exhibit I Federal'!K50</f>
        <v>14.899999999999999</v>
      </c>
      <c r="L69" s="36"/>
      <c r="M69" s="496">
        <f>+'Exhibit I State'!M68+'Exhibit I Federal'!M50</f>
        <v>8.5999999999999979</v>
      </c>
      <c r="N69" s="36"/>
      <c r="O69" s="496">
        <f>+'Exhibit I State'!O68+'Exhibit I Federal'!O50</f>
        <v>3.0000000000000071</v>
      </c>
      <c r="P69" s="36"/>
      <c r="Q69" s="496">
        <f>+'Exhibit I State'!Q68+'Exhibit I Federal'!Q50</f>
        <v>6.3999999999999879</v>
      </c>
      <c r="R69" s="36"/>
      <c r="S69" s="496">
        <f>+'Exhibit I State'!S68+'Exhibit I Federal'!S50</f>
        <v>3.9</v>
      </c>
      <c r="T69" s="496"/>
      <c r="U69" s="496">
        <f>+'Exhibit I State'!U68+'Exhibit I Federal'!U50</f>
        <v>44.500000000000021</v>
      </c>
      <c r="V69" s="496"/>
      <c r="W69" s="496">
        <f>+'Exhibit I State'!W68+'Exhibit I Federal'!W50</f>
        <v>5.4000000000000057</v>
      </c>
      <c r="X69" s="496"/>
      <c r="Y69" s="496">
        <f>+'Exhibit I State'!Y68+'Exhibit I Federal'!Y50</f>
        <v>142.29999999999998</v>
      </c>
      <c r="Z69" s="496"/>
      <c r="AA69" s="496">
        <f>+'Exhibit I State'!AA68+'Exhibit I Federal'!AA50</f>
        <v>8.9000000000000341</v>
      </c>
      <c r="AB69" s="193"/>
      <c r="AC69" s="193">
        <v>0</v>
      </c>
      <c r="AD69" s="36"/>
      <c r="AE69" s="37"/>
      <c r="AF69" s="36">
        <f>ROUND(SUM(E69:AC69),1)</f>
        <v>274.3</v>
      </c>
      <c r="AG69" s="52"/>
      <c r="AH69" s="36"/>
      <c r="AI69" s="36">
        <f>+'Exhibit I State'!AG68+'Exhibit I Federal'!AG50</f>
        <v>219.9</v>
      </c>
      <c r="AJ69" s="46"/>
      <c r="AK69" s="236"/>
      <c r="AL69" s="38">
        <f>ROUND(SUM(+AF69-AI69),1)</f>
        <v>54.4</v>
      </c>
      <c r="AM69" s="112"/>
      <c r="AN69" s="1173">
        <f>ROUND(IF(AI69=0,1,AL69/ABS(AI69)),3)</f>
        <v>0.247</v>
      </c>
    </row>
    <row r="70" spans="1:44">
      <c r="A70" s="21"/>
      <c r="B70" s="21" t="s">
        <v>25</v>
      </c>
      <c r="C70" s="21"/>
      <c r="D70" s="21"/>
      <c r="E70" s="496">
        <f>+'Exhibit I State'!E69+'Exhibit I Federal'!E51</f>
        <v>4.3</v>
      </c>
      <c r="F70" s="467"/>
      <c r="G70" s="496">
        <f>+'Exhibit I State'!G69+'Exhibit I Federal'!G51</f>
        <v>8.8999999999999986</v>
      </c>
      <c r="H70" s="467"/>
      <c r="I70" s="496">
        <f>+'Exhibit I State'!I69+'Exhibit I Federal'!I51</f>
        <v>10</v>
      </c>
      <c r="J70" s="467"/>
      <c r="K70" s="496">
        <f>+'Exhibit I State'!K69+'Exhibit I Federal'!K51</f>
        <v>14.400000000000002</v>
      </c>
      <c r="L70" s="36"/>
      <c r="M70" s="496">
        <f>+'Exhibit I State'!M69+'Exhibit I Federal'!M51</f>
        <v>147.9</v>
      </c>
      <c r="N70" s="36"/>
      <c r="O70" s="496">
        <f>+'Exhibit I State'!O69+'Exhibit I Federal'!O51</f>
        <v>8.0999999999999872</v>
      </c>
      <c r="P70" s="36"/>
      <c r="Q70" s="496">
        <f>+'Exhibit I State'!Q69+'Exhibit I Federal'!Q51</f>
        <v>13.800000000000011</v>
      </c>
      <c r="R70" s="36"/>
      <c r="S70" s="496">
        <f>+'Exhibit I State'!S69+'Exhibit I Federal'!S51</f>
        <v>9.8000000000000007</v>
      </c>
      <c r="T70" s="496"/>
      <c r="U70" s="496">
        <f>+'Exhibit I State'!U69+'Exhibit I Federal'!U51</f>
        <v>6.100000000000005</v>
      </c>
      <c r="V70" s="496"/>
      <c r="W70" s="496">
        <f>+'Exhibit I State'!W69+'Exhibit I Federal'!W51</f>
        <v>77.499999999999972</v>
      </c>
      <c r="X70" s="496"/>
      <c r="Y70" s="496">
        <f>+'Exhibit I State'!Y69+'Exhibit I Federal'!Y51</f>
        <v>15</v>
      </c>
      <c r="Z70" s="496"/>
      <c r="AA70" s="496">
        <f>+'Exhibit I State'!AA69+'Exhibit I Federal'!AA51</f>
        <v>176.39999999999998</v>
      </c>
      <c r="AB70" s="193"/>
      <c r="AC70" s="193">
        <v>0</v>
      </c>
      <c r="AD70" s="36"/>
      <c r="AE70" s="37"/>
      <c r="AF70" s="36">
        <f>ROUND(SUM(E70:AC70),1)</f>
        <v>492.2</v>
      </c>
      <c r="AG70" s="52"/>
      <c r="AH70" s="36"/>
      <c r="AI70" s="36">
        <f>+'Exhibit I State'!AG69+'Exhibit I Federal'!AG51</f>
        <v>370.4</v>
      </c>
      <c r="AJ70" s="46"/>
      <c r="AK70" s="236"/>
      <c r="AL70" s="38">
        <f t="shared" ref="AL70:AL77" si="7">ROUND(SUM(+AF70-AI70),1)</f>
        <v>121.8</v>
      </c>
      <c r="AM70" s="112"/>
      <c r="AN70" s="955">
        <f>ROUND(IF(AI70=0,0,AL70/ABS(AI70)),3)</f>
        <v>0.32900000000000001</v>
      </c>
    </row>
    <row r="71" spans="1:44">
      <c r="A71" s="21"/>
      <c r="B71" s="21" t="s">
        <v>26</v>
      </c>
      <c r="C71" s="21"/>
      <c r="D71" s="21"/>
      <c r="E71" s="496">
        <f>+'Exhibit I State'!E70+'Exhibit I Federal'!E52</f>
        <v>12.3</v>
      </c>
      <c r="F71" s="467"/>
      <c r="G71" s="496">
        <f>+'Exhibit I State'!G70+'Exhibit I Federal'!G52</f>
        <v>116.7</v>
      </c>
      <c r="H71" s="467"/>
      <c r="I71" s="496">
        <f>+'Exhibit I State'!I70+'Exhibit I Federal'!I52</f>
        <v>29.699999999999985</v>
      </c>
      <c r="J71" s="467"/>
      <c r="K71" s="496">
        <f>+'Exhibit I State'!K70+'Exhibit I Federal'!K52</f>
        <v>27.499999999999996</v>
      </c>
      <c r="L71" s="36"/>
      <c r="M71" s="496">
        <f>+'Exhibit I State'!M70+'Exhibit I Federal'!M52</f>
        <v>46.600000000000023</v>
      </c>
      <c r="N71" s="36"/>
      <c r="O71" s="496">
        <f>+'Exhibit I State'!O70+'Exhibit I Federal'!O52</f>
        <v>59.399999999999977</v>
      </c>
      <c r="P71" s="36"/>
      <c r="Q71" s="496">
        <f>+'Exhibit I State'!Q70+'Exhibit I Federal'!Q52</f>
        <v>62.400000000000034</v>
      </c>
      <c r="R71" s="36"/>
      <c r="S71" s="496">
        <f>+'Exhibit I State'!S70+'Exhibit I Federal'!S52</f>
        <v>33.700000000000003</v>
      </c>
      <c r="T71" s="496"/>
      <c r="U71" s="496">
        <f>+'Exhibit I State'!U70+'Exhibit I Federal'!U52</f>
        <v>134.09999999999997</v>
      </c>
      <c r="V71" s="496"/>
      <c r="W71" s="496">
        <f>+'Exhibit I State'!W70+'Exhibit I Federal'!W52</f>
        <v>29.60000000000008</v>
      </c>
      <c r="X71" s="496"/>
      <c r="Y71" s="496">
        <f>+'Exhibit I State'!Y70+'Exhibit I Federal'!Y52</f>
        <v>51.700000000000045</v>
      </c>
      <c r="Z71" s="496"/>
      <c r="AA71" s="496">
        <f>+'Exhibit I State'!AA70+'Exhibit I Federal'!AA52</f>
        <v>89.399999999999977</v>
      </c>
      <c r="AB71" s="496" t="s">
        <v>1148</v>
      </c>
      <c r="AC71" s="496">
        <v>0</v>
      </c>
      <c r="AD71" s="36"/>
      <c r="AE71" s="37"/>
      <c r="AF71" s="36">
        <f>ROUND(SUM(E71:AC71),1)</f>
        <v>693.1</v>
      </c>
      <c r="AG71" s="52"/>
      <c r="AH71" s="36"/>
      <c r="AI71" s="36">
        <f>+'Exhibit I State'!AG70+'Exhibit I Federal'!AG52</f>
        <v>501.1</v>
      </c>
      <c r="AJ71" s="46"/>
      <c r="AK71" s="236"/>
      <c r="AL71" s="38">
        <f t="shared" si="7"/>
        <v>192</v>
      </c>
      <c r="AM71" s="112"/>
      <c r="AN71" s="955">
        <f>ROUND(IF(AI71=0,0,AL71/ABS(AI71)),3)</f>
        <v>0.38300000000000001</v>
      </c>
    </row>
    <row r="72" spans="1:44">
      <c r="A72" s="21"/>
      <c r="B72" s="21" t="s">
        <v>27</v>
      </c>
      <c r="C72" s="21"/>
      <c r="D72" s="21"/>
      <c r="E72" s="496"/>
      <c r="F72" s="467"/>
      <c r="G72" s="496"/>
      <c r="H72" s="467"/>
      <c r="I72" s="496"/>
      <c r="J72" s="467"/>
      <c r="K72" s="496"/>
      <c r="L72" s="36"/>
      <c r="M72" s="496"/>
      <c r="N72" s="36"/>
      <c r="O72" s="496"/>
      <c r="P72" s="36"/>
      <c r="Q72" s="496"/>
      <c r="R72" s="36"/>
      <c r="S72" s="496"/>
      <c r="T72" s="496"/>
      <c r="U72" s="496"/>
      <c r="V72" s="496"/>
      <c r="W72" s="496"/>
      <c r="X72" s="496"/>
      <c r="Y72" s="496"/>
      <c r="Z72" s="496"/>
      <c r="AA72" s="496"/>
      <c r="AB72" s="193"/>
      <c r="AC72" s="193"/>
      <c r="AD72" s="36"/>
      <c r="AE72" s="37"/>
      <c r="AF72" s="467" t="s">
        <v>14</v>
      </c>
      <c r="AG72" s="52"/>
      <c r="AH72" s="36"/>
      <c r="AI72" s="40"/>
      <c r="AJ72" s="36"/>
      <c r="AK72" s="237"/>
      <c r="AL72" s="38" t="s">
        <v>14</v>
      </c>
      <c r="AM72" s="112"/>
      <c r="AN72" s="239" t="s">
        <v>14</v>
      </c>
    </row>
    <row r="73" spans="1:44">
      <c r="A73" s="21"/>
      <c r="B73" s="21" t="s">
        <v>28</v>
      </c>
      <c r="C73" s="19"/>
      <c r="D73" s="21"/>
      <c r="E73" s="496">
        <f>+'Exhibit I State'!E72+'Exhibit I Federal'!E54</f>
        <v>0</v>
      </c>
      <c r="F73" s="467"/>
      <c r="G73" s="496">
        <f>+'Exhibit I State'!G72+'Exhibit I Federal'!G54</f>
        <v>0</v>
      </c>
      <c r="H73" s="467"/>
      <c r="I73" s="496">
        <f>+'Exhibit I State'!I72+'Exhibit I Federal'!I54</f>
        <v>0</v>
      </c>
      <c r="J73" s="467"/>
      <c r="K73" s="496">
        <f>+'Exhibit I State'!K72+'Exhibit I Federal'!K54</f>
        <v>0</v>
      </c>
      <c r="L73" s="36"/>
      <c r="M73" s="496">
        <f>+'Exhibit I State'!M72+'Exhibit I Federal'!M54</f>
        <v>0</v>
      </c>
      <c r="N73" s="36"/>
      <c r="O73" s="496">
        <f>+'Exhibit I State'!O72+'Exhibit I Federal'!O54</f>
        <v>0</v>
      </c>
      <c r="P73" s="36"/>
      <c r="Q73" s="496">
        <f>+'Exhibit I State'!Q72+'Exhibit I Federal'!Q54</f>
        <v>0</v>
      </c>
      <c r="R73" s="36"/>
      <c r="S73" s="496">
        <f>+'Exhibit I State'!S72+'Exhibit I Federal'!S54</f>
        <v>0</v>
      </c>
      <c r="T73" s="496"/>
      <c r="U73" s="496">
        <f>+'Exhibit I State'!U72+'Exhibit I Federal'!U54</f>
        <v>0</v>
      </c>
      <c r="V73" s="496"/>
      <c r="W73" s="496">
        <f>+'Exhibit I State'!W72+'Exhibit I Federal'!W54</f>
        <v>0</v>
      </c>
      <c r="X73" s="496"/>
      <c r="Y73" s="496">
        <f>+'Exhibit I State'!Y72+'Exhibit I Federal'!Y54</f>
        <v>0</v>
      </c>
      <c r="Z73" s="496"/>
      <c r="AA73" s="496">
        <f>+'Exhibit I State'!AA72+'Exhibit I Federal'!AA54</f>
        <v>0</v>
      </c>
      <c r="AB73" s="193"/>
      <c r="AC73" s="193">
        <v>0</v>
      </c>
      <c r="AD73" s="36"/>
      <c r="AE73" s="37"/>
      <c r="AF73" s="36">
        <f t="shared" ref="AF73:AF77" si="8">ROUND(SUM(E73:AC73),1)</f>
        <v>0</v>
      </c>
      <c r="AG73" s="52"/>
      <c r="AH73" s="36"/>
      <c r="AI73" s="40">
        <f>+'Exhibit I State'!AG72+'Exhibit I Federal'!AG54</f>
        <v>0</v>
      </c>
      <c r="AJ73" s="36"/>
      <c r="AK73" s="237"/>
      <c r="AL73" s="38">
        <f t="shared" si="7"/>
        <v>0</v>
      </c>
      <c r="AM73" s="112"/>
      <c r="AN73" s="8">
        <f>ROUND(IF(AI73=0,0,AL73/ABS(AI73)),3)</f>
        <v>0</v>
      </c>
    </row>
    <row r="74" spans="1:44">
      <c r="A74" s="21"/>
      <c r="B74" s="21" t="s">
        <v>29</v>
      </c>
      <c r="C74" s="21"/>
      <c r="D74" s="21"/>
      <c r="E74" s="496">
        <f>+'Exhibit I State'!E73+'Exhibit I Federal'!E55</f>
        <v>43.9</v>
      </c>
      <c r="F74" s="467"/>
      <c r="G74" s="496">
        <f>+'Exhibit I State'!G73+'Exhibit I Federal'!G55</f>
        <v>16.399999999999999</v>
      </c>
      <c r="H74" s="467"/>
      <c r="I74" s="496">
        <f>+'Exhibit I State'!I73+'Exhibit I Federal'!I55</f>
        <v>61.199999999999996</v>
      </c>
      <c r="J74" s="467"/>
      <c r="K74" s="496">
        <f>+'Exhibit I State'!K73+'Exhibit I Federal'!K55</f>
        <v>37.6</v>
      </c>
      <c r="L74" s="36"/>
      <c r="M74" s="496">
        <f>+'Exhibit I State'!M73+'Exhibit I Federal'!M55</f>
        <v>35.000000000000007</v>
      </c>
      <c r="N74" s="36"/>
      <c r="O74" s="496">
        <f>+'Exhibit I State'!O73+'Exhibit I Federal'!O55</f>
        <v>15.200000000000003</v>
      </c>
      <c r="P74" s="36"/>
      <c r="Q74" s="496">
        <f>+'Exhibit I State'!Q73+'Exhibit I Federal'!Q55</f>
        <v>61.999999999999979</v>
      </c>
      <c r="R74" s="36"/>
      <c r="S74" s="496">
        <f>+'Exhibit I State'!S73+'Exhibit I Federal'!S55</f>
        <v>30.6</v>
      </c>
      <c r="T74" s="496"/>
      <c r="U74" s="496">
        <f>+'Exhibit I State'!U73+'Exhibit I Federal'!U55</f>
        <v>39.20000000000006</v>
      </c>
      <c r="V74" s="496"/>
      <c r="W74" s="496">
        <f>+'Exhibit I State'!W73+'Exhibit I Federal'!W55</f>
        <v>50.899999999999991</v>
      </c>
      <c r="X74" s="496"/>
      <c r="Y74" s="496">
        <f>+'Exhibit I State'!Y73+'Exhibit I Federal'!Y55</f>
        <v>32.800000000000033</v>
      </c>
      <c r="Z74" s="496"/>
      <c r="AA74" s="496">
        <f>+'Exhibit I State'!AA73+'Exhibit I Federal'!AA55</f>
        <v>83.9</v>
      </c>
      <c r="AB74" s="193"/>
      <c r="AC74" s="193">
        <v>0</v>
      </c>
      <c r="AD74" s="36"/>
      <c r="AE74" s="37"/>
      <c r="AF74" s="467">
        <f t="shared" si="8"/>
        <v>508.7</v>
      </c>
      <c r="AG74" s="52"/>
      <c r="AH74" s="36"/>
      <c r="AI74" s="40">
        <f>+'Exhibit I State'!AG73+'Exhibit I Federal'!AG55</f>
        <v>731.9</v>
      </c>
      <c r="AJ74" s="46"/>
      <c r="AK74" s="236"/>
      <c r="AL74" s="38">
        <f t="shared" si="7"/>
        <v>-223.2</v>
      </c>
      <c r="AM74" s="112"/>
      <c r="AN74" s="8">
        <f>ROUND(IF(AI74=0,0,AL74/ABS(AI74)),3)</f>
        <v>-0.30499999999999999</v>
      </c>
    </row>
    <row r="75" spans="1:44">
      <c r="A75" s="21"/>
      <c r="B75" s="21" t="s">
        <v>30</v>
      </c>
      <c r="C75" s="21"/>
      <c r="D75" s="21"/>
      <c r="E75" s="496">
        <f>+'Exhibit I State'!E74+'Exhibit I Federal'!E56</f>
        <v>11.7</v>
      </c>
      <c r="F75" s="467"/>
      <c r="G75" s="496">
        <f>+'Exhibit I State'!G74+'Exhibit I Federal'!G56</f>
        <v>1</v>
      </c>
      <c r="H75" s="467"/>
      <c r="I75" s="496">
        <f>+'Exhibit I State'!I74+'Exhibit I Federal'!I56</f>
        <v>14.800000000000002</v>
      </c>
      <c r="J75" s="467"/>
      <c r="K75" s="496">
        <f>+'Exhibit I State'!K74+'Exhibit I Federal'!K56</f>
        <v>11.899999999999995</v>
      </c>
      <c r="L75" s="36"/>
      <c r="M75" s="496">
        <f>+'Exhibit I State'!M74+'Exhibit I Federal'!M56</f>
        <v>2.9999999999999996</v>
      </c>
      <c r="N75" s="36"/>
      <c r="O75" s="496">
        <f>+'Exhibit I State'!O74+'Exhibit I Federal'!O56</f>
        <v>2.6</v>
      </c>
      <c r="P75" s="36"/>
      <c r="Q75" s="496">
        <f>+'Exhibit I State'!Q74+'Exhibit I Federal'!Q56</f>
        <v>74.5</v>
      </c>
      <c r="R75" s="36"/>
      <c r="S75" s="496">
        <f>+'Exhibit I State'!S74+'Exhibit I Federal'!S56</f>
        <v>2.6</v>
      </c>
      <c r="T75" s="496"/>
      <c r="U75" s="496">
        <f>+'Exhibit I State'!U74+'Exhibit I Federal'!U56</f>
        <v>1.3999999999999964</v>
      </c>
      <c r="V75" s="496"/>
      <c r="W75" s="496">
        <f>+'Exhibit I State'!W74+'Exhibit I Federal'!W56</f>
        <v>1.3000000000000007</v>
      </c>
      <c r="X75" s="496"/>
      <c r="Y75" s="496">
        <f>+'Exhibit I State'!Y74+'Exhibit I Federal'!Y56</f>
        <v>34.399999999999991</v>
      </c>
      <c r="Z75" s="496"/>
      <c r="AA75" s="496">
        <f>+'Exhibit I State'!AA74+'Exhibit I Federal'!AA56</f>
        <v>-12.29999999999999</v>
      </c>
      <c r="AB75" s="193"/>
      <c r="AC75" s="193">
        <v>0</v>
      </c>
      <c r="AD75" s="36"/>
      <c r="AE75" s="37"/>
      <c r="AF75" s="36">
        <f>ROUND(SUM(E75:AC75),1)</f>
        <v>146.9</v>
      </c>
      <c r="AG75" s="52"/>
      <c r="AH75" s="36"/>
      <c r="AI75" s="40">
        <f>+'Exhibit I State'!AG74+'Exhibit I Federal'!AG56</f>
        <v>113</v>
      </c>
      <c r="AJ75" s="46"/>
      <c r="AK75" s="236"/>
      <c r="AL75" s="38">
        <f t="shared" si="7"/>
        <v>33.9</v>
      </c>
      <c r="AM75" s="112"/>
      <c r="AN75" s="971">
        <f>ROUND(IF(AI75=0,1,AL75/ABS(AI75)),3)</f>
        <v>0.3</v>
      </c>
    </row>
    <row r="76" spans="1:44">
      <c r="A76" s="21"/>
      <c r="B76" s="21" t="s">
        <v>31</v>
      </c>
      <c r="C76" s="21"/>
      <c r="D76" s="21"/>
      <c r="E76" s="496">
        <f>+'Exhibit I State'!E75+'Exhibit I Federal'!E57</f>
        <v>48.7</v>
      </c>
      <c r="F76" s="467"/>
      <c r="G76" s="496">
        <f>+'Exhibit I State'!G75+'Exhibit I Federal'!G57</f>
        <v>40.799999999999997</v>
      </c>
      <c r="H76" s="467"/>
      <c r="I76" s="496">
        <f>+'Exhibit I State'!I75+'Exhibit I Federal'!I57</f>
        <v>33.799999999999997</v>
      </c>
      <c r="J76" s="467"/>
      <c r="K76" s="496">
        <f>+'Exhibit I State'!K75+'Exhibit I Federal'!K57</f>
        <v>34.399999999999991</v>
      </c>
      <c r="L76" s="36"/>
      <c r="M76" s="496">
        <f>+'Exhibit I State'!M75+'Exhibit I Federal'!M57</f>
        <v>83.8</v>
      </c>
      <c r="N76" s="36"/>
      <c r="O76" s="496">
        <f>+'Exhibit I State'!O75+'Exhibit I Federal'!O57</f>
        <v>57.399999999999991</v>
      </c>
      <c r="P76" s="36"/>
      <c r="Q76" s="496">
        <f>+'Exhibit I State'!Q75+'Exhibit I Federal'!Q57</f>
        <v>78.8</v>
      </c>
      <c r="R76" s="36"/>
      <c r="S76" s="496">
        <f>+'Exhibit I State'!S75+'Exhibit I Federal'!S57</f>
        <v>29</v>
      </c>
      <c r="T76" s="496"/>
      <c r="U76" s="496">
        <f>+'Exhibit I State'!U75+'Exhibit I Federal'!U57</f>
        <v>25.900000000000048</v>
      </c>
      <c r="V76" s="496"/>
      <c r="W76" s="496">
        <f>+'Exhibit I State'!W75+'Exhibit I Federal'!W57</f>
        <v>83.999999999999986</v>
      </c>
      <c r="X76" s="496"/>
      <c r="Y76" s="496">
        <f>+'Exhibit I State'!Y75+'Exhibit I Federal'!Y57</f>
        <v>122.00000000000007</v>
      </c>
      <c r="Z76" s="496"/>
      <c r="AA76" s="496">
        <f>+'Exhibit I State'!AA75+'Exhibit I Federal'!AA57</f>
        <v>91.100000000000009</v>
      </c>
      <c r="AB76" s="193"/>
      <c r="AC76" s="193">
        <v>0</v>
      </c>
      <c r="AD76" s="36"/>
      <c r="AE76" s="37"/>
      <c r="AF76" s="36">
        <f t="shared" si="8"/>
        <v>729.7</v>
      </c>
      <c r="AG76" s="52"/>
      <c r="AH76" s="36"/>
      <c r="AI76" s="40">
        <f>+'Exhibit I State'!AG75+'Exhibit I Federal'!AG57</f>
        <v>678.9</v>
      </c>
      <c r="AJ76" s="36"/>
      <c r="AK76" s="237"/>
      <c r="AL76" s="38">
        <f t="shared" si="7"/>
        <v>50.8</v>
      </c>
      <c r="AM76" s="112"/>
      <c r="AN76" s="1025">
        <f>ROUND(IF(AI76=0,1,AL76/ABS(AI76)),3)</f>
        <v>7.4999999999999997E-2</v>
      </c>
    </row>
    <row r="77" spans="1:44">
      <c r="A77" s="21"/>
      <c r="B77" s="21" t="s">
        <v>32</v>
      </c>
      <c r="C77" s="19"/>
      <c r="D77" s="21"/>
      <c r="E77" s="496">
        <f>+'Exhibit I State'!E76+'Exhibit I Federal'!E58</f>
        <v>17.100000000000001</v>
      </c>
      <c r="F77" s="467"/>
      <c r="G77" s="496">
        <f>+'Exhibit I State'!G76+'Exhibit I Federal'!G58</f>
        <v>19.199999999999996</v>
      </c>
      <c r="H77" s="467"/>
      <c r="I77" s="496">
        <f>+'Exhibit I State'!I76+'Exhibit I Federal'!I58</f>
        <v>81.700000000000017</v>
      </c>
      <c r="J77" s="467"/>
      <c r="K77" s="496">
        <f>+'Exhibit I State'!K76+'Exhibit I Federal'!K58</f>
        <v>103.1</v>
      </c>
      <c r="L77" s="36"/>
      <c r="M77" s="496">
        <f>+'Exhibit I State'!M76+'Exhibit I Federal'!M58</f>
        <v>26.09999999999998</v>
      </c>
      <c r="N77" s="36"/>
      <c r="O77" s="496">
        <f>+'Exhibit I State'!O76+'Exhibit I Federal'!O58</f>
        <v>8.9000000000000483</v>
      </c>
      <c r="P77" s="36"/>
      <c r="Q77" s="496">
        <f>+'Exhibit I State'!Q76+'Exhibit I Federal'!Q58</f>
        <v>26.599999999999937</v>
      </c>
      <c r="R77" s="36"/>
      <c r="S77" s="496">
        <f>+'Exhibit I State'!S76+'Exhibit I Federal'!S58</f>
        <v>58.6</v>
      </c>
      <c r="T77" s="496"/>
      <c r="U77" s="496">
        <f>+'Exhibit I State'!U76+'Exhibit I Federal'!U58</f>
        <v>91.899999999999977</v>
      </c>
      <c r="V77" s="496"/>
      <c r="W77" s="496">
        <f>+'Exhibit I State'!W76+'Exhibit I Federal'!W58</f>
        <v>14.400000000000091</v>
      </c>
      <c r="X77" s="496"/>
      <c r="Y77" s="496">
        <f>+'Exhibit I State'!Y76+'Exhibit I Federal'!Y58</f>
        <v>39.199999999999932</v>
      </c>
      <c r="Z77" s="496"/>
      <c r="AA77" s="496">
        <f>+'Exhibit I State'!AA76+'Exhibit I Federal'!AA58</f>
        <v>202.69999999999993</v>
      </c>
      <c r="AB77" s="193"/>
      <c r="AC77" s="193">
        <v>0</v>
      </c>
      <c r="AD77" s="36"/>
      <c r="AE77" s="37"/>
      <c r="AF77" s="36">
        <f t="shared" si="8"/>
        <v>689.5</v>
      </c>
      <c r="AG77" s="52"/>
      <c r="AH77" s="36"/>
      <c r="AI77" s="40">
        <f>+'Exhibit I State'!AG76+'Exhibit I Federal'!AG58</f>
        <v>660.9</v>
      </c>
      <c r="AJ77" s="36"/>
      <c r="AK77" s="237"/>
      <c r="AL77" s="38">
        <f t="shared" si="7"/>
        <v>28.6</v>
      </c>
      <c r="AM77" s="112"/>
      <c r="AN77" s="1025">
        <f>ROUND(IF(AI77=0,0,AL77/ABS(AI77)),3)</f>
        <v>4.2999999999999997E-2</v>
      </c>
    </row>
    <row r="78" spans="1:44">
      <c r="A78" s="21"/>
      <c r="B78" s="21" t="s">
        <v>33</v>
      </c>
      <c r="C78" s="21"/>
      <c r="D78" s="21"/>
      <c r="E78" s="496">
        <f>+'Exhibit I State'!E77+'Exhibit I Federal'!E59</f>
        <v>32.9</v>
      </c>
      <c r="F78" s="467"/>
      <c r="G78" s="496">
        <f>+'Exhibit I State'!G77+'Exhibit I Federal'!G59</f>
        <v>70.700000000000017</v>
      </c>
      <c r="H78" s="467"/>
      <c r="I78" s="496">
        <f>+'Exhibit I State'!I77+'Exhibit I Federal'!I59</f>
        <v>107.4</v>
      </c>
      <c r="J78" s="467"/>
      <c r="K78" s="496">
        <f>+'Exhibit I State'!K77+'Exhibit I Federal'!K59</f>
        <v>27.899999999999991</v>
      </c>
      <c r="L78" s="36"/>
      <c r="M78" s="496">
        <f>+'Exhibit I State'!M77+'Exhibit I Federal'!M59</f>
        <v>45.000000000000028</v>
      </c>
      <c r="N78" s="36"/>
      <c r="O78" s="496">
        <f>+'Exhibit I State'!O77+'Exhibit I Federal'!O59</f>
        <v>168.89999999999995</v>
      </c>
      <c r="P78" s="36"/>
      <c r="Q78" s="496">
        <f>+'Exhibit I State'!Q77+'Exhibit I Federal'!Q59</f>
        <v>38.19999999999996</v>
      </c>
      <c r="R78" s="36"/>
      <c r="S78" s="496">
        <f>+'Exhibit I State'!S77+'Exhibit I Federal'!S59</f>
        <v>55.20000000000001</v>
      </c>
      <c r="T78" s="496"/>
      <c r="U78" s="496">
        <f>+'Exhibit I State'!U77+'Exhibit I Federal'!U59</f>
        <v>327.7</v>
      </c>
      <c r="V78" s="496"/>
      <c r="W78" s="496">
        <f>+'Exhibit I State'!W77+'Exhibit I Federal'!W59</f>
        <v>38.700000000000045</v>
      </c>
      <c r="X78" s="496"/>
      <c r="Y78" s="496">
        <f>+'Exhibit I State'!Y77+'Exhibit I Federal'!Y59</f>
        <v>39.700000000000017</v>
      </c>
      <c r="Z78" s="496"/>
      <c r="AA78" s="496">
        <f>+'Exhibit I State'!AA77+'Exhibit I Federal'!AA59</f>
        <v>1325.1000000000001</v>
      </c>
      <c r="AB78" s="193"/>
      <c r="AC78" s="193">
        <v>0</v>
      </c>
      <c r="AD78" s="36"/>
      <c r="AE78" s="37"/>
      <c r="AF78" s="36">
        <f>ROUND(SUM(E78:AC78),1)</f>
        <v>2277.4</v>
      </c>
      <c r="AG78" s="52"/>
      <c r="AH78" s="36"/>
      <c r="AI78" s="649">
        <f>+'Exhibit I State'!AG77+'Exhibit I Federal'!AG59</f>
        <v>4047.8999999999996</v>
      </c>
      <c r="AJ78" s="36"/>
      <c r="AK78" s="237"/>
      <c r="AL78" s="38">
        <f>ROUND(SUM(+AF78-AI78),1)</f>
        <v>-1770.5</v>
      </c>
      <c r="AN78" s="956">
        <f>ROUND(IF(AI78=0,0,AL78/ABS(AI78)),3)</f>
        <v>-0.437</v>
      </c>
    </row>
    <row r="79" spans="1:44">
      <c r="A79" s="21"/>
      <c r="B79" s="19" t="s">
        <v>194</v>
      </c>
      <c r="C79" s="21"/>
      <c r="D79" s="21"/>
      <c r="E79" s="206">
        <f>ROUND(SUM(E69:E78),1)</f>
        <v>189.5</v>
      </c>
      <c r="F79" s="42"/>
      <c r="G79" s="206">
        <f>ROUND(SUM(G69:G78),1)</f>
        <v>281.3</v>
      </c>
      <c r="H79" s="42"/>
      <c r="I79" s="206">
        <f>ROUND(SUM(I69:I78),1)</f>
        <v>348.8</v>
      </c>
      <c r="J79" s="42"/>
      <c r="K79" s="206">
        <f>ROUND(SUM(K69:K78),1)</f>
        <v>271.7</v>
      </c>
      <c r="L79" s="42"/>
      <c r="M79" s="206">
        <f>ROUND(SUM(M69:M78),1)</f>
        <v>396</v>
      </c>
      <c r="N79" s="42"/>
      <c r="O79" s="206">
        <f>ROUND(SUM(O69:O78),1)</f>
        <v>323.5</v>
      </c>
      <c r="P79" s="42"/>
      <c r="Q79" s="206">
        <f>ROUND(SUM(Q69:Q78),1)</f>
        <v>362.7</v>
      </c>
      <c r="R79" s="42"/>
      <c r="S79" s="206">
        <f>ROUND(SUM(S69:S78),1)</f>
        <v>223.4</v>
      </c>
      <c r="T79" s="42"/>
      <c r="U79" s="206">
        <f>ROUND(SUM(U69:U78),1)</f>
        <v>670.8</v>
      </c>
      <c r="V79" s="42"/>
      <c r="W79" s="206">
        <f>ROUND(SUM(W69:W78),1)</f>
        <v>301.8</v>
      </c>
      <c r="X79" s="42"/>
      <c r="Y79" s="206">
        <f>ROUND(SUM(Y69:Y78),1)</f>
        <v>477.1</v>
      </c>
      <c r="Z79" s="42"/>
      <c r="AA79" s="206">
        <f>ROUND(SUM(AA69:AA78),1)</f>
        <v>1965.2</v>
      </c>
      <c r="AB79" s="42"/>
      <c r="AC79" s="206">
        <f>ROUND(SUM(AC69:AC78),1)</f>
        <v>0</v>
      </c>
      <c r="AD79" s="42"/>
      <c r="AE79" s="44"/>
      <c r="AF79" s="206">
        <f>ROUND(SUM(AF69:AF78),1)</f>
        <v>5811.8</v>
      </c>
      <c r="AG79" s="143"/>
      <c r="AH79" s="42"/>
      <c r="AI79" s="206">
        <f>ROUND(SUM(AI69:AI78),1)</f>
        <v>7324</v>
      </c>
      <c r="AJ79" s="42"/>
      <c r="AK79" s="237"/>
      <c r="AL79" s="206">
        <f>ROUND(SUM(AL69:AL78),1)</f>
        <v>-1512.2</v>
      </c>
      <c r="AM79" s="19"/>
      <c r="AN79" s="653">
        <f>ROUND(SUM(AL79/AI79),3)</f>
        <v>-0.20599999999999999</v>
      </c>
      <c r="AO79" s="19"/>
      <c r="AP79" s="111"/>
      <c r="AQ79" s="19"/>
      <c r="AR79" s="19"/>
    </row>
    <row r="80" spans="1:44">
      <c r="A80" s="21"/>
      <c r="B80" s="21" t="s">
        <v>195</v>
      </c>
      <c r="C80" s="21"/>
      <c r="D80" s="21"/>
      <c r="E80" s="467"/>
      <c r="F80" s="467"/>
      <c r="G80" s="467"/>
      <c r="H80" s="467"/>
      <c r="I80" s="467"/>
      <c r="J80" s="467"/>
      <c r="K80" s="467"/>
      <c r="L80" s="36"/>
      <c r="M80" s="467"/>
      <c r="N80" s="36"/>
      <c r="O80" s="467"/>
      <c r="P80" s="36"/>
      <c r="Q80" s="467"/>
      <c r="R80" s="36"/>
      <c r="S80" s="36"/>
      <c r="T80" s="36"/>
      <c r="U80" s="36"/>
      <c r="V80" s="36"/>
      <c r="W80" s="36"/>
      <c r="X80" s="36"/>
      <c r="Y80" s="36"/>
      <c r="Z80" s="36"/>
      <c r="AA80" s="36"/>
      <c r="AB80" s="36"/>
      <c r="AC80" s="36"/>
      <c r="AD80" s="36"/>
      <c r="AE80" s="37"/>
      <c r="AF80" s="36"/>
      <c r="AG80" s="52"/>
      <c r="AH80" s="36"/>
      <c r="AI80" s="36"/>
      <c r="AJ80" s="36"/>
      <c r="AK80" s="237"/>
      <c r="AL80" s="38"/>
      <c r="AN80" s="235"/>
    </row>
    <row r="81" spans="1:44">
      <c r="A81" s="21"/>
      <c r="B81" s="21" t="s">
        <v>196</v>
      </c>
      <c r="C81" s="21"/>
      <c r="D81" s="21"/>
      <c r="E81" s="496">
        <f>+'Exhibit I State'!E80+'Exhibit I Federal'!E62</f>
        <v>0</v>
      </c>
      <c r="F81" s="467"/>
      <c r="G81" s="496">
        <f>+'Exhibit I State'!G80+'Exhibit I Federal'!G62</f>
        <v>0</v>
      </c>
      <c r="H81" s="467"/>
      <c r="I81" s="496">
        <f>+'Exhibit I State'!I80+'Exhibit I Federal'!I62</f>
        <v>0</v>
      </c>
      <c r="J81" s="467"/>
      <c r="K81" s="496">
        <f>+'Exhibit I State'!K80+'Exhibit I Federal'!K62</f>
        <v>0</v>
      </c>
      <c r="L81" s="36"/>
      <c r="M81" s="496">
        <f>+'Exhibit I State'!M80+'Exhibit I Federal'!M62</f>
        <v>0</v>
      </c>
      <c r="N81" s="36"/>
      <c r="O81" s="496">
        <f>+'Exhibit I State'!O80+'Exhibit I Federal'!O62</f>
        <v>0</v>
      </c>
      <c r="P81" s="36"/>
      <c r="Q81" s="496">
        <f>+'Exhibit I State'!Q80+'Exhibit I Federal'!Q62</f>
        <v>0</v>
      </c>
      <c r="R81" s="36"/>
      <c r="S81" s="496">
        <f>+'Exhibit I State'!S80+'Exhibit I Federal'!S62</f>
        <v>0</v>
      </c>
      <c r="T81" s="496"/>
      <c r="U81" s="496">
        <f>+'Exhibit I State'!U80+'Exhibit I Federal'!U62</f>
        <v>0</v>
      </c>
      <c r="V81" s="496"/>
      <c r="W81" s="496">
        <f>+'Exhibit I State'!W80+'Exhibit I Federal'!W62</f>
        <v>0</v>
      </c>
      <c r="X81" s="496"/>
      <c r="Y81" s="496">
        <f>+'Exhibit I State'!Y80+'Exhibit I Federal'!Y62</f>
        <v>0</v>
      </c>
      <c r="Z81" s="496"/>
      <c r="AA81" s="496">
        <f>+'Exhibit I State'!AA80+'Exhibit I Federal'!AA62</f>
        <v>0</v>
      </c>
      <c r="AB81" s="193"/>
      <c r="AC81" s="193">
        <v>0</v>
      </c>
      <c r="AD81" s="36"/>
      <c r="AE81" s="37"/>
      <c r="AF81" s="46">
        <f>ROUND(SUM(E81:AC81),1)</f>
        <v>0</v>
      </c>
      <c r="AG81" s="52"/>
      <c r="AH81" s="36"/>
      <c r="AI81" s="115">
        <f>+'Exhibit I State'!AG80+'Exhibit I Federal'!AG62</f>
        <v>0</v>
      </c>
      <c r="AJ81" s="40"/>
      <c r="AK81" s="240"/>
      <c r="AL81" s="36">
        <f>ROUND(SUM(+AF81-AI81),1)</f>
        <v>0</v>
      </c>
      <c r="AN81" s="8">
        <f>ROUND(IF(AI81=0,0,AL81/ABS(AI81)),3)</f>
        <v>0</v>
      </c>
    </row>
    <row r="82" spans="1:44">
      <c r="A82" s="21"/>
      <c r="B82" s="21" t="s">
        <v>197</v>
      </c>
      <c r="C82" s="21"/>
      <c r="D82" s="21"/>
      <c r="E82" s="496">
        <f>+'Exhibit I State'!E81+'Exhibit I Federal'!E63</f>
        <v>0</v>
      </c>
      <c r="F82" s="467"/>
      <c r="G82" s="496">
        <f>+'Exhibit I State'!G81+'Exhibit I Federal'!G63</f>
        <v>0</v>
      </c>
      <c r="H82" s="467"/>
      <c r="I82" s="496">
        <f>+'Exhibit I State'!I81+'Exhibit I Federal'!I63</f>
        <v>0</v>
      </c>
      <c r="J82" s="467"/>
      <c r="K82" s="496">
        <f>+'Exhibit I State'!K81+'Exhibit I Federal'!K63</f>
        <v>0</v>
      </c>
      <c r="L82" s="36"/>
      <c r="M82" s="496">
        <f>+'Exhibit I State'!M81+'Exhibit I Federal'!M63</f>
        <v>0</v>
      </c>
      <c r="N82" s="36"/>
      <c r="O82" s="496">
        <f>+'Exhibit I State'!O81+'Exhibit I Federal'!O63</f>
        <v>0</v>
      </c>
      <c r="P82" s="36"/>
      <c r="Q82" s="496">
        <f>+'Exhibit I State'!Q81+'Exhibit I Federal'!Q63</f>
        <v>0</v>
      </c>
      <c r="R82" s="36"/>
      <c r="S82" s="496">
        <f>+'Exhibit I State'!S81+'Exhibit I Federal'!S63</f>
        <v>0</v>
      </c>
      <c r="T82" s="496"/>
      <c r="U82" s="496">
        <f>+'Exhibit I State'!U81+'Exhibit I Federal'!U63</f>
        <v>0</v>
      </c>
      <c r="V82" s="496"/>
      <c r="W82" s="496">
        <f>+'Exhibit I State'!W81+'Exhibit I Federal'!W63</f>
        <v>0</v>
      </c>
      <c r="X82" s="496"/>
      <c r="Y82" s="496">
        <f>+'Exhibit I State'!Y81+'Exhibit I Federal'!Y63</f>
        <v>0</v>
      </c>
      <c r="Z82" s="496"/>
      <c r="AA82" s="496">
        <f>+'Exhibit I State'!AA81+'Exhibit I Federal'!AA63</f>
        <v>0</v>
      </c>
      <c r="AB82" s="193"/>
      <c r="AC82" s="193">
        <v>0</v>
      </c>
      <c r="AD82" s="36"/>
      <c r="AE82" s="37"/>
      <c r="AF82" s="2101">
        <f>ROUND(SUM(E82:AC82),1)</f>
        <v>0</v>
      </c>
      <c r="AG82" s="52"/>
      <c r="AH82" s="36"/>
      <c r="AI82" s="115">
        <f>+'Exhibit I State'!AG81+'Exhibit I Federal'!AG63</f>
        <v>0</v>
      </c>
      <c r="AJ82" s="40"/>
      <c r="AK82" s="240"/>
      <c r="AL82" s="36">
        <f>ROUND(SUM(+AF82-AI82),1)</f>
        <v>0</v>
      </c>
      <c r="AN82" s="8">
        <f>ROUND(IF(AI82=0,0,AL82/ABS(AI82)),3)</f>
        <v>0</v>
      </c>
    </row>
    <row r="83" spans="1:44">
      <c r="A83" s="21"/>
      <c r="B83" s="21" t="s">
        <v>198</v>
      </c>
      <c r="C83" s="21"/>
      <c r="D83" s="21"/>
      <c r="E83" s="496">
        <f>+'Exhibit I State'!E82+'Exhibit I Federal'!E64</f>
        <v>0</v>
      </c>
      <c r="F83" s="467"/>
      <c r="G83" s="496">
        <f>+'Exhibit I State'!G82+'Exhibit I Federal'!G64</f>
        <v>0</v>
      </c>
      <c r="H83" s="467"/>
      <c r="I83" s="496">
        <f>+'Exhibit I State'!I82+'Exhibit I Federal'!I64</f>
        <v>0</v>
      </c>
      <c r="J83" s="467"/>
      <c r="K83" s="496">
        <f>+'Exhibit I State'!K82+'Exhibit I Federal'!K64</f>
        <v>0</v>
      </c>
      <c r="L83" s="36"/>
      <c r="M83" s="496">
        <f>+'Exhibit I State'!M82+'Exhibit I Federal'!M64</f>
        <v>0</v>
      </c>
      <c r="N83" s="36"/>
      <c r="O83" s="496">
        <f>+'Exhibit I State'!O82+'Exhibit I Federal'!O64</f>
        <v>0</v>
      </c>
      <c r="P83" s="36"/>
      <c r="Q83" s="496">
        <f>+'Exhibit I State'!Q82+'Exhibit I Federal'!Q64</f>
        <v>0</v>
      </c>
      <c r="R83" s="36"/>
      <c r="S83" s="496">
        <f>+'Exhibit I State'!S82+'Exhibit I Federal'!S64</f>
        <v>0</v>
      </c>
      <c r="T83" s="496"/>
      <c r="U83" s="496">
        <f>+'Exhibit I State'!U82+'Exhibit I Federal'!U64</f>
        <v>0</v>
      </c>
      <c r="V83" s="496"/>
      <c r="W83" s="496">
        <f>+'Exhibit I State'!W82+'Exhibit I Federal'!W64</f>
        <v>0</v>
      </c>
      <c r="X83" s="496"/>
      <c r="Y83" s="496">
        <f>+'Exhibit I State'!Y82+'Exhibit I Federal'!Y64</f>
        <v>0</v>
      </c>
      <c r="Z83" s="496"/>
      <c r="AA83" s="496">
        <f>+'Exhibit I State'!AA82+'Exhibit I Federal'!AA64</f>
        <v>0</v>
      </c>
      <c r="AB83" s="193"/>
      <c r="AC83" s="193">
        <v>0</v>
      </c>
      <c r="AD83" s="241"/>
      <c r="AE83" s="242"/>
      <c r="AF83" s="46">
        <f>ROUND(SUM(E83:AC83),1)</f>
        <v>0</v>
      </c>
      <c r="AG83" s="52"/>
      <c r="AH83" s="36"/>
      <c r="AI83" s="115">
        <f>+'Exhibit I State'!AG82+'Exhibit I Federal'!AG64</f>
        <v>0</v>
      </c>
      <c r="AJ83" s="40"/>
      <c r="AK83" s="240"/>
      <c r="AL83" s="36">
        <f>ROUND(SUM(+AF83-AI83),1)</f>
        <v>0</v>
      </c>
      <c r="AN83" s="8">
        <f>ROUND(IF(AI83=0,0,AL83/ABS(AI83)),3)</f>
        <v>0</v>
      </c>
    </row>
    <row r="84" spans="1:44">
      <c r="A84" s="21"/>
      <c r="B84" s="34" t="s">
        <v>169</v>
      </c>
      <c r="C84" s="21"/>
      <c r="D84" s="21"/>
      <c r="E84" s="496">
        <f>+'Exhibit I State'!E83+'Exhibit I Federal'!E65</f>
        <v>489.29999999999995</v>
      </c>
      <c r="F84" s="467"/>
      <c r="G84" s="496">
        <f>+'Exhibit I State'!G83+'Exhibit I Federal'!G65</f>
        <v>537.10000000000014</v>
      </c>
      <c r="H84" s="480"/>
      <c r="I84" s="496">
        <f>+'Exhibit I State'!I83+'Exhibit I Federal'!I65</f>
        <v>807.49999999999977</v>
      </c>
      <c r="J84" s="480"/>
      <c r="K84" s="496">
        <f>+'Exhibit I State'!K83+'Exhibit I Federal'!K65</f>
        <v>545.69999999999993</v>
      </c>
      <c r="L84" s="36"/>
      <c r="M84" s="496">
        <f>+'Exhibit I State'!M83+'Exhibit I Federal'!M65</f>
        <v>779.90000000000009</v>
      </c>
      <c r="N84" s="36"/>
      <c r="O84" s="496">
        <f>+'Exhibit I State'!O83+'Exhibit I Federal'!O65</f>
        <v>762.70000000000016</v>
      </c>
      <c r="P84" s="36"/>
      <c r="Q84" s="496">
        <f>+'Exhibit I State'!Q83+'Exhibit I Federal'!Q65</f>
        <v>751.69999999999993</v>
      </c>
      <c r="R84" s="36"/>
      <c r="S84" s="496">
        <f>+'Exhibit I State'!S83+'Exhibit I Federal'!S65</f>
        <v>765.60000000000014</v>
      </c>
      <c r="T84" s="496"/>
      <c r="U84" s="496">
        <f>+'Exhibit I State'!U83+'Exhibit I Federal'!U65</f>
        <v>682.20000000000016</v>
      </c>
      <c r="V84" s="496"/>
      <c r="W84" s="496">
        <f>+'Exhibit I State'!W83+'Exhibit I Federal'!W65</f>
        <v>614.80000000000064</v>
      </c>
      <c r="X84" s="496"/>
      <c r="Y84" s="496">
        <f>+'Exhibit I State'!Y83+'Exhibit I Federal'!Y65</f>
        <v>572.99999999999955</v>
      </c>
      <c r="Z84" s="496"/>
      <c r="AA84" s="496">
        <f>+'Exhibit I State'!AA83+'Exhibit I Federal'!AA65</f>
        <v>902.70000000000073</v>
      </c>
      <c r="AB84" s="193"/>
      <c r="AC84" s="193">
        <v>0</v>
      </c>
      <c r="AD84" s="36"/>
      <c r="AE84" s="37"/>
      <c r="AF84" s="46">
        <f>ROUND(SUM(E84:AC84),1)</f>
        <v>8212.2000000000007</v>
      </c>
      <c r="AG84" s="52"/>
      <c r="AH84" s="36"/>
      <c r="AI84" s="1882">
        <f>+'Exhibit I State'!AG83+'Exhibit I Federal'!AG65</f>
        <v>7380.4</v>
      </c>
      <c r="AJ84" s="46"/>
      <c r="AK84" s="236"/>
      <c r="AL84" s="238">
        <f>ROUND(SUM(+AF84-AI84),1)</f>
        <v>831.8</v>
      </c>
      <c r="AN84" s="956">
        <f>ROUND(IF(AI84=0,1,AL84/ABS(AI84)),3)</f>
        <v>0.113</v>
      </c>
    </row>
    <row r="85" spans="1:44">
      <c r="A85" s="21"/>
      <c r="B85" s="21"/>
      <c r="C85" s="21"/>
      <c r="D85" s="21"/>
      <c r="E85" s="497"/>
      <c r="F85" s="467"/>
      <c r="G85" s="497"/>
      <c r="H85" s="467"/>
      <c r="I85" s="497"/>
      <c r="J85" s="467"/>
      <c r="K85" s="497"/>
      <c r="L85" s="36"/>
      <c r="M85" s="497"/>
      <c r="N85" s="36"/>
      <c r="O85" s="497"/>
      <c r="P85" s="36"/>
      <c r="Q85" s="497"/>
      <c r="R85" s="36"/>
      <c r="S85" s="61"/>
      <c r="T85" s="36"/>
      <c r="U85" s="61"/>
      <c r="V85" s="36"/>
      <c r="W85" s="61"/>
      <c r="X85" s="36"/>
      <c r="Y85" s="61"/>
      <c r="Z85" s="36"/>
      <c r="AA85" s="61"/>
      <c r="AB85" s="36"/>
      <c r="AC85" s="61"/>
      <c r="AD85" s="36"/>
      <c r="AE85" s="37"/>
      <c r="AF85" s="61"/>
      <c r="AG85" s="52"/>
      <c r="AH85" s="36"/>
      <c r="AI85" s="38"/>
      <c r="AJ85" s="38"/>
      <c r="AK85" s="237"/>
      <c r="AL85" s="38"/>
      <c r="AN85" s="235"/>
    </row>
    <row r="86" spans="1:44">
      <c r="A86" s="21"/>
      <c r="B86" s="19" t="s">
        <v>199</v>
      </c>
      <c r="C86" s="21"/>
      <c r="D86" s="21"/>
      <c r="E86" s="42">
        <f>ROUND(SUM(+E84+E79),1)</f>
        <v>678.8</v>
      </c>
      <c r="F86" s="42"/>
      <c r="G86" s="42">
        <f>ROUND(SUM(G79:G84),1)</f>
        <v>818.4</v>
      </c>
      <c r="H86" s="42"/>
      <c r="I86" s="42">
        <f>ROUND(SUM(I79:I84),1)</f>
        <v>1156.3</v>
      </c>
      <c r="J86" s="42"/>
      <c r="K86" s="42">
        <f>ROUND(SUM(+K84+K79),1)</f>
        <v>817.4</v>
      </c>
      <c r="L86" s="42"/>
      <c r="M86" s="42">
        <f>ROUND(SUM(+M84+M79),1)</f>
        <v>1175.9000000000001</v>
      </c>
      <c r="N86" s="42"/>
      <c r="O86" s="42">
        <f>ROUND(SUM(+O84+O79),1)</f>
        <v>1086.2</v>
      </c>
      <c r="P86" s="42"/>
      <c r="Q86" s="42">
        <f>ROUND(SUM(+Q84+Q79),1)</f>
        <v>1114.4000000000001</v>
      </c>
      <c r="R86" s="42"/>
      <c r="S86" s="42">
        <f>ROUND(SUM(+S84+S79),1)</f>
        <v>989</v>
      </c>
      <c r="T86" s="42"/>
      <c r="U86" s="42">
        <f>ROUND(SUM(+U84+U79),1)</f>
        <v>1353</v>
      </c>
      <c r="V86" s="42"/>
      <c r="W86" s="42">
        <f>ROUND(SUM(+W84+W79),1)</f>
        <v>916.6</v>
      </c>
      <c r="X86" s="42"/>
      <c r="Y86" s="42">
        <f>ROUND(SUM(+Y84+Y79),1)</f>
        <v>1050.0999999999999</v>
      </c>
      <c r="Z86" s="42"/>
      <c r="AA86" s="42">
        <f>ROUND(SUM(+AA84+AA79),1)</f>
        <v>2867.9</v>
      </c>
      <c r="AB86" s="42"/>
      <c r="AC86" s="42">
        <f>ROUND(SUM(+AC84+AC79),1)</f>
        <v>0</v>
      </c>
      <c r="AD86" s="42"/>
      <c r="AE86" s="44"/>
      <c r="AF86" s="2141">
        <f>ROUND(SUM(+AF84+AF79+AF81+AF82+AF83),1)</f>
        <v>14024</v>
      </c>
      <c r="AG86" s="143"/>
      <c r="AH86" s="42"/>
      <c r="AI86" s="42">
        <f>ROUND(SUM(+AI84+AI79+AI81+AI82+AI83),1)</f>
        <v>14704.4</v>
      </c>
      <c r="AJ86" s="42"/>
      <c r="AK86" s="237"/>
      <c r="AL86" s="50">
        <f>ROUND(SUM(AL79+AL84+AL81+AL82+AL83),1)</f>
        <v>-680.4</v>
      </c>
      <c r="AM86" s="19"/>
      <c r="AN86" s="210">
        <f>ROUND(SUM(AL86/AI86),3)</f>
        <v>-4.5999999999999999E-2</v>
      </c>
      <c r="AO86" s="19"/>
      <c r="AP86" s="111"/>
      <c r="AQ86" s="19"/>
      <c r="AR86" s="19"/>
    </row>
    <row r="87" spans="1:44">
      <c r="A87" s="21"/>
      <c r="B87" s="21"/>
      <c r="C87" s="21"/>
      <c r="D87" s="21"/>
      <c r="E87" s="497"/>
      <c r="F87" s="467"/>
      <c r="G87" s="497"/>
      <c r="H87" s="467"/>
      <c r="I87" s="497"/>
      <c r="J87" s="467"/>
      <c r="K87" s="497"/>
      <c r="L87" s="36"/>
      <c r="M87" s="497"/>
      <c r="N87" s="36"/>
      <c r="O87" s="497"/>
      <c r="P87" s="36"/>
      <c r="Q87" s="497"/>
      <c r="R87" s="36"/>
      <c r="S87" s="61"/>
      <c r="T87" s="36"/>
      <c r="U87" s="61"/>
      <c r="V87" s="36"/>
      <c r="W87" s="61"/>
      <c r="X87" s="36"/>
      <c r="Y87" s="61"/>
      <c r="Z87" s="36"/>
      <c r="AA87" s="61"/>
      <c r="AB87" s="36"/>
      <c r="AC87" s="61"/>
      <c r="AD87" s="36"/>
      <c r="AE87" s="37"/>
      <c r="AF87" s="61"/>
      <c r="AG87" s="52"/>
      <c r="AH87" s="36"/>
      <c r="AI87" s="61"/>
      <c r="AJ87" s="36"/>
      <c r="AK87" s="237"/>
      <c r="AL87" s="38"/>
      <c r="AN87" s="235"/>
    </row>
    <row r="88" spans="1:44">
      <c r="A88" s="21"/>
      <c r="B88" s="19" t="s">
        <v>200</v>
      </c>
      <c r="C88" s="21"/>
      <c r="D88" s="21"/>
      <c r="E88" s="467"/>
      <c r="F88" s="467"/>
      <c r="G88" s="467"/>
      <c r="H88" s="467"/>
      <c r="I88" s="467"/>
      <c r="J88" s="467"/>
      <c r="K88" s="467"/>
      <c r="L88" s="36"/>
      <c r="M88" s="467"/>
      <c r="N88" s="36"/>
      <c r="O88" s="467"/>
      <c r="P88" s="36"/>
      <c r="Q88" s="467"/>
      <c r="R88" s="36"/>
      <c r="S88" s="36"/>
      <c r="T88" s="36"/>
      <c r="U88" s="36"/>
      <c r="V88" s="36"/>
      <c r="W88" s="36"/>
      <c r="X88" s="36"/>
      <c r="Y88" s="36"/>
      <c r="Z88" s="36"/>
      <c r="AA88" s="36"/>
      <c r="AB88" s="36"/>
      <c r="AC88" s="36"/>
      <c r="AD88" s="36"/>
      <c r="AE88" s="37"/>
      <c r="AF88" s="38"/>
      <c r="AG88" s="52"/>
      <c r="AH88" s="36"/>
      <c r="AI88" s="38"/>
      <c r="AJ88" s="38"/>
      <c r="AK88" s="237"/>
      <c r="AL88" s="38"/>
      <c r="AN88" s="235"/>
    </row>
    <row r="89" spans="1:44">
      <c r="A89" s="21"/>
      <c r="B89" s="19" t="s">
        <v>201</v>
      </c>
      <c r="C89" s="21"/>
      <c r="D89" s="21"/>
      <c r="E89" s="42">
        <f>ROUND(SUM(E65-E86),1)</f>
        <v>520.4</v>
      </c>
      <c r="F89" s="42"/>
      <c r="G89" s="42">
        <f>ROUND(SUM(G65-G86),1)</f>
        <v>505.5</v>
      </c>
      <c r="H89" s="42"/>
      <c r="I89" s="42">
        <f>ROUND(SUM(I65-I86),1)</f>
        <v>-199.1</v>
      </c>
      <c r="J89" s="42"/>
      <c r="K89" s="42">
        <f>ROUND(SUM(K65-K86),1)</f>
        <v>-405.6</v>
      </c>
      <c r="L89" s="42"/>
      <c r="M89" s="42">
        <f>ROUND(SUM(M65-M86),1)</f>
        <v>-441.9</v>
      </c>
      <c r="N89" s="42"/>
      <c r="O89" s="42">
        <f>ROUND(SUM(O65-O86),1)</f>
        <v>-18.3</v>
      </c>
      <c r="P89" s="42"/>
      <c r="Q89" s="42">
        <f>ROUND(SUM(Q65-Q86),1)</f>
        <v>-111.5</v>
      </c>
      <c r="R89" s="42"/>
      <c r="S89" s="42">
        <f>ROUND(SUM(S65-S86),1)</f>
        <v>-217.4</v>
      </c>
      <c r="T89" s="42"/>
      <c r="U89" s="42">
        <f>ROUND(SUM(U65-U86),1)</f>
        <v>-326.2</v>
      </c>
      <c r="V89" s="42"/>
      <c r="W89" s="42">
        <f>ROUND(SUM(W65-W86),1)</f>
        <v>-551.79999999999995</v>
      </c>
      <c r="X89" s="42"/>
      <c r="Y89" s="42">
        <f>ROUND(SUM(Y65-Y86),1)</f>
        <v>-705.1</v>
      </c>
      <c r="Z89" s="42"/>
      <c r="AA89" s="42">
        <f>ROUND(SUM(AA65-AA86),1)</f>
        <v>-1929</v>
      </c>
      <c r="AB89" s="42"/>
      <c r="AC89" s="42">
        <f>ROUND(SUM(AC65-AC86),1)</f>
        <v>0</v>
      </c>
      <c r="AD89" s="42"/>
      <c r="AE89" s="44"/>
      <c r="AF89" s="42">
        <f>ROUND(SUM(AF65-AF86),1)</f>
        <v>-3880</v>
      </c>
      <c r="AG89" s="143"/>
      <c r="AH89" s="42"/>
      <c r="AI89" s="42">
        <f>ROUND(SUM(AI65-AI86),1)</f>
        <v>-6319</v>
      </c>
      <c r="AJ89" s="42"/>
      <c r="AK89" s="237"/>
      <c r="AL89" s="50">
        <f>ROUND(SUM(AL65-AL86),1)</f>
        <v>2439</v>
      </c>
      <c r="AM89" s="19"/>
      <c r="AN89" s="244">
        <f>ROUND(IF(AI89=0,0,AL89/ABS(AI89)),3)</f>
        <v>0.38600000000000001</v>
      </c>
      <c r="AO89" s="19"/>
      <c r="AP89" s="19"/>
      <c r="AQ89" s="19"/>
      <c r="AR89" s="19"/>
    </row>
    <row r="90" spans="1:44">
      <c r="A90" s="21"/>
      <c r="B90" s="21"/>
      <c r="C90" s="21"/>
      <c r="D90" s="21"/>
      <c r="E90" s="497"/>
      <c r="F90" s="467"/>
      <c r="G90" s="497"/>
      <c r="H90" s="467"/>
      <c r="I90" s="497"/>
      <c r="J90" s="467"/>
      <c r="K90" s="497"/>
      <c r="L90" s="36"/>
      <c r="M90" s="497"/>
      <c r="N90" s="36"/>
      <c r="O90" s="497"/>
      <c r="P90" s="36"/>
      <c r="Q90" s="497"/>
      <c r="R90" s="36"/>
      <c r="S90" s="61"/>
      <c r="T90" s="36"/>
      <c r="U90" s="61"/>
      <c r="V90" s="36"/>
      <c r="W90" s="61"/>
      <c r="X90" s="36"/>
      <c r="Y90" s="61"/>
      <c r="Z90" s="36"/>
      <c r="AA90" s="61"/>
      <c r="AB90" s="36"/>
      <c r="AC90" s="61"/>
      <c r="AD90" s="36"/>
      <c r="AE90" s="37"/>
      <c r="AF90" s="61"/>
      <c r="AG90" s="52"/>
      <c r="AH90" s="36"/>
      <c r="AI90" s="61"/>
      <c r="AJ90" s="36"/>
      <c r="AK90" s="237"/>
      <c r="AL90" s="38"/>
      <c r="AN90" s="235"/>
    </row>
    <row r="91" spans="1:44">
      <c r="A91" s="21"/>
      <c r="B91" s="19" t="s">
        <v>202</v>
      </c>
      <c r="C91" s="21"/>
      <c r="D91" s="21"/>
      <c r="E91" s="467"/>
      <c r="F91" s="467"/>
      <c r="G91" s="467"/>
      <c r="H91" s="467"/>
      <c r="I91" s="467"/>
      <c r="J91" s="467"/>
      <c r="K91" s="467"/>
      <c r="L91" s="36"/>
      <c r="M91" s="467"/>
      <c r="N91" s="36"/>
      <c r="O91" s="467"/>
      <c r="P91" s="36"/>
      <c r="Q91" s="467"/>
      <c r="R91" s="36"/>
      <c r="S91" s="36"/>
      <c r="T91" s="36"/>
      <c r="U91" s="36"/>
      <c r="V91" s="36"/>
      <c r="W91" s="36"/>
      <c r="X91" s="36"/>
      <c r="Y91" s="36"/>
      <c r="Z91" s="36"/>
      <c r="AA91" s="36"/>
      <c r="AB91" s="36"/>
      <c r="AC91" s="36"/>
      <c r="AD91" s="36"/>
      <c r="AE91" s="37"/>
      <c r="AF91" s="36"/>
      <c r="AG91" s="52"/>
      <c r="AH91" s="36"/>
      <c r="AI91" s="40"/>
      <c r="AJ91" s="40"/>
      <c r="AK91" s="240"/>
      <c r="AL91" s="38"/>
      <c r="AN91" s="235"/>
    </row>
    <row r="92" spans="1:44">
      <c r="A92" s="21"/>
      <c r="B92" s="499" t="s">
        <v>1336</v>
      </c>
      <c r="C92" s="21"/>
      <c r="D92" s="21"/>
      <c r="E92" s="496">
        <f>+'Exhibit I State'!E91</f>
        <v>0</v>
      </c>
      <c r="F92" s="467"/>
      <c r="G92" s="496">
        <f>+'Exhibit I State'!G91</f>
        <v>0</v>
      </c>
      <c r="H92" s="480"/>
      <c r="I92" s="496">
        <f>+'Exhibit I State'!I91</f>
        <v>0</v>
      </c>
      <c r="J92" s="467"/>
      <c r="K92" s="496">
        <f>+'Exhibit I State'!K91</f>
        <v>0</v>
      </c>
      <c r="L92" s="36"/>
      <c r="M92" s="496">
        <f>+'Exhibit I State'!M91</f>
        <v>0</v>
      </c>
      <c r="N92" s="115"/>
      <c r="O92" s="496">
        <f>+'Exhibit I State'!O91</f>
        <v>0</v>
      </c>
      <c r="P92" s="36"/>
      <c r="Q92" s="496">
        <f>+'Exhibit I State'!Q91</f>
        <v>0</v>
      </c>
      <c r="R92" s="36"/>
      <c r="S92" s="496">
        <f>+'Exhibit I State'!S91</f>
        <v>0</v>
      </c>
      <c r="T92" s="496"/>
      <c r="U92" s="496">
        <f>+'Exhibit I State'!U91</f>
        <v>0</v>
      </c>
      <c r="V92" s="496"/>
      <c r="W92" s="496">
        <f>+'Exhibit I State'!W91</f>
        <v>0</v>
      </c>
      <c r="X92" s="496"/>
      <c r="Y92" s="496">
        <f>+'Exhibit I State'!Y91</f>
        <v>0</v>
      </c>
      <c r="Z92" s="496"/>
      <c r="AA92" s="496">
        <f>+'Exhibit I State'!AA91</f>
        <v>0</v>
      </c>
      <c r="AB92" s="193"/>
      <c r="AC92" s="193">
        <v>0</v>
      </c>
      <c r="AD92" s="36"/>
      <c r="AE92" s="37"/>
      <c r="AF92" s="46">
        <f>ROUND(SUM(E92:AC92),1)</f>
        <v>0</v>
      </c>
      <c r="AG92" s="52"/>
      <c r="AH92" s="36"/>
      <c r="AI92" s="40">
        <f>+'Exhibit I State'!AG91</f>
        <v>0</v>
      </c>
      <c r="AJ92" s="40"/>
      <c r="AK92" s="240"/>
      <c r="AL92" s="36">
        <f>ROUND(SUM(+AF92-AI92),1)</f>
        <v>0</v>
      </c>
      <c r="AM92" s="112"/>
      <c r="AN92" s="955">
        <f>ROUND(IF(AI92=0,0,AL92/ABS(AI92)),3)</f>
        <v>0</v>
      </c>
      <c r="AP92" s="38"/>
    </row>
    <row r="93" spans="1:44">
      <c r="A93" s="21"/>
      <c r="B93" s="34" t="s">
        <v>170</v>
      </c>
      <c r="C93" s="21"/>
      <c r="D93" s="21"/>
      <c r="E93" s="496">
        <f>+'Exhibit I State'!E92+'Exhibit I Federal'!E73</f>
        <v>-611.1</v>
      </c>
      <c r="F93" s="467"/>
      <c r="G93" s="496">
        <f>+'Exhibit I State'!G92+'Exhibit I Federal'!G73</f>
        <v>-172.10000000000002</v>
      </c>
      <c r="H93" s="496"/>
      <c r="I93" s="496">
        <f>+'Exhibit I State'!I92+'Exhibit I Federal'!I73</f>
        <v>195.90000000000009</v>
      </c>
      <c r="J93" s="467"/>
      <c r="K93" s="496">
        <f>+'Exhibit I State'!K92+'Exhibit I Federal'!K73</f>
        <v>369.19999999999993</v>
      </c>
      <c r="L93" s="36"/>
      <c r="M93" s="496">
        <f>+'Exhibit I State'!M92+'Exhibit I Federal'!M73</f>
        <v>224.90000000000009</v>
      </c>
      <c r="N93" s="36"/>
      <c r="O93" s="496">
        <f>+'Exhibit I State'!O92+'Exhibit I Federal'!O73</f>
        <v>-9.3000000000000682</v>
      </c>
      <c r="P93" s="36"/>
      <c r="Q93" s="496">
        <f>+'Exhibit I State'!Q92+'Exhibit I Federal'!Q73</f>
        <v>795.7</v>
      </c>
      <c r="R93" s="36"/>
      <c r="S93" s="496">
        <f>+'Exhibit I State'!S92+'Exhibit I Federal'!S73</f>
        <v>111.7</v>
      </c>
      <c r="T93" s="496"/>
      <c r="U93" s="496">
        <f>+'Exhibit I State'!U92+'Exhibit I Federal'!U73</f>
        <v>322.50000000000006</v>
      </c>
      <c r="V93" s="496"/>
      <c r="W93" s="496">
        <f>+'Exhibit I State'!W92+'Exhibit I Federal'!W73</f>
        <v>464.30000000000013</v>
      </c>
      <c r="X93" s="496"/>
      <c r="Y93" s="496">
        <f>+'Exhibit I State'!Y92+'Exhibit I Federal'!Y73</f>
        <v>637.39999999999964</v>
      </c>
      <c r="Z93" s="496"/>
      <c r="AA93" s="496">
        <f>+'Exhibit I State'!AA92+'Exhibit I Federal'!AA73</f>
        <v>2733.0000000000009</v>
      </c>
      <c r="AB93" s="1865"/>
      <c r="AC93" s="919">
        <v>0</v>
      </c>
      <c r="AD93" s="36"/>
      <c r="AE93" s="37"/>
      <c r="AF93" s="46">
        <f>ROUND(SUM(E93:AC93),1)</f>
        <v>5062.1000000000004</v>
      </c>
      <c r="AG93" s="52"/>
      <c r="AH93" s="36"/>
      <c r="AI93" s="36">
        <v>7171.7999999999993</v>
      </c>
      <c r="AJ93" s="46"/>
      <c r="AK93" s="236"/>
      <c r="AL93" s="36">
        <f>ROUND(SUM(+AF93-AI93),1)</f>
        <v>-2109.6999999999998</v>
      </c>
      <c r="AN93" s="1025">
        <f>ROUND(IF(AI93=0,0,AL93/ABS(AI93)),3)</f>
        <v>-0.29399999999999998</v>
      </c>
      <c r="AP93" s="112"/>
    </row>
    <row r="94" spans="1:44">
      <c r="A94" s="21"/>
      <c r="B94" s="34" t="s">
        <v>203</v>
      </c>
      <c r="C94" s="21"/>
      <c r="D94" s="21"/>
      <c r="E94" s="496">
        <f>+'Exhibit I State'!E93+'Exhibit I Federal'!E74</f>
        <v>-9.1</v>
      </c>
      <c r="F94" s="467"/>
      <c r="G94" s="496">
        <f>+'Exhibit I State'!G93+'Exhibit I Federal'!G74</f>
        <v>-9.5000000000000018</v>
      </c>
      <c r="H94" s="467"/>
      <c r="I94" s="496">
        <f>+'Exhibit I State'!I93+'Exhibit I Federal'!I74</f>
        <v>-35.200000000000003</v>
      </c>
      <c r="J94" s="467"/>
      <c r="K94" s="496">
        <f>+'Exhibit I State'!K93+'Exhibit I Federal'!K74</f>
        <v>-8.8000000000000007</v>
      </c>
      <c r="L94" s="36"/>
      <c r="M94" s="496">
        <f>+'Exhibit I State'!M93+'Exhibit I Federal'!M74</f>
        <v>-2.6999999999999944</v>
      </c>
      <c r="N94" s="36"/>
      <c r="O94" s="496">
        <f>+'Exhibit I State'!O93+'Exhibit I Federal'!O74</f>
        <v>-198.4</v>
      </c>
      <c r="P94" s="36"/>
      <c r="Q94" s="496">
        <f>+'Exhibit I State'!Q93+'Exhibit I Federal'!Q74</f>
        <v>-2.5999999999999943</v>
      </c>
      <c r="R94" s="36"/>
      <c r="S94" s="496">
        <f>+'Exhibit I State'!S93+'Exhibit I Federal'!S74</f>
        <v>-2.5</v>
      </c>
      <c r="T94" s="496"/>
      <c r="U94" s="496">
        <f>+'Exhibit I State'!U93+'Exhibit I Federal'!U74</f>
        <v>-46.799999999999955</v>
      </c>
      <c r="V94" s="496"/>
      <c r="W94" s="496">
        <f>+'Exhibit I State'!W93+'Exhibit I Federal'!W74</f>
        <v>-4.3000000000000398</v>
      </c>
      <c r="X94" s="496"/>
      <c r="Y94" s="496">
        <f>+'Exhibit I State'!Y93+'Exhibit I Federal'!Y74</f>
        <v>-3.7000000000000739</v>
      </c>
      <c r="Z94" s="496"/>
      <c r="AA94" s="496">
        <f>+'Exhibit I State'!AA93+'Exhibit I Federal'!AA74</f>
        <v>-909.1</v>
      </c>
      <c r="AB94" s="1865"/>
      <c r="AC94" s="1858">
        <v>0</v>
      </c>
      <c r="AD94" s="36"/>
      <c r="AE94" s="37"/>
      <c r="AF94" s="46">
        <f>ROUND(SUM(E94:AC94),1)</f>
        <v>-1232.7</v>
      </c>
      <c r="AG94" s="52"/>
      <c r="AH94" s="36"/>
      <c r="AI94" s="2096">
        <v>-1252.7</v>
      </c>
      <c r="AJ94" s="36"/>
      <c r="AK94" s="237"/>
      <c r="AL94" s="650">
        <f>ROUND(-SUM(+AF94-AI94),1)</f>
        <v>-20</v>
      </c>
      <c r="AN94" s="656">
        <f>ROUND(IF(AI94=0,0,AL94/ABS(AI94)),3)</f>
        <v>-1.6E-2</v>
      </c>
      <c r="AO94" s="38"/>
      <c r="AP94" s="112"/>
      <c r="AQ94" s="112"/>
    </row>
    <row r="95" spans="1:44">
      <c r="A95" s="21"/>
      <c r="B95" s="21"/>
      <c r="C95" s="21"/>
      <c r="D95" s="21"/>
      <c r="E95" s="61"/>
      <c r="F95" s="36"/>
      <c r="G95" s="61"/>
      <c r="H95" s="36"/>
      <c r="I95" s="61"/>
      <c r="J95" s="36"/>
      <c r="K95" s="61"/>
      <c r="L95" s="36"/>
      <c r="M95" s="61"/>
      <c r="N95" s="36"/>
      <c r="O95" s="61"/>
      <c r="P95" s="36"/>
      <c r="Q95" s="61"/>
      <c r="R95" s="36"/>
      <c r="S95" s="61"/>
      <c r="T95" s="36"/>
      <c r="U95" s="61"/>
      <c r="V95" s="36"/>
      <c r="W95" s="61"/>
      <c r="X95" s="36"/>
      <c r="Y95" s="61"/>
      <c r="Z95" s="36"/>
      <c r="AA95" s="61"/>
      <c r="AB95" s="36"/>
      <c r="AC95" s="36"/>
      <c r="AD95" s="36"/>
      <c r="AE95" s="37"/>
      <c r="AF95" s="61"/>
      <c r="AG95" s="52"/>
      <c r="AH95" s="36"/>
      <c r="AI95" s="38"/>
      <c r="AJ95" s="38"/>
      <c r="AK95" s="237"/>
      <c r="AL95" s="38"/>
      <c r="AN95" s="235"/>
      <c r="AO95" s="112"/>
    </row>
    <row r="96" spans="1:44">
      <c r="A96" s="21"/>
      <c r="B96" s="19" t="s">
        <v>1081</v>
      </c>
      <c r="C96" s="21"/>
      <c r="D96" s="21"/>
      <c r="E96" s="42">
        <f>ROUND(SUM(E92:E95),1)</f>
        <v>-620.20000000000005</v>
      </c>
      <c r="F96" s="42"/>
      <c r="G96" s="42">
        <f>ROUND(SUM(G92:G95),1)</f>
        <v>-181.6</v>
      </c>
      <c r="H96" s="42"/>
      <c r="I96" s="42">
        <f>ROUND(SUM(I92:I95),1)</f>
        <v>160.69999999999999</v>
      </c>
      <c r="J96" s="42"/>
      <c r="K96" s="42">
        <f>ROUND(SUM(K92:K95),1)</f>
        <v>360.4</v>
      </c>
      <c r="L96" s="42"/>
      <c r="M96" s="42">
        <f>ROUND(SUM(M92:M95),1)</f>
        <v>222.2</v>
      </c>
      <c r="N96" s="42"/>
      <c r="O96" s="42">
        <f>ROUND(SUM(O92:O95),1)</f>
        <v>-207.7</v>
      </c>
      <c r="P96" s="42"/>
      <c r="Q96" s="42">
        <f>ROUND(SUM(Q92:Q95),1)</f>
        <v>793.1</v>
      </c>
      <c r="R96" s="42"/>
      <c r="S96" s="42">
        <f>ROUND(SUM(S92:S95),1)</f>
        <v>109.2</v>
      </c>
      <c r="T96" s="42"/>
      <c r="U96" s="42">
        <f>ROUND(SUM(U92:U95),1)</f>
        <v>275.7</v>
      </c>
      <c r="V96" s="42"/>
      <c r="W96" s="42">
        <f>ROUND(SUM(W92:W95),1)</f>
        <v>460</v>
      </c>
      <c r="X96" s="42"/>
      <c r="Y96" s="42">
        <f>ROUND(SUM(Y92:Y95),1)</f>
        <v>633.70000000000005</v>
      </c>
      <c r="Z96" s="42"/>
      <c r="AA96" s="42">
        <f>ROUND(SUM(AA92:AA95),1)</f>
        <v>1823.9</v>
      </c>
      <c r="AB96" s="42"/>
      <c r="AC96" s="42">
        <f>ROUND(SUM(AC92:AC95),1)</f>
        <v>0</v>
      </c>
      <c r="AD96" s="42"/>
      <c r="AE96" s="44"/>
      <c r="AF96" s="42">
        <f>ROUND(SUM(AF92:AF95),1)</f>
        <v>3829.4</v>
      </c>
      <c r="AG96" s="143"/>
      <c r="AH96" s="42"/>
      <c r="AI96" s="42">
        <f>ROUND(SUM(AI92:AI95),1)</f>
        <v>5919.1</v>
      </c>
      <c r="AJ96" s="42"/>
      <c r="AK96" s="237"/>
      <c r="AL96" s="50">
        <f>ROUND(SUM(AF96-AI96),1)</f>
        <v>-2089.6999999999998</v>
      </c>
      <c r="AM96" s="19"/>
      <c r="AN96" s="244">
        <f>ROUND(SUM(AL96/ABS(AI96)),3)</f>
        <v>-0.35299999999999998</v>
      </c>
      <c r="AO96" s="19"/>
      <c r="AP96" s="19"/>
      <c r="AQ96" s="19"/>
      <c r="AR96" s="19"/>
    </row>
    <row r="97" spans="1:55">
      <c r="A97" s="21"/>
      <c r="B97" s="21"/>
      <c r="C97" s="21"/>
      <c r="D97" s="21"/>
      <c r="E97" s="61"/>
      <c r="F97" s="36"/>
      <c r="G97" s="61"/>
      <c r="H97" s="36"/>
      <c r="I97" s="61"/>
      <c r="J97" s="36"/>
      <c r="K97" s="61"/>
      <c r="L97" s="36"/>
      <c r="M97" s="61"/>
      <c r="N97" s="36"/>
      <c r="O97" s="61"/>
      <c r="P97" s="36"/>
      <c r="Q97" s="61"/>
      <c r="R97" s="36"/>
      <c r="S97" s="61"/>
      <c r="T97" s="36"/>
      <c r="U97" s="61"/>
      <c r="V97" s="36"/>
      <c r="W97" s="61"/>
      <c r="X97" s="36"/>
      <c r="Y97" s="61"/>
      <c r="Z97" s="36"/>
      <c r="AA97" s="61"/>
      <c r="AB97" s="36"/>
      <c r="AC97" s="61"/>
      <c r="AD97" s="36"/>
      <c r="AE97" s="37"/>
      <c r="AF97" s="61"/>
      <c r="AG97" s="52"/>
      <c r="AH97" s="36"/>
      <c r="AI97" s="61"/>
      <c r="AJ97" s="36"/>
      <c r="AK97" s="237"/>
      <c r="AL97" s="38"/>
      <c r="AN97" s="235"/>
    </row>
    <row r="98" spans="1:55">
      <c r="A98" s="21"/>
      <c r="B98" s="21"/>
      <c r="C98" s="21"/>
      <c r="D98" s="21"/>
      <c r="E98" s="36"/>
      <c r="F98" s="36"/>
      <c r="G98" s="36"/>
      <c r="H98" s="36"/>
      <c r="I98" s="36"/>
      <c r="J98" s="36"/>
      <c r="K98" s="36" t="s">
        <v>14</v>
      </c>
      <c r="L98" s="36"/>
      <c r="M98" s="36" t="s">
        <v>14</v>
      </c>
      <c r="N98" s="36"/>
      <c r="O98" s="36" t="s">
        <v>14</v>
      </c>
      <c r="P98" s="36"/>
      <c r="Q98" s="36" t="s">
        <v>14</v>
      </c>
      <c r="R98" s="36"/>
      <c r="S98" s="36" t="s">
        <v>14</v>
      </c>
      <c r="T98" s="36"/>
      <c r="U98" s="36" t="s">
        <v>14</v>
      </c>
      <c r="V98" s="36"/>
      <c r="W98" s="36" t="s">
        <v>14</v>
      </c>
      <c r="X98" s="36"/>
      <c r="Y98" s="36" t="s">
        <v>14</v>
      </c>
      <c r="Z98" s="36"/>
      <c r="AA98" s="36" t="s">
        <v>14</v>
      </c>
      <c r="AB98" s="36"/>
      <c r="AC98" s="467" t="s">
        <v>14</v>
      </c>
      <c r="AD98" s="36"/>
      <c r="AE98" s="37"/>
      <c r="AF98" s="36" t="s">
        <v>14</v>
      </c>
      <c r="AG98" s="52"/>
      <c r="AH98" s="36"/>
      <c r="AI98" s="36" t="s">
        <v>14</v>
      </c>
      <c r="AJ98" s="36"/>
      <c r="AK98" s="237"/>
      <c r="AL98" s="38" t="s">
        <v>14</v>
      </c>
      <c r="AN98" s="235"/>
    </row>
    <row r="99" spans="1:55">
      <c r="A99" s="21"/>
      <c r="B99" s="19" t="s">
        <v>205</v>
      </c>
      <c r="C99" s="21"/>
      <c r="D99" s="21"/>
      <c r="E99" s="36"/>
      <c r="F99" s="36"/>
      <c r="G99" s="36"/>
      <c r="H99" s="36"/>
      <c r="I99" s="36"/>
      <c r="J99" s="36"/>
      <c r="K99" s="36" t="s">
        <v>14</v>
      </c>
      <c r="L99" s="36"/>
      <c r="M99" s="36" t="s">
        <v>14</v>
      </c>
      <c r="N99" s="36"/>
      <c r="O99" s="36" t="s">
        <v>14</v>
      </c>
      <c r="P99" s="36"/>
      <c r="Q99" s="36" t="s">
        <v>14</v>
      </c>
      <c r="R99" s="36"/>
      <c r="S99" s="36" t="s">
        <v>14</v>
      </c>
      <c r="T99" s="36"/>
      <c r="U99" s="36" t="s">
        <v>14</v>
      </c>
      <c r="V99" s="36"/>
      <c r="W99" s="36" t="s">
        <v>14</v>
      </c>
      <c r="X99" s="36"/>
      <c r="Y99" s="36" t="s">
        <v>14</v>
      </c>
      <c r="Z99" s="36"/>
      <c r="AA99" s="36" t="s">
        <v>14</v>
      </c>
      <c r="AB99" s="36"/>
      <c r="AC99" s="36" t="s">
        <v>14</v>
      </c>
      <c r="AD99" s="36"/>
      <c r="AE99" s="37"/>
      <c r="AF99" s="36"/>
      <c r="AG99" s="52"/>
      <c r="AH99" s="36"/>
      <c r="AI99" s="36" t="s">
        <v>14</v>
      </c>
      <c r="AJ99" s="36"/>
      <c r="AK99" s="237"/>
      <c r="AL99" s="38"/>
      <c r="AN99" s="235"/>
    </row>
    <row r="100" spans="1:55">
      <c r="A100" s="21"/>
      <c r="B100" s="19" t="s">
        <v>206</v>
      </c>
      <c r="C100" s="21"/>
      <c r="D100" s="21"/>
      <c r="E100" s="42" t="s">
        <v>14</v>
      </c>
      <c r="F100" s="42"/>
      <c r="G100" s="42" t="s">
        <v>14</v>
      </c>
      <c r="H100" s="42"/>
      <c r="I100" s="42" t="s">
        <v>14</v>
      </c>
      <c r="J100" s="42"/>
      <c r="K100" s="42"/>
      <c r="L100" s="42"/>
      <c r="M100" s="42"/>
      <c r="N100" s="42"/>
      <c r="O100" s="42"/>
      <c r="P100" s="42"/>
      <c r="Q100" s="42"/>
      <c r="R100" s="42"/>
      <c r="S100" s="42"/>
      <c r="T100" s="42"/>
      <c r="U100" s="42"/>
      <c r="V100" s="42"/>
      <c r="W100" s="42"/>
      <c r="X100" s="42"/>
      <c r="Y100" s="42"/>
      <c r="Z100" s="42"/>
      <c r="AA100" s="42"/>
      <c r="AB100" s="42"/>
      <c r="AC100" s="42"/>
      <c r="AD100" s="42"/>
      <c r="AE100" s="44"/>
      <c r="AF100" s="42" t="s">
        <v>14</v>
      </c>
      <c r="AG100" s="143"/>
      <c r="AH100" s="42"/>
      <c r="AI100" s="42"/>
      <c r="AJ100" s="42"/>
      <c r="AK100" s="237"/>
      <c r="AL100" s="42"/>
      <c r="AM100" s="19"/>
      <c r="AN100" s="189"/>
      <c r="AO100" s="19"/>
      <c r="AP100" s="19"/>
      <c r="AQ100" s="19"/>
      <c r="AR100" s="19"/>
      <c r="AS100" s="19"/>
      <c r="AT100" s="19"/>
      <c r="AU100" s="19"/>
      <c r="AV100" s="19"/>
      <c r="AW100" s="19"/>
      <c r="AX100" s="19"/>
      <c r="AY100" s="19"/>
    </row>
    <row r="101" spans="1:55">
      <c r="A101" s="21"/>
      <c r="B101" s="19" t="s">
        <v>1072</v>
      </c>
      <c r="C101" s="21"/>
      <c r="D101" s="21"/>
      <c r="E101" s="243">
        <f>ROUND(SUM(E89+E96),1)</f>
        <v>-99.8</v>
      </c>
      <c r="F101" s="42"/>
      <c r="G101" s="243">
        <f>ROUND(SUM(G89+G96),1)</f>
        <v>323.89999999999998</v>
      </c>
      <c r="H101" s="42"/>
      <c r="I101" s="243">
        <f>ROUND(SUM(I89+I96),1)</f>
        <v>-38.4</v>
      </c>
      <c r="J101" s="42"/>
      <c r="K101" s="243">
        <f>ROUND(SUM(K89+K96),1)</f>
        <v>-45.2</v>
      </c>
      <c r="L101" s="42"/>
      <c r="M101" s="243">
        <f>ROUND(SUM(M89+M96),1)</f>
        <v>-219.7</v>
      </c>
      <c r="N101" s="42"/>
      <c r="O101" s="243">
        <f>ROUND(SUM(O89+O96),1)</f>
        <v>-226</v>
      </c>
      <c r="P101" s="42"/>
      <c r="Q101" s="243">
        <f>ROUND(SUM(Q89+Q96),1)</f>
        <v>681.6</v>
      </c>
      <c r="R101" s="42"/>
      <c r="S101" s="243">
        <f>ROUND(SUM(S89+S96),1)</f>
        <v>-108.2</v>
      </c>
      <c r="T101" s="42"/>
      <c r="U101" s="243">
        <f>ROUND(SUM(U89+U96),1)</f>
        <v>-50.5</v>
      </c>
      <c r="V101" s="42"/>
      <c r="W101" s="243">
        <f>ROUND(SUM(W89+W96),1)</f>
        <v>-91.8</v>
      </c>
      <c r="X101" s="42"/>
      <c r="Y101" s="243">
        <f>ROUND(SUM(Y89+Y96),1)</f>
        <v>-71.400000000000006</v>
      </c>
      <c r="Z101" s="42"/>
      <c r="AA101" s="243">
        <f>ROUND(SUM(AA89+AA96),1)</f>
        <v>-105.1</v>
      </c>
      <c r="AB101" s="1227"/>
      <c r="AC101" s="243">
        <f>ROUND(SUM(AC89+AC96),1)</f>
        <v>0</v>
      </c>
      <c r="AD101" s="42"/>
      <c r="AE101" s="44"/>
      <c r="AF101" s="243">
        <f>ROUND(AF89+AF96,1)</f>
        <v>-50.6</v>
      </c>
      <c r="AG101" s="143"/>
      <c r="AH101" s="42"/>
      <c r="AI101" s="2097">
        <f>ROUND(SUM(AI89+AI96),1)</f>
        <v>-399.9</v>
      </c>
      <c r="AJ101" s="42"/>
      <c r="AK101" s="237"/>
      <c r="AL101" s="243">
        <f>ROUND(SUM(+AF101-AI101),1)</f>
        <v>349.3</v>
      </c>
      <c r="AM101" s="19"/>
      <c r="AN101" s="1061">
        <f>ROUND(IF(AI101=0,0,AL101/ABS(AI101)),3)</f>
        <v>0.873</v>
      </c>
      <c r="AO101" s="19"/>
      <c r="AP101" s="245"/>
      <c r="AQ101" s="19"/>
      <c r="AR101" s="19"/>
      <c r="AS101" s="19"/>
      <c r="AT101" s="19"/>
      <c r="AU101" s="19"/>
      <c r="AV101" s="19"/>
      <c r="AW101" s="19"/>
      <c r="AX101" s="19"/>
      <c r="AY101" s="19"/>
    </row>
    <row r="102" spans="1:55">
      <c r="A102" s="21"/>
      <c r="B102" s="21" t="s">
        <v>14</v>
      </c>
      <c r="C102" s="21"/>
      <c r="D102" s="21"/>
      <c r="E102" s="21"/>
      <c r="F102" s="21"/>
      <c r="G102" s="21"/>
      <c r="H102" s="21"/>
      <c r="I102" s="21"/>
      <c r="J102" s="21"/>
      <c r="K102" s="21"/>
      <c r="L102" s="21"/>
      <c r="M102" s="21"/>
      <c r="N102" s="21"/>
      <c r="O102" s="21"/>
      <c r="P102" s="21"/>
      <c r="Q102" s="21"/>
      <c r="R102" s="21"/>
      <c r="S102" s="185" t="s">
        <v>14</v>
      </c>
      <c r="T102" s="21"/>
      <c r="U102" s="185" t="s">
        <v>14</v>
      </c>
      <c r="V102" s="21"/>
      <c r="W102" s="185" t="s">
        <v>14</v>
      </c>
      <c r="X102" s="21"/>
      <c r="Y102" s="185" t="s">
        <v>14</v>
      </c>
      <c r="Z102" s="21"/>
      <c r="AA102" s="21"/>
      <c r="AB102" s="21"/>
      <c r="AC102" s="21"/>
      <c r="AD102" s="33"/>
      <c r="AE102" s="246"/>
      <c r="AF102" s="21"/>
      <c r="AG102" s="33"/>
      <c r="AH102" s="246"/>
      <c r="AI102" s="499" t="s">
        <v>180</v>
      </c>
      <c r="AJ102" s="190"/>
      <c r="AK102" s="20"/>
      <c r="AN102" s="235"/>
    </row>
    <row r="103" spans="1:55" s="20" customFormat="1" ht="15" customHeight="1" thickBot="1">
      <c r="A103" s="21"/>
      <c r="B103" s="19" t="s">
        <v>1082</v>
      </c>
      <c r="C103" s="21"/>
      <c r="E103" s="181">
        <f>ROUND(SUM(+E101+E15),1)</f>
        <v>-1643.7</v>
      </c>
      <c r="F103" s="65"/>
      <c r="G103" s="181">
        <f>ROUND(SUM(+G101+G15),1)</f>
        <v>-1319.8</v>
      </c>
      <c r="H103" s="65"/>
      <c r="I103" s="181">
        <f>ROUND(SUM(+I101+I15),1)</f>
        <v>-1358.2</v>
      </c>
      <c r="J103" s="65"/>
      <c r="K103" s="181">
        <f>ROUND(SUM(+K101+K15),1)</f>
        <v>-1403.4</v>
      </c>
      <c r="L103" s="65"/>
      <c r="M103" s="181">
        <f>ROUND(SUM(+M101+M15),1)</f>
        <v>-1623.1</v>
      </c>
      <c r="N103" s="65"/>
      <c r="O103" s="181">
        <f>ROUND(SUM(+O101+O15),1)</f>
        <v>-1849.1</v>
      </c>
      <c r="P103" s="65"/>
      <c r="Q103" s="181">
        <f>ROUND(SUM(+Q101+Q15),1)</f>
        <v>-1167.5</v>
      </c>
      <c r="R103" s="65"/>
      <c r="S103" s="181">
        <f>ROUND(SUM(+S101+S15),1)</f>
        <v>-1275.7</v>
      </c>
      <c r="T103" s="65"/>
      <c r="U103" s="181">
        <f>ROUND(SUM(+U101+U15),1)</f>
        <v>-1326.2</v>
      </c>
      <c r="V103" s="65"/>
      <c r="W103" s="181">
        <f>ROUND(SUM(+W101+W15),1)</f>
        <v>-1418</v>
      </c>
      <c r="X103" s="65"/>
      <c r="Y103" s="181">
        <f>ROUND(SUM(+Y101+Y15),1)</f>
        <v>-1489.4</v>
      </c>
      <c r="Z103" s="65"/>
      <c r="AA103" s="181">
        <f>ROUND(SUM(+AA101+AA15),1)</f>
        <v>-1594.5</v>
      </c>
      <c r="AB103" s="65"/>
      <c r="AC103" s="181">
        <f>ROUND(SUM(+AC101+AC15),1)</f>
        <v>0</v>
      </c>
      <c r="AD103" s="65"/>
      <c r="AE103" s="66"/>
      <c r="AF103" s="181">
        <f>ROUND(SUM(+AF101+AF15),1)</f>
        <v>-1594.5</v>
      </c>
      <c r="AG103" s="65"/>
      <c r="AH103" s="66"/>
      <c r="AI103" s="181">
        <f>ROUND(SUM(+AI101+AI15),1)</f>
        <v>-1543.9</v>
      </c>
      <c r="AJ103" s="188"/>
      <c r="AK103" s="65"/>
      <c r="AL103" s="181">
        <f>ROUND(SUM(+AL101+AL15),1)</f>
        <v>-50.6</v>
      </c>
      <c r="AM103" s="122"/>
      <c r="AN103" s="200">
        <f>ROUND(SUM(-(+AF103-AI103)/AI103),3)</f>
        <v>-3.3000000000000002E-2</v>
      </c>
      <c r="AO103" s="19"/>
      <c r="AP103" s="19"/>
      <c r="AQ103" s="19"/>
      <c r="AR103" s="19"/>
      <c r="AS103" s="185"/>
      <c r="AT103" s="185"/>
      <c r="AU103" s="185"/>
      <c r="AV103" s="185"/>
      <c r="AW103" s="185"/>
      <c r="AX103" s="185"/>
      <c r="AY103" s="185"/>
      <c r="AZ103" s="185"/>
      <c r="BA103" s="185"/>
      <c r="BB103" s="185"/>
      <c r="BC103" s="185"/>
    </row>
    <row r="104" spans="1:55" ht="16" thickTop="1">
      <c r="B104" s="146"/>
    </row>
    <row r="105" spans="1:55">
      <c r="B105" s="817" t="s">
        <v>1172</v>
      </c>
      <c r="C105" s="248"/>
      <c r="D105" s="248"/>
      <c r="E105" s="248"/>
      <c r="F105" s="248"/>
      <c r="G105" s="248"/>
      <c r="AI105" s="1883"/>
      <c r="AL105" s="112"/>
    </row>
    <row r="106" spans="1:55">
      <c r="B106" s="247"/>
      <c r="C106" s="248"/>
      <c r="D106" s="248"/>
      <c r="E106" s="248"/>
      <c r="F106" s="248"/>
      <c r="G106" s="248"/>
      <c r="AL106" s="112"/>
    </row>
    <row r="107" spans="1:55">
      <c r="B107" s="249"/>
      <c r="AL107" s="112"/>
    </row>
    <row r="108" spans="1:55">
      <c r="B108" s="249"/>
    </row>
    <row r="109" spans="1:55">
      <c r="B109" s="247"/>
    </row>
    <row r="110" spans="1:55">
      <c r="B110" s="249"/>
    </row>
    <row r="111" spans="1:55">
      <c r="B111" s="249"/>
    </row>
    <row r="112" spans="1:55">
      <c r="B112" s="247"/>
    </row>
  </sheetData>
  <mergeCells count="1">
    <mergeCell ref="AF11:AN11"/>
  </mergeCells>
  <printOptions horizontalCentered="1"/>
  <pageMargins left="0.25" right="0.25" top="0.5" bottom="0.25" header="0" footer="0.25"/>
  <pageSetup scale="40" firstPageNumber="30"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workbookViewId="0"/>
  </sheetViews>
  <sheetFormatPr defaultColWidth="8.84375" defaultRowHeight="15.5"/>
  <cols>
    <col min="1" max="1" width="2.53515625" style="71" customWidth="1"/>
    <col min="2" max="2" width="14.07421875" style="71" customWidth="1"/>
    <col min="3" max="3" width="26.07421875" style="71" customWidth="1"/>
    <col min="4" max="4" width="2" style="71" customWidth="1"/>
    <col min="5" max="5" width="11.07421875" style="71" bestFit="1" customWidth="1"/>
    <col min="6" max="6" width="1.84375" style="71" customWidth="1"/>
    <col min="7" max="7" width="11.84375" style="71" customWidth="1"/>
    <col min="8" max="8" width="1.84375" style="71" customWidth="1"/>
    <col min="9" max="9" width="11.07421875" style="71" bestFit="1" customWidth="1"/>
    <col min="10" max="10" width="1.84375" style="71" customWidth="1"/>
    <col min="11" max="11" width="12" style="71" customWidth="1"/>
    <col min="12" max="12" width="1.07421875" style="71" customWidth="1"/>
    <col min="13" max="13" width="10.07421875" style="71" bestFit="1" customWidth="1"/>
    <col min="14" max="14" width="1.84375" style="71" customWidth="1"/>
    <col min="15" max="15" width="11.07421875" style="71" customWidth="1"/>
    <col min="16" max="16" width="1.84375" style="71" customWidth="1"/>
    <col min="17" max="17" width="12.84375" style="71" customWidth="1"/>
    <col min="18" max="18" width="1.84375" style="71" customWidth="1"/>
    <col min="19" max="19" width="10.53515625" style="71" customWidth="1"/>
    <col min="20" max="20" width="1.84375" style="71" customWidth="1"/>
    <col min="21" max="21" width="10.84375" style="71" customWidth="1"/>
    <col min="22" max="22" width="1.84375" style="71" customWidth="1"/>
    <col min="23" max="23" width="10.84375" style="71" customWidth="1"/>
    <col min="24" max="24" width="1.84375" style="71" customWidth="1"/>
    <col min="25" max="25" width="10.84375" style="71" customWidth="1"/>
    <col min="26" max="26" width="1.84375" style="71" customWidth="1"/>
    <col min="27" max="27" width="10.07421875" style="71" customWidth="1"/>
    <col min="28" max="29" width="1.84375" style="71" customWidth="1"/>
    <col min="30" max="30" width="11.07421875" style="71" bestFit="1" customWidth="1"/>
    <col min="31" max="32" width="1.07421875" style="71" customWidth="1"/>
    <col min="33" max="33" width="11.07421875" style="71" customWidth="1"/>
    <col min="34" max="35" width="1" style="71" customWidth="1"/>
    <col min="36" max="36" width="13.4609375" style="71" bestFit="1" customWidth="1"/>
    <col min="37" max="37" width="1.07421875" style="71" customWidth="1"/>
    <col min="38" max="38" width="12.84375" style="71" customWidth="1"/>
    <col min="39" max="40" width="8.84375" style="71"/>
    <col min="41" max="41" width="19.84375" style="71" bestFit="1" customWidth="1"/>
    <col min="42" max="16384" width="8.84375" style="71"/>
  </cols>
  <sheetData>
    <row r="1" spans="1:39">
      <c r="B1" s="489" t="s">
        <v>868</v>
      </c>
    </row>
    <row r="2" spans="1:39">
      <c r="B2" s="646"/>
    </row>
    <row r="3" spans="1:39" ht="19.5" customHeight="1">
      <c r="A3" s="222"/>
      <c r="B3" s="128" t="s">
        <v>0</v>
      </c>
      <c r="C3" s="223"/>
      <c r="D3" s="223"/>
      <c r="E3" s="223"/>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L3" s="276" t="s">
        <v>191</v>
      </c>
    </row>
    <row r="4" spans="1:39" ht="19.5" customHeight="1">
      <c r="A4" s="222"/>
      <c r="B4" s="128" t="s">
        <v>207</v>
      </c>
      <c r="C4" s="223"/>
      <c r="D4" s="223"/>
      <c r="E4" s="223"/>
      <c r="F4" s="224"/>
      <c r="G4" s="224"/>
      <c r="H4" s="224"/>
      <c r="I4" s="224"/>
      <c r="J4" s="224"/>
      <c r="K4" s="224"/>
      <c r="L4" s="224"/>
      <c r="M4" s="224"/>
      <c r="N4" s="224"/>
      <c r="O4" s="224"/>
      <c r="P4" s="224"/>
      <c r="Q4" s="224"/>
      <c r="R4" s="224"/>
      <c r="S4" s="224"/>
      <c r="T4" s="224"/>
      <c r="U4" s="224"/>
      <c r="V4" s="224"/>
      <c r="W4" s="224"/>
      <c r="X4" s="224"/>
      <c r="Y4" s="224"/>
      <c r="Z4" s="224"/>
      <c r="AA4" s="224"/>
      <c r="AB4" s="224"/>
      <c r="AC4" s="224"/>
      <c r="AE4" s="225"/>
      <c r="AF4" s="225"/>
    </row>
    <row r="5" spans="1:39" ht="19.5" customHeight="1">
      <c r="A5" s="222"/>
      <c r="B5" s="974" t="s">
        <v>145</v>
      </c>
      <c r="C5" s="223"/>
      <c r="D5" s="223"/>
      <c r="E5" s="223"/>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L5" s="186"/>
    </row>
    <row r="6" spans="1:39" ht="19.5" customHeight="1">
      <c r="A6" s="222"/>
      <c r="B6" s="974" t="str">
        <f>'Cashflow Governmental'!A6</f>
        <v xml:space="preserve">FISCAL YEAR 2022-2023   </v>
      </c>
      <c r="C6" s="223"/>
      <c r="D6" s="223"/>
      <c r="E6" s="223"/>
      <c r="F6" s="224"/>
      <c r="G6" s="224"/>
      <c r="H6" s="226"/>
      <c r="I6" s="224"/>
      <c r="J6" s="224"/>
      <c r="K6" s="224"/>
      <c r="L6" s="224"/>
      <c r="M6" s="224"/>
      <c r="N6" s="224"/>
      <c r="O6" s="224"/>
      <c r="P6" s="224"/>
      <c r="Q6" s="224"/>
      <c r="R6" s="224"/>
      <c r="S6" s="224"/>
      <c r="T6" s="224"/>
      <c r="U6" s="224"/>
      <c r="V6" s="224"/>
      <c r="W6" s="224"/>
      <c r="X6" s="224"/>
      <c r="Y6" s="224"/>
      <c r="Z6" s="224"/>
      <c r="AA6" s="224"/>
      <c r="AB6" s="224"/>
      <c r="AC6" s="224"/>
      <c r="AD6" s="224"/>
      <c r="AE6" s="227"/>
      <c r="AF6" s="227"/>
      <c r="AG6" s="227"/>
      <c r="AH6" s="227"/>
      <c r="AI6" s="227"/>
    </row>
    <row r="7" spans="1:39" ht="19.5" customHeight="1">
      <c r="A7" s="222"/>
      <c r="B7" s="128" t="s">
        <v>1248</v>
      </c>
      <c r="C7" s="223"/>
      <c r="D7" s="223"/>
      <c r="E7" s="223"/>
      <c r="F7" s="224"/>
      <c r="G7" s="224"/>
      <c r="H7" s="226"/>
      <c r="I7" s="224"/>
      <c r="J7" s="224"/>
      <c r="K7" s="224"/>
      <c r="L7" s="224"/>
      <c r="M7" s="224"/>
      <c r="N7" s="224"/>
      <c r="O7" s="224"/>
      <c r="P7" s="224"/>
      <c r="Q7" s="224"/>
      <c r="R7" s="224"/>
      <c r="S7" s="224"/>
      <c r="T7" s="224"/>
      <c r="U7" s="224"/>
      <c r="V7" s="224"/>
      <c r="W7" s="224"/>
      <c r="X7" s="224"/>
      <c r="Y7" s="224"/>
      <c r="Z7" s="224"/>
      <c r="AA7" s="224"/>
      <c r="AB7" s="224"/>
      <c r="AC7" s="224"/>
      <c r="AD7" s="224"/>
      <c r="AE7" s="227"/>
      <c r="AF7" s="227"/>
      <c r="AG7" s="227"/>
      <c r="AH7" s="227"/>
      <c r="AI7" s="227"/>
    </row>
    <row r="8" spans="1:39" ht="19.5" customHeight="1">
      <c r="A8" s="222"/>
      <c r="C8" s="223"/>
      <c r="D8" s="223"/>
      <c r="E8" s="223"/>
      <c r="F8" s="224"/>
      <c r="G8" s="224"/>
      <c r="H8" s="224"/>
      <c r="I8" s="224"/>
      <c r="J8" s="224"/>
      <c r="K8" s="224"/>
      <c r="L8" s="224"/>
      <c r="M8" s="224"/>
      <c r="N8" s="224"/>
      <c r="O8" s="224"/>
      <c r="P8" s="224"/>
      <c r="Q8" s="224"/>
      <c r="R8" s="224"/>
      <c r="S8" s="224"/>
      <c r="T8" s="224"/>
      <c r="U8" s="224"/>
      <c r="V8" s="224"/>
      <c r="W8" s="224"/>
      <c r="X8" s="224"/>
      <c r="Y8" s="224"/>
      <c r="Z8" s="224"/>
      <c r="AA8" s="224"/>
      <c r="AB8" s="224"/>
      <c r="AC8" s="228"/>
    </row>
    <row r="9" spans="1:39" ht="15.75" customHeight="1">
      <c r="A9" s="222"/>
      <c r="B9" s="128"/>
      <c r="C9" s="223"/>
      <c r="D9" s="223"/>
      <c r="E9" s="223"/>
      <c r="F9" s="224"/>
      <c r="G9" s="224"/>
      <c r="H9" s="224"/>
      <c r="I9" s="224"/>
      <c r="J9" s="224"/>
      <c r="K9" s="224"/>
      <c r="L9" s="224"/>
      <c r="M9" s="224"/>
      <c r="N9" s="224"/>
      <c r="O9" s="224"/>
      <c r="P9" s="224"/>
      <c r="Q9" s="224"/>
      <c r="R9" s="224"/>
      <c r="S9" s="224"/>
      <c r="T9" s="224"/>
      <c r="U9" s="224"/>
      <c r="V9" s="224"/>
      <c r="W9" s="224"/>
      <c r="X9" s="224"/>
      <c r="Y9" s="224"/>
      <c r="Z9" s="224"/>
      <c r="AA9" s="224"/>
      <c r="AB9" s="224"/>
      <c r="AC9" s="228"/>
    </row>
    <row r="10" spans="1:39" ht="15.75" customHeight="1">
      <c r="A10" s="222"/>
      <c r="B10" s="229"/>
      <c r="C10" s="223"/>
      <c r="D10" s="223"/>
      <c r="E10" s="223"/>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8"/>
      <c r="AD10" s="2317" t="s">
        <v>1559</v>
      </c>
      <c r="AE10" s="2317"/>
      <c r="AF10" s="2317"/>
      <c r="AG10" s="2317"/>
      <c r="AH10" s="2317"/>
      <c r="AI10" s="2317"/>
      <c r="AJ10" s="2317"/>
      <c r="AK10" s="2317"/>
      <c r="AL10" s="2317"/>
    </row>
    <row r="11" spans="1:39" ht="15.75" customHeight="1">
      <c r="A11" s="230"/>
      <c r="B11" s="230"/>
      <c r="C11" s="230"/>
      <c r="D11" s="230"/>
      <c r="E11" s="537" t="str">
        <f>'Cashflow Governmental'!C13</f>
        <v>2022</v>
      </c>
      <c r="F11" s="553"/>
      <c r="G11" s="553"/>
      <c r="H11" s="553"/>
      <c r="I11" s="553"/>
      <c r="J11" s="553"/>
      <c r="K11" s="553"/>
      <c r="L11" s="553"/>
      <c r="M11" s="553"/>
      <c r="N11" s="553"/>
      <c r="O11" s="553"/>
      <c r="P11" s="553"/>
      <c r="Q11" s="553"/>
      <c r="R11" s="553"/>
      <c r="S11" s="553"/>
      <c r="T11" s="553"/>
      <c r="U11" s="553"/>
      <c r="V11" s="553"/>
      <c r="W11" s="537">
        <f>'Cashflow Governmental'!U13</f>
        <v>2023</v>
      </c>
      <c r="X11" s="553"/>
      <c r="Y11" s="553"/>
      <c r="Z11" s="553"/>
      <c r="AA11" s="553"/>
      <c r="AB11" s="553"/>
      <c r="AC11" s="553"/>
      <c r="AD11" s="553"/>
      <c r="AE11" s="553"/>
      <c r="AF11" s="553"/>
      <c r="AG11" s="553"/>
      <c r="AH11" s="553"/>
      <c r="AI11" s="553"/>
      <c r="AJ11" s="545" t="s">
        <v>7</v>
      </c>
      <c r="AK11" s="545"/>
      <c r="AL11" s="543" t="s">
        <v>8</v>
      </c>
      <c r="AM11" s="555"/>
    </row>
    <row r="12" spans="1:39" ht="15.75" customHeight="1">
      <c r="A12" s="21"/>
      <c r="B12" s="21"/>
      <c r="C12" s="21"/>
      <c r="D12" s="21"/>
      <c r="E12" s="554" t="s">
        <v>122</v>
      </c>
      <c r="F12" s="19"/>
      <c r="G12" s="554" t="s">
        <v>123</v>
      </c>
      <c r="H12" s="19"/>
      <c r="I12" s="554" t="s">
        <v>124</v>
      </c>
      <c r="J12" s="19"/>
      <c r="K12" s="554" t="s">
        <v>125</v>
      </c>
      <c r="L12" s="19"/>
      <c r="M12" s="554" t="s">
        <v>126</v>
      </c>
      <c r="N12" s="19"/>
      <c r="O12" s="554" t="s">
        <v>141</v>
      </c>
      <c r="P12" s="19"/>
      <c r="Q12" s="554" t="s">
        <v>142</v>
      </c>
      <c r="R12" s="19"/>
      <c r="S12" s="554" t="s">
        <v>129</v>
      </c>
      <c r="T12" s="19"/>
      <c r="U12" s="554" t="s">
        <v>130</v>
      </c>
      <c r="V12" s="19"/>
      <c r="W12" s="554" t="s">
        <v>131</v>
      </c>
      <c r="X12" s="19"/>
      <c r="Y12" s="554" t="s">
        <v>132</v>
      </c>
      <c r="Z12" s="19"/>
      <c r="AA12" s="554" t="s">
        <v>182</v>
      </c>
      <c r="AB12" s="19"/>
      <c r="AC12" s="19"/>
      <c r="AD12" s="554">
        <f>'Cashflow Governmental'!AB14</f>
        <v>2023</v>
      </c>
      <c r="AE12" s="19"/>
      <c r="AF12" s="19"/>
      <c r="AG12" s="554">
        <f>'Cashflow Governmental'!AE14</f>
        <v>2022</v>
      </c>
      <c r="AH12" s="132"/>
      <c r="AI12" s="132"/>
      <c r="AJ12" s="549" t="s">
        <v>11</v>
      </c>
      <c r="AK12" s="545"/>
      <c r="AL12" s="549" t="s">
        <v>12</v>
      </c>
      <c r="AM12" s="555"/>
    </row>
    <row r="13" spans="1:39" ht="5.25" customHeight="1">
      <c r="A13" s="21"/>
      <c r="B13" s="19"/>
      <c r="C13" s="19"/>
      <c r="D13" s="21"/>
      <c r="E13" s="39"/>
      <c r="F13" s="39"/>
      <c r="G13" s="39"/>
      <c r="H13" s="39"/>
      <c r="I13" s="39"/>
      <c r="J13" s="39"/>
      <c r="K13" s="39"/>
      <c r="L13" s="39"/>
      <c r="M13" s="39"/>
      <c r="N13" s="39"/>
      <c r="O13" s="39"/>
      <c r="P13" s="39"/>
      <c r="Q13" s="39"/>
      <c r="R13" s="39"/>
      <c r="S13" s="39"/>
      <c r="T13" s="39"/>
      <c r="U13" s="39"/>
      <c r="V13" s="39"/>
      <c r="W13" s="39"/>
      <c r="X13" s="39"/>
      <c r="Y13" s="39"/>
      <c r="Z13" s="39"/>
      <c r="AA13" s="39"/>
      <c r="AB13" s="39"/>
      <c r="AC13" s="174"/>
      <c r="AD13" s="39"/>
      <c r="AE13" s="39"/>
      <c r="AF13" s="1238"/>
      <c r="AG13" s="39"/>
      <c r="AH13" s="39"/>
      <c r="AI13" s="231"/>
      <c r="AJ13" s="499"/>
      <c r="AK13" s="499"/>
      <c r="AL13" s="499"/>
    </row>
    <row r="14" spans="1:39">
      <c r="A14" s="21"/>
      <c r="B14" s="19" t="s">
        <v>1146</v>
      </c>
      <c r="C14" s="19"/>
      <c r="D14" s="21"/>
      <c r="E14" s="216">
        <v>-756.8</v>
      </c>
      <c r="F14" s="39"/>
      <c r="G14" s="65">
        <f>E102</f>
        <v>-835.7</v>
      </c>
      <c r="H14" s="32"/>
      <c r="I14" s="65">
        <f>G102</f>
        <v>-856.1</v>
      </c>
      <c r="J14" s="32"/>
      <c r="K14" s="65">
        <f>I102</f>
        <v>-854.3</v>
      </c>
      <c r="L14" s="32"/>
      <c r="M14" s="65">
        <f>K102</f>
        <v>-918.2</v>
      </c>
      <c r="N14" s="39"/>
      <c r="O14" s="65">
        <f>M102</f>
        <v>-1071</v>
      </c>
      <c r="P14" s="39"/>
      <c r="Q14" s="65">
        <f>O102</f>
        <v>-1211.0999999999999</v>
      </c>
      <c r="R14" s="65"/>
      <c r="S14" s="65">
        <f>Q102</f>
        <v>-607.29999999999995</v>
      </c>
      <c r="T14" s="65"/>
      <c r="U14" s="65">
        <f t="shared" ref="U14" si="0">S102</f>
        <v>-785.7</v>
      </c>
      <c r="V14" s="65"/>
      <c r="W14" s="65">
        <f t="shared" ref="W14" si="1">U102</f>
        <v>-836.6</v>
      </c>
      <c r="X14" s="65"/>
      <c r="Y14" s="65">
        <f t="shared" ref="Y14" si="2">W102</f>
        <v>-955.7</v>
      </c>
      <c r="Z14" s="65"/>
      <c r="AA14" s="65">
        <f t="shared" ref="AA14" si="3">Y102</f>
        <v>-1035.9000000000001</v>
      </c>
      <c r="AB14" s="39"/>
      <c r="AC14" s="174"/>
      <c r="AD14" s="65">
        <f>E14</f>
        <v>-756.8</v>
      </c>
      <c r="AE14" s="39"/>
      <c r="AF14" s="1238"/>
      <c r="AG14" s="1160">
        <v>-563.70000000000005</v>
      </c>
      <c r="AH14" s="39"/>
      <c r="AI14" s="231"/>
      <c r="AJ14" s="65">
        <f>ROUND(AD14-AG14,1)</f>
        <v>-193.1</v>
      </c>
      <c r="AK14" s="198"/>
      <c r="AL14" s="486">
        <f>ROUND(IF(AG14=0,0,AJ14/ABS(AG14)),3)</f>
        <v>-0.34300000000000003</v>
      </c>
    </row>
    <row r="15" spans="1:39">
      <c r="A15" s="21"/>
      <c r="B15" s="19"/>
      <c r="C15" s="19"/>
      <c r="D15" s="21"/>
      <c r="E15" s="39"/>
      <c r="F15" s="39"/>
      <c r="G15" s="39"/>
      <c r="H15" s="39"/>
      <c r="I15" s="39"/>
      <c r="J15" s="39"/>
      <c r="K15" s="39"/>
      <c r="L15" s="39"/>
      <c r="M15" s="39"/>
      <c r="N15" s="39"/>
      <c r="O15" s="39"/>
      <c r="P15" s="39"/>
      <c r="Q15" s="39"/>
      <c r="R15" s="39"/>
      <c r="S15" s="39"/>
      <c r="T15" s="39"/>
      <c r="U15" s="39"/>
      <c r="V15" s="39"/>
      <c r="W15" s="39"/>
      <c r="X15" s="39"/>
      <c r="Y15" s="39"/>
      <c r="Z15" s="39"/>
      <c r="AA15" s="39"/>
      <c r="AB15" s="39"/>
      <c r="AC15" s="174"/>
      <c r="AD15" s="39"/>
      <c r="AE15" s="39"/>
      <c r="AF15" s="1238"/>
      <c r="AG15" s="39"/>
      <c r="AH15" s="39"/>
      <c r="AI15" s="231"/>
      <c r="AJ15" s="499"/>
      <c r="AK15" s="499"/>
      <c r="AL15" s="499"/>
    </row>
    <row r="16" spans="1:39">
      <c r="A16" s="21"/>
      <c r="B16" s="19" t="s">
        <v>192</v>
      </c>
      <c r="C16" s="21"/>
      <c r="D16" s="21"/>
      <c r="E16" s="39"/>
      <c r="F16" s="39"/>
      <c r="G16" s="39"/>
      <c r="H16" s="39"/>
      <c r="I16" s="39"/>
      <c r="J16" s="39"/>
      <c r="K16" s="39"/>
      <c r="L16" s="39"/>
      <c r="M16" s="39"/>
      <c r="N16" s="39"/>
      <c r="O16" s="39"/>
      <c r="P16" s="39"/>
      <c r="Q16" s="39"/>
      <c r="R16" s="39"/>
      <c r="S16" s="39"/>
      <c r="T16" s="39"/>
      <c r="U16" s="39"/>
      <c r="V16" s="39"/>
      <c r="W16" s="39"/>
      <c r="X16" s="39"/>
      <c r="Y16" s="39"/>
      <c r="Z16" s="39"/>
      <c r="AA16" s="39"/>
      <c r="AB16" s="39"/>
      <c r="AC16" s="174"/>
      <c r="AD16" s="39"/>
      <c r="AE16" s="180"/>
      <c r="AF16" s="39"/>
      <c r="AG16" s="39"/>
      <c r="AH16" s="39"/>
      <c r="AI16" s="231"/>
    </row>
    <row r="17" spans="1:38">
      <c r="A17" s="21"/>
      <c r="B17" s="117" t="s">
        <v>978</v>
      </c>
      <c r="C17" s="21"/>
      <c r="D17" s="21"/>
      <c r="E17" s="39"/>
      <c r="F17" s="39"/>
      <c r="G17" s="39"/>
      <c r="H17" s="39"/>
      <c r="I17" s="39"/>
      <c r="J17" s="39"/>
      <c r="K17" s="39"/>
      <c r="L17" s="39"/>
      <c r="M17" s="39"/>
      <c r="N17" s="39"/>
      <c r="O17" s="39"/>
      <c r="P17" s="39"/>
      <c r="Q17" s="39"/>
      <c r="R17" s="39"/>
      <c r="S17" s="39"/>
      <c r="T17" s="39"/>
      <c r="U17" s="39"/>
      <c r="V17" s="39"/>
      <c r="W17" s="39"/>
      <c r="X17" s="39"/>
      <c r="Y17" s="39"/>
      <c r="Z17" s="39"/>
      <c r="AA17" s="39"/>
      <c r="AB17" s="39"/>
      <c r="AC17" s="174"/>
      <c r="AD17" s="39"/>
      <c r="AE17" s="748"/>
      <c r="AF17" s="39"/>
      <c r="AG17" s="39"/>
      <c r="AH17" s="39"/>
      <c r="AI17" s="231"/>
    </row>
    <row r="18" spans="1:38">
      <c r="A18" s="21"/>
      <c r="B18" s="739" t="s">
        <v>991</v>
      </c>
      <c r="C18" s="21"/>
      <c r="D18" s="21"/>
      <c r="E18" s="1486"/>
      <c r="F18" s="39"/>
      <c r="G18" s="36"/>
      <c r="H18" s="36"/>
      <c r="I18" s="36"/>
      <c r="J18" s="36"/>
      <c r="K18" s="36"/>
      <c r="L18" s="36"/>
      <c r="M18" s="36"/>
      <c r="N18" s="36"/>
      <c r="O18" s="36"/>
      <c r="P18" s="36"/>
      <c r="Q18" s="36"/>
      <c r="R18" s="36"/>
      <c r="S18" s="36"/>
      <c r="T18" s="36"/>
      <c r="U18" s="36"/>
      <c r="V18" s="36"/>
      <c r="W18" s="36"/>
      <c r="X18" s="36"/>
      <c r="Y18" s="36"/>
      <c r="Z18" s="36"/>
      <c r="AA18" s="36"/>
      <c r="AB18" s="36"/>
      <c r="AC18" s="37"/>
      <c r="AD18" s="38" t="s">
        <v>14</v>
      </c>
      <c r="AE18" s="52"/>
      <c r="AF18" s="36"/>
      <c r="AG18" s="467" t="s">
        <v>14</v>
      </c>
      <c r="AH18" s="36"/>
      <c r="AI18" s="237"/>
      <c r="AJ18" s="38"/>
    </row>
    <row r="19" spans="1:38">
      <c r="A19" s="21"/>
      <c r="B19" s="489" t="s">
        <v>994</v>
      </c>
      <c r="C19" s="21"/>
      <c r="D19" s="108" t="s">
        <v>14</v>
      </c>
      <c r="E19" s="467">
        <v>9.4</v>
      </c>
      <c r="F19" s="467"/>
      <c r="G19" s="467">
        <v>9.9999999999999645E-2</v>
      </c>
      <c r="H19" s="467"/>
      <c r="I19" s="467">
        <v>21.200000000000003</v>
      </c>
      <c r="J19" s="467"/>
      <c r="K19" s="467">
        <v>0</v>
      </c>
      <c r="L19" s="1011"/>
      <c r="M19" s="467">
        <v>9.9999999999997868E-2</v>
      </c>
      <c r="N19" s="1131"/>
      <c r="O19" s="467">
        <v>29.900000000000002</v>
      </c>
      <c r="P19" s="1131"/>
      <c r="Q19" s="467">
        <v>0</v>
      </c>
      <c r="R19" s="1131"/>
      <c r="S19" s="467">
        <v>0</v>
      </c>
      <c r="T19" s="467"/>
      <c r="U19" s="467">
        <v>23.399999999999995</v>
      </c>
      <c r="V19" s="467"/>
      <c r="W19" s="467">
        <v>0.20000000000000284</v>
      </c>
      <c r="X19" s="467"/>
      <c r="Y19" s="467">
        <v>0</v>
      </c>
      <c r="Z19" s="467"/>
      <c r="AA19" s="467">
        <f>$AD19-$E19-$G19-$I19-$K19-$M19-$O19-$Q19-$S19-$U19-$W19-$Y19</f>
        <v>9.6999999999999993</v>
      </c>
      <c r="AB19" s="467"/>
      <c r="AC19" s="939"/>
      <c r="AD19" s="467">
        <v>94</v>
      </c>
      <c r="AE19" s="1782"/>
      <c r="AF19" s="1783"/>
      <c r="AG19" s="467">
        <v>77</v>
      </c>
      <c r="AH19" s="1487"/>
      <c r="AI19" s="1488"/>
      <c r="AJ19" s="467">
        <f>ROUND(AD19-AG19,1)</f>
        <v>17</v>
      </c>
      <c r="AK19" s="674"/>
      <c r="AL19" s="978">
        <f>ROUND(IF(AG19=0,0,AJ19/ABS(AG19)),3)</f>
        <v>0.221</v>
      </c>
    </row>
    <row r="20" spans="1:38">
      <c r="A20" s="21"/>
      <c r="B20" s="489" t="s">
        <v>996</v>
      </c>
      <c r="C20" s="21"/>
      <c r="D20" s="21"/>
      <c r="E20" s="467">
        <v>21.5</v>
      </c>
      <c r="F20" s="467"/>
      <c r="G20" s="467">
        <v>29.5</v>
      </c>
      <c r="H20" s="467"/>
      <c r="I20" s="467">
        <v>15.200000000000003</v>
      </c>
      <c r="J20" s="467"/>
      <c r="K20" s="467">
        <v>-1</v>
      </c>
      <c r="L20" s="1010"/>
      <c r="M20" s="467">
        <v>-0.70000000000000284</v>
      </c>
      <c r="N20" s="1010"/>
      <c r="O20" s="467">
        <v>-1.3999999999999986</v>
      </c>
      <c r="P20" s="1010"/>
      <c r="Q20" s="467">
        <v>-1</v>
      </c>
      <c r="R20" s="1010"/>
      <c r="S20" s="467">
        <v>-1.6</v>
      </c>
      <c r="T20" s="467"/>
      <c r="U20" s="467">
        <v>0</v>
      </c>
      <c r="V20" s="1010"/>
      <c r="W20" s="467">
        <v>20</v>
      </c>
      <c r="X20" s="1010"/>
      <c r="Y20" s="467">
        <v>30.5</v>
      </c>
      <c r="Z20" s="1010"/>
      <c r="AA20" s="467">
        <f t="shared" ref="AA20:AA21" si="4">$AD20-$E20-$G20-$I20-$K20-$M20-$O20-$Q20-$S20-$U20-$W20-$Y20</f>
        <v>29.900000000000006</v>
      </c>
      <c r="AB20" s="467"/>
      <c r="AC20" s="37"/>
      <c r="AD20" s="467">
        <v>140.9</v>
      </c>
      <c r="AE20" s="52"/>
      <c r="AF20" s="36"/>
      <c r="AG20" s="467">
        <v>389.4</v>
      </c>
      <c r="AH20" s="36"/>
      <c r="AI20" s="237"/>
      <c r="AJ20" s="36">
        <f>ROUND(AD20-AG20,1)</f>
        <v>-248.5</v>
      </c>
      <c r="AK20" s="112"/>
      <c r="AL20" s="955">
        <f>ROUND(IF(AG20=0,0,AJ20/ABS(AG20)),3)</f>
        <v>-0.63800000000000001</v>
      </c>
    </row>
    <row r="21" spans="1:38">
      <c r="A21" s="21"/>
      <c r="B21" s="489" t="s">
        <v>998</v>
      </c>
      <c r="C21" s="21"/>
      <c r="D21" s="21"/>
      <c r="E21" s="467">
        <v>11.9</v>
      </c>
      <c r="F21" s="467"/>
      <c r="G21" s="467">
        <v>10.499999999999998</v>
      </c>
      <c r="H21" s="467"/>
      <c r="I21" s="467">
        <v>9.4000000000000039</v>
      </c>
      <c r="J21" s="467"/>
      <c r="K21" s="467">
        <v>11.699999999999994</v>
      </c>
      <c r="L21" s="1010"/>
      <c r="M21" s="467">
        <v>11.399999999999997</v>
      </c>
      <c r="N21" s="1010"/>
      <c r="O21" s="467">
        <v>9.9</v>
      </c>
      <c r="P21" s="1010"/>
      <c r="Q21" s="467">
        <v>13.1</v>
      </c>
      <c r="R21" s="1010"/>
      <c r="S21" s="467">
        <v>11.2</v>
      </c>
      <c r="T21" s="467"/>
      <c r="U21" s="467">
        <v>11.099999999999998</v>
      </c>
      <c r="V21" s="1010"/>
      <c r="W21" s="467">
        <v>18.900000000000006</v>
      </c>
      <c r="X21" s="1010"/>
      <c r="Y21" s="467">
        <v>13.599999999999994</v>
      </c>
      <c r="Z21" s="1010"/>
      <c r="AA21" s="467">
        <f t="shared" si="4"/>
        <v>9.2000000000000171</v>
      </c>
      <c r="AB21" s="467"/>
      <c r="AC21" s="37"/>
      <c r="AD21" s="467">
        <v>141.9</v>
      </c>
      <c r="AE21" s="52"/>
      <c r="AF21" s="36"/>
      <c r="AG21" s="467">
        <v>140.30000000000001</v>
      </c>
      <c r="AH21" s="36"/>
      <c r="AI21" s="237"/>
      <c r="AJ21" s="36">
        <f>ROUND(AD21-AG21,1)</f>
        <v>1.6</v>
      </c>
      <c r="AK21" s="112"/>
      <c r="AL21" s="971">
        <f>ROUND(IF(AG21=0,0,AJ21/ABS(AG21)),3)</f>
        <v>1.0999999999999999E-2</v>
      </c>
    </row>
    <row r="22" spans="1:38">
      <c r="A22" s="21"/>
      <c r="B22" s="217" t="s">
        <v>1078</v>
      </c>
      <c r="C22" s="21"/>
      <c r="D22" s="21"/>
      <c r="E22" s="178">
        <f>ROUND(SUM(E19:E21),1)</f>
        <v>42.8</v>
      </c>
      <c r="F22" s="467"/>
      <c r="G22" s="178">
        <f>ROUND(SUM(G19:G21),1)</f>
        <v>40.1</v>
      </c>
      <c r="H22" s="467"/>
      <c r="I22" s="178">
        <f>ROUND(SUM(I19:I21),1)</f>
        <v>45.8</v>
      </c>
      <c r="J22" s="467"/>
      <c r="K22" s="178">
        <f>ROUND(SUM(K19:K21),1)</f>
        <v>10.7</v>
      </c>
      <c r="L22" s="467"/>
      <c r="M22" s="178">
        <f>ROUND(SUM(M19:M21),1)</f>
        <v>10.8</v>
      </c>
      <c r="N22" s="467"/>
      <c r="O22" s="178">
        <f>ROUND(SUM(O19:O21),1)</f>
        <v>38.4</v>
      </c>
      <c r="P22" s="36"/>
      <c r="Q22" s="178">
        <f>ROUND(SUM(Q19:Q21),1)</f>
        <v>12.1</v>
      </c>
      <c r="R22" s="36"/>
      <c r="S22" s="178">
        <f>ROUND(SUM(S19:S21),1)</f>
        <v>9.6</v>
      </c>
      <c r="T22" s="42"/>
      <c r="U22" s="178">
        <f t="shared" ref="U22" si="5">ROUND(SUM(U19:U21),1)</f>
        <v>34.5</v>
      </c>
      <c r="V22" s="36"/>
      <c r="W22" s="178">
        <f>ROUND(SUM(W19:W21),1)</f>
        <v>39.1</v>
      </c>
      <c r="X22" s="36"/>
      <c r="Y22" s="178">
        <f>ROUND(SUM(Y19:Y21),1)</f>
        <v>44.1</v>
      </c>
      <c r="Z22" s="36"/>
      <c r="AA22" s="178">
        <f>ROUND(SUM(AA19:AA21),1)</f>
        <v>48.8</v>
      </c>
      <c r="AB22" s="36"/>
      <c r="AC22" s="37"/>
      <c r="AD22" s="178">
        <f>ROUND(SUM(AD19:AD21),1)</f>
        <v>376.8</v>
      </c>
      <c r="AE22" s="757"/>
      <c r="AF22" s="36"/>
      <c r="AG22" s="178">
        <f>ROUND(SUM(AG19:AG21),1)</f>
        <v>606.70000000000005</v>
      </c>
      <c r="AH22" s="36"/>
      <c r="AI22" s="237"/>
      <c r="AJ22" s="178">
        <f>ROUND(SUM(AJ19:AJ21),1)</f>
        <v>-229.9</v>
      </c>
      <c r="AK22" s="112"/>
      <c r="AL22" s="962">
        <f>ROUND(IF(AG22=0,0,AJ22/ABS(AG22)),3)</f>
        <v>-0.379</v>
      </c>
    </row>
    <row r="23" spans="1:38">
      <c r="A23" s="21"/>
      <c r="B23" s="739" t="s">
        <v>982</v>
      </c>
      <c r="C23" s="21"/>
      <c r="D23" s="21"/>
      <c r="E23" s="467"/>
      <c r="F23" s="467"/>
      <c r="G23" s="467"/>
      <c r="H23" s="467"/>
      <c r="I23" s="467"/>
      <c r="J23" s="467"/>
      <c r="K23" s="467"/>
      <c r="L23" s="467"/>
      <c r="M23" s="467"/>
      <c r="N23" s="467"/>
      <c r="O23" s="467"/>
      <c r="P23" s="36"/>
      <c r="Q23" s="193"/>
      <c r="R23" s="36"/>
      <c r="S23" s="193"/>
      <c r="T23" s="36"/>
      <c r="U23" s="193"/>
      <c r="V23" s="36"/>
      <c r="W23" s="1993"/>
      <c r="X23" s="36"/>
      <c r="Y23" s="193"/>
      <c r="Z23" s="36"/>
      <c r="AA23" s="1993"/>
      <c r="AB23" s="36"/>
      <c r="AC23" s="37"/>
      <c r="AD23" s="46"/>
      <c r="AE23" s="52"/>
      <c r="AF23" s="36"/>
      <c r="AG23" s="46"/>
      <c r="AH23" s="36"/>
      <c r="AI23" s="237"/>
      <c r="AJ23" s="46"/>
      <c r="AL23" s="235"/>
    </row>
    <row r="24" spans="1:38">
      <c r="A24" s="21"/>
      <c r="B24" s="489" t="s">
        <v>1000</v>
      </c>
      <c r="C24" s="21"/>
      <c r="D24" s="21"/>
      <c r="E24" s="467">
        <v>0</v>
      </c>
      <c r="F24" s="467"/>
      <c r="G24" s="467">
        <v>0</v>
      </c>
      <c r="H24" s="467"/>
      <c r="I24" s="467">
        <v>0</v>
      </c>
      <c r="J24" s="467"/>
      <c r="K24" s="467">
        <v>0</v>
      </c>
      <c r="L24" s="1010"/>
      <c r="M24" s="467">
        <v>0</v>
      </c>
      <c r="N24" s="1010"/>
      <c r="O24" s="467">
        <v>0</v>
      </c>
      <c r="P24" s="1010"/>
      <c r="Q24" s="467">
        <v>0</v>
      </c>
      <c r="R24" s="1010"/>
      <c r="S24" s="467">
        <v>0</v>
      </c>
      <c r="T24" s="467"/>
      <c r="U24" s="467">
        <v>0</v>
      </c>
      <c r="V24" s="1010"/>
      <c r="W24" s="467">
        <v>0</v>
      </c>
      <c r="X24" s="1010"/>
      <c r="Y24" s="467">
        <v>0</v>
      </c>
      <c r="Z24" s="1010"/>
      <c r="AA24" s="467">
        <f t="shared" ref="AA24:AA26" si="6">$AD24-$E24-$G24-$I24-$K24-$M24-$O24-$Q24-$S24-$U24-$W24-$Y24</f>
        <v>0</v>
      </c>
      <c r="AB24" s="36"/>
      <c r="AC24" s="37"/>
      <c r="AD24" s="467">
        <v>0</v>
      </c>
      <c r="AE24" s="757"/>
      <c r="AF24" s="36"/>
      <c r="AG24" s="467">
        <v>0</v>
      </c>
      <c r="AH24" s="36"/>
      <c r="AI24" s="237"/>
      <c r="AJ24" s="36">
        <f>ROUND(AD24-AG24,1)</f>
        <v>0</v>
      </c>
      <c r="AL24" s="955">
        <f>ROUND(IF(AG24=0,0,AJ24/ABS(AG24)),3)</f>
        <v>0</v>
      </c>
    </row>
    <row r="25" spans="1:38">
      <c r="A25" s="21"/>
      <c r="B25" s="489" t="s">
        <v>1001</v>
      </c>
      <c r="C25" s="21"/>
      <c r="D25" s="21"/>
      <c r="E25" s="467">
        <v>1.6</v>
      </c>
      <c r="F25" s="467"/>
      <c r="G25" s="467">
        <v>0</v>
      </c>
      <c r="H25" s="467"/>
      <c r="I25" s="467">
        <v>1.7999999999999998</v>
      </c>
      <c r="J25" s="467"/>
      <c r="K25" s="467">
        <v>0.20000000000000018</v>
      </c>
      <c r="L25" s="1010"/>
      <c r="M25" s="467">
        <v>0.10000000000000009</v>
      </c>
      <c r="N25" s="1010"/>
      <c r="O25" s="467">
        <v>1</v>
      </c>
      <c r="P25" s="1010"/>
      <c r="Q25" s="467">
        <v>0.20000000000000018</v>
      </c>
      <c r="R25" s="1010"/>
      <c r="S25" s="467">
        <v>0.49999999999999911</v>
      </c>
      <c r="T25" s="467"/>
      <c r="U25" s="467">
        <v>1.4</v>
      </c>
      <c r="V25" s="1010"/>
      <c r="W25" s="467">
        <v>0</v>
      </c>
      <c r="X25" s="1010"/>
      <c r="Y25" s="467">
        <v>0.30000000000000071</v>
      </c>
      <c r="Z25" s="1010"/>
      <c r="AA25" s="467">
        <f t="shared" si="6"/>
        <v>3.0000000000000004</v>
      </c>
      <c r="AB25" s="36"/>
      <c r="AC25" s="37"/>
      <c r="AD25" s="467">
        <v>10.1</v>
      </c>
      <c r="AE25" s="757"/>
      <c r="AF25" s="36"/>
      <c r="AG25" s="467">
        <v>9.3000000000000007</v>
      </c>
      <c r="AH25" s="36"/>
      <c r="AI25" s="237"/>
      <c r="AJ25" s="36">
        <f>ROUND(AD25-AG25,1)</f>
        <v>0.8</v>
      </c>
      <c r="AL25" s="978">
        <f>ROUND(IF(AG25=0,1,AJ25/ABS(AG25)),3)</f>
        <v>8.5999999999999993E-2</v>
      </c>
    </row>
    <row r="26" spans="1:38">
      <c r="A26" s="21"/>
      <c r="B26" s="489" t="s">
        <v>1004</v>
      </c>
      <c r="C26" s="19"/>
      <c r="D26" s="21"/>
      <c r="E26" s="467">
        <v>47.5</v>
      </c>
      <c r="F26" s="467"/>
      <c r="G26" s="467">
        <v>50.199999999999989</v>
      </c>
      <c r="H26" s="467"/>
      <c r="I26" s="467">
        <v>53.900000000000006</v>
      </c>
      <c r="J26" s="467"/>
      <c r="K26" s="467">
        <v>49.599999999999994</v>
      </c>
      <c r="L26" s="1010"/>
      <c r="M26" s="467">
        <v>52.700000000000017</v>
      </c>
      <c r="N26" s="1010"/>
      <c r="O26" s="467">
        <v>58.099999999999994</v>
      </c>
      <c r="P26" s="1010"/>
      <c r="Q26" s="467">
        <v>49.5</v>
      </c>
      <c r="R26" s="1010"/>
      <c r="S26" s="467">
        <v>50.30000000000004</v>
      </c>
      <c r="T26" s="467"/>
      <c r="U26" s="467">
        <v>53.699999999999903</v>
      </c>
      <c r="V26" s="1010"/>
      <c r="W26" s="467">
        <v>47.700000000000017</v>
      </c>
      <c r="X26" s="1010"/>
      <c r="Y26" s="467">
        <v>52.099999999999909</v>
      </c>
      <c r="Z26" s="1010"/>
      <c r="AA26" s="467">
        <f t="shared" si="6"/>
        <v>49.200000000000017</v>
      </c>
      <c r="AB26" s="36"/>
      <c r="AC26" s="37"/>
      <c r="AD26" s="467">
        <v>614.5</v>
      </c>
      <c r="AE26" s="52"/>
      <c r="AF26" s="36"/>
      <c r="AG26" s="467">
        <v>577.70000000000005</v>
      </c>
      <c r="AH26" s="36"/>
      <c r="AI26" s="237"/>
      <c r="AJ26" s="36">
        <f>ROUND(AD26-AG26,1)</f>
        <v>36.799999999999997</v>
      </c>
      <c r="AK26" s="112"/>
      <c r="AL26" s="956">
        <f>ROUND(IF(AG26=0,0,AJ26/ABS(AG26)),3)</f>
        <v>6.4000000000000001E-2</v>
      </c>
    </row>
    <row r="27" spans="1:38">
      <c r="A27" s="21"/>
      <c r="B27" s="217" t="s">
        <v>1079</v>
      </c>
      <c r="C27" s="19"/>
      <c r="D27" s="21"/>
      <c r="E27" s="178">
        <f>ROUND(SUM(E24:E26),1)</f>
        <v>49.1</v>
      </c>
      <c r="F27" s="467"/>
      <c r="G27" s="178">
        <f>ROUND(SUM(G24:G26),1)</f>
        <v>50.2</v>
      </c>
      <c r="H27" s="467"/>
      <c r="I27" s="178">
        <f>ROUND(SUM(I24:I26),1)</f>
        <v>55.7</v>
      </c>
      <c r="J27" s="467"/>
      <c r="K27" s="178">
        <f>ROUND(SUM(K24:K26),1)</f>
        <v>49.8</v>
      </c>
      <c r="L27" s="467"/>
      <c r="M27" s="178">
        <f>ROUND(SUM(M24:M26),1)</f>
        <v>52.8</v>
      </c>
      <c r="N27" s="467"/>
      <c r="O27" s="178">
        <f>ROUND(SUM(O24:O26),1)</f>
        <v>59.1</v>
      </c>
      <c r="P27" s="36"/>
      <c r="Q27" s="178">
        <f>ROUND(SUM(Q24:Q26),1)</f>
        <v>49.7</v>
      </c>
      <c r="R27" s="36"/>
      <c r="S27" s="178">
        <f>ROUND(SUM(S24:S26),1)</f>
        <v>50.8</v>
      </c>
      <c r="T27" s="42"/>
      <c r="U27" s="178">
        <f t="shared" ref="U27" si="7">ROUND(SUM(U24:U26),1)</f>
        <v>55.1</v>
      </c>
      <c r="V27" s="36"/>
      <c r="W27" s="178">
        <f>ROUND(SUM(W24:W26),1)</f>
        <v>47.7</v>
      </c>
      <c r="X27" s="36"/>
      <c r="Y27" s="178">
        <f>ROUND(SUM(Y24:Y26),1)</f>
        <v>52.4</v>
      </c>
      <c r="Z27" s="36"/>
      <c r="AA27" s="178">
        <f>ROUND(SUM(AA24:AA26),1)</f>
        <v>52.2</v>
      </c>
      <c r="AB27" s="36"/>
      <c r="AC27" s="37"/>
      <c r="AD27" s="178">
        <f>ROUND(SUM(AD24:AD26),1)</f>
        <v>624.6</v>
      </c>
      <c r="AE27" s="757"/>
      <c r="AF27" s="36"/>
      <c r="AG27" s="178">
        <f>ROUND(SUM(AG24:AG26),1)</f>
        <v>587</v>
      </c>
      <c r="AH27" s="36"/>
      <c r="AI27" s="237"/>
      <c r="AJ27" s="178">
        <f>ROUND(SUM(AJ24:AJ26),1)</f>
        <v>37.6</v>
      </c>
      <c r="AK27" s="112"/>
      <c r="AL27" s="969">
        <f>ROUND(IF(AG27=0,0,AJ27/ABS(AG27)),3)</f>
        <v>6.4000000000000001E-2</v>
      </c>
    </row>
    <row r="28" spans="1:38">
      <c r="A28" s="21"/>
      <c r="B28" s="739" t="s">
        <v>983</v>
      </c>
      <c r="C28" s="21"/>
      <c r="D28" s="21"/>
      <c r="E28" s="480"/>
      <c r="F28" s="467"/>
      <c r="G28" s="480"/>
      <c r="H28" s="467"/>
      <c r="I28" s="496"/>
      <c r="J28" s="467"/>
      <c r="K28" s="496"/>
      <c r="L28" s="467"/>
      <c r="M28" s="467"/>
      <c r="N28" s="467"/>
      <c r="O28" s="467"/>
      <c r="P28" s="36"/>
      <c r="Q28" s="193"/>
      <c r="R28" s="36"/>
      <c r="S28" s="193"/>
      <c r="T28" s="36"/>
      <c r="U28" s="193"/>
      <c r="V28" s="36"/>
      <c r="W28" s="193"/>
      <c r="X28" s="36"/>
      <c r="Y28" s="193"/>
      <c r="Z28" s="36"/>
      <c r="AA28" s="193"/>
      <c r="AB28" s="36"/>
      <c r="AC28" s="37"/>
      <c r="AD28" s="36"/>
      <c r="AE28" s="1784"/>
      <c r="AF28" s="40"/>
      <c r="AG28" s="36"/>
      <c r="AH28" s="46"/>
      <c r="AI28" s="236"/>
      <c r="AJ28" s="46"/>
      <c r="AK28" s="234"/>
      <c r="AL28" s="955"/>
    </row>
    <row r="29" spans="1:38">
      <c r="A29" s="21"/>
      <c r="B29" s="489" t="s">
        <v>1010</v>
      </c>
      <c r="C29" s="21"/>
      <c r="D29" s="21"/>
      <c r="E29" s="467">
        <v>0</v>
      </c>
      <c r="F29" s="467"/>
      <c r="G29" s="467">
        <v>0</v>
      </c>
      <c r="H29" s="467"/>
      <c r="I29" s="467">
        <v>25.7</v>
      </c>
      <c r="J29" s="467"/>
      <c r="K29" s="467">
        <v>25.8</v>
      </c>
      <c r="L29" s="1010"/>
      <c r="M29" s="467">
        <v>25.700000000000006</v>
      </c>
      <c r="N29" s="1010"/>
      <c r="O29" s="467">
        <v>25.799999999999994</v>
      </c>
      <c r="P29" s="1010"/>
      <c r="Q29" s="467">
        <v>25.699999999999992</v>
      </c>
      <c r="R29" s="1010"/>
      <c r="S29" s="467">
        <v>25.7</v>
      </c>
      <c r="T29" s="1010"/>
      <c r="U29" s="467">
        <v>25.700000000000006</v>
      </c>
      <c r="V29" s="1010"/>
      <c r="W29" s="467">
        <v>25.799999999999994</v>
      </c>
      <c r="X29" s="1010"/>
      <c r="Y29" s="467">
        <v>25.700000000000006</v>
      </c>
      <c r="Z29" s="1010"/>
      <c r="AA29" s="467">
        <f t="shared" ref="AA29" si="8">$AD29-$E29-$G29-$I29-$K29-$M29-$O29-$Q29-$S29-$U29-$W29-$Y29</f>
        <v>25.699999999999957</v>
      </c>
      <c r="AB29" s="36"/>
      <c r="AC29" s="37"/>
      <c r="AD29" s="467">
        <v>257.29999999999995</v>
      </c>
      <c r="AE29" s="691"/>
      <c r="AF29" s="40"/>
      <c r="AG29" s="467">
        <v>119.1</v>
      </c>
      <c r="AH29" s="46"/>
      <c r="AI29" s="236"/>
      <c r="AJ29" s="36">
        <f>ROUND(AD29-AG29,1)</f>
        <v>138.19999999999999</v>
      </c>
      <c r="AK29" s="234"/>
      <c r="AL29" s="956">
        <f>ROUND(IF(AG29=0,0,AJ29/ABS(AG29)),3)</f>
        <v>1.1599999999999999</v>
      </c>
    </row>
    <row r="30" spans="1:38">
      <c r="B30" s="217" t="s">
        <v>1080</v>
      </c>
      <c r="C30" s="21"/>
      <c r="D30" s="21"/>
      <c r="E30" s="178">
        <f>ROUND(SUM(E29:E29),1)</f>
        <v>0</v>
      </c>
      <c r="F30" s="467"/>
      <c r="G30" s="178">
        <f>ROUND(SUM(G29:G29),1)</f>
        <v>0</v>
      </c>
      <c r="H30" s="467"/>
      <c r="I30" s="178">
        <f>ROUND(SUM(I29:I29),1)</f>
        <v>25.7</v>
      </c>
      <c r="J30" s="467"/>
      <c r="K30" s="178">
        <f>ROUND(SUM(K29:K29),1)</f>
        <v>25.8</v>
      </c>
      <c r="L30" s="467"/>
      <c r="M30" s="178">
        <f>ROUND(SUM(M29:M29),1)</f>
        <v>25.7</v>
      </c>
      <c r="N30" s="467"/>
      <c r="O30" s="178">
        <f>ROUND(SUM(O29:O29),1)</f>
        <v>25.8</v>
      </c>
      <c r="P30" s="36"/>
      <c r="Q30" s="178">
        <f>ROUND(SUM(Q29:Q29),1)</f>
        <v>25.7</v>
      </c>
      <c r="R30" s="36"/>
      <c r="S30" s="178">
        <f>ROUND(SUM(S29:S29),1)</f>
        <v>25.7</v>
      </c>
      <c r="T30" s="42"/>
      <c r="U30" s="178">
        <f t="shared" ref="U30" si="9">ROUND(SUM(U29:U29),1)</f>
        <v>25.7</v>
      </c>
      <c r="V30" s="36"/>
      <c r="W30" s="178">
        <f>ROUND(SUM(W29:W29),1)</f>
        <v>25.8</v>
      </c>
      <c r="X30" s="36"/>
      <c r="Y30" s="178">
        <f>ROUND(SUM(Y29:Y29),1)</f>
        <v>25.7</v>
      </c>
      <c r="Z30" s="36"/>
      <c r="AA30" s="178">
        <f>ROUND(SUM(AA29:AA29),1)</f>
        <v>25.7</v>
      </c>
      <c r="AB30" s="36"/>
      <c r="AC30" s="37"/>
      <c r="AD30" s="178">
        <f>ROUND(SUM(AD29:AD29),1)</f>
        <v>257.3</v>
      </c>
      <c r="AE30" s="691"/>
      <c r="AF30" s="40"/>
      <c r="AG30" s="178">
        <f>ROUND(SUM(AG29:AG29),1)</f>
        <v>119.1</v>
      </c>
      <c r="AH30" s="46"/>
      <c r="AI30" s="236"/>
      <c r="AJ30" s="178">
        <f>ROUND(SUM(AJ29:AJ29),1)</f>
        <v>138.19999999999999</v>
      </c>
      <c r="AK30" s="234"/>
      <c r="AL30" s="962">
        <f>ROUND(IF(AG30=0,0,AJ30/ABS(AG30)),3)</f>
        <v>1.1599999999999999</v>
      </c>
    </row>
    <row r="31" spans="1:38">
      <c r="A31" s="21"/>
      <c r="B31" s="19"/>
      <c r="C31" s="21"/>
      <c r="D31" s="21"/>
      <c r="E31" s="480"/>
      <c r="F31" s="467"/>
      <c r="G31" s="480"/>
      <c r="H31" s="467"/>
      <c r="I31" s="496"/>
      <c r="J31" s="467"/>
      <c r="K31" s="496"/>
      <c r="L31" s="467"/>
      <c r="M31" s="467"/>
      <c r="N31" s="467"/>
      <c r="O31" s="467"/>
      <c r="P31" s="36"/>
      <c r="Q31" s="193"/>
      <c r="R31" s="36"/>
      <c r="S31" s="193"/>
      <c r="T31" s="36"/>
      <c r="U31" s="193"/>
      <c r="V31" s="36"/>
      <c r="W31" s="193"/>
      <c r="X31" s="36"/>
      <c r="Y31" s="193"/>
      <c r="Z31" s="36"/>
      <c r="AA31" s="193"/>
      <c r="AB31" s="36"/>
      <c r="AC31" s="37"/>
      <c r="AD31" s="36"/>
      <c r="AE31" s="691"/>
      <c r="AF31" s="40"/>
      <c r="AG31" s="36"/>
      <c r="AH31" s="46"/>
      <c r="AI31" s="236"/>
      <c r="AJ31" s="46"/>
      <c r="AK31" s="234"/>
      <c r="AL31" s="1994"/>
    </row>
    <row r="32" spans="1:38" s="19" customFormat="1">
      <c r="B32" s="217" t="s">
        <v>1006</v>
      </c>
      <c r="E32" s="1489">
        <f>ROUND(SUM(+E27+E22+E30),1)</f>
        <v>91.9</v>
      </c>
      <c r="F32" s="42"/>
      <c r="G32" s="1489">
        <f>ROUND(SUM(+G27+G22+G30),1)</f>
        <v>90.3</v>
      </c>
      <c r="H32" s="42"/>
      <c r="I32" s="1489">
        <f>ROUND(SUM(+I27+I22+I30),1)</f>
        <v>127.2</v>
      </c>
      <c r="J32" s="42"/>
      <c r="K32" s="1489">
        <f>ROUND(SUM(+K27+K22+K30),1)</f>
        <v>86.3</v>
      </c>
      <c r="L32" s="42"/>
      <c r="M32" s="1252">
        <f>ROUND(SUM(+M27+M22+M30),1)</f>
        <v>89.3</v>
      </c>
      <c r="N32" s="42"/>
      <c r="O32" s="1252">
        <f>ROUND(SUM(+O27+O22+O30),1)</f>
        <v>123.3</v>
      </c>
      <c r="P32" s="42"/>
      <c r="Q32" s="1252">
        <f>ROUND(SUM(+Q27+Q22+Q30),1)</f>
        <v>87.5</v>
      </c>
      <c r="R32" s="42"/>
      <c r="S32" s="1252">
        <f>ROUND(SUM(+S27+S22+S30),1)</f>
        <v>86.1</v>
      </c>
      <c r="T32" s="1253"/>
      <c r="U32" s="1252">
        <f t="shared" ref="U32" si="10">ROUND(SUM(+U27+U22+U30),1)</f>
        <v>115.3</v>
      </c>
      <c r="V32" s="42"/>
      <c r="W32" s="1252">
        <f>ROUND(SUM(+W27+W22+W30),1)</f>
        <v>112.6</v>
      </c>
      <c r="X32" s="42"/>
      <c r="Y32" s="1252">
        <f>ROUND(SUM(+Y27+Y22+Y30),1)</f>
        <v>122.2</v>
      </c>
      <c r="Z32" s="42"/>
      <c r="AA32" s="1252">
        <f>ROUND(SUM(+AA27+AA22+AA30),1)</f>
        <v>126.7</v>
      </c>
      <c r="AB32" s="42"/>
      <c r="AC32" s="44"/>
      <c r="AD32" s="1252">
        <f>ROUND(SUM(+AD27+AD22+AD30),1)</f>
        <v>1258.7</v>
      </c>
      <c r="AE32" s="1785"/>
      <c r="AF32" s="55"/>
      <c r="AG32" s="1252">
        <f>ROUND(SUM(+AG27+AG22+AG30),1)</f>
        <v>1312.8</v>
      </c>
      <c r="AH32" s="57"/>
      <c r="AI32" s="236"/>
      <c r="AJ32" s="1252">
        <f>ROUND(SUM(+AJ27+AJ22+AJ30),1)</f>
        <v>-54.1</v>
      </c>
      <c r="AK32" s="544"/>
      <c r="AL32" s="969">
        <f>ROUND(IF(AG32=0,1,AJ32/ABS(AG32)),3)</f>
        <v>-4.1000000000000002E-2</v>
      </c>
    </row>
    <row r="33" spans="1:38">
      <c r="A33" s="21"/>
      <c r="B33" s="499"/>
      <c r="C33" s="21"/>
      <c r="D33" s="21"/>
      <c r="E33" s="480"/>
      <c r="F33" s="467"/>
      <c r="G33" s="480"/>
      <c r="H33" s="467"/>
      <c r="I33" s="496"/>
      <c r="J33" s="467"/>
      <c r="K33" s="496"/>
      <c r="L33" s="467"/>
      <c r="M33" s="467"/>
      <c r="N33" s="467"/>
      <c r="O33" s="467"/>
      <c r="P33" s="36"/>
      <c r="Q33" s="193"/>
      <c r="R33" s="36"/>
      <c r="S33" s="193"/>
      <c r="T33" s="36"/>
      <c r="U33" s="193"/>
      <c r="V33" s="36"/>
      <c r="W33" s="193"/>
      <c r="X33" s="36"/>
      <c r="Y33" s="193"/>
      <c r="Z33" s="36"/>
      <c r="AA33" s="193"/>
      <c r="AB33" s="36"/>
      <c r="AC33" s="37"/>
      <c r="AD33" s="36"/>
      <c r="AE33" s="691"/>
      <c r="AF33" s="40"/>
      <c r="AG33" s="36"/>
      <c r="AH33" s="46"/>
      <c r="AI33" s="236"/>
      <c r="AJ33" s="46"/>
      <c r="AK33" s="234"/>
      <c r="AL33" s="955"/>
    </row>
    <row r="34" spans="1:38">
      <c r="A34" s="21"/>
      <c r="B34" s="117" t="s">
        <v>916</v>
      </c>
      <c r="C34" s="21"/>
      <c r="D34" s="21"/>
      <c r="E34" s="496"/>
      <c r="F34" s="467"/>
      <c r="G34" s="496"/>
      <c r="H34" s="467"/>
      <c r="I34" s="496"/>
      <c r="J34" s="467"/>
      <c r="K34" s="496"/>
      <c r="L34" s="467"/>
      <c r="M34" s="467"/>
      <c r="N34" s="467"/>
      <c r="O34" s="467"/>
      <c r="P34" s="36"/>
      <c r="Q34" s="193"/>
      <c r="R34" s="36"/>
      <c r="S34" s="193"/>
      <c r="T34" s="36"/>
      <c r="U34" s="193"/>
      <c r="V34" s="36"/>
      <c r="W34" s="193"/>
      <c r="X34" s="36"/>
      <c r="Y34" s="193"/>
      <c r="Z34" s="36"/>
      <c r="AA34" s="193"/>
      <c r="AB34" s="36"/>
      <c r="AC34" s="37"/>
      <c r="AD34" s="36"/>
      <c r="AE34" s="52"/>
      <c r="AF34" s="36"/>
      <c r="AG34" s="36"/>
      <c r="AH34" s="46"/>
      <c r="AI34" s="236"/>
      <c r="AJ34" s="46"/>
      <c r="AK34" s="112"/>
      <c r="AL34" s="235"/>
    </row>
    <row r="35" spans="1:38">
      <c r="A35" s="21"/>
      <c r="B35" s="597" t="s">
        <v>1031</v>
      </c>
      <c r="C35" s="499"/>
      <c r="D35" s="21"/>
      <c r="E35" s="496"/>
      <c r="F35" s="467"/>
      <c r="G35" s="496"/>
      <c r="H35" s="467"/>
      <c r="I35" s="496"/>
      <c r="J35" s="467"/>
      <c r="K35" s="496"/>
      <c r="L35" s="467"/>
      <c r="M35" s="467"/>
      <c r="N35" s="467"/>
      <c r="O35" s="467"/>
      <c r="P35" s="36"/>
      <c r="Q35" s="193"/>
      <c r="R35" s="36"/>
      <c r="S35" s="193"/>
      <c r="T35" s="36"/>
      <c r="U35" s="193"/>
      <c r="V35" s="36"/>
      <c r="W35" s="193"/>
      <c r="X35" s="36"/>
      <c r="Y35" s="193"/>
      <c r="Z35" s="36"/>
      <c r="AA35" s="193"/>
      <c r="AB35" s="36"/>
      <c r="AC35" s="37"/>
      <c r="AD35" s="36"/>
      <c r="AE35" s="757"/>
      <c r="AF35" s="36"/>
      <c r="AG35" s="36"/>
      <c r="AH35" s="46"/>
      <c r="AI35" s="236"/>
      <c r="AJ35" s="46"/>
      <c r="AK35" s="112"/>
      <c r="AL35" s="235"/>
    </row>
    <row r="36" spans="1:38">
      <c r="A36" s="21"/>
      <c r="B36" s="597" t="s">
        <v>949</v>
      </c>
      <c r="C36" s="499"/>
      <c r="D36" s="21"/>
      <c r="E36" s="467">
        <v>0</v>
      </c>
      <c r="F36" s="467"/>
      <c r="G36" s="467">
        <v>0</v>
      </c>
      <c r="H36" s="467"/>
      <c r="I36" s="467">
        <v>23</v>
      </c>
      <c r="J36" s="467"/>
      <c r="K36" s="467">
        <v>0</v>
      </c>
      <c r="L36" s="1010"/>
      <c r="M36" s="467">
        <v>0</v>
      </c>
      <c r="N36" s="1010"/>
      <c r="O36" s="467">
        <v>0</v>
      </c>
      <c r="P36" s="1010"/>
      <c r="Q36" s="467">
        <v>0</v>
      </c>
      <c r="R36" s="1010"/>
      <c r="S36" s="467">
        <v>0</v>
      </c>
      <c r="T36" s="1010"/>
      <c r="U36" s="467">
        <v>0</v>
      </c>
      <c r="V36" s="1010"/>
      <c r="W36" s="467">
        <v>0</v>
      </c>
      <c r="X36" s="1010"/>
      <c r="Y36" s="467">
        <v>0</v>
      </c>
      <c r="Z36" s="1010"/>
      <c r="AA36" s="467">
        <f t="shared" ref="AA36:AA59" si="11">$AD36-$E36-$G36-$I36-$K36-$M36-$O36-$Q36-$S36-$U36-$W36-$Y36</f>
        <v>0</v>
      </c>
      <c r="AB36" s="36"/>
      <c r="AC36" s="37"/>
      <c r="AD36" s="467">
        <v>23</v>
      </c>
      <c r="AE36" s="757"/>
      <c r="AF36" s="36"/>
      <c r="AG36" s="467">
        <v>29.6</v>
      </c>
      <c r="AH36" s="46"/>
      <c r="AI36" s="236"/>
      <c r="AJ36" s="36">
        <f t="shared" ref="AJ36:AJ59" si="12">ROUND(AD36-AG36,1)</f>
        <v>-6.6</v>
      </c>
      <c r="AK36" s="112"/>
      <c r="AL36" s="955">
        <f>ROUND(IF(AG36=0,0,AJ36/ABS(AG36)),3)</f>
        <v>-0.223</v>
      </c>
    </row>
    <row r="37" spans="1:38">
      <c r="A37" s="21"/>
      <c r="B37" s="597" t="s">
        <v>1032</v>
      </c>
      <c r="C37" s="499"/>
      <c r="D37" s="21"/>
      <c r="E37" s="467" t="s">
        <v>14</v>
      </c>
      <c r="F37" s="467"/>
      <c r="G37" s="467"/>
      <c r="H37" s="467"/>
      <c r="I37" s="467"/>
      <c r="J37" s="467"/>
      <c r="K37" s="467"/>
      <c r="L37" s="1010"/>
      <c r="M37" s="467"/>
      <c r="N37" s="1010"/>
      <c r="O37" s="467" t="s">
        <v>14</v>
      </c>
      <c r="P37" s="1010"/>
      <c r="Q37" s="467" t="s">
        <v>14</v>
      </c>
      <c r="R37" s="1010"/>
      <c r="S37" s="467" t="s">
        <v>14</v>
      </c>
      <c r="T37" s="1010"/>
      <c r="U37" s="467"/>
      <c r="V37" s="1010"/>
      <c r="W37" s="467"/>
      <c r="X37" s="1010"/>
      <c r="Y37" s="467"/>
      <c r="Z37" s="1010"/>
      <c r="AA37" s="467"/>
      <c r="AB37" s="36"/>
      <c r="AC37" s="37"/>
      <c r="AD37" s="193"/>
      <c r="AE37" s="757"/>
      <c r="AF37" s="36"/>
      <c r="AG37" s="193"/>
      <c r="AH37" s="46"/>
      <c r="AI37" s="236"/>
      <c r="AJ37" s="36"/>
      <c r="AK37" s="112"/>
      <c r="AL37" s="235"/>
    </row>
    <row r="38" spans="1:38">
      <c r="A38" s="21"/>
      <c r="B38" s="597" t="s">
        <v>950</v>
      </c>
      <c r="C38" s="499"/>
      <c r="D38" s="21"/>
      <c r="E38" s="467">
        <v>7.1</v>
      </c>
      <c r="F38" s="467"/>
      <c r="G38" s="467">
        <v>5.9</v>
      </c>
      <c r="H38" s="467"/>
      <c r="I38" s="467">
        <v>5.6999999999999993</v>
      </c>
      <c r="J38" s="467"/>
      <c r="K38" s="467">
        <v>5.4000000000000021</v>
      </c>
      <c r="L38" s="1010"/>
      <c r="M38" s="467">
        <v>5.1999999999999993</v>
      </c>
      <c r="N38" s="1010"/>
      <c r="O38" s="467">
        <v>5.8000000000000007</v>
      </c>
      <c r="P38" s="1010"/>
      <c r="Q38" s="467">
        <v>5.3999999999999986</v>
      </c>
      <c r="R38" s="1010"/>
      <c r="S38" s="467">
        <v>5.3</v>
      </c>
      <c r="T38" s="1010"/>
      <c r="U38" s="467">
        <v>5.1999999999999966</v>
      </c>
      <c r="V38" s="1010"/>
      <c r="W38" s="467">
        <v>5.1999999999999984</v>
      </c>
      <c r="X38" s="1010"/>
      <c r="Y38" s="467">
        <v>5.5999999999999917</v>
      </c>
      <c r="Z38" s="1010"/>
      <c r="AA38" s="467">
        <f t="shared" si="11"/>
        <v>5.4000000000000083</v>
      </c>
      <c r="AB38" s="36"/>
      <c r="AC38" s="37"/>
      <c r="AD38" s="467">
        <v>67.2</v>
      </c>
      <c r="AE38" s="757"/>
      <c r="AF38" s="36"/>
      <c r="AG38" s="467">
        <v>78</v>
      </c>
      <c r="AH38" s="46"/>
      <c r="AI38" s="236"/>
      <c r="AJ38" s="36">
        <f t="shared" si="12"/>
        <v>-10.8</v>
      </c>
      <c r="AK38" s="112"/>
      <c r="AL38" s="955">
        <f>ROUND(IF(AG38=0,0,AJ38/ABS(AG38)),3)</f>
        <v>-0.13800000000000001</v>
      </c>
    </row>
    <row r="39" spans="1:38">
      <c r="A39" s="21"/>
      <c r="B39" s="597" t="s">
        <v>1036</v>
      </c>
      <c r="C39" s="499"/>
      <c r="D39" s="21"/>
      <c r="E39" s="467" t="s">
        <v>14</v>
      </c>
      <c r="F39" s="467"/>
      <c r="G39" s="467"/>
      <c r="H39" s="467"/>
      <c r="I39" s="467"/>
      <c r="J39" s="467"/>
      <c r="K39" s="467"/>
      <c r="L39" s="1010"/>
      <c r="M39" s="467"/>
      <c r="N39" s="1010"/>
      <c r="O39" s="467" t="s">
        <v>14</v>
      </c>
      <c r="P39" s="1010"/>
      <c r="Q39" s="467" t="s">
        <v>14</v>
      </c>
      <c r="R39" s="1010"/>
      <c r="S39" s="467" t="s">
        <v>14</v>
      </c>
      <c r="T39" s="1010"/>
      <c r="U39" s="467"/>
      <c r="V39" s="1010"/>
      <c r="W39" s="467"/>
      <c r="X39" s="1010"/>
      <c r="Y39" s="467"/>
      <c r="Z39" s="1010"/>
      <c r="AA39" s="467"/>
      <c r="AB39" s="36"/>
      <c r="AC39" s="37"/>
      <c r="AD39" s="193"/>
      <c r="AE39" s="757"/>
      <c r="AF39" s="36"/>
      <c r="AG39" s="193"/>
      <c r="AH39" s="46"/>
      <c r="AI39" s="236"/>
      <c r="AJ39" s="36"/>
      <c r="AK39" s="112"/>
      <c r="AL39" s="235"/>
    </row>
    <row r="40" spans="1:38">
      <c r="A40" s="21"/>
      <c r="B40" s="597" t="s">
        <v>954</v>
      </c>
      <c r="C40" s="499"/>
      <c r="D40" s="21"/>
      <c r="E40" s="467">
        <v>3.3</v>
      </c>
      <c r="F40" s="467"/>
      <c r="G40" s="467">
        <v>1.2000000000000002</v>
      </c>
      <c r="H40" s="467"/>
      <c r="I40" s="467">
        <v>1.4000000000000004</v>
      </c>
      <c r="J40" s="467"/>
      <c r="K40" s="467">
        <v>1</v>
      </c>
      <c r="L40" s="1010"/>
      <c r="M40" s="467">
        <v>1.7999999999999989</v>
      </c>
      <c r="N40" s="1010"/>
      <c r="O40" s="467">
        <v>2.4000000000000004</v>
      </c>
      <c r="P40" s="1010"/>
      <c r="Q40" s="467">
        <v>8.0000000000000018</v>
      </c>
      <c r="R40" s="1010"/>
      <c r="S40" s="467">
        <v>2.6</v>
      </c>
      <c r="T40" s="1010"/>
      <c r="U40" s="467">
        <v>2.6999999999999988</v>
      </c>
      <c r="V40" s="1010"/>
      <c r="W40" s="467">
        <v>2.9000000000000026</v>
      </c>
      <c r="X40" s="1010"/>
      <c r="Y40" s="467">
        <v>1.3999999999999981</v>
      </c>
      <c r="Z40" s="1010"/>
      <c r="AA40" s="467">
        <f t="shared" si="11"/>
        <v>3.1000000000000019</v>
      </c>
      <c r="AB40" s="36"/>
      <c r="AC40" s="37"/>
      <c r="AD40" s="467">
        <v>31.8</v>
      </c>
      <c r="AE40" s="757"/>
      <c r="AF40" s="36"/>
      <c r="AG40" s="467">
        <v>30.7</v>
      </c>
      <c r="AH40" s="46"/>
      <c r="AI40" s="236"/>
      <c r="AJ40" s="36">
        <f t="shared" si="12"/>
        <v>1.1000000000000001</v>
      </c>
      <c r="AK40" s="112"/>
      <c r="AL40" s="955">
        <f>ROUND(IF(AG40=0,0,AJ40/ABS(AG40)),3)</f>
        <v>3.5999999999999997E-2</v>
      </c>
    </row>
    <row r="41" spans="1:38">
      <c r="A41" s="21"/>
      <c r="B41" s="597" t="s">
        <v>1091</v>
      </c>
      <c r="C41" s="499"/>
      <c r="D41" s="21"/>
      <c r="E41" s="467">
        <v>0</v>
      </c>
      <c r="F41" s="467"/>
      <c r="G41" s="467">
        <v>0</v>
      </c>
      <c r="H41" s="467"/>
      <c r="I41" s="467">
        <v>0</v>
      </c>
      <c r="J41" s="467"/>
      <c r="K41" s="467">
        <v>0</v>
      </c>
      <c r="L41" s="1010"/>
      <c r="M41" s="467">
        <v>0</v>
      </c>
      <c r="N41" s="1010"/>
      <c r="O41" s="467">
        <v>0</v>
      </c>
      <c r="P41" s="1010"/>
      <c r="Q41" s="467">
        <v>0</v>
      </c>
      <c r="R41" s="1010"/>
      <c r="S41" s="467">
        <v>0</v>
      </c>
      <c r="T41" s="1010"/>
      <c r="U41" s="467">
        <v>0</v>
      </c>
      <c r="V41" s="1010"/>
      <c r="W41" s="467">
        <v>0</v>
      </c>
      <c r="X41" s="1010"/>
      <c r="Y41" s="467">
        <v>0</v>
      </c>
      <c r="Z41" s="1010"/>
      <c r="AA41" s="467">
        <f t="shared" si="11"/>
        <v>0</v>
      </c>
      <c r="AB41" s="36"/>
      <c r="AC41" s="37"/>
      <c r="AD41" s="467">
        <v>0</v>
      </c>
      <c r="AE41" s="1786"/>
      <c r="AF41" s="36"/>
      <c r="AG41" s="467">
        <v>0</v>
      </c>
      <c r="AH41" s="46"/>
      <c r="AI41" s="236"/>
      <c r="AJ41" s="36">
        <f>ROUND(AD41-AG41,1)</f>
        <v>0</v>
      </c>
      <c r="AK41" s="112"/>
      <c r="AL41" s="469">
        <f>ROUND(IF(AG41=0,0,AJ41/ABS(AG41)),3)</f>
        <v>0</v>
      </c>
    </row>
    <row r="42" spans="1:38">
      <c r="A42" s="21"/>
      <c r="B42" s="597" t="s">
        <v>957</v>
      </c>
      <c r="C42" s="499"/>
      <c r="D42" s="21"/>
      <c r="E42" s="467">
        <v>60</v>
      </c>
      <c r="F42" s="467"/>
      <c r="G42" s="467">
        <v>57</v>
      </c>
      <c r="H42" s="467"/>
      <c r="I42" s="467">
        <v>55.900000000000006</v>
      </c>
      <c r="J42" s="467"/>
      <c r="K42" s="467">
        <v>58.900000000000006</v>
      </c>
      <c r="L42" s="1010"/>
      <c r="M42" s="467">
        <v>54.800000000000011</v>
      </c>
      <c r="N42" s="1010"/>
      <c r="O42" s="467">
        <v>54.199999999999989</v>
      </c>
      <c r="P42" s="1010"/>
      <c r="Q42" s="467">
        <v>57.399999999999977</v>
      </c>
      <c r="R42" s="1010"/>
      <c r="S42" s="467">
        <v>46.9</v>
      </c>
      <c r="T42" s="1010"/>
      <c r="U42" s="467">
        <v>58.000000000000092</v>
      </c>
      <c r="V42" s="1010"/>
      <c r="W42" s="467">
        <v>55.299999999999947</v>
      </c>
      <c r="X42" s="1010"/>
      <c r="Y42" s="467">
        <v>51.800000000000075</v>
      </c>
      <c r="Z42" s="1010"/>
      <c r="AA42" s="467">
        <f t="shared" si="11"/>
        <v>49.599999999999902</v>
      </c>
      <c r="AB42" s="36"/>
      <c r="AC42" s="37"/>
      <c r="AD42" s="1875">
        <v>659.8</v>
      </c>
      <c r="AE42" s="757"/>
      <c r="AF42" s="36"/>
      <c r="AG42" s="467">
        <v>697.7</v>
      </c>
      <c r="AH42" s="46"/>
      <c r="AI42" s="236"/>
      <c r="AJ42" s="36">
        <f t="shared" si="12"/>
        <v>-37.9</v>
      </c>
      <c r="AK42" s="112"/>
      <c r="AL42" s="955">
        <f>ROUND(IF(AG42=0,0,AJ42/ABS(AG42)),3)</f>
        <v>-5.3999999999999999E-2</v>
      </c>
    </row>
    <row r="43" spans="1:38">
      <c r="A43" s="21"/>
      <c r="B43" s="597" t="s">
        <v>958</v>
      </c>
      <c r="C43" s="499"/>
      <c r="D43" s="21"/>
      <c r="E43" s="467">
        <v>1.4</v>
      </c>
      <c r="F43" s="467"/>
      <c r="G43" s="467">
        <v>7</v>
      </c>
      <c r="H43" s="467"/>
      <c r="I43" s="467">
        <v>1.5000000000000004</v>
      </c>
      <c r="J43" s="467"/>
      <c r="K43" s="467">
        <v>5.2999999999999989</v>
      </c>
      <c r="L43" s="1010"/>
      <c r="M43" s="467">
        <v>5.5</v>
      </c>
      <c r="N43" s="1010"/>
      <c r="O43" s="467">
        <v>1.5000000000000018</v>
      </c>
      <c r="P43" s="1010"/>
      <c r="Q43" s="467">
        <v>2.6999999999999993</v>
      </c>
      <c r="R43" s="1010"/>
      <c r="S43" s="467">
        <v>0</v>
      </c>
      <c r="T43" s="1010"/>
      <c r="U43" s="467">
        <v>3.1000000000000014</v>
      </c>
      <c r="V43" s="1010"/>
      <c r="W43" s="467">
        <v>0</v>
      </c>
      <c r="X43" s="1010"/>
      <c r="Y43" s="467">
        <v>0</v>
      </c>
      <c r="Z43" s="1010"/>
      <c r="AA43" s="467">
        <f t="shared" si="11"/>
        <v>8.2000000000000046</v>
      </c>
      <c r="AB43" s="36"/>
      <c r="AC43" s="37"/>
      <c r="AD43" s="467">
        <v>36.200000000000003</v>
      </c>
      <c r="AE43" s="757"/>
      <c r="AF43" s="36"/>
      <c r="AG43" s="467">
        <v>34.799999999999997</v>
      </c>
      <c r="AH43" s="46"/>
      <c r="AI43" s="236"/>
      <c r="AJ43" s="36">
        <f t="shared" si="12"/>
        <v>1.4</v>
      </c>
      <c r="AK43" s="112"/>
      <c r="AL43" s="978">
        <f>ROUND(IF(AG43=0,1,AJ43/ABS(AG43)),3)</f>
        <v>0.04</v>
      </c>
    </row>
    <row r="44" spans="1:38">
      <c r="A44" s="21"/>
      <c r="B44" s="597" t="s">
        <v>917</v>
      </c>
      <c r="C44" s="499"/>
      <c r="D44" s="21"/>
      <c r="E44" s="467">
        <v>1.8</v>
      </c>
      <c r="F44" s="467"/>
      <c r="G44" s="467">
        <v>2.2999999999999998</v>
      </c>
      <c r="H44" s="467"/>
      <c r="I44" s="467">
        <v>1.9999999999999998</v>
      </c>
      <c r="J44" s="467"/>
      <c r="K44" s="467">
        <v>1.3000000000000005</v>
      </c>
      <c r="L44" s="1010"/>
      <c r="M44" s="467">
        <v>1.9999999999999998</v>
      </c>
      <c r="N44" s="1010"/>
      <c r="O44" s="467">
        <v>1.7999999999999983</v>
      </c>
      <c r="P44" s="1010"/>
      <c r="Q44" s="467">
        <v>2.2999999999999998</v>
      </c>
      <c r="R44" s="1010"/>
      <c r="S44" s="467">
        <v>1.6</v>
      </c>
      <c r="T44" s="1010"/>
      <c r="U44" s="467">
        <v>2.300000000000002</v>
      </c>
      <c r="V44" s="1010"/>
      <c r="W44" s="467">
        <v>2.2999999999999958</v>
      </c>
      <c r="X44" s="1010"/>
      <c r="Y44" s="467">
        <v>1</v>
      </c>
      <c r="Z44" s="1010"/>
      <c r="AA44" s="467">
        <f t="shared" si="11"/>
        <v>2.5000000000000013</v>
      </c>
      <c r="AB44" s="36"/>
      <c r="AC44" s="37"/>
      <c r="AD44" s="467">
        <v>23.2</v>
      </c>
      <c r="AE44" s="757"/>
      <c r="AF44" s="36"/>
      <c r="AG44" s="467">
        <v>25.3</v>
      </c>
      <c r="AH44" s="46"/>
      <c r="AI44" s="236"/>
      <c r="AJ44" s="36">
        <f t="shared" si="12"/>
        <v>-2.1</v>
      </c>
      <c r="AK44" s="112"/>
      <c r="AL44" s="978">
        <f>ROUND(IF(AG44=0,1,AJ44/ABS(AG44)),3)</f>
        <v>-8.3000000000000004E-2</v>
      </c>
    </row>
    <row r="45" spans="1:38">
      <c r="A45" s="21"/>
      <c r="B45" s="597" t="s">
        <v>918</v>
      </c>
      <c r="C45" s="499"/>
      <c r="D45" s="21"/>
      <c r="E45" s="467">
        <v>0.1</v>
      </c>
      <c r="F45" s="467"/>
      <c r="G45" s="467">
        <v>0.1</v>
      </c>
      <c r="H45" s="467"/>
      <c r="I45" s="467">
        <v>0.30000000000000004</v>
      </c>
      <c r="J45" s="467"/>
      <c r="K45" s="467">
        <v>0.5</v>
      </c>
      <c r="L45" s="1010"/>
      <c r="M45" s="467">
        <v>0.60000000000000009</v>
      </c>
      <c r="N45" s="1010"/>
      <c r="O45" s="467">
        <v>0.89999999999999969</v>
      </c>
      <c r="P45" s="1010"/>
      <c r="Q45" s="467">
        <v>1.0000000000000002</v>
      </c>
      <c r="R45" s="1010"/>
      <c r="S45" s="467">
        <v>1.4</v>
      </c>
      <c r="T45" s="1010"/>
      <c r="U45" s="467">
        <v>1.600000000000001</v>
      </c>
      <c r="V45" s="1010"/>
      <c r="W45" s="467">
        <v>1.9000000000000004</v>
      </c>
      <c r="X45" s="1010"/>
      <c r="Y45" s="467">
        <v>2.1999999999999975</v>
      </c>
      <c r="Z45" s="1010"/>
      <c r="AA45" s="467">
        <f t="shared" si="11"/>
        <v>2</v>
      </c>
      <c r="AB45" s="36"/>
      <c r="AC45" s="37"/>
      <c r="AD45" s="467">
        <v>12.6</v>
      </c>
      <c r="AE45" s="757"/>
      <c r="AF45" s="36"/>
      <c r="AG45" s="467">
        <v>0.4</v>
      </c>
      <c r="AH45" s="46"/>
      <c r="AI45" s="236"/>
      <c r="AJ45" s="36">
        <f t="shared" si="12"/>
        <v>12.2</v>
      </c>
      <c r="AK45" s="112"/>
      <c r="AL45" s="2054">
        <f>ROUND(IF(AG45=0,1,AJ45/ABS(AG45)),3)</f>
        <v>30.5</v>
      </c>
    </row>
    <row r="46" spans="1:38">
      <c r="A46" s="21"/>
      <c r="B46" s="597" t="s">
        <v>935</v>
      </c>
      <c r="C46" s="499"/>
      <c r="D46" s="21"/>
      <c r="E46" s="467">
        <v>0</v>
      </c>
      <c r="F46" s="467"/>
      <c r="G46" s="467">
        <v>0.2</v>
      </c>
      <c r="H46" s="467"/>
      <c r="I46" s="467">
        <v>0.3</v>
      </c>
      <c r="J46" s="467"/>
      <c r="K46" s="467">
        <v>0</v>
      </c>
      <c r="L46" s="1010"/>
      <c r="M46" s="467">
        <v>0</v>
      </c>
      <c r="N46" s="1010"/>
      <c r="O46" s="467">
        <v>9.9999999999999978E-2</v>
      </c>
      <c r="P46" s="1010"/>
      <c r="Q46" s="467">
        <v>0</v>
      </c>
      <c r="R46" s="1010"/>
      <c r="S46" s="467">
        <v>0</v>
      </c>
      <c r="T46" s="1010"/>
      <c r="U46" s="467">
        <v>0</v>
      </c>
      <c r="V46" s="1010"/>
      <c r="W46" s="467">
        <v>0</v>
      </c>
      <c r="X46" s="1010"/>
      <c r="Y46" s="467">
        <v>0</v>
      </c>
      <c r="Z46" s="1010"/>
      <c r="AA46" s="467">
        <f t="shared" si="11"/>
        <v>0</v>
      </c>
      <c r="AB46" s="36"/>
      <c r="AC46" s="37"/>
      <c r="AD46" s="467">
        <v>0.6</v>
      </c>
      <c r="AE46" s="757"/>
      <c r="AF46" s="36"/>
      <c r="AG46" s="467">
        <v>0.5</v>
      </c>
      <c r="AH46" s="46"/>
      <c r="AI46" s="236"/>
      <c r="AJ46" s="36">
        <f>ROUND(AD46-AG46,1)</f>
        <v>0.1</v>
      </c>
      <c r="AK46" s="112"/>
      <c r="AL46" s="955">
        <f>ROUND(IF(AG46=0,1,AJ46/ABS(AG46)),3)</f>
        <v>0.2</v>
      </c>
    </row>
    <row r="47" spans="1:38">
      <c r="A47" s="21"/>
      <c r="B47" s="597" t="s">
        <v>1034</v>
      </c>
      <c r="C47" s="499"/>
      <c r="D47" s="21"/>
      <c r="E47" s="467" t="s">
        <v>14</v>
      </c>
      <c r="F47" s="467"/>
      <c r="G47" s="467"/>
      <c r="H47" s="467"/>
      <c r="I47" s="467"/>
      <c r="J47" s="467"/>
      <c r="K47" s="467"/>
      <c r="L47" s="1010"/>
      <c r="M47" s="467"/>
      <c r="N47" s="1010"/>
      <c r="O47" s="467" t="s">
        <v>14</v>
      </c>
      <c r="P47" s="1010"/>
      <c r="Q47" s="467" t="s">
        <v>14</v>
      </c>
      <c r="R47" s="1010"/>
      <c r="S47" s="467" t="s">
        <v>14</v>
      </c>
      <c r="T47" s="1010"/>
      <c r="U47" s="467"/>
      <c r="V47" s="1010"/>
      <c r="W47" s="467"/>
      <c r="X47" s="1010"/>
      <c r="Y47" s="467"/>
      <c r="Z47" s="1010"/>
      <c r="AA47" s="467"/>
      <c r="AB47" s="36"/>
      <c r="AC47" s="37"/>
      <c r="AD47" s="193"/>
      <c r="AE47" s="757"/>
      <c r="AF47" s="36"/>
      <c r="AG47" s="193"/>
      <c r="AH47" s="46"/>
      <c r="AI47" s="236"/>
      <c r="AJ47" s="36"/>
      <c r="AK47" s="112"/>
      <c r="AL47" s="235"/>
    </row>
    <row r="48" spans="1:38">
      <c r="A48" s="21"/>
      <c r="B48" s="597" t="s">
        <v>961</v>
      </c>
      <c r="C48" s="499"/>
      <c r="D48" s="21"/>
      <c r="E48" s="467">
        <v>882.7</v>
      </c>
      <c r="F48" s="467"/>
      <c r="G48" s="467">
        <v>972.59999999999991</v>
      </c>
      <c r="H48" s="467"/>
      <c r="I48" s="467">
        <v>513.00000000000023</v>
      </c>
      <c r="J48" s="467"/>
      <c r="K48" s="467">
        <v>51.5</v>
      </c>
      <c r="L48" s="1010"/>
      <c r="M48" s="467">
        <v>271.89999999999986</v>
      </c>
      <c r="N48" s="1010"/>
      <c r="O48" s="467">
        <v>683.10000000000036</v>
      </c>
      <c r="P48" s="1010"/>
      <c r="Q48" s="467">
        <v>487.59999999999945</v>
      </c>
      <c r="R48" s="1010"/>
      <c r="S48" s="467">
        <v>351.5</v>
      </c>
      <c r="T48" s="1010"/>
      <c r="U48" s="467">
        <v>587</v>
      </c>
      <c r="V48" s="1010"/>
      <c r="W48" s="467">
        <v>0</v>
      </c>
      <c r="X48" s="1010"/>
      <c r="Y48" s="467">
        <v>0.3000000000001819</v>
      </c>
      <c r="Z48" s="1010"/>
      <c r="AA48" s="467">
        <f t="shared" si="11"/>
        <v>495.80000000000018</v>
      </c>
      <c r="AB48" s="36"/>
      <c r="AC48" s="37"/>
      <c r="AD48" s="467">
        <v>5297</v>
      </c>
      <c r="AE48" s="757"/>
      <c r="AF48" s="36"/>
      <c r="AG48" s="467">
        <v>3890.9</v>
      </c>
      <c r="AH48" s="46"/>
      <c r="AI48" s="236"/>
      <c r="AJ48" s="36">
        <f t="shared" si="12"/>
        <v>1406.1</v>
      </c>
      <c r="AK48" s="112"/>
      <c r="AL48" s="1995">
        <f>ROUND(IF(AG48=0,0,AJ48/ABS(AG48)),3)</f>
        <v>0.36099999999999999</v>
      </c>
    </row>
    <row r="49" spans="1:41" s="660" customFormat="1">
      <c r="B49" s="597" t="s">
        <v>963</v>
      </c>
      <c r="C49" s="499"/>
      <c r="D49" s="499"/>
      <c r="E49" s="467">
        <v>0</v>
      </c>
      <c r="F49" s="496"/>
      <c r="G49" s="467">
        <v>0</v>
      </c>
      <c r="H49" s="496"/>
      <c r="I49" s="467">
        <v>0</v>
      </c>
      <c r="J49" s="496"/>
      <c r="K49" s="467">
        <v>0</v>
      </c>
      <c r="L49" s="1010"/>
      <c r="M49" s="467">
        <v>0</v>
      </c>
      <c r="N49" s="1010"/>
      <c r="O49" s="467">
        <v>0</v>
      </c>
      <c r="P49" s="1010"/>
      <c r="Q49" s="467">
        <v>0</v>
      </c>
      <c r="R49" s="1010"/>
      <c r="S49" s="467">
        <v>0</v>
      </c>
      <c r="T49" s="1010"/>
      <c r="U49" s="467">
        <v>0</v>
      </c>
      <c r="V49" s="1010"/>
      <c r="W49" s="467">
        <v>0</v>
      </c>
      <c r="X49" s="1010"/>
      <c r="Y49" s="467">
        <v>0</v>
      </c>
      <c r="Z49" s="1010"/>
      <c r="AA49" s="467">
        <f t="shared" si="11"/>
        <v>0</v>
      </c>
      <c r="AB49" s="467"/>
      <c r="AC49" s="939"/>
      <c r="AD49" s="467">
        <v>0</v>
      </c>
      <c r="AE49" s="1787"/>
      <c r="AF49" s="467"/>
      <c r="AG49" s="467">
        <v>0</v>
      </c>
      <c r="AH49" s="493"/>
      <c r="AI49" s="236"/>
      <c r="AJ49" s="467">
        <f t="shared" si="12"/>
        <v>0</v>
      </c>
      <c r="AK49" s="472"/>
      <c r="AL49" s="469">
        <f>ROUND(IF(AG49=0,0,AJ49/ABS(AG49)),3)</f>
        <v>0</v>
      </c>
    </row>
    <row r="50" spans="1:41">
      <c r="A50" s="21"/>
      <c r="B50" s="597" t="s">
        <v>964</v>
      </c>
      <c r="C50" s="499"/>
      <c r="D50" s="21"/>
      <c r="E50" s="467">
        <v>0.4</v>
      </c>
      <c r="F50" s="467"/>
      <c r="G50" s="467">
        <v>-0.10000000000000003</v>
      </c>
      <c r="H50" s="467"/>
      <c r="I50" s="467">
        <v>1.3000000000000003</v>
      </c>
      <c r="J50" s="467"/>
      <c r="K50" s="467">
        <v>0</v>
      </c>
      <c r="L50" s="1010"/>
      <c r="M50" s="467">
        <v>0.79999999999999971</v>
      </c>
      <c r="N50" s="1010"/>
      <c r="O50" s="467">
        <v>-0.3999999999999998</v>
      </c>
      <c r="P50" s="1010"/>
      <c r="Q50" s="467">
        <v>0</v>
      </c>
      <c r="R50" s="1010"/>
      <c r="S50" s="467">
        <v>0</v>
      </c>
      <c r="T50" s="1010"/>
      <c r="U50" s="467">
        <v>9.3000000000000007</v>
      </c>
      <c r="V50" s="1010"/>
      <c r="W50" s="467">
        <v>0.59999999999999964</v>
      </c>
      <c r="X50" s="1010"/>
      <c r="Y50" s="467">
        <v>0</v>
      </c>
      <c r="Z50" s="1010"/>
      <c r="AA50" s="467">
        <f t="shared" si="11"/>
        <v>9.9999999999999645E-2</v>
      </c>
      <c r="AB50" s="36"/>
      <c r="AC50" s="37"/>
      <c r="AD50" s="467">
        <v>12</v>
      </c>
      <c r="AE50" s="757"/>
      <c r="AF50" s="36"/>
      <c r="AG50" s="467">
        <v>11.8</v>
      </c>
      <c r="AH50" s="46"/>
      <c r="AI50" s="236"/>
      <c r="AJ50" s="36">
        <f t="shared" si="12"/>
        <v>0.2</v>
      </c>
      <c r="AK50" s="112"/>
      <c r="AL50" s="978">
        <f>ROUND(IF(AG50=0,1,AJ50/ABS(AG50)),3)</f>
        <v>1.7000000000000001E-2</v>
      </c>
    </row>
    <row r="51" spans="1:41">
      <c r="A51" s="21"/>
      <c r="B51" s="597" t="s">
        <v>936</v>
      </c>
      <c r="C51" s="499"/>
      <c r="D51" s="21"/>
      <c r="E51" s="467">
        <v>2.6</v>
      </c>
      <c r="F51" s="467"/>
      <c r="G51" s="467">
        <v>10.6</v>
      </c>
      <c r="H51" s="467"/>
      <c r="I51" s="467">
        <v>1.8000000000000003</v>
      </c>
      <c r="J51" s="467"/>
      <c r="K51" s="467">
        <v>2.6999999999999988</v>
      </c>
      <c r="L51" s="1010"/>
      <c r="M51" s="467">
        <v>2.1999999999999988</v>
      </c>
      <c r="N51" s="1010"/>
      <c r="O51" s="467">
        <v>0.99999999999999911</v>
      </c>
      <c r="P51" s="1010"/>
      <c r="Q51" s="467">
        <v>1.8000000000000003</v>
      </c>
      <c r="R51" s="1010"/>
      <c r="S51" s="467">
        <v>2</v>
      </c>
      <c r="T51" s="1010"/>
      <c r="U51" s="467">
        <v>1.100000000000001</v>
      </c>
      <c r="V51" s="1010"/>
      <c r="W51" s="467">
        <v>1.1999999999999997</v>
      </c>
      <c r="X51" s="1010"/>
      <c r="Y51" s="467">
        <v>2.399999999999995</v>
      </c>
      <c r="Z51" s="1010"/>
      <c r="AA51" s="467">
        <f t="shared" si="11"/>
        <v>2.3000000000000043</v>
      </c>
      <c r="AB51" s="36"/>
      <c r="AC51" s="37"/>
      <c r="AD51" s="467">
        <v>31.7</v>
      </c>
      <c r="AE51" s="757"/>
      <c r="AF51" s="36"/>
      <c r="AG51" s="467">
        <v>26.3</v>
      </c>
      <c r="AH51" s="46"/>
      <c r="AI51" s="236"/>
      <c r="AJ51" s="36">
        <f t="shared" si="12"/>
        <v>5.4</v>
      </c>
      <c r="AK51" s="112"/>
      <c r="AL51" s="955">
        <f>ROUND(IF(AG51=0,0,AJ51/ABS(AG51)),3)</f>
        <v>0.20499999999999999</v>
      </c>
    </row>
    <row r="52" spans="1:41">
      <c r="A52" s="21"/>
      <c r="B52" s="597" t="s">
        <v>1035</v>
      </c>
      <c r="C52" s="499"/>
      <c r="D52" s="21"/>
      <c r="E52" s="467" t="s">
        <v>14</v>
      </c>
      <c r="F52" s="467"/>
      <c r="G52" s="467"/>
      <c r="H52" s="467"/>
      <c r="I52" s="467"/>
      <c r="J52" s="467"/>
      <c r="K52" s="467"/>
      <c r="L52" s="1010"/>
      <c r="M52" s="467"/>
      <c r="N52" s="1010"/>
      <c r="O52" s="467" t="s">
        <v>14</v>
      </c>
      <c r="P52" s="1010"/>
      <c r="Q52" s="467" t="s">
        <v>14</v>
      </c>
      <c r="R52" s="1010"/>
      <c r="S52" s="467" t="s">
        <v>14</v>
      </c>
      <c r="T52" s="1010"/>
      <c r="U52" s="467"/>
      <c r="V52" s="1010"/>
      <c r="W52" s="467"/>
      <c r="X52" s="1010"/>
      <c r="Y52" s="467"/>
      <c r="Z52" s="1010"/>
      <c r="AA52" s="467"/>
      <c r="AB52" s="36"/>
      <c r="AC52" s="37"/>
      <c r="AD52" s="193"/>
      <c r="AE52" s="757"/>
      <c r="AF52" s="36"/>
      <c r="AG52" s="193"/>
      <c r="AH52" s="46"/>
      <c r="AI52" s="236"/>
      <c r="AJ52" s="36"/>
      <c r="AK52" s="112"/>
      <c r="AL52" s="235"/>
    </row>
    <row r="53" spans="1:41">
      <c r="A53" s="21"/>
      <c r="B53" s="597" t="s">
        <v>965</v>
      </c>
      <c r="C53" s="499"/>
      <c r="D53" s="21"/>
      <c r="E53" s="467">
        <v>0</v>
      </c>
      <c r="F53" s="496"/>
      <c r="G53" s="467">
        <v>0</v>
      </c>
      <c r="H53" s="467"/>
      <c r="I53" s="467">
        <v>0</v>
      </c>
      <c r="J53" s="467"/>
      <c r="K53" s="467">
        <v>0</v>
      </c>
      <c r="L53" s="1010"/>
      <c r="M53" s="467">
        <v>0</v>
      </c>
      <c r="N53" s="1010"/>
      <c r="O53" s="467">
        <v>0</v>
      </c>
      <c r="P53" s="1010"/>
      <c r="Q53" s="467">
        <v>0</v>
      </c>
      <c r="R53" s="1010"/>
      <c r="S53" s="467">
        <v>0</v>
      </c>
      <c r="T53" s="1010"/>
      <c r="U53" s="467">
        <v>0</v>
      </c>
      <c r="V53" s="1010"/>
      <c r="W53" s="467">
        <v>0</v>
      </c>
      <c r="X53" s="1010"/>
      <c r="Y53" s="467">
        <v>0</v>
      </c>
      <c r="Z53" s="1010"/>
      <c r="AA53" s="467">
        <f t="shared" si="11"/>
        <v>0</v>
      </c>
      <c r="AB53" s="36"/>
      <c r="AC53" s="37"/>
      <c r="AD53" s="467">
        <v>0</v>
      </c>
      <c r="AE53" s="757"/>
      <c r="AF53" s="36"/>
      <c r="AG53" s="467">
        <v>0</v>
      </c>
      <c r="AH53" s="46"/>
      <c r="AI53" s="236"/>
      <c r="AJ53" s="36">
        <f t="shared" si="12"/>
        <v>0</v>
      </c>
      <c r="AK53" s="112"/>
      <c r="AL53" s="955">
        <f>ROUND(IF(AG53=0,0,AJ53/ABS(AG53)),3)</f>
        <v>0</v>
      </c>
    </row>
    <row r="54" spans="1:41">
      <c r="A54" s="21"/>
      <c r="B54" s="597" t="s">
        <v>967</v>
      </c>
      <c r="C54" s="499"/>
      <c r="D54" s="21"/>
      <c r="E54" s="467">
        <v>0</v>
      </c>
      <c r="F54" s="496"/>
      <c r="G54" s="467">
        <v>1.3</v>
      </c>
      <c r="H54" s="467"/>
      <c r="I54" s="467">
        <v>1.2</v>
      </c>
      <c r="J54" s="467"/>
      <c r="K54" s="467">
        <v>0.90000000000000013</v>
      </c>
      <c r="L54" s="1010"/>
      <c r="M54" s="467">
        <v>0.29999999999999982</v>
      </c>
      <c r="N54" s="1010"/>
      <c r="O54" s="467">
        <v>2</v>
      </c>
      <c r="P54" s="1010"/>
      <c r="Q54" s="467">
        <v>2</v>
      </c>
      <c r="R54" s="1010"/>
      <c r="S54" s="467">
        <v>0.9</v>
      </c>
      <c r="T54" s="1010"/>
      <c r="U54" s="467">
        <v>1.4999999999999987</v>
      </c>
      <c r="V54" s="1010"/>
      <c r="W54" s="467">
        <v>0.20000000000000107</v>
      </c>
      <c r="X54" s="1010"/>
      <c r="Y54" s="467">
        <v>0.89999999999999947</v>
      </c>
      <c r="Z54" s="1010"/>
      <c r="AA54" s="467">
        <f t="shared" si="11"/>
        <v>1.3000000000000016</v>
      </c>
      <c r="AB54" s="36"/>
      <c r="AC54" s="37"/>
      <c r="AD54" s="467">
        <v>12.5</v>
      </c>
      <c r="AE54" s="757"/>
      <c r="AF54" s="36"/>
      <c r="AG54" s="467">
        <v>24</v>
      </c>
      <c r="AH54" s="46"/>
      <c r="AI54" s="236"/>
      <c r="AJ54" s="36">
        <f t="shared" si="12"/>
        <v>-11.5</v>
      </c>
      <c r="AK54" s="112"/>
      <c r="AL54" s="971">
        <f>ROUND(IF(AG54=0,1,AJ54/ABS(AG54)),3)</f>
        <v>-0.47899999999999998</v>
      </c>
    </row>
    <row r="55" spans="1:41">
      <c r="A55" s="21"/>
      <c r="B55" s="597" t="s">
        <v>968</v>
      </c>
      <c r="C55" s="499"/>
      <c r="D55" s="21"/>
      <c r="E55" s="467">
        <v>5.7</v>
      </c>
      <c r="F55" s="496"/>
      <c r="G55" s="467">
        <v>4.2</v>
      </c>
      <c r="H55" s="467"/>
      <c r="I55" s="467">
        <v>11.100000000000001</v>
      </c>
      <c r="J55" s="467"/>
      <c r="K55" s="467">
        <v>8.5</v>
      </c>
      <c r="L55" s="1010"/>
      <c r="M55" s="467">
        <v>9.7999999999999972</v>
      </c>
      <c r="N55" s="1010"/>
      <c r="O55" s="467">
        <v>10.099999999999994</v>
      </c>
      <c r="P55" s="1010"/>
      <c r="Q55" s="467">
        <v>-0.29999999999999716</v>
      </c>
      <c r="R55" s="1010"/>
      <c r="S55" s="467">
        <v>7.5</v>
      </c>
      <c r="T55" s="1010"/>
      <c r="U55" s="467">
        <v>23.1</v>
      </c>
      <c r="V55" s="1010"/>
      <c r="W55" s="467">
        <v>12.300000000000004</v>
      </c>
      <c r="X55" s="1010"/>
      <c r="Y55" s="467">
        <v>14.299999999999983</v>
      </c>
      <c r="Z55" s="1010"/>
      <c r="AA55" s="467">
        <f t="shared" si="11"/>
        <v>10.700000000000017</v>
      </c>
      <c r="AB55" s="36"/>
      <c r="AC55" s="37"/>
      <c r="AD55" s="1875">
        <v>117</v>
      </c>
      <c r="AE55" s="1164"/>
      <c r="AF55" s="36"/>
      <c r="AG55" s="467">
        <v>79.3</v>
      </c>
      <c r="AH55" s="46"/>
      <c r="AI55" s="236"/>
      <c r="AJ55" s="36">
        <f t="shared" si="12"/>
        <v>37.700000000000003</v>
      </c>
      <c r="AK55" s="112"/>
      <c r="AL55" s="955">
        <f>ROUND(IF(AG55=0,1,AJ55/ABS(AG55)),3)</f>
        <v>0.47499999999999998</v>
      </c>
    </row>
    <row r="56" spans="1:41">
      <c r="A56" s="21"/>
      <c r="B56" s="597" t="s">
        <v>970</v>
      </c>
      <c r="C56" s="499"/>
      <c r="D56" s="21"/>
      <c r="E56" s="467">
        <v>0</v>
      </c>
      <c r="F56" s="496"/>
      <c r="G56" s="467">
        <v>0</v>
      </c>
      <c r="H56" s="467"/>
      <c r="I56" s="467">
        <v>0</v>
      </c>
      <c r="J56" s="467"/>
      <c r="K56" s="467">
        <v>0</v>
      </c>
      <c r="L56" s="1010"/>
      <c r="M56" s="467">
        <v>0</v>
      </c>
      <c r="N56" s="1010"/>
      <c r="O56" s="467">
        <v>0</v>
      </c>
      <c r="P56" s="1010"/>
      <c r="Q56" s="467">
        <v>0</v>
      </c>
      <c r="R56" s="1010"/>
      <c r="S56" s="467">
        <v>0</v>
      </c>
      <c r="T56" s="1010"/>
      <c r="U56" s="467">
        <v>0</v>
      </c>
      <c r="V56" s="1010"/>
      <c r="W56" s="467">
        <v>0</v>
      </c>
      <c r="X56" s="1010"/>
      <c r="Y56" s="467">
        <v>0</v>
      </c>
      <c r="Z56" s="1010"/>
      <c r="AA56" s="467">
        <f t="shared" si="11"/>
        <v>0</v>
      </c>
      <c r="AB56" s="36"/>
      <c r="AC56" s="37"/>
      <c r="AD56" s="467">
        <v>0</v>
      </c>
      <c r="AE56" s="1788"/>
      <c r="AF56" s="36"/>
      <c r="AG56" s="467">
        <v>0.1</v>
      </c>
      <c r="AH56" s="46"/>
      <c r="AI56" s="236"/>
      <c r="AJ56" s="36">
        <f>ROUND(AD56-AG56,1)</f>
        <v>-0.1</v>
      </c>
      <c r="AK56" s="112"/>
      <c r="AL56" s="955">
        <f>ROUND(IF(AG56=0,0,AJ56/ABS(AG56)),3)</f>
        <v>-1</v>
      </c>
    </row>
    <row r="57" spans="1:41">
      <c r="A57" s="21"/>
      <c r="B57" s="597" t="s">
        <v>971</v>
      </c>
      <c r="C57" s="499"/>
      <c r="D57" s="21"/>
      <c r="E57" s="467">
        <v>0.5</v>
      </c>
      <c r="F57" s="496"/>
      <c r="G57" s="467">
        <v>3</v>
      </c>
      <c r="H57" s="467"/>
      <c r="I57" s="467">
        <v>0.20000000000000018</v>
      </c>
      <c r="J57" s="467"/>
      <c r="K57" s="467">
        <v>0.39999999999999947</v>
      </c>
      <c r="L57" s="1010"/>
      <c r="M57" s="467">
        <v>0.20000000000000018</v>
      </c>
      <c r="N57" s="1010"/>
      <c r="O57" s="467">
        <v>0.10000000000000053</v>
      </c>
      <c r="P57" s="1010"/>
      <c r="Q57" s="467">
        <v>0.59999999999999964</v>
      </c>
      <c r="R57" s="1010"/>
      <c r="S57" s="467">
        <v>4.0999999999999996</v>
      </c>
      <c r="T57" s="1010"/>
      <c r="U57" s="467">
        <v>0.20000000000000107</v>
      </c>
      <c r="V57" s="1010"/>
      <c r="W57" s="467">
        <v>9.9999999999999645E-2</v>
      </c>
      <c r="X57" s="1010"/>
      <c r="Y57" s="467">
        <v>9.9999999999999645E-2</v>
      </c>
      <c r="Z57" s="1010"/>
      <c r="AA57" s="467">
        <f t="shared" si="11"/>
        <v>1.1999999999999993</v>
      </c>
      <c r="AB57" s="36"/>
      <c r="AC57" s="37"/>
      <c r="AD57" s="467">
        <v>10.7</v>
      </c>
      <c r="AE57" s="757"/>
      <c r="AF57" s="36"/>
      <c r="AG57" s="467">
        <v>29.1</v>
      </c>
      <c r="AH57" s="46"/>
      <c r="AI57" s="236"/>
      <c r="AJ57" s="36">
        <f t="shared" si="12"/>
        <v>-18.399999999999999</v>
      </c>
      <c r="AK57" s="112"/>
      <c r="AL57" s="1995">
        <f>ROUND(IF(AG57=0,1,AJ57/ABS(AG57)),3)</f>
        <v>-0.63200000000000001</v>
      </c>
    </row>
    <row r="58" spans="1:41">
      <c r="A58" s="21"/>
      <c r="B58" s="597" t="s">
        <v>973</v>
      </c>
      <c r="C58" s="499"/>
      <c r="D58" s="21"/>
      <c r="E58" s="467">
        <v>7.3</v>
      </c>
      <c r="F58" s="496"/>
      <c r="G58" s="467">
        <v>1.8999999999999995</v>
      </c>
      <c r="H58" s="467"/>
      <c r="I58" s="467">
        <v>1.2000000000000002</v>
      </c>
      <c r="J58" s="467"/>
      <c r="K58" s="467">
        <v>1.2000000000000002</v>
      </c>
      <c r="L58" s="1010"/>
      <c r="M58" s="467">
        <v>1.1000000000000023</v>
      </c>
      <c r="N58" s="1010"/>
      <c r="O58" s="467">
        <v>1.299999999999998</v>
      </c>
      <c r="P58" s="1010"/>
      <c r="Q58" s="467">
        <v>2.8</v>
      </c>
      <c r="R58" s="1010"/>
      <c r="S58" s="467">
        <v>3.4</v>
      </c>
      <c r="T58" s="1010"/>
      <c r="U58" s="467">
        <v>0.70000000000000151</v>
      </c>
      <c r="V58" s="1010"/>
      <c r="W58" s="467">
        <v>0.70000000000000284</v>
      </c>
      <c r="X58" s="1010"/>
      <c r="Y58" s="467">
        <v>2.2000000000000002</v>
      </c>
      <c r="Z58" s="1010"/>
      <c r="AA58" s="467">
        <f t="shared" si="11"/>
        <v>0.60000000000000187</v>
      </c>
      <c r="AB58" s="36"/>
      <c r="AC58" s="37"/>
      <c r="AD58" s="1130">
        <v>24.400000000000002</v>
      </c>
      <c r="AE58" s="757"/>
      <c r="AF58" s="36"/>
      <c r="AG58" s="1130">
        <v>41.9</v>
      </c>
      <c r="AH58" s="46"/>
      <c r="AI58" s="236"/>
      <c r="AJ58" s="36">
        <f t="shared" si="12"/>
        <v>-17.5</v>
      </c>
      <c r="AK58" s="112"/>
      <c r="AL58" s="971">
        <f>ROUND(IF(AG58=0,0,AJ58/ABS(AG58)),3)</f>
        <v>-0.41799999999999998</v>
      </c>
    </row>
    <row r="59" spans="1:41">
      <c r="A59" s="21"/>
      <c r="B59" s="597" t="s">
        <v>946</v>
      </c>
      <c r="C59" s="499"/>
      <c r="D59" s="21"/>
      <c r="E59" s="467">
        <v>0</v>
      </c>
      <c r="F59" s="496"/>
      <c r="G59" s="467">
        <v>0.2</v>
      </c>
      <c r="H59" s="467"/>
      <c r="I59" s="467">
        <v>0</v>
      </c>
      <c r="J59" s="467"/>
      <c r="K59" s="467">
        <v>0</v>
      </c>
      <c r="L59" s="1010"/>
      <c r="M59" s="467">
        <v>0</v>
      </c>
      <c r="N59" s="1010"/>
      <c r="O59" s="467">
        <v>9.9999999999999978E-2</v>
      </c>
      <c r="P59" s="1010"/>
      <c r="Q59" s="467">
        <v>0</v>
      </c>
      <c r="R59" s="1010"/>
      <c r="S59" s="467">
        <v>0</v>
      </c>
      <c r="T59" s="1010"/>
      <c r="U59" s="467">
        <v>0</v>
      </c>
      <c r="V59" s="1010"/>
      <c r="W59" s="467">
        <v>0</v>
      </c>
      <c r="X59" s="1010"/>
      <c r="Y59" s="467">
        <v>2.5999999999999996</v>
      </c>
      <c r="Z59" s="1010"/>
      <c r="AA59" s="467">
        <f t="shared" si="11"/>
        <v>0</v>
      </c>
      <c r="AB59" s="36"/>
      <c r="AC59" s="37"/>
      <c r="AD59" s="1130">
        <v>2.9</v>
      </c>
      <c r="AE59" s="757"/>
      <c r="AF59" s="36"/>
      <c r="AG59" s="1130">
        <v>6.6</v>
      </c>
      <c r="AH59" s="46"/>
      <c r="AI59" s="236"/>
      <c r="AJ59" s="36">
        <f t="shared" si="12"/>
        <v>-3.7</v>
      </c>
      <c r="AK59" s="112"/>
      <c r="AL59" s="1025">
        <f>ROUND(IF(AG59=0,1,AJ59/ABS(AG59)),3)</f>
        <v>-0.56100000000000005</v>
      </c>
      <c r="AN59" s="1490"/>
    </row>
    <row r="60" spans="1:41" s="19" customFormat="1" collapsed="1">
      <c r="B60" s="217" t="s">
        <v>1074</v>
      </c>
      <c r="E60" s="178">
        <f>ROUND(SUM(E34:E59),1)</f>
        <v>972.9</v>
      </c>
      <c r="F60" s="42"/>
      <c r="G60" s="178">
        <f>ROUND(SUM(G34:G59),1)</f>
        <v>1067.4000000000001</v>
      </c>
      <c r="H60" s="693"/>
      <c r="I60" s="178">
        <f>ROUND(SUM(I34:I59),1)</f>
        <v>619.9</v>
      </c>
      <c r="J60" s="42"/>
      <c r="K60" s="178">
        <f>ROUND(SUM(K34:K59),1)</f>
        <v>137.6</v>
      </c>
      <c r="L60" s="467"/>
      <c r="M60" s="178">
        <f>ROUND(SUM(M34:M59),1)</f>
        <v>356.2</v>
      </c>
      <c r="N60" s="467"/>
      <c r="O60" s="178">
        <f>ROUND(SUM(O34:O59),1)</f>
        <v>764</v>
      </c>
      <c r="P60" s="36"/>
      <c r="Q60" s="178">
        <f>ROUND(SUM(Q34:Q59),1)</f>
        <v>571.29999999999995</v>
      </c>
      <c r="R60" s="36"/>
      <c r="S60" s="178">
        <f>ROUND(SUM(S34:S59),1)</f>
        <v>427.2</v>
      </c>
      <c r="T60" s="42"/>
      <c r="U60" s="178">
        <f t="shared" ref="U60" si="13">ROUND(SUM(U34:U59),1)</f>
        <v>695.8</v>
      </c>
      <c r="V60" s="36"/>
      <c r="W60" s="178">
        <f>ROUND(SUM(W34:W59),1)</f>
        <v>82.7</v>
      </c>
      <c r="X60" s="36"/>
      <c r="Y60" s="178">
        <f>ROUND(SUM(Y34:Y59),1)</f>
        <v>84.8</v>
      </c>
      <c r="Z60" s="36"/>
      <c r="AA60" s="178">
        <f>ROUND(SUM(AA34:AA59),1)</f>
        <v>582.79999999999995</v>
      </c>
      <c r="AB60" s="42"/>
      <c r="AC60" s="44"/>
      <c r="AD60" s="178">
        <f>ROUND(SUM(AD34:AD59),1)</f>
        <v>6362.6</v>
      </c>
      <c r="AE60" s="143"/>
      <c r="AF60" s="42"/>
      <c r="AG60" s="178">
        <f>ROUND(SUM(AG34:AG59),1)</f>
        <v>5007</v>
      </c>
      <c r="AH60" s="57"/>
      <c r="AI60" s="236"/>
      <c r="AJ60" s="178">
        <f>ROUND(SUM(AJ34:AJ59),1)</f>
        <v>1355.6</v>
      </c>
      <c r="AK60" s="111"/>
      <c r="AL60" s="962">
        <f>ROUND(IF(AG60=0,0,AJ60/ABS(AG60)),3)</f>
        <v>0.27100000000000002</v>
      </c>
    </row>
    <row r="61" spans="1:41" s="19" customFormat="1">
      <c r="B61" s="217"/>
      <c r="E61" s="42"/>
      <c r="F61" s="42"/>
      <c r="G61" s="42"/>
      <c r="H61" s="693"/>
      <c r="I61" s="42"/>
      <c r="J61" s="42"/>
      <c r="K61" s="42"/>
      <c r="L61" s="1010"/>
      <c r="M61" s="919"/>
      <c r="N61" s="1010"/>
      <c r="O61" s="919"/>
      <c r="P61" s="1010"/>
      <c r="Q61" s="919"/>
      <c r="R61" s="1010"/>
      <c r="S61" s="919"/>
      <c r="T61" s="1010"/>
      <c r="U61" s="919"/>
      <c r="V61" s="1010"/>
      <c r="W61" s="919"/>
      <c r="X61" s="1010"/>
      <c r="Y61" s="919"/>
      <c r="Z61" s="1010"/>
      <c r="AA61" s="919"/>
      <c r="AB61" s="42"/>
      <c r="AC61" s="44"/>
      <c r="AD61" s="42"/>
      <c r="AE61" s="1789"/>
      <c r="AF61" s="42"/>
      <c r="AG61" s="42"/>
      <c r="AH61" s="57"/>
      <c r="AI61" s="236"/>
      <c r="AJ61" s="42"/>
      <c r="AK61" s="111"/>
      <c r="AL61" s="189"/>
    </row>
    <row r="62" spans="1:41">
      <c r="A62" s="21"/>
      <c r="B62" s="21" t="s">
        <v>146</v>
      </c>
      <c r="C62" s="21"/>
      <c r="D62" s="21"/>
      <c r="E62" s="467">
        <v>0</v>
      </c>
      <c r="F62" s="467"/>
      <c r="G62" s="467">
        <v>0</v>
      </c>
      <c r="H62" s="467"/>
      <c r="I62" s="467">
        <v>0</v>
      </c>
      <c r="J62" s="467"/>
      <c r="K62" s="467">
        <v>0.1</v>
      </c>
      <c r="L62" s="1010"/>
      <c r="M62" s="467">
        <v>2.1</v>
      </c>
      <c r="N62" s="1010"/>
      <c r="O62" s="467">
        <v>0</v>
      </c>
      <c r="P62" s="1010"/>
      <c r="Q62" s="467">
        <v>9.9999999999999645E-2</v>
      </c>
      <c r="R62" s="1010"/>
      <c r="S62" s="467">
        <v>0</v>
      </c>
      <c r="T62" s="1010"/>
      <c r="U62" s="467">
        <v>0.10000000000000009</v>
      </c>
      <c r="V62" s="1010"/>
      <c r="W62" s="467">
        <v>0</v>
      </c>
      <c r="X62" s="1010"/>
      <c r="Y62" s="467">
        <v>4.2000000000000011</v>
      </c>
      <c r="Z62" s="1010"/>
      <c r="AA62" s="467">
        <f t="shared" ref="AA62" si="14">$AD62-$E62-$G62-$I62-$K62-$M62-$O62-$Q62-$S62-$U62-$W62-$Y62</f>
        <v>0</v>
      </c>
      <c r="AB62" s="36"/>
      <c r="AC62" s="37"/>
      <c r="AD62" s="467">
        <v>6.6000000000000005</v>
      </c>
      <c r="AE62" s="52"/>
      <c r="AF62" s="36"/>
      <c r="AG62" s="467">
        <v>1.9</v>
      </c>
      <c r="AH62" s="46"/>
      <c r="AI62" s="237"/>
      <c r="AJ62" s="36">
        <f>ROUND(AD62-AG62,1)</f>
        <v>4.7</v>
      </c>
      <c r="AK62" s="112"/>
      <c r="AL62" s="955">
        <f>ROUND(IF(AG62=0,0,AJ62/ABS(AG62)),3)</f>
        <v>2.4740000000000002</v>
      </c>
    </row>
    <row r="63" spans="1:41">
      <c r="A63" s="21"/>
      <c r="B63" s="21"/>
      <c r="C63" s="21"/>
      <c r="D63" s="21"/>
      <c r="E63" s="497"/>
      <c r="F63" s="467"/>
      <c r="G63" s="497"/>
      <c r="H63" s="467"/>
      <c r="I63" s="497"/>
      <c r="J63" s="467"/>
      <c r="K63" s="1491"/>
      <c r="L63" s="1010"/>
      <c r="M63" s="1492"/>
      <c r="N63" s="1010"/>
      <c r="O63" s="1492"/>
      <c r="P63" s="1010"/>
      <c r="Q63" s="1492"/>
      <c r="R63" s="1010"/>
      <c r="S63" s="1492"/>
      <c r="T63" s="1010"/>
      <c r="U63" s="1492"/>
      <c r="V63" s="1010"/>
      <c r="W63" s="1492"/>
      <c r="X63" s="1010"/>
      <c r="Y63" s="1492"/>
      <c r="Z63" s="1010"/>
      <c r="AA63" s="1492"/>
      <c r="AB63" s="36"/>
      <c r="AC63" s="37"/>
      <c r="AD63" s="61"/>
      <c r="AE63" s="52"/>
      <c r="AF63" s="36"/>
      <c r="AG63" s="61"/>
      <c r="AH63" s="36"/>
      <c r="AI63" s="237"/>
      <c r="AJ63" s="61"/>
      <c r="AL63" s="113"/>
    </row>
    <row r="64" spans="1:41">
      <c r="A64" s="21"/>
      <c r="B64" s="19" t="s">
        <v>193</v>
      </c>
      <c r="C64" s="21"/>
      <c r="D64" s="21"/>
      <c r="E64" s="50">
        <f>ROUND(SUM(E32+E60+E62),1)</f>
        <v>1064.8</v>
      </c>
      <c r="F64" s="42"/>
      <c r="G64" s="50">
        <f>ROUND(SUM(G32+G60+G62),1)</f>
        <v>1157.7</v>
      </c>
      <c r="H64" s="42"/>
      <c r="I64" s="1493">
        <f>ROUND(SUM(I32+I60+I62),1)</f>
        <v>747.1</v>
      </c>
      <c r="J64" s="42"/>
      <c r="K64" s="1493">
        <f>ROUND(SUM(K32+K60+K62),1)</f>
        <v>224</v>
      </c>
      <c r="L64" s="42"/>
      <c r="M64" s="603">
        <f>ROUND(SUM(M32+M60+M62),1)</f>
        <v>447.6</v>
      </c>
      <c r="N64" s="42"/>
      <c r="O64" s="603">
        <f>ROUND(SUM(O32+O60+O62),1)</f>
        <v>887.3</v>
      </c>
      <c r="P64" s="42"/>
      <c r="Q64" s="603">
        <f>ROUND(SUM(Q32+Q60+Q62),1)</f>
        <v>658.9</v>
      </c>
      <c r="R64" s="42"/>
      <c r="S64" s="603">
        <f>ROUND(SUM(S32+S60+S62),1)</f>
        <v>513.29999999999995</v>
      </c>
      <c r="T64" s="42"/>
      <c r="U64" s="603">
        <f t="shared" ref="U64" si="15">ROUND(SUM(U32+U60+U62),1)</f>
        <v>811.2</v>
      </c>
      <c r="V64" s="42"/>
      <c r="W64" s="603">
        <f>ROUND(SUM(W32+W60+W62),1)</f>
        <v>195.3</v>
      </c>
      <c r="X64" s="42"/>
      <c r="Y64" s="603">
        <f>ROUND(SUM(Y32+Y60+Y62),1)</f>
        <v>211.2</v>
      </c>
      <c r="Z64" s="42"/>
      <c r="AA64" s="603">
        <f>ROUND(SUM(AA32+AA60+AA62),1)</f>
        <v>709.5</v>
      </c>
      <c r="AB64" s="42"/>
      <c r="AC64" s="44"/>
      <c r="AD64" s="603">
        <f>ROUND(SUM(AD32+AD60+AD62),1)</f>
        <v>7627.9</v>
      </c>
      <c r="AE64" s="143"/>
      <c r="AF64" s="42"/>
      <c r="AG64" s="603">
        <f>ROUND(SUM(AG32+AG60+AG62),1)</f>
        <v>6321.7</v>
      </c>
      <c r="AH64" s="57"/>
      <c r="AI64" s="237"/>
      <c r="AJ64" s="603">
        <f>ROUND(SUM(AJ32+AJ60+AJ62),1)</f>
        <v>1306.2</v>
      </c>
      <c r="AK64" s="111"/>
      <c r="AL64" s="969">
        <f>ROUND(IF(AG64=0,0,AJ64/ABS(AG64)),3)</f>
        <v>0.20699999999999999</v>
      </c>
      <c r="AM64" s="19"/>
      <c r="AO64" s="112"/>
    </row>
    <row r="65" spans="1:41">
      <c r="A65" s="21"/>
      <c r="B65" s="21"/>
      <c r="C65" s="21"/>
      <c r="D65" s="21"/>
      <c r="E65" s="467"/>
      <c r="F65" s="467"/>
      <c r="G65" s="497"/>
      <c r="H65" s="467"/>
      <c r="I65" s="497"/>
      <c r="J65" s="467"/>
      <c r="K65" s="497"/>
      <c r="L65" s="1010"/>
      <c r="M65" s="919"/>
      <c r="N65" s="1010"/>
      <c r="O65" s="919"/>
      <c r="P65" s="1010"/>
      <c r="Q65" s="919"/>
      <c r="R65" s="1010"/>
      <c r="S65" s="919"/>
      <c r="T65" s="1010"/>
      <c r="U65" s="919"/>
      <c r="V65" s="1010"/>
      <c r="W65" s="919"/>
      <c r="X65" s="1010"/>
      <c r="Y65" s="919"/>
      <c r="Z65" s="1010"/>
      <c r="AA65" s="919"/>
      <c r="AB65" s="1164"/>
      <c r="AC65" s="36"/>
      <c r="AD65" s="61"/>
      <c r="AE65" s="1164"/>
      <c r="AF65" s="36"/>
      <c r="AG65" s="61"/>
      <c r="AH65" s="36"/>
      <c r="AI65" s="237"/>
      <c r="AJ65" s="38"/>
      <c r="AL65" s="235"/>
    </row>
    <row r="66" spans="1:41">
      <c r="A66" s="21"/>
      <c r="B66" s="19" t="s">
        <v>22</v>
      </c>
      <c r="C66" s="21"/>
      <c r="D66" s="21"/>
      <c r="E66" s="467"/>
      <c r="F66" s="467"/>
      <c r="G66" s="467"/>
      <c r="H66" s="467"/>
      <c r="I66" s="467"/>
      <c r="J66" s="467"/>
      <c r="K66" s="467"/>
      <c r="L66" s="1010"/>
      <c r="M66" s="919"/>
      <c r="N66" s="1010"/>
      <c r="O66" s="919"/>
      <c r="P66" s="1010"/>
      <c r="Q66" s="919"/>
      <c r="R66" s="1010"/>
      <c r="S66" s="919"/>
      <c r="T66" s="1010"/>
      <c r="U66" s="919"/>
      <c r="V66" s="1010"/>
      <c r="W66" s="919"/>
      <c r="X66" s="1010"/>
      <c r="Y66" s="919"/>
      <c r="Z66" s="1010"/>
      <c r="AA66" s="919"/>
      <c r="AB66" s="1164"/>
      <c r="AC66" s="36"/>
      <c r="AD66" s="36"/>
      <c r="AE66" s="1164"/>
      <c r="AF66" s="36"/>
      <c r="AG66" s="36"/>
      <c r="AH66" s="36"/>
      <c r="AI66" s="237"/>
      <c r="AJ66" s="38"/>
      <c r="AL66" s="235"/>
    </row>
    <row r="67" spans="1:41">
      <c r="A67" s="21"/>
      <c r="B67" s="21" t="s">
        <v>148</v>
      </c>
      <c r="C67" s="21"/>
      <c r="D67" s="21"/>
      <c r="E67" s="467"/>
      <c r="F67" s="467"/>
      <c r="G67" s="467"/>
      <c r="H67" s="467"/>
      <c r="I67" s="467"/>
      <c r="J67" s="467"/>
      <c r="K67" s="467"/>
      <c r="L67" s="1010"/>
      <c r="M67" s="919"/>
      <c r="N67" s="1010"/>
      <c r="O67" s="919"/>
      <c r="P67" s="1010"/>
      <c r="Q67" s="919"/>
      <c r="R67" s="1010"/>
      <c r="S67" s="919"/>
      <c r="T67" s="1010"/>
      <c r="U67" s="919"/>
      <c r="V67" s="1010"/>
      <c r="W67" s="919"/>
      <c r="X67" s="1010"/>
      <c r="Y67" s="919"/>
      <c r="Z67" s="1010"/>
      <c r="AA67" s="919"/>
      <c r="AB67" s="36"/>
      <c r="AC67" s="37"/>
      <c r="AD67" s="36"/>
      <c r="AE67" s="52"/>
      <c r="AF67" s="36"/>
      <c r="AG67" s="36"/>
      <c r="AH67" s="36"/>
      <c r="AI67" s="237"/>
      <c r="AJ67" s="38"/>
      <c r="AL67" s="235"/>
    </row>
    <row r="68" spans="1:41">
      <c r="A68" s="21"/>
      <c r="B68" s="21" t="s">
        <v>24</v>
      </c>
      <c r="C68" s="21"/>
      <c r="D68" s="21"/>
      <c r="E68" s="467">
        <v>18.600000000000001</v>
      </c>
      <c r="F68" s="467"/>
      <c r="G68" s="467">
        <v>7.5999999999999979</v>
      </c>
      <c r="H68" s="467"/>
      <c r="I68" s="467">
        <v>10.199999999999999</v>
      </c>
      <c r="J68" s="467"/>
      <c r="K68" s="467">
        <v>14.899999999999999</v>
      </c>
      <c r="L68" s="1010"/>
      <c r="M68" s="467">
        <v>8.5999999999999979</v>
      </c>
      <c r="N68" s="1010"/>
      <c r="O68" s="467">
        <v>3.0000000000000071</v>
      </c>
      <c r="P68" s="1010"/>
      <c r="Q68" s="467">
        <v>6.3999999999999879</v>
      </c>
      <c r="R68" s="1010"/>
      <c r="S68" s="467">
        <v>3.9</v>
      </c>
      <c r="T68" s="1010"/>
      <c r="U68" s="467">
        <v>44.500000000000021</v>
      </c>
      <c r="V68" s="1010"/>
      <c r="W68" s="467">
        <v>5.4000000000000057</v>
      </c>
      <c r="X68" s="1010"/>
      <c r="Y68" s="467">
        <v>142.29999999999998</v>
      </c>
      <c r="Z68" s="1010"/>
      <c r="AA68" s="467">
        <f t="shared" ref="AA68:AA77" si="16">$AD68-$E68-$G68-$I68-$K68-$M68-$O68-$Q68-$S68-$U68-$W68-$Y68</f>
        <v>8.9000000000000341</v>
      </c>
      <c r="AB68" s="36"/>
      <c r="AC68" s="37"/>
      <c r="AD68" s="467">
        <v>274.3</v>
      </c>
      <c r="AE68" s="52"/>
      <c r="AF68" s="36"/>
      <c r="AG68" s="467">
        <v>219.9</v>
      </c>
      <c r="AH68" s="46"/>
      <c r="AI68" s="236"/>
      <c r="AJ68" s="36">
        <f t="shared" ref="AJ68:AJ77" si="17">ROUND(AD68-AG68,1)</f>
        <v>54.4</v>
      </c>
      <c r="AK68" s="112"/>
      <c r="AL68" s="1995">
        <f>ROUND(IF(AG68=0,1,AJ68/ABS(AG68)),3)</f>
        <v>0.247</v>
      </c>
    </row>
    <row r="69" spans="1:41">
      <c r="A69" s="21"/>
      <c r="B69" s="21" t="s">
        <v>25</v>
      </c>
      <c r="C69" s="21"/>
      <c r="D69" s="21"/>
      <c r="E69" s="467">
        <v>4.3</v>
      </c>
      <c r="F69" s="467"/>
      <c r="G69" s="467">
        <v>8.8999999999999986</v>
      </c>
      <c r="H69" s="467"/>
      <c r="I69" s="467">
        <v>10</v>
      </c>
      <c r="J69" s="467"/>
      <c r="K69" s="467">
        <v>14.400000000000002</v>
      </c>
      <c r="L69" s="1010"/>
      <c r="M69" s="467">
        <v>39.6</v>
      </c>
      <c r="N69" s="1010"/>
      <c r="O69" s="467">
        <v>8.0999999999999872</v>
      </c>
      <c r="P69" s="1010"/>
      <c r="Q69" s="467">
        <v>13.800000000000011</v>
      </c>
      <c r="R69" s="1010"/>
      <c r="S69" s="467">
        <v>9.8000000000000007</v>
      </c>
      <c r="T69" s="1010"/>
      <c r="U69" s="467">
        <v>6.100000000000005</v>
      </c>
      <c r="V69" s="1010"/>
      <c r="W69" s="467">
        <v>77.499999999999972</v>
      </c>
      <c r="X69" s="1010"/>
      <c r="Y69" s="467">
        <v>15</v>
      </c>
      <c r="Z69" s="1010"/>
      <c r="AA69" s="467">
        <f t="shared" si="16"/>
        <v>51.399999999999977</v>
      </c>
      <c r="AB69" s="36"/>
      <c r="AC69" s="37"/>
      <c r="AD69" s="1875">
        <v>258.89999999999998</v>
      </c>
      <c r="AE69" s="52"/>
      <c r="AF69" s="36"/>
      <c r="AG69" s="467">
        <v>254.6</v>
      </c>
      <c r="AH69" s="46"/>
      <c r="AI69" s="236"/>
      <c r="AJ69" s="36">
        <f t="shared" si="17"/>
        <v>4.3</v>
      </c>
      <c r="AK69" s="112"/>
      <c r="AL69" s="955">
        <f>ROUND(IF(AG69=0,0,AJ69/ABS(AG69)),3)</f>
        <v>1.7000000000000001E-2</v>
      </c>
    </row>
    <row r="70" spans="1:41">
      <c r="A70" s="21"/>
      <c r="B70" s="21" t="s">
        <v>26</v>
      </c>
      <c r="C70" s="21"/>
      <c r="D70" s="21"/>
      <c r="E70" s="467">
        <v>12.3</v>
      </c>
      <c r="F70" s="467"/>
      <c r="G70" s="467">
        <v>116.7</v>
      </c>
      <c r="H70" s="467"/>
      <c r="I70" s="467">
        <v>29.699999999999985</v>
      </c>
      <c r="J70" s="467"/>
      <c r="K70" s="467">
        <v>27.499999999999996</v>
      </c>
      <c r="L70" s="1010"/>
      <c r="M70" s="467">
        <v>46.600000000000023</v>
      </c>
      <c r="N70" s="1010"/>
      <c r="O70" s="467">
        <v>59.399999999999977</v>
      </c>
      <c r="P70" s="1010"/>
      <c r="Q70" s="467">
        <v>62.400000000000034</v>
      </c>
      <c r="R70" s="1010"/>
      <c r="S70" s="467">
        <v>33.700000000000003</v>
      </c>
      <c r="T70" s="1010"/>
      <c r="U70" s="467">
        <v>134.09999999999997</v>
      </c>
      <c r="V70" s="1010"/>
      <c r="W70" s="467">
        <v>29.60000000000008</v>
      </c>
      <c r="X70" s="1010"/>
      <c r="Y70" s="467">
        <v>51.700000000000045</v>
      </c>
      <c r="Z70" s="1010"/>
      <c r="AA70" s="467">
        <f t="shared" si="16"/>
        <v>89.399999999999977</v>
      </c>
      <c r="AB70" s="36"/>
      <c r="AC70" s="37"/>
      <c r="AD70" s="1875">
        <v>693.1</v>
      </c>
      <c r="AE70" s="52"/>
      <c r="AF70" s="36"/>
      <c r="AG70" s="467">
        <v>501.1</v>
      </c>
      <c r="AH70" s="46"/>
      <c r="AI70" s="236"/>
      <c r="AJ70" s="36">
        <f t="shared" si="17"/>
        <v>192</v>
      </c>
      <c r="AK70" s="112"/>
      <c r="AL70" s="955">
        <f>ROUND(IF(AG70=0,0,AJ70/ABS(AG70)),3)</f>
        <v>0.38300000000000001</v>
      </c>
    </row>
    <row r="71" spans="1:41">
      <c r="A71" s="21"/>
      <c r="B71" s="21" t="s">
        <v>27</v>
      </c>
      <c r="C71" s="21"/>
      <c r="D71" s="21"/>
      <c r="E71" s="467" t="s">
        <v>14</v>
      </c>
      <c r="F71" s="467"/>
      <c r="G71" s="467"/>
      <c r="H71" s="467"/>
      <c r="I71" s="467"/>
      <c r="J71" s="467"/>
      <c r="K71" s="467"/>
      <c r="L71" s="1010"/>
      <c r="M71" s="467"/>
      <c r="N71" s="1010"/>
      <c r="O71" s="467" t="s">
        <v>14</v>
      </c>
      <c r="P71" s="1010"/>
      <c r="Q71" s="467" t="s">
        <v>14</v>
      </c>
      <c r="R71" s="1010"/>
      <c r="S71" s="467" t="s">
        <v>14</v>
      </c>
      <c r="T71" s="1010"/>
      <c r="U71" s="467"/>
      <c r="V71" s="1010"/>
      <c r="W71" s="467"/>
      <c r="X71" s="1010"/>
      <c r="Y71" s="467"/>
      <c r="Z71" s="1010"/>
      <c r="AA71" s="467"/>
      <c r="AB71" s="36"/>
      <c r="AC71" s="37"/>
      <c r="AD71" s="1875"/>
      <c r="AE71" s="52"/>
      <c r="AF71" s="36"/>
      <c r="AG71" s="467"/>
      <c r="AH71" s="36"/>
      <c r="AI71" s="237"/>
      <c r="AJ71" s="467"/>
      <c r="AK71" s="112"/>
      <c r="AL71" s="235"/>
    </row>
    <row r="72" spans="1:41">
      <c r="A72" s="21"/>
      <c r="B72" s="21" t="s">
        <v>28</v>
      </c>
      <c r="C72" s="19"/>
      <c r="D72" s="21"/>
      <c r="E72" s="467">
        <v>0</v>
      </c>
      <c r="F72" s="467"/>
      <c r="G72" s="467">
        <v>0</v>
      </c>
      <c r="H72" s="467"/>
      <c r="I72" s="467">
        <v>0</v>
      </c>
      <c r="J72" s="467"/>
      <c r="K72" s="467">
        <v>0</v>
      </c>
      <c r="L72" s="1010"/>
      <c r="M72" s="467">
        <v>0</v>
      </c>
      <c r="N72" s="1010"/>
      <c r="O72" s="467">
        <v>0</v>
      </c>
      <c r="P72" s="1010"/>
      <c r="Q72" s="467">
        <v>0</v>
      </c>
      <c r="R72" s="1010"/>
      <c r="S72" s="467">
        <v>0</v>
      </c>
      <c r="T72" s="1010"/>
      <c r="U72" s="467">
        <v>0</v>
      </c>
      <c r="V72" s="1010"/>
      <c r="W72" s="467">
        <v>0</v>
      </c>
      <c r="X72" s="1010"/>
      <c r="Y72" s="467">
        <v>0</v>
      </c>
      <c r="Z72" s="1010"/>
      <c r="AA72" s="467">
        <f t="shared" si="16"/>
        <v>0</v>
      </c>
      <c r="AB72" s="36"/>
      <c r="AC72" s="37"/>
      <c r="AD72" s="1875">
        <v>0</v>
      </c>
      <c r="AE72" s="52"/>
      <c r="AF72" s="36"/>
      <c r="AG72" s="467">
        <v>0</v>
      </c>
      <c r="AH72" s="36"/>
      <c r="AI72" s="237"/>
      <c r="AJ72" s="36">
        <f t="shared" si="17"/>
        <v>0</v>
      </c>
      <c r="AL72" s="971">
        <f>ROUND(IF(AG72=0,0,AJ72/ABS(AG72)),3)</f>
        <v>0</v>
      </c>
    </row>
    <row r="73" spans="1:41">
      <c r="A73" s="21"/>
      <c r="B73" s="21" t="s">
        <v>29</v>
      </c>
      <c r="C73" s="21"/>
      <c r="D73" s="21"/>
      <c r="E73" s="467">
        <v>43.9</v>
      </c>
      <c r="F73" s="467"/>
      <c r="G73" s="467">
        <v>16.399999999999999</v>
      </c>
      <c r="H73" s="467"/>
      <c r="I73" s="467">
        <v>61.199999999999996</v>
      </c>
      <c r="J73" s="467"/>
      <c r="K73" s="467">
        <v>37.6</v>
      </c>
      <c r="L73" s="1010"/>
      <c r="M73" s="467">
        <v>35.000000000000007</v>
      </c>
      <c r="N73" s="1010"/>
      <c r="O73" s="467">
        <v>12.700000000000003</v>
      </c>
      <c r="P73" s="1010"/>
      <c r="Q73" s="467">
        <v>62.09999999999998</v>
      </c>
      <c r="R73" s="1010"/>
      <c r="S73" s="467">
        <v>30.6</v>
      </c>
      <c r="T73" s="1010"/>
      <c r="U73" s="467">
        <v>31.400000000000055</v>
      </c>
      <c r="V73" s="1010"/>
      <c r="W73" s="467">
        <v>50.79999999999999</v>
      </c>
      <c r="X73" s="1010"/>
      <c r="Y73" s="467">
        <v>32.800000000000033</v>
      </c>
      <c r="Z73" s="1010"/>
      <c r="AA73" s="467">
        <f t="shared" si="16"/>
        <v>58.699999999999996</v>
      </c>
      <c r="AB73" s="36"/>
      <c r="AC73" s="37"/>
      <c r="AD73" s="1875">
        <v>473.2</v>
      </c>
      <c r="AE73" s="52"/>
      <c r="AF73" s="36"/>
      <c r="AG73" s="467">
        <v>641.9</v>
      </c>
      <c r="AH73" s="46"/>
      <c r="AI73" s="236"/>
      <c r="AJ73" s="36">
        <f t="shared" si="17"/>
        <v>-168.7</v>
      </c>
      <c r="AK73" s="112"/>
      <c r="AL73" s="955">
        <f>ROUND(IF(AG73=0,0,AJ73/ABS(AG73)),3)</f>
        <v>-0.26300000000000001</v>
      </c>
    </row>
    <row r="74" spans="1:41">
      <c r="A74" s="21"/>
      <c r="B74" s="21" t="s">
        <v>30</v>
      </c>
      <c r="C74" s="21"/>
      <c r="D74" s="21"/>
      <c r="E74" s="467">
        <v>0.1</v>
      </c>
      <c r="F74" s="467"/>
      <c r="G74" s="467">
        <v>1</v>
      </c>
      <c r="H74" s="467"/>
      <c r="I74" s="467">
        <v>-2.4</v>
      </c>
      <c r="J74" s="467"/>
      <c r="K74" s="467">
        <v>4.4000000000000004</v>
      </c>
      <c r="L74" s="1010"/>
      <c r="M74" s="467">
        <v>2.9999999999999996</v>
      </c>
      <c r="N74" s="1010"/>
      <c r="O74" s="467">
        <v>2.6</v>
      </c>
      <c r="P74" s="1010"/>
      <c r="Q74" s="467">
        <v>4.6000000000000014</v>
      </c>
      <c r="R74" s="1010"/>
      <c r="S74" s="467">
        <v>2.6</v>
      </c>
      <c r="T74" s="1010"/>
      <c r="U74" s="467">
        <v>1.3999999999999964</v>
      </c>
      <c r="V74" s="1010"/>
      <c r="W74" s="467">
        <v>1.3000000000000007</v>
      </c>
      <c r="X74" s="1010"/>
      <c r="Y74" s="467">
        <v>34.399999999999991</v>
      </c>
      <c r="Z74" s="1010"/>
      <c r="AA74" s="467">
        <f t="shared" si="16"/>
        <v>-12.29999999999999</v>
      </c>
      <c r="AB74" s="36"/>
      <c r="AC74" s="37"/>
      <c r="AD74" s="1875">
        <v>40.700000000000003</v>
      </c>
      <c r="AE74" s="52"/>
      <c r="AF74" s="36"/>
      <c r="AG74" s="467">
        <v>39.9</v>
      </c>
      <c r="AH74" s="46"/>
      <c r="AI74" s="236"/>
      <c r="AJ74" s="36">
        <f t="shared" si="17"/>
        <v>0.8</v>
      </c>
      <c r="AK74" s="112"/>
      <c r="AL74" s="978">
        <f>ROUND(IF(AG74=0,1,AJ74/ABS(AG74)),3)</f>
        <v>0.02</v>
      </c>
    </row>
    <row r="75" spans="1:41">
      <c r="A75" s="21"/>
      <c r="B75" s="21" t="s">
        <v>31</v>
      </c>
      <c r="C75" s="21"/>
      <c r="D75" s="21"/>
      <c r="E75" s="467">
        <v>48.7</v>
      </c>
      <c r="F75" s="467"/>
      <c r="G75" s="467">
        <v>40.799999999999997</v>
      </c>
      <c r="H75" s="467"/>
      <c r="I75" s="467">
        <v>33.799999999999997</v>
      </c>
      <c r="J75" s="467"/>
      <c r="K75" s="467">
        <v>34.399999999999991</v>
      </c>
      <c r="L75" s="1010"/>
      <c r="M75" s="467">
        <v>83.8</v>
      </c>
      <c r="N75" s="1010"/>
      <c r="O75" s="467">
        <v>57.399999999999991</v>
      </c>
      <c r="P75" s="1010"/>
      <c r="Q75" s="467">
        <v>78.8</v>
      </c>
      <c r="R75" s="1010"/>
      <c r="S75" s="467">
        <v>29</v>
      </c>
      <c r="T75" s="1010"/>
      <c r="U75" s="467">
        <v>25.900000000000048</v>
      </c>
      <c r="V75" s="1010"/>
      <c r="W75" s="467">
        <v>83.999999999999986</v>
      </c>
      <c r="X75" s="1010"/>
      <c r="Y75" s="467">
        <v>122.00000000000007</v>
      </c>
      <c r="Z75" s="1010"/>
      <c r="AA75" s="467">
        <f t="shared" si="16"/>
        <v>91.100000000000009</v>
      </c>
      <c r="AB75" s="36"/>
      <c r="AC75" s="37"/>
      <c r="AD75" s="1875">
        <v>729.7</v>
      </c>
      <c r="AE75" s="52"/>
      <c r="AF75" s="36"/>
      <c r="AG75" s="467">
        <v>678.9</v>
      </c>
      <c r="AH75" s="36"/>
      <c r="AI75" s="237"/>
      <c r="AJ75" s="36">
        <f t="shared" si="17"/>
        <v>50.8</v>
      </c>
      <c r="AK75" s="112"/>
      <c r="AL75" s="1025">
        <f>ROUND(IF(AG75=0,1,AJ75/ABS(AG75)),3)</f>
        <v>7.4999999999999997E-2</v>
      </c>
    </row>
    <row r="76" spans="1:41">
      <c r="A76" s="21"/>
      <c r="B76" s="21" t="s">
        <v>32</v>
      </c>
      <c r="C76" s="19"/>
      <c r="D76" s="21"/>
      <c r="E76" s="467">
        <v>17.100000000000001</v>
      </c>
      <c r="F76" s="467"/>
      <c r="G76" s="467">
        <v>19.199999999999996</v>
      </c>
      <c r="H76" s="467"/>
      <c r="I76" s="467">
        <v>81.700000000000017</v>
      </c>
      <c r="J76" s="467"/>
      <c r="K76" s="467">
        <v>103.1</v>
      </c>
      <c r="L76" s="1010"/>
      <c r="M76" s="467">
        <v>26.09999999999998</v>
      </c>
      <c r="N76" s="1010"/>
      <c r="O76" s="467">
        <v>8.9000000000000483</v>
      </c>
      <c r="P76" s="1010"/>
      <c r="Q76" s="467">
        <v>26.599999999999937</v>
      </c>
      <c r="R76" s="1010"/>
      <c r="S76" s="467">
        <v>58.6</v>
      </c>
      <c r="T76" s="1010"/>
      <c r="U76" s="467">
        <v>91.899999999999977</v>
      </c>
      <c r="V76" s="1010"/>
      <c r="W76" s="467">
        <v>14.400000000000091</v>
      </c>
      <c r="X76" s="1010"/>
      <c r="Y76" s="467">
        <v>39.199999999999932</v>
      </c>
      <c r="Z76" s="1010"/>
      <c r="AA76" s="467">
        <f t="shared" si="16"/>
        <v>202.69999999999993</v>
      </c>
      <c r="AB76" s="36"/>
      <c r="AC76" s="37"/>
      <c r="AD76" s="1875">
        <v>689.5</v>
      </c>
      <c r="AE76" s="52"/>
      <c r="AF76" s="36"/>
      <c r="AG76" s="467">
        <v>660.9</v>
      </c>
      <c r="AH76" s="36"/>
      <c r="AI76" s="237"/>
      <c r="AJ76" s="36">
        <f t="shared" si="17"/>
        <v>28.6</v>
      </c>
      <c r="AL76" s="1025">
        <f>ROUND(IF(AG76=0,0,AJ76/ABS(AG76)),3)</f>
        <v>4.2999999999999997E-2</v>
      </c>
    </row>
    <row r="77" spans="1:41">
      <c r="A77" s="21"/>
      <c r="B77" s="21" t="s">
        <v>33</v>
      </c>
      <c r="C77" s="21"/>
      <c r="D77" s="21"/>
      <c r="E77" s="467">
        <v>4.0999999999999996</v>
      </c>
      <c r="F77" s="467"/>
      <c r="G77" s="467">
        <v>16.899999999999999</v>
      </c>
      <c r="H77" s="467"/>
      <c r="I77" s="467">
        <v>78.800000000000011</v>
      </c>
      <c r="J77" s="467"/>
      <c r="K77" s="467">
        <v>5.7999999999999847</v>
      </c>
      <c r="L77" s="1010"/>
      <c r="M77" s="467">
        <v>14.10000000000001</v>
      </c>
      <c r="N77" s="1010"/>
      <c r="O77" s="467">
        <v>133.19999999999999</v>
      </c>
      <c r="P77" s="1010"/>
      <c r="Q77" s="467">
        <v>6.9999999999999716</v>
      </c>
      <c r="R77" s="1010"/>
      <c r="S77" s="467">
        <v>22.6</v>
      </c>
      <c r="T77" s="1010"/>
      <c r="U77" s="467">
        <v>275.89999999999998</v>
      </c>
      <c r="V77" s="1010"/>
      <c r="W77" s="467">
        <v>7.3000000000000682</v>
      </c>
      <c r="X77" s="1010"/>
      <c r="Y77" s="467">
        <v>5.2999999999999545</v>
      </c>
      <c r="Z77" s="1010"/>
      <c r="AA77" s="467">
        <f t="shared" si="16"/>
        <v>1286.2</v>
      </c>
      <c r="AB77" s="36"/>
      <c r="AC77" s="37"/>
      <c r="AD77" s="1875">
        <v>1857.2</v>
      </c>
      <c r="AE77" s="52"/>
      <c r="AF77" s="36"/>
      <c r="AG77" s="467">
        <v>3578.2</v>
      </c>
      <c r="AH77" s="36"/>
      <c r="AI77" s="237"/>
      <c r="AJ77" s="36">
        <f t="shared" si="17"/>
        <v>-1721</v>
      </c>
      <c r="AK77" s="112"/>
      <c r="AL77" s="971">
        <f>ROUND(IF(AG77=0,0,AJ77/ABS(AG77)),3)</f>
        <v>-0.48099999999999998</v>
      </c>
      <c r="AM77" s="71" t="s">
        <v>14</v>
      </c>
      <c r="AN77" s="71" t="s">
        <v>14</v>
      </c>
      <c r="AO77" s="71" t="s">
        <v>14</v>
      </c>
    </row>
    <row r="78" spans="1:41">
      <c r="A78" s="21"/>
      <c r="B78" s="19" t="s">
        <v>194</v>
      </c>
      <c r="C78" s="21"/>
      <c r="D78" s="21"/>
      <c r="E78" s="206">
        <f>ROUND(SUM(E68:E77),1)</f>
        <v>149.1</v>
      </c>
      <c r="F78" s="42"/>
      <c r="G78" s="206">
        <f>ROUND(SUM(G68:G77),1)</f>
        <v>227.5</v>
      </c>
      <c r="H78" s="42"/>
      <c r="I78" s="206">
        <f>ROUND(SUM(I68:I77),1)</f>
        <v>303</v>
      </c>
      <c r="J78" s="42"/>
      <c r="K78" s="206">
        <f>ROUND(SUM(K68:K77),1)</f>
        <v>242.1</v>
      </c>
      <c r="L78" s="42"/>
      <c r="M78" s="206">
        <f>ROUND(SUM(M68:M77),1)</f>
        <v>256.8</v>
      </c>
      <c r="N78" s="42"/>
      <c r="O78" s="206">
        <f>ROUND(SUM(O68:O77),1)</f>
        <v>285.3</v>
      </c>
      <c r="P78" s="42"/>
      <c r="Q78" s="206">
        <f>ROUND(SUM(Q68:Q77),1)</f>
        <v>261.7</v>
      </c>
      <c r="R78" s="42"/>
      <c r="S78" s="206">
        <f>ROUND(SUM(S68:S77),1)</f>
        <v>190.8</v>
      </c>
      <c r="T78" s="42"/>
      <c r="U78" s="206">
        <f t="shared" ref="U78" si="18">ROUND(SUM(U68:U77),1)</f>
        <v>611.20000000000005</v>
      </c>
      <c r="V78" s="42"/>
      <c r="W78" s="206">
        <f>ROUND(SUM(W68:W77),1)</f>
        <v>270.3</v>
      </c>
      <c r="X78" s="42"/>
      <c r="Y78" s="206">
        <f>ROUND(SUM(Y68:Y77),1)</f>
        <v>442.7</v>
      </c>
      <c r="Z78" s="42"/>
      <c r="AA78" s="206">
        <f>ROUND(SUM(AA68:AA77),1)</f>
        <v>1776.1</v>
      </c>
      <c r="AB78" s="42"/>
      <c r="AC78" s="44"/>
      <c r="AD78" s="206">
        <f>ROUND(SUM(AD68:AD77),1)</f>
        <v>5016.6000000000004</v>
      </c>
      <c r="AE78" s="143"/>
      <c r="AF78" s="42"/>
      <c r="AG78" s="206">
        <f>ROUND(SUM(AG68:AG77),1)</f>
        <v>6575.4</v>
      </c>
      <c r="AH78" s="42"/>
      <c r="AI78" s="237"/>
      <c r="AJ78" s="206">
        <f>ROUND(SUM(AJ68:AJ77),1)</f>
        <v>-1558.8</v>
      </c>
      <c r="AK78" s="19"/>
      <c r="AL78" s="962">
        <f>ROUND(IF(AG78=0,0,AJ78/ABS(AG78)),3)</f>
        <v>-0.23699999999999999</v>
      </c>
      <c r="AO78" s="112"/>
    </row>
    <row r="79" spans="1:41">
      <c r="A79" s="21"/>
      <c r="B79" s="21" t="s">
        <v>195</v>
      </c>
      <c r="C79" s="21"/>
      <c r="D79" s="21"/>
      <c r="E79" s="467"/>
      <c r="F79" s="467"/>
      <c r="G79" s="467"/>
      <c r="H79" s="467"/>
      <c r="I79" s="467"/>
      <c r="J79" s="467"/>
      <c r="K79" s="467"/>
      <c r="L79" s="36"/>
      <c r="M79" s="36"/>
      <c r="N79" s="36"/>
      <c r="O79" s="36"/>
      <c r="P79" s="36"/>
      <c r="Q79" s="36"/>
      <c r="R79" s="36"/>
      <c r="S79" s="36"/>
      <c r="T79" s="36"/>
      <c r="U79" s="36"/>
      <c r="V79" s="36"/>
      <c r="W79" s="36"/>
      <c r="X79" s="36"/>
      <c r="Y79" s="36"/>
      <c r="Z79" s="36"/>
      <c r="AA79" s="36"/>
      <c r="AB79" s="36"/>
      <c r="AC79" s="37"/>
      <c r="AD79" s="36"/>
      <c r="AE79" s="52"/>
      <c r="AF79" s="36"/>
      <c r="AG79" s="36"/>
      <c r="AH79" s="36"/>
      <c r="AI79" s="237"/>
      <c r="AJ79" s="38"/>
      <c r="AL79" s="235"/>
    </row>
    <row r="80" spans="1:41">
      <c r="A80" s="21"/>
      <c r="B80" s="21" t="s">
        <v>196</v>
      </c>
      <c r="C80" s="21"/>
      <c r="D80" s="21"/>
      <c r="E80" s="467">
        <v>0</v>
      </c>
      <c r="F80" s="467"/>
      <c r="G80" s="467">
        <v>0</v>
      </c>
      <c r="H80" s="467"/>
      <c r="I80" s="467">
        <v>0</v>
      </c>
      <c r="J80" s="467"/>
      <c r="K80" s="467">
        <v>0</v>
      </c>
      <c r="L80" s="1010"/>
      <c r="M80" s="467">
        <v>0</v>
      </c>
      <c r="N80" s="1010"/>
      <c r="O80" s="467">
        <v>0</v>
      </c>
      <c r="P80" s="1010"/>
      <c r="Q80" s="467">
        <v>0</v>
      </c>
      <c r="R80" s="1010"/>
      <c r="S80" s="467">
        <v>0</v>
      </c>
      <c r="T80" s="1010"/>
      <c r="U80" s="467">
        <v>0</v>
      </c>
      <c r="V80" s="1010"/>
      <c r="W80" s="467">
        <v>0</v>
      </c>
      <c r="X80" s="1010"/>
      <c r="Y80" s="467">
        <v>0</v>
      </c>
      <c r="Z80" s="1010"/>
      <c r="AA80" s="467">
        <f t="shared" ref="AA80:AA83" si="19">$AD80-$E80-$G80-$I80-$K80-$M80-$O80-$Q80-$S80-$U80-$W80-$Y80</f>
        <v>0</v>
      </c>
      <c r="AB80" s="36"/>
      <c r="AC80" s="37"/>
      <c r="AD80" s="467">
        <v>0</v>
      </c>
      <c r="AE80" s="52"/>
      <c r="AF80" s="36"/>
      <c r="AG80" s="467">
        <v>0</v>
      </c>
      <c r="AH80" s="40"/>
      <c r="AI80" s="240"/>
      <c r="AJ80" s="36">
        <f>ROUND(AD80-AG80,1)</f>
        <v>0</v>
      </c>
      <c r="AL80" s="955">
        <f>ROUND(IF(AG80=0,0,AJ80/ABS(AG80)),3)</f>
        <v>0</v>
      </c>
    </row>
    <row r="81" spans="1:41">
      <c r="A81" s="21"/>
      <c r="B81" s="21" t="s">
        <v>197</v>
      </c>
      <c r="C81" s="21"/>
      <c r="D81" s="21"/>
      <c r="E81" s="467">
        <v>0</v>
      </c>
      <c r="F81" s="467"/>
      <c r="G81" s="467">
        <v>0</v>
      </c>
      <c r="H81" s="467"/>
      <c r="I81" s="467">
        <v>0</v>
      </c>
      <c r="J81" s="467"/>
      <c r="K81" s="467">
        <v>0</v>
      </c>
      <c r="L81" s="1010"/>
      <c r="M81" s="467">
        <v>0</v>
      </c>
      <c r="N81" s="1010"/>
      <c r="O81" s="467">
        <v>0</v>
      </c>
      <c r="P81" s="1010"/>
      <c r="Q81" s="467">
        <v>0</v>
      </c>
      <c r="R81" s="1010"/>
      <c r="S81" s="467">
        <v>0</v>
      </c>
      <c r="T81" s="1010"/>
      <c r="U81" s="467">
        <v>0</v>
      </c>
      <c r="V81" s="1010"/>
      <c r="W81" s="467">
        <v>0</v>
      </c>
      <c r="X81" s="1010"/>
      <c r="Y81" s="467">
        <v>0</v>
      </c>
      <c r="Z81" s="1010"/>
      <c r="AA81" s="467">
        <f t="shared" si="19"/>
        <v>0</v>
      </c>
      <c r="AB81" s="36"/>
      <c r="AC81" s="37"/>
      <c r="AD81" s="1875">
        <v>0</v>
      </c>
      <c r="AE81" s="52"/>
      <c r="AF81" s="36"/>
      <c r="AG81" s="1875">
        <v>0</v>
      </c>
      <c r="AH81" s="40"/>
      <c r="AI81" s="240"/>
      <c r="AJ81" s="36">
        <f>ROUND(AD81-AG81,1)</f>
        <v>0</v>
      </c>
      <c r="AL81" s="955">
        <f>ROUND(IF(AG81=0,0,AJ81/ABS(AG81)),3)</f>
        <v>0</v>
      </c>
    </row>
    <row r="82" spans="1:41">
      <c r="A82" s="21"/>
      <c r="B82" s="21" t="s">
        <v>198</v>
      </c>
      <c r="C82" s="21"/>
      <c r="D82" s="21"/>
      <c r="E82" s="467">
        <v>0</v>
      </c>
      <c r="F82" s="467"/>
      <c r="G82" s="467">
        <v>0</v>
      </c>
      <c r="H82" s="467"/>
      <c r="I82" s="467">
        <v>0</v>
      </c>
      <c r="J82" s="467"/>
      <c r="K82" s="467">
        <v>0</v>
      </c>
      <c r="L82" s="1010"/>
      <c r="M82" s="467">
        <v>0</v>
      </c>
      <c r="N82" s="1010"/>
      <c r="O82" s="467">
        <v>0</v>
      </c>
      <c r="P82" s="1010"/>
      <c r="Q82" s="467">
        <v>0</v>
      </c>
      <c r="R82" s="1010"/>
      <c r="S82" s="467">
        <v>0</v>
      </c>
      <c r="T82" s="1010"/>
      <c r="U82" s="467">
        <v>0</v>
      </c>
      <c r="V82" s="1010"/>
      <c r="W82" s="467">
        <v>0</v>
      </c>
      <c r="X82" s="1010"/>
      <c r="Y82" s="467">
        <v>0</v>
      </c>
      <c r="Z82" s="1010"/>
      <c r="AA82" s="467">
        <f t="shared" si="19"/>
        <v>0</v>
      </c>
      <c r="AB82" s="241"/>
      <c r="AC82" s="242"/>
      <c r="AD82" s="467">
        <v>0</v>
      </c>
      <c r="AE82" s="52"/>
      <c r="AF82" s="36"/>
      <c r="AG82" s="467">
        <v>0</v>
      </c>
      <c r="AH82" s="40"/>
      <c r="AI82" s="240"/>
      <c r="AJ82" s="36">
        <f>ROUND(AD82-AG82,1)</f>
        <v>0</v>
      </c>
      <c r="AL82" s="955">
        <f>ROUND(IF(AG82=0,0,AJ82/ABS(AG82)),3)</f>
        <v>0</v>
      </c>
    </row>
    <row r="83" spans="1:41">
      <c r="A83" s="21"/>
      <c r="B83" s="34" t="s">
        <v>169</v>
      </c>
      <c r="C83" s="21"/>
      <c r="D83" s="21"/>
      <c r="E83" s="467">
        <v>374.4</v>
      </c>
      <c r="F83" s="467"/>
      <c r="G83" s="467">
        <v>769.00000000000011</v>
      </c>
      <c r="H83" s="467"/>
      <c r="I83" s="467">
        <v>603.19999999999982</v>
      </c>
      <c r="J83" s="467"/>
      <c r="K83" s="467">
        <v>406.09999999999991</v>
      </c>
      <c r="L83" s="1010"/>
      <c r="M83" s="467">
        <v>565.90000000000009</v>
      </c>
      <c r="N83" s="1010"/>
      <c r="O83" s="467">
        <v>534.40000000000009</v>
      </c>
      <c r="P83" s="1010"/>
      <c r="Q83" s="467">
        <v>586.5</v>
      </c>
      <c r="R83" s="1010"/>
      <c r="S83" s="467">
        <v>610.1</v>
      </c>
      <c r="T83" s="1010"/>
      <c r="U83" s="467">
        <v>526.60000000000025</v>
      </c>
      <c r="V83" s="1010"/>
      <c r="W83" s="467">
        <v>504.10000000000048</v>
      </c>
      <c r="X83" s="1010"/>
      <c r="Y83" s="467">
        <v>482.39999999999964</v>
      </c>
      <c r="Z83" s="1010"/>
      <c r="AA83" s="467">
        <f t="shared" si="19"/>
        <v>823.30000000000064</v>
      </c>
      <c r="AB83" s="36"/>
      <c r="AC83" s="37"/>
      <c r="AD83" s="673">
        <v>6786</v>
      </c>
      <c r="AE83" s="52"/>
      <c r="AF83" s="36"/>
      <c r="AG83" s="673">
        <v>5877</v>
      </c>
      <c r="AH83" s="46"/>
      <c r="AI83" s="236"/>
      <c r="AJ83" s="650">
        <f>ROUND(AD83-AG83,1)</f>
        <v>909</v>
      </c>
      <c r="AL83" s="956">
        <f>ROUND(IF(AG83=0,0,AJ83/ABS(AG83)),3)</f>
        <v>0.155</v>
      </c>
      <c r="AM83" s="71" t="s">
        <v>14</v>
      </c>
      <c r="AN83" s="38" t="s">
        <v>14</v>
      </c>
    </row>
    <row r="84" spans="1:41">
      <c r="A84" s="21"/>
      <c r="B84" s="21"/>
      <c r="C84" s="21"/>
      <c r="D84" s="21"/>
      <c r="E84" s="497"/>
      <c r="F84" s="467"/>
      <c r="G84" s="497"/>
      <c r="H84" s="467"/>
      <c r="I84" s="497"/>
      <c r="J84" s="467"/>
      <c r="K84" s="497"/>
      <c r="L84" s="36"/>
      <c r="M84" s="61"/>
      <c r="N84" s="36"/>
      <c r="O84" s="61"/>
      <c r="P84" s="36"/>
      <c r="Q84" s="61"/>
      <c r="R84" s="36"/>
      <c r="S84" s="61"/>
      <c r="T84" s="36"/>
      <c r="U84" s="61"/>
      <c r="V84" s="36"/>
      <c r="W84" s="61"/>
      <c r="X84" s="36"/>
      <c r="Y84" s="61"/>
      <c r="Z84" s="36"/>
      <c r="AA84" s="61"/>
      <c r="AB84" s="36"/>
      <c r="AC84" s="37"/>
      <c r="AD84" s="38"/>
      <c r="AE84" s="52"/>
      <c r="AF84" s="36"/>
      <c r="AG84" s="38"/>
      <c r="AH84" s="38"/>
      <c r="AI84" s="237"/>
      <c r="AJ84" s="38"/>
      <c r="AL84" s="235"/>
    </row>
    <row r="85" spans="1:41">
      <c r="A85" s="21"/>
      <c r="B85" s="19" t="s">
        <v>199</v>
      </c>
      <c r="C85" s="21"/>
      <c r="D85" s="21"/>
      <c r="E85" s="42">
        <f>ROUND(SUM(E78:E83),1)</f>
        <v>523.5</v>
      </c>
      <c r="F85" s="42"/>
      <c r="G85" s="42">
        <f>ROUND(SUM(G78:G83),1)</f>
        <v>996.5</v>
      </c>
      <c r="H85" s="42"/>
      <c r="I85" s="42">
        <f>ROUND(SUM(I78:I83),1)</f>
        <v>906.2</v>
      </c>
      <c r="J85" s="42"/>
      <c r="K85" s="42">
        <f>ROUND(SUM(K78:K83),1)</f>
        <v>648.20000000000005</v>
      </c>
      <c r="L85" s="42"/>
      <c r="M85" s="42">
        <f>ROUND(SUM(M78:M83),1)</f>
        <v>822.7</v>
      </c>
      <c r="N85" s="42"/>
      <c r="O85" s="42">
        <f>ROUND(SUM(O78:O83),1)</f>
        <v>819.7</v>
      </c>
      <c r="P85" s="42"/>
      <c r="Q85" s="42">
        <f>ROUND(SUM(Q78:Q83),1)</f>
        <v>848.2</v>
      </c>
      <c r="R85" s="42"/>
      <c r="S85" s="42">
        <f>ROUND(SUM(S78:S83),1)</f>
        <v>800.9</v>
      </c>
      <c r="T85" s="42"/>
      <c r="U85" s="42">
        <f t="shared" ref="U85" si="20">ROUND(SUM(U78:U83),1)</f>
        <v>1137.8</v>
      </c>
      <c r="V85" s="42"/>
      <c r="W85" s="42">
        <f>ROUND(SUM(W78:W83),1)</f>
        <v>774.4</v>
      </c>
      <c r="X85" s="42"/>
      <c r="Y85" s="42">
        <f>ROUND(SUM(Y78:Y83),1)</f>
        <v>925.1</v>
      </c>
      <c r="Z85" s="42"/>
      <c r="AA85" s="42">
        <f>ROUND(SUM(AA78:AA83),1)</f>
        <v>2599.4</v>
      </c>
      <c r="AB85" s="42"/>
      <c r="AC85" s="44"/>
      <c r="AD85" s="42">
        <f>ROUND(SUM(AD78:AD83),1)</f>
        <v>11802.6</v>
      </c>
      <c r="AE85" s="143"/>
      <c r="AF85" s="42"/>
      <c r="AG85" s="42">
        <f>ROUND(SUM(AG78:AG83),1)</f>
        <v>12452.4</v>
      </c>
      <c r="AH85" s="42"/>
      <c r="AI85" s="237"/>
      <c r="AJ85" s="50">
        <f>ROUND(AD85-AG85,1)</f>
        <v>-649.79999999999995</v>
      </c>
      <c r="AK85" s="19"/>
      <c r="AL85" s="969">
        <f>ROUND(IF(AG85=0,0,AJ85/ABS(AG85)),3)</f>
        <v>-5.1999999999999998E-2</v>
      </c>
      <c r="AM85" s="19"/>
      <c r="AN85" s="19"/>
      <c r="AO85" s="19"/>
    </row>
    <row r="86" spans="1:41">
      <c r="A86" s="21"/>
      <c r="B86" s="21"/>
      <c r="C86" s="21"/>
      <c r="D86" s="21"/>
      <c r="E86" s="497"/>
      <c r="F86" s="467"/>
      <c r="G86" s="497"/>
      <c r="H86" s="467"/>
      <c r="I86" s="497"/>
      <c r="J86" s="467"/>
      <c r="K86" s="497"/>
      <c r="L86" s="36"/>
      <c r="M86" s="61"/>
      <c r="N86" s="36"/>
      <c r="O86" s="61"/>
      <c r="P86" s="36"/>
      <c r="Q86" s="61"/>
      <c r="R86" s="36"/>
      <c r="S86" s="61"/>
      <c r="T86" s="36"/>
      <c r="U86" s="61"/>
      <c r="V86" s="36"/>
      <c r="W86" s="61"/>
      <c r="X86" s="36"/>
      <c r="Y86" s="61"/>
      <c r="Z86" s="36"/>
      <c r="AA86" s="61"/>
      <c r="AB86" s="36"/>
      <c r="AC86" s="37"/>
      <c r="AD86" s="61"/>
      <c r="AE86" s="52"/>
      <c r="AF86" s="36"/>
      <c r="AG86" s="61"/>
      <c r="AH86" s="36"/>
      <c r="AI86" s="237"/>
      <c r="AJ86" s="38"/>
      <c r="AL86" s="235"/>
    </row>
    <row r="87" spans="1:41">
      <c r="A87" s="21"/>
      <c r="B87" s="19" t="s">
        <v>200</v>
      </c>
      <c r="C87" s="21"/>
      <c r="D87" s="21"/>
      <c r="E87" s="467"/>
      <c r="F87" s="467"/>
      <c r="G87" s="467"/>
      <c r="H87" s="467"/>
      <c r="I87" s="467"/>
      <c r="J87" s="467"/>
      <c r="K87" s="467"/>
      <c r="L87" s="36"/>
      <c r="M87" s="36"/>
      <c r="N87" s="36"/>
      <c r="O87" s="36"/>
      <c r="P87" s="36"/>
      <c r="Q87" s="36"/>
      <c r="R87" s="36"/>
      <c r="S87" s="36"/>
      <c r="T87" s="36"/>
      <c r="U87" s="36"/>
      <c r="V87" s="36"/>
      <c r="W87" s="36"/>
      <c r="X87" s="36"/>
      <c r="Y87" s="36"/>
      <c r="Z87" s="36"/>
      <c r="AA87" s="36"/>
      <c r="AB87" s="36"/>
      <c r="AC87" s="37"/>
      <c r="AD87" s="38"/>
      <c r="AE87" s="52"/>
      <c r="AF87" s="36"/>
      <c r="AG87" s="38"/>
      <c r="AH87" s="38"/>
      <c r="AI87" s="237"/>
      <c r="AJ87" s="38"/>
      <c r="AL87" s="235"/>
    </row>
    <row r="88" spans="1:41">
      <c r="A88" s="21"/>
      <c r="B88" s="19" t="s">
        <v>201</v>
      </c>
      <c r="C88" s="21"/>
      <c r="D88" s="21"/>
      <c r="E88" s="42">
        <f>ROUND(SUM(E64-E85),1)</f>
        <v>541.29999999999995</v>
      </c>
      <c r="F88" s="42"/>
      <c r="G88" s="42">
        <f>ROUND(SUM(G64-G85),1)</f>
        <v>161.19999999999999</v>
      </c>
      <c r="H88" s="42"/>
      <c r="I88" s="42">
        <f>ROUND(SUM(I64-I85),1)</f>
        <v>-159.1</v>
      </c>
      <c r="J88" s="42"/>
      <c r="K88" s="42">
        <f>ROUND(SUM(K64-K85),1)</f>
        <v>-424.2</v>
      </c>
      <c r="L88" s="42"/>
      <c r="M88" s="42">
        <f>ROUND(SUM(M64-M85),1)</f>
        <v>-375.1</v>
      </c>
      <c r="N88" s="42"/>
      <c r="O88" s="42">
        <f>ROUND(SUM(O64-O85),1)</f>
        <v>67.599999999999994</v>
      </c>
      <c r="P88" s="42"/>
      <c r="Q88" s="42">
        <f>ROUND(SUM(Q64-Q85),1)</f>
        <v>-189.3</v>
      </c>
      <c r="R88" s="42"/>
      <c r="S88" s="42">
        <f>ROUND(SUM(S64-S85),1)</f>
        <v>-287.60000000000002</v>
      </c>
      <c r="T88" s="42"/>
      <c r="U88" s="42">
        <f t="shared" ref="U88" si="21">ROUND(SUM(U64-U85),1)</f>
        <v>-326.60000000000002</v>
      </c>
      <c r="V88" s="42"/>
      <c r="W88" s="42">
        <f>ROUND(SUM(W64-W85),1)</f>
        <v>-579.1</v>
      </c>
      <c r="X88" s="42"/>
      <c r="Y88" s="42">
        <f>ROUND(SUM(Y64-Y85),1)</f>
        <v>-713.9</v>
      </c>
      <c r="Z88" s="42"/>
      <c r="AA88" s="42">
        <f>ROUND(SUM(AA64-AA85),1)</f>
        <v>-1889.9</v>
      </c>
      <c r="AB88" s="42"/>
      <c r="AC88" s="44"/>
      <c r="AD88" s="42">
        <f>ROUND(SUM(AD64-AD85),1)</f>
        <v>-4174.7</v>
      </c>
      <c r="AE88" s="143"/>
      <c r="AF88" s="42"/>
      <c r="AG88" s="42">
        <f>ROUND(SUM(AG64-AG85),1)</f>
        <v>-6130.7</v>
      </c>
      <c r="AH88" s="42"/>
      <c r="AI88" s="237"/>
      <c r="AJ88" s="50">
        <f>ROUND(AD88-AG88,1)</f>
        <v>1956</v>
      </c>
      <c r="AK88" s="19"/>
      <c r="AL88" s="972">
        <f>ROUND(IF(AG88=0,0,AJ88/ABS(AG88)),3)</f>
        <v>0.31900000000000001</v>
      </c>
      <c r="AM88" s="19"/>
      <c r="AN88" s="111"/>
    </row>
    <row r="89" spans="1:41">
      <c r="A89" s="21"/>
      <c r="B89" s="21"/>
      <c r="C89" s="21"/>
      <c r="D89" s="21"/>
      <c r="E89" s="497"/>
      <c r="F89" s="467"/>
      <c r="G89" s="497"/>
      <c r="H89" s="467"/>
      <c r="I89" s="497"/>
      <c r="J89" s="467"/>
      <c r="K89" s="497"/>
      <c r="L89" s="36"/>
      <c r="M89" s="61"/>
      <c r="N89" s="36"/>
      <c r="O89" s="61"/>
      <c r="P89" s="36"/>
      <c r="Q89" s="61"/>
      <c r="R89" s="36"/>
      <c r="S89" s="61"/>
      <c r="T89" s="36"/>
      <c r="U89" s="61"/>
      <c r="V89" s="36"/>
      <c r="W89" s="61"/>
      <c r="X89" s="36"/>
      <c r="Y89" s="61"/>
      <c r="Z89" s="36"/>
      <c r="AA89" s="61"/>
      <c r="AB89" s="36"/>
      <c r="AC89" s="37"/>
      <c r="AD89" s="61"/>
      <c r="AE89" s="52"/>
      <c r="AF89" s="36"/>
      <c r="AG89" s="61"/>
      <c r="AH89" s="36"/>
      <c r="AI89" s="237"/>
      <c r="AJ89" s="38"/>
      <c r="AL89" s="235"/>
    </row>
    <row r="90" spans="1:41">
      <c r="A90" s="21"/>
      <c r="B90" s="19" t="s">
        <v>202</v>
      </c>
      <c r="C90" s="21"/>
      <c r="D90" s="21"/>
      <c r="E90" s="467"/>
      <c r="F90" s="467"/>
      <c r="G90" s="467"/>
      <c r="H90" s="467"/>
      <c r="I90" s="467"/>
      <c r="J90" s="467"/>
      <c r="K90" s="467"/>
      <c r="L90" s="36"/>
      <c r="M90" s="36"/>
      <c r="N90" s="36"/>
      <c r="O90" s="36"/>
      <c r="P90" s="36"/>
      <c r="Q90" s="36"/>
      <c r="R90" s="36"/>
      <c r="S90" s="36"/>
      <c r="T90" s="36"/>
      <c r="U90" s="36"/>
      <c r="V90" s="36"/>
      <c r="W90" s="36"/>
      <c r="X90" s="36"/>
      <c r="Y90" s="36"/>
      <c r="Z90" s="36"/>
      <c r="AA90" s="36"/>
      <c r="AB90" s="36"/>
      <c r="AC90" s="37"/>
      <c r="AD90" s="40"/>
      <c r="AE90" s="52"/>
      <c r="AF90" s="36"/>
      <c r="AG90" s="40"/>
      <c r="AH90" s="40"/>
      <c r="AI90" s="240"/>
      <c r="AJ90" s="38"/>
      <c r="AL90" s="235"/>
    </row>
    <row r="91" spans="1:41">
      <c r="A91" s="21"/>
      <c r="B91" s="499" t="s">
        <v>1336</v>
      </c>
      <c r="C91" s="21"/>
      <c r="D91" s="21"/>
      <c r="E91" s="467">
        <v>0</v>
      </c>
      <c r="F91" s="467"/>
      <c r="G91" s="467">
        <v>0</v>
      </c>
      <c r="H91" s="467"/>
      <c r="I91" s="467">
        <v>0</v>
      </c>
      <c r="J91" s="467"/>
      <c r="K91" s="467">
        <v>0</v>
      </c>
      <c r="L91" s="1010"/>
      <c r="M91" s="467">
        <v>0</v>
      </c>
      <c r="N91" s="1010"/>
      <c r="O91" s="467">
        <v>0</v>
      </c>
      <c r="P91" s="1010"/>
      <c r="Q91" s="467">
        <v>0</v>
      </c>
      <c r="R91" s="1010"/>
      <c r="S91" s="467">
        <v>0</v>
      </c>
      <c r="T91" s="1010"/>
      <c r="U91" s="467">
        <v>0</v>
      </c>
      <c r="V91" s="1010"/>
      <c r="W91" s="467">
        <v>0</v>
      </c>
      <c r="X91" s="1010"/>
      <c r="Y91" s="467">
        <v>0</v>
      </c>
      <c r="Z91" s="1010"/>
      <c r="AA91" s="467">
        <f t="shared" ref="AA91:AA93" si="22">$AD91-$E91-$G91-$I91-$K91-$M91-$O91-$Q91-$S91-$U91-$W91-$Y91</f>
        <v>0</v>
      </c>
      <c r="AB91" s="36"/>
      <c r="AC91" s="37"/>
      <c r="AD91" s="467">
        <v>0</v>
      </c>
      <c r="AE91" s="52"/>
      <c r="AF91" s="36"/>
      <c r="AG91" s="467">
        <v>0</v>
      </c>
      <c r="AH91" s="40"/>
      <c r="AI91" s="240"/>
      <c r="AJ91" s="36">
        <f>ROUND(AD91-AG91,1)</f>
        <v>0</v>
      </c>
      <c r="AK91" s="112"/>
      <c r="AL91" s="469">
        <f>ROUND(IF(AG91=0,0,AJ91/ABS(AG91)),3)</f>
        <v>0</v>
      </c>
    </row>
    <row r="92" spans="1:41">
      <c r="A92" s="21"/>
      <c r="B92" s="34" t="s">
        <v>170</v>
      </c>
      <c r="C92" s="21"/>
      <c r="D92" s="21"/>
      <c r="E92" s="467">
        <v>-611.1</v>
      </c>
      <c r="F92" s="467"/>
      <c r="G92" s="467">
        <v>-172.10000000000002</v>
      </c>
      <c r="H92" s="467"/>
      <c r="I92" s="467">
        <v>195.90000000000009</v>
      </c>
      <c r="J92" s="467"/>
      <c r="K92" s="467">
        <v>369.19999999999993</v>
      </c>
      <c r="L92" s="1010"/>
      <c r="M92" s="467">
        <v>224.90000000000009</v>
      </c>
      <c r="N92" s="1010"/>
      <c r="O92" s="467">
        <v>-9.3000000000000682</v>
      </c>
      <c r="P92" s="1010"/>
      <c r="Q92" s="467">
        <v>795.7</v>
      </c>
      <c r="R92" s="1010"/>
      <c r="S92" s="467">
        <v>111.7</v>
      </c>
      <c r="T92" s="1010"/>
      <c r="U92" s="467">
        <v>322.50000000000006</v>
      </c>
      <c r="V92" s="1010"/>
      <c r="W92" s="467">
        <v>464.30000000000013</v>
      </c>
      <c r="X92" s="1010"/>
      <c r="Y92" s="467">
        <v>637.39999999999964</v>
      </c>
      <c r="Z92" s="1010"/>
      <c r="AA92" s="467">
        <f t="shared" si="22"/>
        <v>2720.2000000000007</v>
      </c>
      <c r="AB92" s="36"/>
      <c r="AC92" s="37"/>
      <c r="AD92" s="467">
        <v>5049.3</v>
      </c>
      <c r="AE92" s="52"/>
      <c r="AF92" s="36"/>
      <c r="AG92" s="467">
        <v>7189.9</v>
      </c>
      <c r="AH92" s="46"/>
      <c r="AI92" s="236"/>
      <c r="AJ92" s="36">
        <f>ROUND(AD92-AG92,1)</f>
        <v>-2140.6</v>
      </c>
      <c r="AL92" s="955">
        <f>ROUND(IF(AG92=0,0,AJ92/ABS(AG92)),3)</f>
        <v>-0.29799999999999999</v>
      </c>
    </row>
    <row r="93" spans="1:41">
      <c r="A93" s="21"/>
      <c r="B93" s="34" t="s">
        <v>203</v>
      </c>
      <c r="C93" s="21"/>
      <c r="D93" s="21"/>
      <c r="E93" s="467">
        <v>-9.1</v>
      </c>
      <c r="F93" s="467"/>
      <c r="G93" s="467">
        <v>-9.5000000000000018</v>
      </c>
      <c r="H93" s="467"/>
      <c r="I93" s="467">
        <v>-35</v>
      </c>
      <c r="J93" s="467"/>
      <c r="K93" s="467">
        <v>-8.9</v>
      </c>
      <c r="L93" s="1010"/>
      <c r="M93" s="467">
        <v>-2.5999999999999943</v>
      </c>
      <c r="N93" s="1010"/>
      <c r="O93" s="467">
        <v>-198.4</v>
      </c>
      <c r="P93" s="1010"/>
      <c r="Q93" s="467">
        <v>-2.5999999999999943</v>
      </c>
      <c r="R93" s="1010"/>
      <c r="S93" s="467">
        <v>-2.5</v>
      </c>
      <c r="T93" s="1010"/>
      <c r="U93" s="467">
        <v>-46.799999999999955</v>
      </c>
      <c r="V93" s="1010"/>
      <c r="W93" s="467">
        <v>-4.3000000000000398</v>
      </c>
      <c r="X93" s="1010"/>
      <c r="Y93" s="467">
        <v>-3.7000000000000739</v>
      </c>
      <c r="Z93" s="1010"/>
      <c r="AA93" s="467">
        <f t="shared" si="22"/>
        <v>-909.1</v>
      </c>
      <c r="AB93" s="36"/>
      <c r="AC93" s="37"/>
      <c r="AD93" s="673">
        <v>-1232.5</v>
      </c>
      <c r="AE93" s="52"/>
      <c r="AF93" s="36"/>
      <c r="AG93" s="673">
        <v>-1252.3</v>
      </c>
      <c r="AH93" s="36"/>
      <c r="AI93" s="237"/>
      <c r="AJ93" s="650">
        <f>ROUND(-AD93+AG93,1)</f>
        <v>-19.8</v>
      </c>
      <c r="AL93" s="956">
        <f>ROUND(IF(AG93=0,0,AJ93/ABS(AG93)),3)</f>
        <v>-1.6E-2</v>
      </c>
    </row>
    <row r="94" spans="1:41">
      <c r="A94" s="21"/>
      <c r="B94" s="21"/>
      <c r="C94" s="21"/>
      <c r="D94" s="21"/>
      <c r="E94" s="61"/>
      <c r="F94" s="36"/>
      <c r="G94" s="61"/>
      <c r="H94" s="36"/>
      <c r="I94" s="61"/>
      <c r="J94" s="36"/>
      <c r="K94" s="61"/>
      <c r="L94" s="36"/>
      <c r="M94" s="61"/>
      <c r="N94" s="36"/>
      <c r="O94" s="61"/>
      <c r="P94" s="36"/>
      <c r="Q94" s="61"/>
      <c r="R94" s="36"/>
      <c r="S94" s="61"/>
      <c r="T94" s="36"/>
      <c r="U94" s="61"/>
      <c r="V94" s="36"/>
      <c r="W94" s="61"/>
      <c r="X94" s="36"/>
      <c r="Y94" s="61"/>
      <c r="Z94" s="36"/>
      <c r="AA94" s="61"/>
      <c r="AB94" s="36"/>
      <c r="AC94" s="37"/>
      <c r="AD94" s="38"/>
      <c r="AE94" s="52"/>
      <c r="AF94" s="36"/>
      <c r="AG94" s="38"/>
      <c r="AH94" s="38"/>
      <c r="AI94" s="237"/>
      <c r="AJ94" s="38"/>
      <c r="AL94" s="235"/>
    </row>
    <row r="95" spans="1:41">
      <c r="A95" s="21"/>
      <c r="B95" s="19" t="s">
        <v>1083</v>
      </c>
      <c r="C95" s="21"/>
      <c r="D95" s="21"/>
      <c r="E95" s="42">
        <f>ROUND(SUM(E91:E93),1)</f>
        <v>-620.20000000000005</v>
      </c>
      <c r="F95" s="42"/>
      <c r="G95" s="42">
        <f>ROUND(SUM(G91:G93),1)</f>
        <v>-181.6</v>
      </c>
      <c r="H95" s="42"/>
      <c r="I95" s="42">
        <f>ROUND(SUM(I91:I93),1)</f>
        <v>160.9</v>
      </c>
      <c r="J95" s="42"/>
      <c r="K95" s="42">
        <f>ROUND(SUM(K91:K93),1)</f>
        <v>360.3</v>
      </c>
      <c r="L95" s="42"/>
      <c r="M95" s="42">
        <f>ROUND(SUM(M91:M93),1)</f>
        <v>222.3</v>
      </c>
      <c r="N95" s="42"/>
      <c r="O95" s="42">
        <f>ROUND(SUM(O91:O93),1)</f>
        <v>-207.7</v>
      </c>
      <c r="P95" s="42"/>
      <c r="Q95" s="42">
        <f>ROUND(SUM(Q91:Q93),1)</f>
        <v>793.1</v>
      </c>
      <c r="R95" s="42"/>
      <c r="S95" s="42">
        <f>ROUND(SUM(S91:S93),1)</f>
        <v>109.2</v>
      </c>
      <c r="T95" s="42"/>
      <c r="U95" s="42">
        <f>ROUND(SUM(U91:U93),1)</f>
        <v>275.7</v>
      </c>
      <c r="V95" s="42"/>
      <c r="W95" s="42">
        <f>ROUND(SUM(W91:W93),1)</f>
        <v>460</v>
      </c>
      <c r="X95" s="42"/>
      <c r="Y95" s="42">
        <f>ROUND(SUM(Y91:Y93),1)</f>
        <v>633.70000000000005</v>
      </c>
      <c r="Z95" s="42"/>
      <c r="AA95" s="42">
        <f>ROUND(SUM(AA91:AA93),1)</f>
        <v>1811.1</v>
      </c>
      <c r="AB95" s="42"/>
      <c r="AC95" s="44"/>
      <c r="AD95" s="42">
        <f>ROUND(SUM(AD91:AD93),1)</f>
        <v>3816.8</v>
      </c>
      <c r="AE95" s="143"/>
      <c r="AF95" s="42"/>
      <c r="AG95" s="42">
        <f>ROUND(SUM(AG91:AG93),1)</f>
        <v>5937.6</v>
      </c>
      <c r="AH95" s="42"/>
      <c r="AI95" s="237"/>
      <c r="AJ95" s="50">
        <f>ROUND(AD95-AG95,1)</f>
        <v>-2120.8000000000002</v>
      </c>
      <c r="AK95" s="19"/>
      <c r="AL95" s="972">
        <f>ROUND(IF(AG95=0,0,AJ95/ABS(AG95)),3)</f>
        <v>-0.35699999999999998</v>
      </c>
      <c r="AM95" s="19"/>
      <c r="AN95" s="19"/>
      <c r="AO95" s="111"/>
    </row>
    <row r="96" spans="1:41">
      <c r="A96" s="21"/>
      <c r="B96" s="21"/>
      <c r="C96" s="21"/>
      <c r="D96" s="21"/>
      <c r="E96" s="61"/>
      <c r="F96" s="36"/>
      <c r="G96" s="61"/>
      <c r="H96" s="36"/>
      <c r="I96" s="61"/>
      <c r="J96" s="36"/>
      <c r="K96" s="61"/>
      <c r="L96" s="36"/>
      <c r="M96" s="61"/>
      <c r="N96" s="36"/>
      <c r="O96" s="61"/>
      <c r="P96" s="36"/>
      <c r="Q96" s="61"/>
      <c r="R96" s="36"/>
      <c r="S96" s="61"/>
      <c r="T96" s="36"/>
      <c r="U96" s="61"/>
      <c r="V96" s="36"/>
      <c r="W96" s="61"/>
      <c r="X96" s="36"/>
      <c r="Y96" s="61"/>
      <c r="Z96" s="36"/>
      <c r="AA96" s="61"/>
      <c r="AB96" s="36"/>
      <c r="AC96" s="37"/>
      <c r="AD96" s="61"/>
      <c r="AE96" s="52"/>
      <c r="AF96" s="36"/>
      <c r="AG96" s="61"/>
      <c r="AH96" s="36"/>
      <c r="AI96" s="237"/>
      <c r="AJ96" s="38"/>
      <c r="AL96" s="235"/>
      <c r="AO96" s="112"/>
    </row>
    <row r="97" spans="1:41">
      <c r="A97" s="21"/>
      <c r="B97" s="21"/>
      <c r="C97" s="21"/>
      <c r="D97" s="21"/>
      <c r="E97" s="36" t="s">
        <v>14</v>
      </c>
      <c r="F97" s="36" t="s">
        <v>14</v>
      </c>
      <c r="G97" s="36" t="s">
        <v>14</v>
      </c>
      <c r="H97" s="36"/>
      <c r="I97" s="36" t="s">
        <v>14</v>
      </c>
      <c r="J97" s="36"/>
      <c r="K97" s="36" t="s">
        <v>14</v>
      </c>
      <c r="L97" s="36"/>
      <c r="M97" s="36" t="s">
        <v>14</v>
      </c>
      <c r="N97" s="36"/>
      <c r="O97" s="36" t="s">
        <v>14</v>
      </c>
      <c r="P97" s="36"/>
      <c r="Q97" s="36" t="s">
        <v>14</v>
      </c>
      <c r="R97" s="36"/>
      <c r="S97" s="36" t="s">
        <v>14</v>
      </c>
      <c r="T97" s="36"/>
      <c r="U97" s="36" t="s">
        <v>14</v>
      </c>
      <c r="V97" s="36"/>
      <c r="W97" s="36" t="s">
        <v>14</v>
      </c>
      <c r="X97" s="36"/>
      <c r="Y97" s="36" t="s">
        <v>14</v>
      </c>
      <c r="Z97" s="36"/>
      <c r="AA97" s="36" t="s">
        <v>14</v>
      </c>
      <c r="AB97" s="36"/>
      <c r="AC97" s="37"/>
      <c r="AD97" s="36"/>
      <c r="AE97" s="52"/>
      <c r="AF97" s="36"/>
      <c r="AG97" s="36"/>
      <c r="AH97" s="36"/>
      <c r="AI97" s="237"/>
      <c r="AJ97" s="38" t="s">
        <v>14</v>
      </c>
      <c r="AL97" s="235"/>
    </row>
    <row r="98" spans="1:41">
      <c r="A98" s="21"/>
      <c r="B98" s="19" t="s">
        <v>205</v>
      </c>
      <c r="C98" s="21"/>
      <c r="D98" s="21"/>
      <c r="E98" s="36"/>
      <c r="F98" s="36"/>
      <c r="G98" s="36" t="s">
        <v>14</v>
      </c>
      <c r="H98" s="36"/>
      <c r="I98" s="36" t="s">
        <v>14</v>
      </c>
      <c r="J98" s="36"/>
      <c r="K98" s="36" t="s">
        <v>14</v>
      </c>
      <c r="L98" s="36"/>
      <c r="M98" s="36" t="s">
        <v>14</v>
      </c>
      <c r="N98" s="36"/>
      <c r="O98" s="36" t="s">
        <v>14</v>
      </c>
      <c r="P98" s="36"/>
      <c r="Q98" s="36" t="s">
        <v>14</v>
      </c>
      <c r="R98" s="36"/>
      <c r="S98" s="36" t="s">
        <v>14</v>
      </c>
      <c r="T98" s="36"/>
      <c r="U98" s="36" t="s">
        <v>14</v>
      </c>
      <c r="V98" s="36"/>
      <c r="W98" s="36" t="s">
        <v>14</v>
      </c>
      <c r="X98" s="36"/>
      <c r="Y98" s="36" t="s">
        <v>14</v>
      </c>
      <c r="Z98" s="36"/>
      <c r="AA98" s="36" t="s">
        <v>14</v>
      </c>
      <c r="AB98" s="36"/>
      <c r="AC98" s="37"/>
      <c r="AD98" s="36"/>
      <c r="AE98" s="52"/>
      <c r="AF98" s="36"/>
      <c r="AG98" s="36"/>
      <c r="AH98" s="36"/>
      <c r="AI98" s="237"/>
      <c r="AJ98" s="38"/>
      <c r="AL98" s="235"/>
    </row>
    <row r="99" spans="1:41">
      <c r="A99" s="21"/>
      <c r="B99" s="19" t="s">
        <v>206</v>
      </c>
      <c r="C99" s="21"/>
      <c r="D99" s="21"/>
      <c r="E99" s="36" t="s">
        <v>14</v>
      </c>
      <c r="F99" s="36"/>
      <c r="G99" s="36"/>
      <c r="H99" s="36"/>
      <c r="I99" s="36"/>
      <c r="J99" s="36"/>
      <c r="K99" s="36"/>
      <c r="L99" s="36"/>
      <c r="M99" s="36"/>
      <c r="N99" s="36"/>
      <c r="O99" s="36"/>
      <c r="P99" s="36"/>
      <c r="Q99" s="36"/>
      <c r="R99" s="36"/>
      <c r="S99" s="36"/>
      <c r="T99" s="36"/>
      <c r="U99" s="36"/>
      <c r="V99" s="36"/>
      <c r="W99" s="36"/>
      <c r="X99" s="36"/>
      <c r="Y99" s="36"/>
      <c r="Z99" s="36"/>
      <c r="AA99" s="36"/>
      <c r="AB99" s="36"/>
      <c r="AC99" s="37"/>
      <c r="AD99" s="38"/>
      <c r="AE99" s="52"/>
      <c r="AF99" s="36"/>
      <c r="AG99" s="38"/>
      <c r="AH99" s="38"/>
      <c r="AI99" s="237"/>
      <c r="AJ99" s="38"/>
      <c r="AL99" s="235"/>
      <c r="AO99" s="1996"/>
    </row>
    <row r="100" spans="1:41" s="38" customFormat="1">
      <c r="A100" s="36"/>
      <c r="B100" s="42" t="s">
        <v>1084</v>
      </c>
      <c r="C100" s="36"/>
      <c r="D100" s="36"/>
      <c r="E100" s="1494">
        <f>ROUND(SUM(E88+E95),1)</f>
        <v>-78.900000000000006</v>
      </c>
      <c r="F100" s="1495"/>
      <c r="G100" s="1494">
        <f>ROUND(SUM(G88+G95),1)</f>
        <v>-20.399999999999999</v>
      </c>
      <c r="H100" s="1495"/>
      <c r="I100" s="1494">
        <f>ROUND(SUM(I88+I95),1)</f>
        <v>1.8</v>
      </c>
      <c r="J100" s="1495"/>
      <c r="K100" s="1494">
        <f>ROUND(SUM(K88+K95),1)</f>
        <v>-63.9</v>
      </c>
      <c r="L100" s="1495"/>
      <c r="M100" s="1494">
        <f>ROUND(SUM(M88+M95),1)</f>
        <v>-152.80000000000001</v>
      </c>
      <c r="N100" s="1495"/>
      <c r="O100" s="1494">
        <f>ROUND(SUM(O88+O95),1)</f>
        <v>-140.1</v>
      </c>
      <c r="P100" s="1495"/>
      <c r="Q100" s="1494">
        <f>ROUND(SUM(Q88+Q95),1)</f>
        <v>603.79999999999995</v>
      </c>
      <c r="R100" s="1495"/>
      <c r="S100" s="1494">
        <f>ROUND(SUM(S88+S95),1)</f>
        <v>-178.4</v>
      </c>
      <c r="T100" s="1495"/>
      <c r="U100" s="1494">
        <f>ROUND(SUM(U88+U95),1)</f>
        <v>-50.9</v>
      </c>
      <c r="V100" s="1495"/>
      <c r="W100" s="1494">
        <f>ROUND(SUM(W88+W95),1)</f>
        <v>-119.1</v>
      </c>
      <c r="X100" s="1997"/>
      <c r="Y100" s="1494">
        <f>ROUND(SUM(Y88+Y95),1)</f>
        <v>-80.2</v>
      </c>
      <c r="Z100" s="1495"/>
      <c r="AA100" s="1494">
        <f>ROUND(SUM(AA88+AA95),1)</f>
        <v>-78.8</v>
      </c>
      <c r="AB100" s="1495"/>
      <c r="AC100" s="1496"/>
      <c r="AD100" s="1494">
        <f>ROUND(SUM(AD88+AD95),1)</f>
        <v>-357.9</v>
      </c>
      <c r="AE100" s="1790"/>
      <c r="AF100" s="42"/>
      <c r="AG100" s="1494">
        <f>ROUND(SUM(AG88+AG95),1)</f>
        <v>-193.1</v>
      </c>
      <c r="AH100" s="42"/>
      <c r="AI100" s="237"/>
      <c r="AJ100" s="1494">
        <f>ROUND(SUM(AJ88+AJ95),1)</f>
        <v>-164.8</v>
      </c>
      <c r="AK100" s="42"/>
      <c r="AL100" s="972">
        <f>ROUND(IF(AG100=0,0,AJ100/ABS(AG100)),3)</f>
        <v>-0.85299999999999998</v>
      </c>
      <c r="AM100" s="42"/>
    </row>
    <row r="101" spans="1:41">
      <c r="B101" s="146"/>
      <c r="X101" s="1998"/>
      <c r="AC101" s="1497"/>
      <c r="AF101" s="1497"/>
      <c r="AI101" s="1498"/>
    </row>
    <row r="102" spans="1:41" ht="16" thickBot="1">
      <c r="B102" s="19" t="s">
        <v>1082</v>
      </c>
      <c r="C102" s="248"/>
      <c r="D102" s="248"/>
      <c r="E102" s="1159">
        <f>ROUND(SUM(E14+E100),1)</f>
        <v>-835.7</v>
      </c>
      <c r="F102" s="248"/>
      <c r="G102" s="1159">
        <f>ROUND(SUM(G14+G100),1)</f>
        <v>-856.1</v>
      </c>
      <c r="I102" s="1159">
        <f>ROUND(SUM(I14+I100),1)</f>
        <v>-854.3</v>
      </c>
      <c r="K102" s="1159">
        <f>ROUND(SUM(K14+K100),1)</f>
        <v>-918.2</v>
      </c>
      <c r="M102" s="1159">
        <f>ROUND(SUM(M14+M100),1)</f>
        <v>-1071</v>
      </c>
      <c r="O102" s="1159">
        <f>ROUND(SUM(O14+O100),1)</f>
        <v>-1211.0999999999999</v>
      </c>
      <c r="Q102" s="1159">
        <f>ROUND(SUM(Q14+Q100),1)</f>
        <v>-607.29999999999995</v>
      </c>
      <c r="S102" s="1159">
        <f>ROUND(SUM(S14+S100),1)</f>
        <v>-785.7</v>
      </c>
      <c r="U102" s="1159">
        <f>ROUND(SUM(U14+U100),1)</f>
        <v>-836.6</v>
      </c>
      <c r="W102" s="1159">
        <f>ROUND(SUM(W14+W100),1)</f>
        <v>-955.7</v>
      </c>
      <c r="Y102" s="1159">
        <f>ROUND(SUM(Y14+Y100),1)</f>
        <v>-1035.9000000000001</v>
      </c>
      <c r="AA102" s="1159">
        <f>ROUND(SUM(AA14+AA100),1)</f>
        <v>-1114.7</v>
      </c>
      <c r="AC102" s="1497"/>
      <c r="AD102" s="1159">
        <f>ROUND(SUM(AD14+AD100),1)</f>
        <v>-1114.7</v>
      </c>
      <c r="AF102" s="1497"/>
      <c r="AG102" s="1159">
        <f>ROUND(SUM(AG14+AG100),1)</f>
        <v>-756.8</v>
      </c>
      <c r="AI102" s="1498"/>
      <c r="AJ102" s="1159">
        <f>ROUND(SUM(AJ14+AJ100),1)</f>
        <v>-357.9</v>
      </c>
      <c r="AL102" s="1161">
        <f>ROUND(IF(AG102=0,0,AJ102/ABS(AG102)),3)</f>
        <v>-0.47299999999999998</v>
      </c>
    </row>
    <row r="103" spans="1:41" ht="16" thickTop="1">
      <c r="B103" s="1999"/>
      <c r="C103" s="248"/>
      <c r="D103" s="248"/>
      <c r="E103" s="248"/>
      <c r="F103" s="248"/>
      <c r="G103" s="248"/>
      <c r="AG103" s="806"/>
      <c r="AJ103" s="112"/>
    </row>
    <row r="104" spans="1:41">
      <c r="B104" s="249"/>
    </row>
    <row r="105" spans="1:41">
      <c r="B105" s="249"/>
      <c r="AD105" s="38"/>
    </row>
    <row r="106" spans="1:41">
      <c r="B106" s="247"/>
    </row>
    <row r="107" spans="1:41">
      <c r="B107" s="249"/>
    </row>
    <row r="108" spans="1:41">
      <c r="B108" s="249"/>
    </row>
    <row r="109" spans="1:41">
      <c r="B109" s="247"/>
    </row>
  </sheetData>
  <mergeCells count="1">
    <mergeCell ref="AD10:AL10"/>
  </mergeCells>
  <printOptions horizontalCentered="1"/>
  <pageMargins left="0.25" right="0.25" top="0.5" bottom="0.25" header="0" footer="0.25"/>
  <pageSetup scale="44" firstPageNumber="32"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3 AL72:AL73 AL69:AL70 AL71 AL65:AL67 AL61 AL52" formula="1" unlockedFormula="1"/>
    <ignoredError sqref="AL49:AL50 AL53:AL54 AL51 AL56: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workbookViewId="0"/>
  </sheetViews>
  <sheetFormatPr defaultColWidth="8.84375" defaultRowHeight="15.5"/>
  <cols>
    <col min="1" max="1" width="2.53515625" style="71" customWidth="1"/>
    <col min="2" max="2" width="14.07421875" style="71" customWidth="1"/>
    <col min="3" max="3" width="26.53515625" style="71" customWidth="1"/>
    <col min="4" max="4" width="2.07421875" style="71" customWidth="1"/>
    <col min="5" max="5" width="11.07421875" style="71" customWidth="1"/>
    <col min="6" max="6" width="1.84375" style="71" customWidth="1"/>
    <col min="7" max="7" width="11" style="71" bestFit="1" customWidth="1"/>
    <col min="8" max="8" width="1.84375" style="71" customWidth="1"/>
    <col min="9" max="9" width="11" style="71" bestFit="1" customWidth="1"/>
    <col min="10" max="10" width="1.84375" style="71" customWidth="1"/>
    <col min="11" max="11" width="12.07421875" style="71" customWidth="1"/>
    <col min="12" max="12" width="1.84375" style="71" customWidth="1"/>
    <col min="13" max="13" width="11" style="71" customWidth="1"/>
    <col min="14" max="14" width="1.84375" style="71" customWidth="1"/>
    <col min="15" max="15" width="13.84375" style="71" customWidth="1"/>
    <col min="16" max="16" width="1.84375" style="71" customWidth="1"/>
    <col min="17" max="17" width="12.4609375" style="71" customWidth="1"/>
    <col min="18" max="18" width="1.84375" style="71" customWidth="1"/>
    <col min="19" max="19" width="12.53515625" style="71" customWidth="1"/>
    <col min="20" max="20" width="1.84375" style="71" customWidth="1"/>
    <col min="21" max="21" width="10.84375" style="71" customWidth="1"/>
    <col min="22" max="22" width="1.84375" style="71" customWidth="1"/>
    <col min="23" max="23" width="10.53515625" style="71" customWidth="1"/>
    <col min="24" max="24" width="1.84375" style="71" customWidth="1"/>
    <col min="25" max="25" width="10.84375" style="71" customWidth="1"/>
    <col min="26" max="26" width="1.84375" style="71" customWidth="1"/>
    <col min="27" max="27" width="11.84375" style="71" customWidth="1"/>
    <col min="28" max="29" width="1.84375" style="71" customWidth="1"/>
    <col min="30" max="30" width="10.53515625" style="71" customWidth="1"/>
    <col min="31" max="32" width="1" style="71" customWidth="1"/>
    <col min="33" max="33" width="12.84375" style="71" customWidth="1"/>
    <col min="34" max="35" width="1" style="71" customWidth="1"/>
    <col min="36" max="36" width="13.07421875" style="71" bestFit="1" customWidth="1"/>
    <col min="37" max="37" width="1.07421875" style="71" customWidth="1"/>
    <col min="38" max="38" width="11.53515625" style="71" customWidth="1"/>
    <col min="39" max="16384" width="8.84375" style="71"/>
  </cols>
  <sheetData>
    <row r="1" spans="1:39">
      <c r="B1" s="468" t="s">
        <v>868</v>
      </c>
    </row>
    <row r="2" spans="1:39">
      <c r="B2" s="600"/>
    </row>
    <row r="3" spans="1:39" ht="19.5" customHeight="1">
      <c r="A3" s="222"/>
      <c r="B3" s="128" t="s">
        <v>0</v>
      </c>
      <c r="C3" s="223"/>
      <c r="D3" s="223"/>
      <c r="E3" s="223"/>
      <c r="F3" s="224"/>
      <c r="G3" s="224"/>
      <c r="H3" s="224"/>
      <c r="I3" s="224"/>
      <c r="J3" s="224"/>
      <c r="K3" s="224"/>
      <c r="L3" s="224"/>
      <c r="M3" s="224"/>
      <c r="N3" s="224"/>
      <c r="O3" s="224"/>
      <c r="P3" s="224"/>
      <c r="Q3" s="224"/>
      <c r="R3" s="224"/>
      <c r="S3" s="2008"/>
      <c r="T3" s="224"/>
      <c r="U3" s="224"/>
      <c r="V3" s="224"/>
      <c r="W3" s="224"/>
      <c r="X3" s="224"/>
      <c r="Y3" s="224"/>
      <c r="Z3" s="224"/>
      <c r="AA3" s="224"/>
      <c r="AB3" s="224"/>
      <c r="AC3" s="224"/>
      <c r="AD3" s="224"/>
      <c r="AE3" s="224"/>
      <c r="AF3" s="224"/>
      <c r="AG3" s="224"/>
      <c r="AH3" s="224"/>
      <c r="AI3" s="224"/>
      <c r="AL3" s="186" t="s">
        <v>191</v>
      </c>
    </row>
    <row r="4" spans="1:39" ht="19.5" customHeight="1">
      <c r="A4" s="222"/>
      <c r="B4" s="128" t="s">
        <v>208</v>
      </c>
      <c r="C4" s="223"/>
      <c r="D4" s="223"/>
      <c r="E4" s="223"/>
      <c r="F4" s="224"/>
      <c r="G4" s="224"/>
      <c r="H4" s="224"/>
      <c r="I4" s="224"/>
      <c r="J4" s="224"/>
      <c r="K4" s="224"/>
      <c r="L4" s="224"/>
      <c r="M4" s="224"/>
      <c r="N4" s="224"/>
      <c r="O4" s="224"/>
      <c r="P4" s="224"/>
      <c r="Q4" s="224"/>
      <c r="R4" s="224"/>
      <c r="S4" s="224"/>
      <c r="T4" s="224"/>
      <c r="U4" s="224"/>
      <c r="V4" s="224"/>
      <c r="W4" s="224"/>
      <c r="X4" s="224"/>
      <c r="Y4" s="224"/>
      <c r="Z4" s="224"/>
      <c r="AA4" s="224"/>
      <c r="AB4" s="224"/>
      <c r="AC4" s="224"/>
      <c r="AE4" s="225"/>
      <c r="AF4" s="225"/>
    </row>
    <row r="5" spans="1:39" ht="19.5" customHeight="1">
      <c r="A5" s="222"/>
      <c r="B5" s="974" t="s">
        <v>145</v>
      </c>
      <c r="C5" s="223"/>
      <c r="D5" s="223"/>
      <c r="E5" s="223"/>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L5" s="186"/>
    </row>
    <row r="6" spans="1:39" ht="19.5" customHeight="1">
      <c r="A6" s="222"/>
      <c r="B6" s="974" t="str">
        <f>'Cashflow Governmental'!A6</f>
        <v xml:space="preserve">FISCAL YEAR 2022-2023   </v>
      </c>
      <c r="C6" s="2009"/>
      <c r="D6" s="223"/>
      <c r="E6" s="223"/>
      <c r="F6" s="224"/>
      <c r="G6" s="224"/>
      <c r="H6" s="226"/>
      <c r="I6" s="224"/>
      <c r="J6" s="224"/>
      <c r="K6" s="224"/>
      <c r="L6" s="224"/>
      <c r="M6" s="224"/>
      <c r="N6" s="224"/>
      <c r="O6" s="224"/>
      <c r="P6" s="224"/>
      <c r="Q6" s="224"/>
      <c r="R6" s="224"/>
      <c r="S6" s="224"/>
      <c r="T6" s="224"/>
      <c r="U6" s="224"/>
      <c r="V6" s="224"/>
      <c r="W6" s="224"/>
      <c r="X6" s="224"/>
      <c r="Y6" s="224"/>
      <c r="Z6" s="224"/>
      <c r="AA6" s="224"/>
      <c r="AB6" s="224"/>
      <c r="AC6" s="224"/>
      <c r="AD6" s="224"/>
      <c r="AE6" s="227"/>
      <c r="AF6" s="227"/>
      <c r="AG6" s="227"/>
      <c r="AH6" s="227"/>
      <c r="AI6" s="227"/>
    </row>
    <row r="7" spans="1:39" ht="19.5" customHeight="1">
      <c r="A7" s="222"/>
      <c r="B7" s="128" t="s">
        <v>1248</v>
      </c>
      <c r="C7" s="223"/>
      <c r="D7" s="223"/>
      <c r="E7" s="223"/>
      <c r="F7" s="224"/>
      <c r="G7" s="224"/>
      <c r="H7" s="226"/>
      <c r="I7" s="224"/>
      <c r="J7" s="224"/>
      <c r="K7" s="224"/>
      <c r="L7" s="224"/>
      <c r="M7" s="224"/>
      <c r="N7" s="224"/>
      <c r="O7" s="224"/>
      <c r="P7" s="224"/>
      <c r="Q7" s="224"/>
      <c r="R7" s="224"/>
      <c r="S7" s="224"/>
      <c r="T7" s="224"/>
      <c r="U7" s="224"/>
      <c r="V7" s="224"/>
      <c r="W7" s="224"/>
      <c r="X7" s="224"/>
      <c r="Y7" s="224"/>
      <c r="Z7" s="224"/>
      <c r="AA7" s="224"/>
      <c r="AB7" s="224"/>
      <c r="AC7" s="224"/>
      <c r="AD7" s="224"/>
      <c r="AE7" s="227"/>
      <c r="AF7" s="227"/>
      <c r="AG7" s="227"/>
      <c r="AH7" s="227"/>
      <c r="AI7" s="227"/>
    </row>
    <row r="8" spans="1:39" ht="19.5" customHeight="1">
      <c r="A8" s="222"/>
      <c r="B8" s="1009"/>
      <c r="C8" s="223"/>
      <c r="D8" s="223"/>
      <c r="E8" s="223"/>
      <c r="F8" s="224"/>
      <c r="G8" s="224"/>
      <c r="H8" s="226"/>
      <c r="I8" s="224"/>
      <c r="J8" s="224"/>
      <c r="K8" s="224"/>
      <c r="L8" s="224"/>
      <c r="M8" s="224"/>
      <c r="N8" s="224"/>
      <c r="O8" s="224"/>
      <c r="P8" s="224"/>
      <c r="Q8" s="224"/>
      <c r="R8" s="224"/>
      <c r="S8" s="224"/>
      <c r="T8" s="224"/>
      <c r="U8" s="224"/>
      <c r="V8" s="224"/>
      <c r="W8" s="224"/>
      <c r="X8" s="224"/>
      <c r="Y8" s="224"/>
      <c r="Z8" s="224"/>
      <c r="AA8" s="224"/>
      <c r="AB8" s="224"/>
      <c r="AC8" s="224"/>
      <c r="AD8" s="224"/>
      <c r="AE8" s="227"/>
      <c r="AF8" s="227"/>
      <c r="AG8" s="227"/>
      <c r="AH8" s="227"/>
      <c r="AI8" s="227"/>
    </row>
    <row r="9" spans="1:39" ht="15.75" customHeight="1">
      <c r="A9" s="222"/>
      <c r="B9" s="128"/>
      <c r="C9" s="223"/>
      <c r="D9" s="223"/>
      <c r="E9" s="223"/>
      <c r="F9" s="224"/>
      <c r="G9" s="224"/>
      <c r="H9" s="224"/>
      <c r="I9" s="224"/>
      <c r="J9" s="224"/>
      <c r="K9" s="224"/>
      <c r="L9" s="224"/>
      <c r="M9" s="224"/>
      <c r="N9" s="224"/>
      <c r="O9" s="224"/>
      <c r="P9" s="224"/>
      <c r="Q9" s="224"/>
      <c r="R9" s="224"/>
      <c r="S9" s="224"/>
      <c r="T9" s="224"/>
      <c r="U9" s="224"/>
      <c r="V9" s="224"/>
      <c r="W9" s="224"/>
      <c r="X9" s="224"/>
      <c r="Y9" s="224"/>
      <c r="Z9" s="224"/>
      <c r="AA9" s="224"/>
      <c r="AB9" s="224"/>
      <c r="AC9" s="228"/>
    </row>
    <row r="10" spans="1:39" ht="22.5">
      <c r="A10" s="222"/>
      <c r="B10" s="128"/>
      <c r="C10" s="223"/>
      <c r="D10" s="223"/>
      <c r="E10" s="223"/>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8"/>
      <c r="AD10" s="2317" t="s">
        <v>1559</v>
      </c>
      <c r="AE10" s="2321"/>
      <c r="AF10" s="2321"/>
      <c r="AG10" s="2321"/>
      <c r="AH10" s="2321"/>
      <c r="AI10" s="2321"/>
      <c r="AJ10" s="2321"/>
      <c r="AK10" s="2321"/>
      <c r="AL10" s="2321"/>
    </row>
    <row r="11" spans="1:39">
      <c r="A11" s="230"/>
      <c r="B11" s="230"/>
      <c r="C11" s="230"/>
      <c r="D11" s="230"/>
      <c r="E11" s="537" t="str">
        <f>'Cashflow Governmental'!C13</f>
        <v>2022</v>
      </c>
      <c r="F11" s="553"/>
      <c r="G11" s="553"/>
      <c r="H11" s="553"/>
      <c r="I11" s="553"/>
      <c r="J11" s="553"/>
      <c r="K11" s="553"/>
      <c r="L11" s="553"/>
      <c r="M11" s="553"/>
      <c r="N11" s="553"/>
      <c r="O11" s="553"/>
      <c r="P11" s="553"/>
      <c r="Q11" s="553"/>
      <c r="R11" s="553"/>
      <c r="S11" s="553"/>
      <c r="T11" s="553"/>
      <c r="U11" s="553"/>
      <c r="V11" s="553"/>
      <c r="W11" s="537">
        <f>'Cashflow Governmental'!U13</f>
        <v>2023</v>
      </c>
      <c r="X11" s="553"/>
      <c r="Y11" s="553"/>
      <c r="Z11" s="553"/>
      <c r="AA11" s="553"/>
      <c r="AB11" s="553"/>
      <c r="AC11" s="553"/>
      <c r="AD11" s="553"/>
      <c r="AE11" s="553"/>
      <c r="AF11" s="553"/>
      <c r="AG11" s="553"/>
      <c r="AH11" s="553"/>
      <c r="AI11" s="553"/>
      <c r="AJ11" s="545" t="s">
        <v>7</v>
      </c>
      <c r="AK11" s="545"/>
      <c r="AL11" s="543" t="s">
        <v>8</v>
      </c>
      <c r="AM11" s="555"/>
    </row>
    <row r="12" spans="1:39">
      <c r="A12" s="21"/>
      <c r="B12" s="21"/>
      <c r="C12" s="21"/>
      <c r="D12" s="21"/>
      <c r="E12" s="554" t="s">
        <v>122</v>
      </c>
      <c r="F12" s="19"/>
      <c r="G12" s="554" t="s">
        <v>123</v>
      </c>
      <c r="H12" s="19"/>
      <c r="I12" s="554" t="s">
        <v>124</v>
      </c>
      <c r="J12" s="19"/>
      <c r="K12" s="554" t="s">
        <v>125</v>
      </c>
      <c r="L12" s="19"/>
      <c r="M12" s="554" t="s">
        <v>126</v>
      </c>
      <c r="N12" s="19"/>
      <c r="O12" s="554" t="s">
        <v>141</v>
      </c>
      <c r="P12" s="19"/>
      <c r="Q12" s="554" t="s">
        <v>142</v>
      </c>
      <c r="R12" s="19"/>
      <c r="S12" s="554" t="s">
        <v>129</v>
      </c>
      <c r="T12" s="19"/>
      <c r="U12" s="554" t="s">
        <v>130</v>
      </c>
      <c r="V12" s="19"/>
      <c r="W12" s="554" t="s">
        <v>131</v>
      </c>
      <c r="X12" s="19"/>
      <c r="Y12" s="554" t="s">
        <v>132</v>
      </c>
      <c r="Z12" s="19"/>
      <c r="AA12" s="554" t="s">
        <v>182</v>
      </c>
      <c r="AB12" s="19"/>
      <c r="AC12" s="19"/>
      <c r="AD12" s="554">
        <f>'Cashflow Governmental'!AB14</f>
        <v>2023</v>
      </c>
      <c r="AE12" s="19" t="s">
        <v>14</v>
      </c>
      <c r="AF12" s="19"/>
      <c r="AG12" s="554">
        <f>'Cashflow Governmental'!AE14</f>
        <v>2022</v>
      </c>
      <c r="AH12" s="132"/>
      <c r="AI12" s="132"/>
      <c r="AJ12" s="549" t="s">
        <v>11</v>
      </c>
      <c r="AK12" s="545"/>
      <c r="AL12" s="549" t="s">
        <v>12</v>
      </c>
      <c r="AM12" s="555"/>
    </row>
    <row r="13" spans="1:39" ht="5.25" customHeight="1">
      <c r="A13" s="21"/>
      <c r="B13" s="19"/>
      <c r="C13" s="19"/>
      <c r="D13" s="21"/>
      <c r="E13" s="39"/>
      <c r="F13" s="39"/>
      <c r="G13" s="39"/>
      <c r="H13" s="39"/>
      <c r="I13" s="39"/>
      <c r="J13" s="39"/>
      <c r="K13" s="39"/>
      <c r="L13" s="39"/>
      <c r="M13" s="39"/>
      <c r="N13" s="39"/>
      <c r="O13" s="39"/>
      <c r="P13" s="39"/>
      <c r="Q13" s="39"/>
      <c r="R13" s="39"/>
      <c r="S13" s="39"/>
      <c r="T13" s="39"/>
      <c r="U13" s="39"/>
      <c r="V13" s="39"/>
      <c r="W13" s="39"/>
      <c r="X13" s="39"/>
      <c r="Y13" s="39"/>
      <c r="Z13" s="39"/>
      <c r="AA13" s="39"/>
      <c r="AB13" s="39"/>
      <c r="AC13" s="174"/>
      <c r="AD13" s="39"/>
      <c r="AE13" s="39"/>
      <c r="AF13" s="1780"/>
      <c r="AG13" s="39"/>
      <c r="AH13" s="39"/>
      <c r="AI13" s="231"/>
    </row>
    <row r="14" spans="1:39">
      <c r="A14" s="21"/>
      <c r="B14" s="117" t="s">
        <v>1117</v>
      </c>
      <c r="C14" s="19"/>
      <c r="E14" s="216">
        <v>-787.1</v>
      </c>
      <c r="F14" s="39"/>
      <c r="G14" s="216">
        <f>E82</f>
        <v>-808</v>
      </c>
      <c r="H14" s="39"/>
      <c r="I14" s="216">
        <f>G82</f>
        <v>-463.7</v>
      </c>
      <c r="J14" s="39"/>
      <c r="K14" s="216">
        <f>I82</f>
        <v>-503.9</v>
      </c>
      <c r="L14" s="39"/>
      <c r="M14" s="216">
        <f>K82</f>
        <v>-485.2</v>
      </c>
      <c r="N14" s="39"/>
      <c r="O14" s="216">
        <f>M82</f>
        <v>-552.1</v>
      </c>
      <c r="P14" s="39"/>
      <c r="Q14" s="216">
        <f>O82</f>
        <v>-638</v>
      </c>
      <c r="R14" s="479"/>
      <c r="S14" s="65">
        <f>Q82</f>
        <v>-560.20000000000005</v>
      </c>
      <c r="T14" s="65"/>
      <c r="U14" s="65">
        <f t="shared" ref="U14" si="0">S82</f>
        <v>-490</v>
      </c>
      <c r="V14" s="65"/>
      <c r="W14" s="65">
        <f t="shared" ref="W14" si="1">U82</f>
        <v>-489.6</v>
      </c>
      <c r="X14" s="65"/>
      <c r="Y14" s="65">
        <f t="shared" ref="Y14" si="2">W82</f>
        <v>-462.3</v>
      </c>
      <c r="Z14" s="65"/>
      <c r="AA14" s="65">
        <f t="shared" ref="AA14" si="3">Y82</f>
        <v>-453.5</v>
      </c>
      <c r="AB14" s="39"/>
      <c r="AC14" s="174"/>
      <c r="AD14" s="1160">
        <f>E14</f>
        <v>-787.1</v>
      </c>
      <c r="AE14" s="39"/>
      <c r="AF14" s="1780"/>
      <c r="AG14" s="1160">
        <v>-580.29999999999995</v>
      </c>
      <c r="AH14" s="39"/>
      <c r="AI14" s="231"/>
      <c r="AJ14" s="1160">
        <f>+AD14-AG14</f>
        <v>-206.80000000000007</v>
      </c>
      <c r="AL14" s="189">
        <f>-ROUND((+AJ14/AG14),3)</f>
        <v>-0.35599999999999998</v>
      </c>
    </row>
    <row r="15" spans="1:39">
      <c r="A15" s="21"/>
      <c r="B15" s="19"/>
      <c r="C15" s="19"/>
      <c r="D15" s="21"/>
      <c r="E15" s="39"/>
      <c r="F15" s="39"/>
      <c r="G15" s="39"/>
      <c r="H15" s="39"/>
      <c r="I15" s="39"/>
      <c r="J15" s="39"/>
      <c r="K15" s="39"/>
      <c r="L15" s="39"/>
      <c r="M15" s="39"/>
      <c r="N15" s="39"/>
      <c r="O15" s="39"/>
      <c r="P15" s="39"/>
      <c r="Q15" s="39"/>
      <c r="R15" s="39"/>
      <c r="S15" s="39"/>
      <c r="T15" s="39"/>
      <c r="U15" s="39"/>
      <c r="V15" s="39"/>
      <c r="W15" s="39"/>
      <c r="X15" s="39"/>
      <c r="Y15" s="39"/>
      <c r="Z15" s="39"/>
      <c r="AA15" s="39"/>
      <c r="AB15" s="39"/>
      <c r="AC15" s="174"/>
      <c r="AD15" s="39"/>
      <c r="AE15" s="39"/>
      <c r="AF15" s="1780"/>
      <c r="AG15" s="39"/>
      <c r="AH15" s="39"/>
      <c r="AI15" s="231"/>
    </row>
    <row r="16" spans="1:39">
      <c r="A16" s="21"/>
      <c r="B16" s="19" t="s">
        <v>192</v>
      </c>
      <c r="C16" s="21"/>
      <c r="D16" s="21"/>
      <c r="E16" s="39"/>
      <c r="F16" s="39"/>
      <c r="G16" s="39"/>
      <c r="H16" s="39"/>
      <c r="I16" s="39"/>
      <c r="J16" s="39"/>
      <c r="K16" s="39"/>
      <c r="L16" s="39"/>
      <c r="M16" s="39"/>
      <c r="N16" s="39"/>
      <c r="O16" s="39"/>
      <c r="P16" s="39"/>
      <c r="Q16" s="39"/>
      <c r="R16" s="39"/>
      <c r="S16" s="39"/>
      <c r="T16" s="39"/>
      <c r="U16" s="39"/>
      <c r="V16" s="39"/>
      <c r="W16" s="39"/>
      <c r="X16" s="39"/>
      <c r="Y16" s="39"/>
      <c r="Z16" s="39"/>
      <c r="AA16" s="39"/>
      <c r="AB16" s="39"/>
      <c r="AC16" s="174"/>
      <c r="AD16" s="39"/>
      <c r="AE16" s="39"/>
      <c r="AF16" s="1780"/>
      <c r="AG16" s="39"/>
      <c r="AH16" s="39"/>
      <c r="AI16" s="231"/>
    </row>
    <row r="17" spans="1:38">
      <c r="A17" s="21"/>
      <c r="B17" s="597" t="s">
        <v>916</v>
      </c>
      <c r="C17" s="21"/>
      <c r="D17" s="21"/>
      <c r="E17" s="193"/>
      <c r="F17" s="36"/>
      <c r="G17" s="193"/>
      <c r="H17" s="36"/>
      <c r="I17" s="193"/>
      <c r="J17" s="36"/>
      <c r="K17" s="193"/>
      <c r="L17" s="36"/>
      <c r="M17" s="36"/>
      <c r="N17" s="36"/>
      <c r="O17" s="193"/>
      <c r="P17" s="36"/>
      <c r="Q17" s="193"/>
      <c r="R17" s="36"/>
      <c r="S17" s="193"/>
      <c r="T17" s="36"/>
      <c r="U17" s="193"/>
      <c r="V17" s="36"/>
      <c r="W17" s="193"/>
      <c r="X17" s="36"/>
      <c r="Y17" s="193"/>
      <c r="Z17" s="36"/>
      <c r="AA17" s="193"/>
      <c r="AB17" s="36"/>
      <c r="AC17" s="37"/>
      <c r="AD17" s="1791"/>
      <c r="AE17" s="52"/>
      <c r="AF17" s="36"/>
      <c r="AG17" s="36"/>
      <c r="AH17" s="46"/>
      <c r="AI17" s="236"/>
      <c r="AJ17" s="46"/>
      <c r="AK17" s="112"/>
      <c r="AL17" s="235"/>
    </row>
    <row r="18" spans="1:38">
      <c r="A18" s="21"/>
      <c r="B18" s="597" t="s">
        <v>1031</v>
      </c>
      <c r="C18" s="21"/>
      <c r="D18" s="21"/>
      <c r="E18" s="193"/>
      <c r="F18" s="36"/>
      <c r="G18" s="193"/>
      <c r="H18" s="36"/>
      <c r="I18" s="193"/>
      <c r="J18" s="36"/>
      <c r="K18" s="193"/>
      <c r="L18" s="36"/>
      <c r="M18" s="36"/>
      <c r="N18" s="36"/>
      <c r="O18" s="193"/>
      <c r="P18" s="36"/>
      <c r="Q18" s="193"/>
      <c r="R18" s="36"/>
      <c r="S18" s="193"/>
      <c r="T18" s="36"/>
      <c r="U18" s="193"/>
      <c r="V18" s="36"/>
      <c r="W18" s="193"/>
      <c r="X18" s="36"/>
      <c r="Y18" s="193"/>
      <c r="Z18" s="36"/>
      <c r="AA18" s="193"/>
      <c r="AB18" s="36"/>
      <c r="AC18" s="37"/>
      <c r="AD18" s="1791"/>
      <c r="AE18" s="757"/>
      <c r="AF18" s="36"/>
      <c r="AG18" s="36"/>
      <c r="AH18" s="46"/>
      <c r="AI18" s="236"/>
      <c r="AJ18" s="46"/>
      <c r="AK18" s="112"/>
      <c r="AL18" s="8"/>
    </row>
    <row r="19" spans="1:38" s="499" customFormat="1">
      <c r="B19" s="597" t="s">
        <v>949</v>
      </c>
      <c r="E19" s="496">
        <v>0</v>
      </c>
      <c r="F19" s="467"/>
      <c r="G19" s="496">
        <v>0</v>
      </c>
      <c r="H19" s="467"/>
      <c r="I19" s="496">
        <v>0</v>
      </c>
      <c r="J19" s="467"/>
      <c r="K19" s="496">
        <v>0</v>
      </c>
      <c r="L19" s="467"/>
      <c r="M19" s="496">
        <v>0</v>
      </c>
      <c r="N19" s="467"/>
      <c r="O19" s="496">
        <v>0</v>
      </c>
      <c r="P19" s="467"/>
      <c r="Q19" s="496">
        <v>0</v>
      </c>
      <c r="R19" s="467"/>
      <c r="S19" s="496">
        <v>0</v>
      </c>
      <c r="T19" s="496"/>
      <c r="U19" s="496">
        <v>0</v>
      </c>
      <c r="V19" s="496"/>
      <c r="W19" s="496">
        <v>0</v>
      </c>
      <c r="X19" s="496"/>
      <c r="Y19" s="496">
        <v>0</v>
      </c>
      <c r="Z19" s="496"/>
      <c r="AA19" s="496">
        <f>$AD19-$E19-$G19-$I19-$K19-$M19-$O19-$Q19-$S19-$U19-$W19-$Y19</f>
        <v>0</v>
      </c>
      <c r="AB19" s="467"/>
      <c r="AC19" s="939"/>
      <c r="AD19" s="496">
        <v>0</v>
      </c>
      <c r="AE19" s="1792"/>
      <c r="AF19" s="467"/>
      <c r="AG19" s="496">
        <v>0</v>
      </c>
      <c r="AH19" s="493"/>
      <c r="AI19" s="1218"/>
      <c r="AJ19" s="493">
        <f>ROUND(AD19-AG19,1)</f>
        <v>0</v>
      </c>
      <c r="AK19" s="472"/>
      <c r="AL19" s="469">
        <f>ROUND(IF(AG19=0,0,AJ19/ABS(AG19)),3)</f>
        <v>0</v>
      </c>
    </row>
    <row r="20" spans="1:38" s="499" customFormat="1">
      <c r="B20" s="597" t="s">
        <v>1032</v>
      </c>
      <c r="E20" s="496" t="s">
        <v>14</v>
      </c>
      <c r="F20" s="467"/>
      <c r="G20" s="496"/>
      <c r="H20" s="467"/>
      <c r="I20" s="496"/>
      <c r="J20" s="467"/>
      <c r="K20" s="496"/>
      <c r="L20" s="467"/>
      <c r="M20" s="496"/>
      <c r="N20" s="467"/>
      <c r="O20" s="496" t="s">
        <v>14</v>
      </c>
      <c r="P20" s="467"/>
      <c r="Q20" s="496" t="s">
        <v>14</v>
      </c>
      <c r="R20" s="467"/>
      <c r="S20" s="496" t="s">
        <v>14</v>
      </c>
      <c r="T20" s="467"/>
      <c r="U20" s="496"/>
      <c r="V20" s="467"/>
      <c r="W20" s="496"/>
      <c r="X20" s="467"/>
      <c r="Y20" s="496"/>
      <c r="Z20" s="467"/>
      <c r="AA20" s="496"/>
      <c r="AB20" s="467"/>
      <c r="AC20" s="939"/>
      <c r="AD20" s="467"/>
      <c r="AE20" s="1792"/>
      <c r="AF20" s="467"/>
      <c r="AG20" s="467"/>
      <c r="AH20" s="493"/>
      <c r="AI20" s="236"/>
      <c r="AJ20" s="493" t="s">
        <v>14</v>
      </c>
      <c r="AK20" s="472"/>
      <c r="AL20" s="663" t="s">
        <v>14</v>
      </c>
    </row>
    <row r="21" spans="1:38" s="499" customFormat="1">
      <c r="B21" s="597" t="s">
        <v>950</v>
      </c>
      <c r="E21" s="496">
        <v>0</v>
      </c>
      <c r="F21" s="467"/>
      <c r="G21" s="496">
        <v>0</v>
      </c>
      <c r="H21" s="467"/>
      <c r="I21" s="496">
        <v>0</v>
      </c>
      <c r="J21" s="467"/>
      <c r="K21" s="496">
        <v>0</v>
      </c>
      <c r="L21" s="467"/>
      <c r="M21" s="496">
        <v>0</v>
      </c>
      <c r="N21" s="467"/>
      <c r="O21" s="496">
        <v>0</v>
      </c>
      <c r="P21" s="467"/>
      <c r="Q21" s="496">
        <v>0</v>
      </c>
      <c r="R21" s="467"/>
      <c r="S21" s="496">
        <v>0</v>
      </c>
      <c r="T21" s="496"/>
      <c r="U21" s="496">
        <v>0</v>
      </c>
      <c r="V21" s="467"/>
      <c r="W21" s="496">
        <v>0</v>
      </c>
      <c r="X21" s="467"/>
      <c r="Y21" s="496">
        <v>0</v>
      </c>
      <c r="Z21" s="467"/>
      <c r="AA21" s="496">
        <f t="shared" ref="AA21:AA41" si="4">$AD21-$E21-$G21-$I21-$K21-$M21-$O21-$Q21-$S21-$U21-$W21-$Y21</f>
        <v>0</v>
      </c>
      <c r="AB21" s="467"/>
      <c r="AC21" s="939"/>
      <c r="AD21" s="496">
        <v>0</v>
      </c>
      <c r="AE21" s="1792"/>
      <c r="AF21" s="467"/>
      <c r="AG21" s="496">
        <v>0</v>
      </c>
      <c r="AH21" s="493"/>
      <c r="AI21" s="236"/>
      <c r="AJ21" s="493">
        <f t="shared" ref="AJ21:AJ41" si="5">ROUND(AD21-AG21,1)</f>
        <v>0</v>
      </c>
      <c r="AK21" s="472"/>
      <c r="AL21" s="663">
        <f>ROUND(IF(AG21=0,0,AJ21/ABS(AG21)),3)</f>
        <v>0</v>
      </c>
    </row>
    <row r="22" spans="1:38" s="499" customFormat="1">
      <c r="B22" s="597" t="s">
        <v>1036</v>
      </c>
      <c r="E22" s="496" t="s">
        <v>14</v>
      </c>
      <c r="F22" s="467"/>
      <c r="G22" s="496"/>
      <c r="H22" s="467"/>
      <c r="I22" s="496"/>
      <c r="J22" s="467"/>
      <c r="K22" s="496"/>
      <c r="L22" s="467"/>
      <c r="M22" s="496"/>
      <c r="N22" s="467"/>
      <c r="O22" s="496" t="s">
        <v>14</v>
      </c>
      <c r="P22" s="467"/>
      <c r="Q22" s="496" t="s">
        <v>14</v>
      </c>
      <c r="R22" s="467"/>
      <c r="S22" s="496" t="s">
        <v>14</v>
      </c>
      <c r="T22" s="467"/>
      <c r="U22" s="496"/>
      <c r="V22" s="467"/>
      <c r="W22" s="496"/>
      <c r="X22" s="467"/>
      <c r="Y22" s="496"/>
      <c r="Z22" s="467"/>
      <c r="AA22" s="496"/>
      <c r="AB22" s="467"/>
      <c r="AC22" s="939"/>
      <c r="AD22" s="467"/>
      <c r="AE22" s="1792"/>
      <c r="AF22" s="467"/>
      <c r="AG22" s="467"/>
      <c r="AH22" s="493"/>
      <c r="AI22" s="236"/>
      <c r="AJ22" s="493" t="s">
        <v>14</v>
      </c>
      <c r="AK22" s="472"/>
      <c r="AL22" s="663" t="s">
        <v>14</v>
      </c>
    </row>
    <row r="23" spans="1:38" s="499" customFormat="1">
      <c r="B23" s="597" t="s">
        <v>954</v>
      </c>
      <c r="E23" s="496">
        <v>0</v>
      </c>
      <c r="F23" s="467"/>
      <c r="G23" s="496">
        <v>0</v>
      </c>
      <c r="H23" s="467"/>
      <c r="I23" s="496">
        <v>0</v>
      </c>
      <c r="J23" s="467"/>
      <c r="K23" s="496">
        <v>0</v>
      </c>
      <c r="L23" s="467"/>
      <c r="M23" s="496">
        <v>0</v>
      </c>
      <c r="N23" s="467"/>
      <c r="O23" s="496">
        <v>0</v>
      </c>
      <c r="P23" s="467"/>
      <c r="Q23" s="496">
        <v>0</v>
      </c>
      <c r="R23" s="467"/>
      <c r="S23" s="496">
        <v>0</v>
      </c>
      <c r="T23" s="496"/>
      <c r="U23" s="496">
        <v>0</v>
      </c>
      <c r="V23" s="467"/>
      <c r="W23" s="496">
        <v>0</v>
      </c>
      <c r="X23" s="467"/>
      <c r="Y23" s="496">
        <v>0</v>
      </c>
      <c r="Z23" s="467"/>
      <c r="AA23" s="496">
        <f t="shared" si="4"/>
        <v>0</v>
      </c>
      <c r="AB23" s="467"/>
      <c r="AC23" s="939"/>
      <c r="AD23" s="496">
        <v>0</v>
      </c>
      <c r="AE23" s="1792"/>
      <c r="AF23" s="467"/>
      <c r="AG23" s="496">
        <v>0</v>
      </c>
      <c r="AH23" s="493"/>
      <c r="AI23" s="236"/>
      <c r="AJ23" s="493">
        <f t="shared" si="5"/>
        <v>0</v>
      </c>
      <c r="AK23" s="472"/>
      <c r="AL23" s="663">
        <f t="shared" ref="AL23:AL28" si="6">ROUND(IF(AG23=0,0,AJ23/ABS(AG23)),3)</f>
        <v>0</v>
      </c>
    </row>
    <row r="24" spans="1:38" s="499" customFormat="1">
      <c r="B24" s="597" t="s">
        <v>1091</v>
      </c>
      <c r="E24" s="496">
        <v>0</v>
      </c>
      <c r="F24" s="467"/>
      <c r="G24" s="496">
        <v>0</v>
      </c>
      <c r="H24" s="467"/>
      <c r="I24" s="496">
        <v>0</v>
      </c>
      <c r="J24" s="467"/>
      <c r="K24" s="496">
        <v>0</v>
      </c>
      <c r="L24" s="467"/>
      <c r="M24" s="496">
        <v>0</v>
      </c>
      <c r="N24" s="467"/>
      <c r="O24" s="496">
        <v>0</v>
      </c>
      <c r="P24" s="467"/>
      <c r="Q24" s="496">
        <v>0</v>
      </c>
      <c r="R24" s="467"/>
      <c r="S24" s="496">
        <v>0</v>
      </c>
      <c r="T24" s="496"/>
      <c r="U24" s="496">
        <v>0</v>
      </c>
      <c r="V24" s="467"/>
      <c r="W24" s="496">
        <v>0</v>
      </c>
      <c r="X24" s="467"/>
      <c r="Y24" s="496">
        <v>0</v>
      </c>
      <c r="Z24" s="467"/>
      <c r="AA24" s="496">
        <f t="shared" si="4"/>
        <v>0</v>
      </c>
      <c r="AB24" s="467"/>
      <c r="AC24" s="939"/>
      <c r="AD24" s="496">
        <v>0</v>
      </c>
      <c r="AE24" s="1792"/>
      <c r="AF24" s="467"/>
      <c r="AG24" s="496">
        <v>0</v>
      </c>
      <c r="AH24" s="493"/>
      <c r="AI24" s="236"/>
      <c r="AJ24" s="493">
        <f>ROUND(AD24-AG24,1)</f>
        <v>0</v>
      </c>
      <c r="AK24" s="472"/>
      <c r="AL24" s="663">
        <f t="shared" si="6"/>
        <v>0</v>
      </c>
    </row>
    <row r="25" spans="1:38" s="499" customFormat="1">
      <c r="B25" s="597" t="s">
        <v>957</v>
      </c>
      <c r="E25" s="496">
        <v>0</v>
      </c>
      <c r="F25" s="467"/>
      <c r="G25" s="496">
        <v>0</v>
      </c>
      <c r="H25" s="467"/>
      <c r="I25" s="496">
        <v>0</v>
      </c>
      <c r="J25" s="467"/>
      <c r="K25" s="496">
        <v>0</v>
      </c>
      <c r="L25" s="467"/>
      <c r="M25" s="496">
        <v>0</v>
      </c>
      <c r="N25" s="467"/>
      <c r="O25" s="496">
        <v>0</v>
      </c>
      <c r="P25" s="467"/>
      <c r="Q25" s="496">
        <v>0</v>
      </c>
      <c r="R25" s="467"/>
      <c r="S25" s="496">
        <v>0</v>
      </c>
      <c r="T25" s="496"/>
      <c r="U25" s="496">
        <v>0</v>
      </c>
      <c r="V25" s="467"/>
      <c r="W25" s="496">
        <v>0</v>
      </c>
      <c r="X25" s="467"/>
      <c r="Y25" s="496">
        <v>0</v>
      </c>
      <c r="Z25" s="467"/>
      <c r="AA25" s="496">
        <f t="shared" si="4"/>
        <v>0</v>
      </c>
      <c r="AB25" s="467"/>
      <c r="AC25" s="939"/>
      <c r="AD25" s="496">
        <v>0</v>
      </c>
      <c r="AE25" s="1792"/>
      <c r="AF25" s="467"/>
      <c r="AG25" s="496">
        <v>0</v>
      </c>
      <c r="AH25" s="493"/>
      <c r="AI25" s="236"/>
      <c r="AJ25" s="493">
        <f t="shared" si="5"/>
        <v>0</v>
      </c>
      <c r="AK25" s="472"/>
      <c r="AL25" s="663">
        <f t="shared" si="6"/>
        <v>0</v>
      </c>
    </row>
    <row r="26" spans="1:38" s="499" customFormat="1">
      <c r="B26" s="597" t="s">
        <v>958</v>
      </c>
      <c r="E26" s="496">
        <v>0</v>
      </c>
      <c r="F26" s="467"/>
      <c r="G26" s="496">
        <v>0</v>
      </c>
      <c r="H26" s="467"/>
      <c r="I26" s="496">
        <v>0</v>
      </c>
      <c r="J26" s="467"/>
      <c r="K26" s="496">
        <v>0</v>
      </c>
      <c r="L26" s="467"/>
      <c r="M26" s="496">
        <v>0</v>
      </c>
      <c r="N26" s="467"/>
      <c r="O26" s="496">
        <v>0</v>
      </c>
      <c r="P26" s="467"/>
      <c r="Q26" s="496">
        <v>0</v>
      </c>
      <c r="R26" s="467"/>
      <c r="S26" s="496">
        <v>0</v>
      </c>
      <c r="T26" s="496"/>
      <c r="U26" s="496">
        <v>0</v>
      </c>
      <c r="V26" s="467"/>
      <c r="W26" s="496">
        <v>0</v>
      </c>
      <c r="X26" s="467"/>
      <c r="Y26" s="496">
        <v>0</v>
      </c>
      <c r="Z26" s="467"/>
      <c r="AA26" s="496">
        <f t="shared" si="4"/>
        <v>0</v>
      </c>
      <c r="AB26" s="467"/>
      <c r="AC26" s="939"/>
      <c r="AD26" s="496">
        <v>0</v>
      </c>
      <c r="AE26" s="1792"/>
      <c r="AF26" s="467"/>
      <c r="AG26" s="496">
        <v>0</v>
      </c>
      <c r="AH26" s="493"/>
      <c r="AI26" s="236"/>
      <c r="AJ26" s="493">
        <f t="shared" si="5"/>
        <v>0</v>
      </c>
      <c r="AK26" s="472"/>
      <c r="AL26" s="663">
        <f t="shared" si="6"/>
        <v>0</v>
      </c>
    </row>
    <row r="27" spans="1:38" s="499" customFormat="1">
      <c r="B27" s="597" t="s">
        <v>917</v>
      </c>
      <c r="E27" s="496">
        <v>0</v>
      </c>
      <c r="F27" s="467"/>
      <c r="G27" s="496">
        <v>0</v>
      </c>
      <c r="H27" s="467"/>
      <c r="I27" s="496">
        <v>0</v>
      </c>
      <c r="J27" s="467"/>
      <c r="K27" s="496">
        <v>0</v>
      </c>
      <c r="L27" s="467"/>
      <c r="M27" s="496">
        <v>0</v>
      </c>
      <c r="N27" s="467"/>
      <c r="O27" s="496">
        <v>0</v>
      </c>
      <c r="P27" s="467"/>
      <c r="Q27" s="496">
        <v>0</v>
      </c>
      <c r="R27" s="467"/>
      <c r="S27" s="496">
        <v>0</v>
      </c>
      <c r="T27" s="496"/>
      <c r="U27" s="496">
        <v>0</v>
      </c>
      <c r="V27" s="467"/>
      <c r="W27" s="496">
        <v>0</v>
      </c>
      <c r="X27" s="467"/>
      <c r="Y27" s="496">
        <v>0</v>
      </c>
      <c r="Z27" s="467"/>
      <c r="AA27" s="496">
        <f t="shared" si="4"/>
        <v>0</v>
      </c>
      <c r="AB27" s="467"/>
      <c r="AC27" s="939"/>
      <c r="AD27" s="496">
        <v>0</v>
      </c>
      <c r="AE27" s="1792"/>
      <c r="AF27" s="467"/>
      <c r="AG27" s="496">
        <v>0</v>
      </c>
      <c r="AH27" s="493"/>
      <c r="AI27" s="236"/>
      <c r="AJ27" s="493">
        <f t="shared" si="5"/>
        <v>0</v>
      </c>
      <c r="AK27" s="472"/>
      <c r="AL27" s="663">
        <f t="shared" si="6"/>
        <v>0</v>
      </c>
    </row>
    <row r="28" spans="1:38" s="499" customFormat="1">
      <c r="B28" s="597" t="s">
        <v>918</v>
      </c>
      <c r="E28" s="496">
        <v>0</v>
      </c>
      <c r="F28" s="467"/>
      <c r="G28" s="496">
        <v>0</v>
      </c>
      <c r="H28" s="467"/>
      <c r="I28" s="496">
        <v>0</v>
      </c>
      <c r="J28" s="467"/>
      <c r="K28" s="496">
        <v>0</v>
      </c>
      <c r="L28" s="467"/>
      <c r="M28" s="496">
        <v>0</v>
      </c>
      <c r="N28" s="467"/>
      <c r="O28" s="496">
        <v>0</v>
      </c>
      <c r="P28" s="467"/>
      <c r="Q28" s="496">
        <v>0</v>
      </c>
      <c r="R28" s="467"/>
      <c r="S28" s="496">
        <v>0</v>
      </c>
      <c r="T28" s="496"/>
      <c r="U28" s="496">
        <v>0</v>
      </c>
      <c r="V28" s="467"/>
      <c r="W28" s="496">
        <v>0</v>
      </c>
      <c r="X28" s="467"/>
      <c r="Y28" s="496">
        <v>0</v>
      </c>
      <c r="Z28" s="467"/>
      <c r="AA28" s="496">
        <f t="shared" si="4"/>
        <v>0</v>
      </c>
      <c r="AB28" s="467"/>
      <c r="AC28" s="939"/>
      <c r="AD28" s="496">
        <v>0</v>
      </c>
      <c r="AE28" s="1792"/>
      <c r="AF28" s="467"/>
      <c r="AG28" s="496">
        <v>0</v>
      </c>
      <c r="AH28" s="493"/>
      <c r="AI28" s="236"/>
      <c r="AJ28" s="493">
        <f t="shared" si="5"/>
        <v>0</v>
      </c>
      <c r="AK28" s="472"/>
      <c r="AL28" s="663">
        <f t="shared" si="6"/>
        <v>0</v>
      </c>
    </row>
    <row r="29" spans="1:38">
      <c r="A29" s="21"/>
      <c r="B29" s="597" t="s">
        <v>935</v>
      </c>
      <c r="C29" s="21"/>
      <c r="D29" s="21"/>
      <c r="E29" s="496">
        <v>0</v>
      </c>
      <c r="F29" s="467"/>
      <c r="G29" s="496">
        <v>0</v>
      </c>
      <c r="H29" s="467"/>
      <c r="I29" s="496">
        <v>0</v>
      </c>
      <c r="J29" s="467"/>
      <c r="K29" s="496">
        <v>0</v>
      </c>
      <c r="L29" s="467"/>
      <c r="M29" s="496">
        <v>0</v>
      </c>
      <c r="N29" s="467"/>
      <c r="O29" s="496">
        <v>0</v>
      </c>
      <c r="P29" s="467"/>
      <c r="Q29" s="496">
        <v>0</v>
      </c>
      <c r="R29" s="467"/>
      <c r="S29" s="496">
        <v>0</v>
      </c>
      <c r="T29" s="496"/>
      <c r="U29" s="496">
        <v>0</v>
      </c>
      <c r="V29" s="467"/>
      <c r="W29" s="496">
        <v>0</v>
      </c>
      <c r="X29" s="467"/>
      <c r="Y29" s="496">
        <v>0</v>
      </c>
      <c r="Z29" s="467"/>
      <c r="AA29" s="496">
        <f t="shared" si="4"/>
        <v>0</v>
      </c>
      <c r="AB29" s="467"/>
      <c r="AC29" s="939"/>
      <c r="AD29" s="496">
        <v>0</v>
      </c>
      <c r="AE29" s="1792"/>
      <c r="AF29" s="467"/>
      <c r="AG29" s="496">
        <v>0</v>
      </c>
      <c r="AH29" s="46"/>
      <c r="AI29" s="236"/>
      <c r="AJ29" s="46">
        <f>ROUND(AD29-AG29,1)</f>
        <v>0</v>
      </c>
      <c r="AK29" s="112"/>
      <c r="AL29" s="955">
        <f>ROUND(IF(AG29=0,0,AJ29/ABS(AG29)),3)</f>
        <v>0</v>
      </c>
    </row>
    <row r="30" spans="1:38" s="499" customFormat="1">
      <c r="B30" s="597" t="s">
        <v>1034</v>
      </c>
      <c r="E30" s="496" t="s">
        <v>14</v>
      </c>
      <c r="F30" s="467"/>
      <c r="G30" s="496"/>
      <c r="H30" s="467"/>
      <c r="I30" s="496"/>
      <c r="J30" s="467"/>
      <c r="K30" s="496"/>
      <c r="L30" s="467"/>
      <c r="M30" s="496"/>
      <c r="N30" s="467"/>
      <c r="O30" s="496" t="s">
        <v>14</v>
      </c>
      <c r="P30" s="467"/>
      <c r="Q30" s="496" t="s">
        <v>14</v>
      </c>
      <c r="R30" s="467"/>
      <c r="S30" s="496" t="s">
        <v>14</v>
      </c>
      <c r="T30" s="467"/>
      <c r="U30" s="496"/>
      <c r="V30" s="467"/>
      <c r="W30" s="496"/>
      <c r="X30" s="467"/>
      <c r="Y30" s="496"/>
      <c r="Z30" s="467"/>
      <c r="AA30" s="496"/>
      <c r="AB30" s="467"/>
      <c r="AC30" s="939"/>
      <c r="AD30" s="467"/>
      <c r="AE30" s="1792"/>
      <c r="AF30" s="467"/>
      <c r="AG30" s="467"/>
      <c r="AH30" s="493"/>
      <c r="AI30" s="236"/>
      <c r="AJ30" s="493" t="s">
        <v>14</v>
      </c>
      <c r="AK30" s="472"/>
      <c r="AL30" s="663" t="s">
        <v>14</v>
      </c>
    </row>
    <row r="31" spans="1:38" s="499" customFormat="1">
      <c r="B31" s="597" t="s">
        <v>961</v>
      </c>
      <c r="E31" s="496">
        <v>0</v>
      </c>
      <c r="F31" s="467"/>
      <c r="G31" s="496">
        <v>0</v>
      </c>
      <c r="H31" s="467"/>
      <c r="I31" s="496">
        <v>0</v>
      </c>
      <c r="J31" s="467"/>
      <c r="K31" s="496">
        <v>0</v>
      </c>
      <c r="L31" s="467"/>
      <c r="M31" s="496">
        <v>0</v>
      </c>
      <c r="N31" s="467"/>
      <c r="O31" s="496">
        <v>0</v>
      </c>
      <c r="P31" s="467"/>
      <c r="Q31" s="496">
        <v>0</v>
      </c>
      <c r="R31" s="467"/>
      <c r="S31" s="496">
        <v>0</v>
      </c>
      <c r="T31" s="496"/>
      <c r="U31" s="496">
        <v>0</v>
      </c>
      <c r="V31" s="467"/>
      <c r="W31" s="496">
        <v>0</v>
      </c>
      <c r="X31" s="467"/>
      <c r="Y31" s="496">
        <v>0</v>
      </c>
      <c r="Z31" s="467"/>
      <c r="AA31" s="496">
        <f t="shared" si="4"/>
        <v>0</v>
      </c>
      <c r="AB31" s="467"/>
      <c r="AC31" s="939"/>
      <c r="AD31" s="496">
        <v>0</v>
      </c>
      <c r="AE31" s="1792"/>
      <c r="AF31" s="467"/>
      <c r="AG31" s="496">
        <v>0</v>
      </c>
      <c r="AH31" s="493"/>
      <c r="AI31" s="236"/>
      <c r="AJ31" s="493">
        <f t="shared" si="5"/>
        <v>0</v>
      </c>
      <c r="AK31" s="472"/>
      <c r="AL31" s="663">
        <f>ROUND(IF(AG31=0,0,AJ31/ABS(AG31)),3)</f>
        <v>0</v>
      </c>
    </row>
    <row r="32" spans="1:38" s="499" customFormat="1">
      <c r="B32" s="597" t="s">
        <v>963</v>
      </c>
      <c r="E32" s="496">
        <v>0</v>
      </c>
      <c r="F32" s="496"/>
      <c r="G32" s="496">
        <v>0</v>
      </c>
      <c r="H32" s="496"/>
      <c r="I32" s="496">
        <v>0</v>
      </c>
      <c r="J32" s="496"/>
      <c r="K32" s="496">
        <v>0</v>
      </c>
      <c r="L32" s="496"/>
      <c r="M32" s="496">
        <v>0</v>
      </c>
      <c r="N32" s="467"/>
      <c r="O32" s="496">
        <v>0</v>
      </c>
      <c r="P32" s="467"/>
      <c r="Q32" s="496">
        <v>0</v>
      </c>
      <c r="R32" s="467"/>
      <c r="S32" s="496">
        <v>0</v>
      </c>
      <c r="T32" s="496"/>
      <c r="U32" s="496">
        <v>0</v>
      </c>
      <c r="V32" s="467"/>
      <c r="W32" s="496">
        <v>0</v>
      </c>
      <c r="X32" s="467"/>
      <c r="Y32" s="496">
        <v>0</v>
      </c>
      <c r="Z32" s="467"/>
      <c r="AA32" s="496">
        <f t="shared" si="4"/>
        <v>0</v>
      </c>
      <c r="AB32" s="467"/>
      <c r="AC32" s="939"/>
      <c r="AD32" s="496">
        <v>0</v>
      </c>
      <c r="AE32" s="1792"/>
      <c r="AF32" s="467"/>
      <c r="AG32" s="496">
        <v>0</v>
      </c>
      <c r="AH32" s="493"/>
      <c r="AI32" s="236"/>
      <c r="AJ32" s="493">
        <f t="shared" si="5"/>
        <v>0</v>
      </c>
      <c r="AK32" s="472"/>
      <c r="AL32" s="663">
        <f>ROUND(IF(AG32=0,0,AJ32/ABS(AG32)),3)</f>
        <v>0</v>
      </c>
    </row>
    <row r="33" spans="1:39" s="499" customFormat="1">
      <c r="B33" s="597" t="s">
        <v>964</v>
      </c>
      <c r="E33" s="496">
        <v>0</v>
      </c>
      <c r="F33" s="467"/>
      <c r="G33" s="496">
        <v>0</v>
      </c>
      <c r="H33" s="467"/>
      <c r="I33" s="496">
        <v>0</v>
      </c>
      <c r="J33" s="467"/>
      <c r="K33" s="496">
        <v>0</v>
      </c>
      <c r="L33" s="467"/>
      <c r="M33" s="496">
        <v>0</v>
      </c>
      <c r="N33" s="467"/>
      <c r="O33" s="496">
        <v>0</v>
      </c>
      <c r="P33" s="467"/>
      <c r="Q33" s="496">
        <v>0</v>
      </c>
      <c r="R33" s="467"/>
      <c r="S33" s="496">
        <v>0</v>
      </c>
      <c r="T33" s="496"/>
      <c r="U33" s="496">
        <v>0</v>
      </c>
      <c r="V33" s="467"/>
      <c r="W33" s="496">
        <v>0</v>
      </c>
      <c r="X33" s="467"/>
      <c r="Y33" s="496">
        <v>0</v>
      </c>
      <c r="Z33" s="467"/>
      <c r="AA33" s="496">
        <f t="shared" si="4"/>
        <v>0</v>
      </c>
      <c r="AB33" s="467"/>
      <c r="AC33" s="939"/>
      <c r="AD33" s="496">
        <v>0</v>
      </c>
      <c r="AE33" s="1792"/>
      <c r="AF33" s="467"/>
      <c r="AG33" s="496">
        <v>0</v>
      </c>
      <c r="AH33" s="493"/>
      <c r="AI33" s="236"/>
      <c r="AJ33" s="493">
        <f>ROUND(AD33-AG33,1)</f>
        <v>0</v>
      </c>
      <c r="AK33" s="472"/>
      <c r="AL33" s="663">
        <f>ROUND(IF(AG33=0,0,AJ33/ABS(AG33)),3)</f>
        <v>0</v>
      </c>
    </row>
    <row r="34" spans="1:39">
      <c r="A34" s="21"/>
      <c r="B34" s="597" t="s">
        <v>936</v>
      </c>
      <c r="C34" s="21"/>
      <c r="D34" s="21"/>
      <c r="E34" s="496">
        <v>0</v>
      </c>
      <c r="F34" s="467"/>
      <c r="G34" s="496">
        <v>0</v>
      </c>
      <c r="H34" s="467"/>
      <c r="I34" s="496">
        <v>0</v>
      </c>
      <c r="J34" s="467"/>
      <c r="K34" s="496">
        <v>0</v>
      </c>
      <c r="L34" s="467"/>
      <c r="M34" s="496">
        <v>0</v>
      </c>
      <c r="N34" s="467"/>
      <c r="O34" s="496">
        <v>0</v>
      </c>
      <c r="P34" s="467"/>
      <c r="Q34" s="496">
        <v>0</v>
      </c>
      <c r="R34" s="467"/>
      <c r="S34" s="496">
        <v>0</v>
      </c>
      <c r="T34" s="496"/>
      <c r="U34" s="496">
        <v>0</v>
      </c>
      <c r="V34" s="467"/>
      <c r="W34" s="496">
        <v>0</v>
      </c>
      <c r="X34" s="467"/>
      <c r="Y34" s="496">
        <v>0</v>
      </c>
      <c r="Z34" s="467"/>
      <c r="AA34" s="496">
        <f t="shared" si="4"/>
        <v>0</v>
      </c>
      <c r="AB34" s="467"/>
      <c r="AC34" s="939"/>
      <c r="AD34" s="496">
        <v>0</v>
      </c>
      <c r="AE34" s="1792"/>
      <c r="AF34" s="467"/>
      <c r="AG34" s="496">
        <v>0</v>
      </c>
      <c r="AH34" s="46"/>
      <c r="AI34" s="236"/>
      <c r="AJ34" s="46">
        <f t="shared" si="5"/>
        <v>0</v>
      </c>
      <c r="AK34" s="112"/>
      <c r="AL34" s="955">
        <f>ROUND(IF(AG34=0,0,AJ34/ABS(AG34)),3)</f>
        <v>0</v>
      </c>
    </row>
    <row r="35" spans="1:39">
      <c r="A35" s="21"/>
      <c r="B35" s="597" t="s">
        <v>1035</v>
      </c>
      <c r="C35" s="21"/>
      <c r="D35" s="21"/>
      <c r="E35" s="496" t="s">
        <v>14</v>
      </c>
      <c r="F35" s="467"/>
      <c r="G35" s="496"/>
      <c r="H35" s="467"/>
      <c r="I35" s="496"/>
      <c r="J35" s="467"/>
      <c r="K35" s="496"/>
      <c r="L35" s="467"/>
      <c r="M35" s="496"/>
      <c r="N35" s="36"/>
      <c r="O35" s="496" t="s">
        <v>14</v>
      </c>
      <c r="P35" s="36"/>
      <c r="Q35" s="496" t="s">
        <v>14</v>
      </c>
      <c r="R35" s="36"/>
      <c r="S35" s="496" t="s">
        <v>14</v>
      </c>
      <c r="T35" s="36"/>
      <c r="U35" s="496"/>
      <c r="V35" s="36"/>
      <c r="W35" s="496"/>
      <c r="X35" s="36"/>
      <c r="Y35" s="496"/>
      <c r="Z35" s="36"/>
      <c r="AA35" s="496"/>
      <c r="AB35" s="36"/>
      <c r="AC35" s="37"/>
      <c r="AD35" s="36"/>
      <c r="AE35" s="757"/>
      <c r="AF35" s="36"/>
      <c r="AG35" s="36"/>
      <c r="AH35" s="46"/>
      <c r="AI35" s="236"/>
      <c r="AJ35" s="493" t="s">
        <v>14</v>
      </c>
      <c r="AK35" s="112"/>
      <c r="AL35" s="663" t="s">
        <v>14</v>
      </c>
    </row>
    <row r="36" spans="1:39">
      <c r="A36" s="21"/>
      <c r="B36" s="597" t="s">
        <v>965</v>
      </c>
      <c r="C36" s="21"/>
      <c r="D36" s="21"/>
      <c r="E36" s="496">
        <v>0</v>
      </c>
      <c r="F36" s="467"/>
      <c r="G36" s="496">
        <v>0</v>
      </c>
      <c r="H36" s="467"/>
      <c r="I36" s="496">
        <v>0</v>
      </c>
      <c r="J36" s="467"/>
      <c r="K36" s="496">
        <v>0</v>
      </c>
      <c r="L36" s="467"/>
      <c r="M36" s="496">
        <v>0</v>
      </c>
      <c r="N36" s="467"/>
      <c r="O36" s="496">
        <v>0</v>
      </c>
      <c r="P36" s="467"/>
      <c r="Q36" s="496">
        <v>0</v>
      </c>
      <c r="R36" s="467"/>
      <c r="S36" s="496">
        <v>0</v>
      </c>
      <c r="T36" s="496"/>
      <c r="U36" s="496">
        <v>0</v>
      </c>
      <c r="V36" s="467"/>
      <c r="W36" s="496">
        <v>0</v>
      </c>
      <c r="X36" s="467"/>
      <c r="Y36" s="496">
        <v>0</v>
      </c>
      <c r="Z36" s="467"/>
      <c r="AA36" s="496">
        <f t="shared" si="4"/>
        <v>0</v>
      </c>
      <c r="AB36" s="467"/>
      <c r="AC36" s="939"/>
      <c r="AD36" s="496">
        <v>0</v>
      </c>
      <c r="AE36" s="1792"/>
      <c r="AF36" s="467"/>
      <c r="AG36" s="496">
        <v>0</v>
      </c>
      <c r="AH36" s="46"/>
      <c r="AI36" s="236"/>
      <c r="AJ36" s="46">
        <f t="shared" si="5"/>
        <v>0</v>
      </c>
      <c r="AK36" s="112"/>
      <c r="AL36" s="8">
        <f t="shared" ref="AL36:AL42" si="7">ROUND(IF(AG36=0,0,AJ36/ABS(AG36)),3)</f>
        <v>0</v>
      </c>
    </row>
    <row r="37" spans="1:39">
      <c r="A37" s="21"/>
      <c r="B37" s="597" t="s">
        <v>967</v>
      </c>
      <c r="C37" s="21"/>
      <c r="D37" s="21"/>
      <c r="E37" s="496">
        <v>0</v>
      </c>
      <c r="F37" s="467"/>
      <c r="G37" s="496">
        <v>0</v>
      </c>
      <c r="H37" s="467"/>
      <c r="I37" s="496">
        <v>0</v>
      </c>
      <c r="J37" s="467"/>
      <c r="K37" s="496">
        <v>0</v>
      </c>
      <c r="L37" s="467"/>
      <c r="M37" s="496">
        <v>0</v>
      </c>
      <c r="N37" s="467"/>
      <c r="O37" s="496">
        <v>0</v>
      </c>
      <c r="P37" s="467"/>
      <c r="Q37" s="496">
        <v>0</v>
      </c>
      <c r="R37" s="467"/>
      <c r="S37" s="496">
        <v>0</v>
      </c>
      <c r="T37" s="496"/>
      <c r="U37" s="496">
        <v>0</v>
      </c>
      <c r="V37" s="467"/>
      <c r="W37" s="496">
        <v>0</v>
      </c>
      <c r="X37" s="467"/>
      <c r="Y37" s="496">
        <v>0</v>
      </c>
      <c r="Z37" s="467"/>
      <c r="AA37" s="496">
        <f t="shared" si="4"/>
        <v>0</v>
      </c>
      <c r="AB37" s="467"/>
      <c r="AC37" s="939"/>
      <c r="AD37" s="496">
        <v>0</v>
      </c>
      <c r="AE37" s="1792"/>
      <c r="AF37" s="467"/>
      <c r="AG37" s="496">
        <v>0</v>
      </c>
      <c r="AH37" s="46"/>
      <c r="AI37" s="236"/>
      <c r="AJ37" s="46">
        <f t="shared" si="5"/>
        <v>0</v>
      </c>
      <c r="AK37" s="112"/>
      <c r="AL37" s="8">
        <f t="shared" si="7"/>
        <v>0</v>
      </c>
    </row>
    <row r="38" spans="1:39">
      <c r="A38" s="21"/>
      <c r="B38" s="597" t="s">
        <v>968</v>
      </c>
      <c r="C38" s="21"/>
      <c r="D38" s="21"/>
      <c r="E38" s="496">
        <v>0</v>
      </c>
      <c r="F38" s="467"/>
      <c r="G38" s="496">
        <v>0</v>
      </c>
      <c r="H38" s="467"/>
      <c r="I38" s="496">
        <v>0</v>
      </c>
      <c r="J38" s="467"/>
      <c r="K38" s="496">
        <v>0</v>
      </c>
      <c r="L38" s="467"/>
      <c r="M38" s="496">
        <v>0</v>
      </c>
      <c r="N38" s="467"/>
      <c r="O38" s="496">
        <v>0</v>
      </c>
      <c r="P38" s="467"/>
      <c r="Q38" s="496">
        <v>0</v>
      </c>
      <c r="R38" s="467"/>
      <c r="S38" s="496">
        <v>0</v>
      </c>
      <c r="T38" s="496"/>
      <c r="U38" s="496">
        <v>0</v>
      </c>
      <c r="V38" s="467"/>
      <c r="W38" s="496">
        <v>0</v>
      </c>
      <c r="X38" s="467"/>
      <c r="Y38" s="496">
        <v>0</v>
      </c>
      <c r="Z38" s="467"/>
      <c r="AA38" s="496">
        <f t="shared" si="4"/>
        <v>0</v>
      </c>
      <c r="AB38" s="467"/>
      <c r="AC38" s="939"/>
      <c r="AD38" s="496">
        <v>0</v>
      </c>
      <c r="AE38" s="1792"/>
      <c r="AF38" s="467"/>
      <c r="AG38" s="496">
        <v>-0.3</v>
      </c>
      <c r="AH38" s="46"/>
      <c r="AI38" s="236"/>
      <c r="AJ38" s="46">
        <f t="shared" si="5"/>
        <v>0.3</v>
      </c>
      <c r="AK38" s="112"/>
      <c r="AL38" s="955">
        <f>ROUND(IF(AG38=0,0,AJ38/ABS(AG38)),3)</f>
        <v>1</v>
      </c>
    </row>
    <row r="39" spans="1:39">
      <c r="A39" s="21"/>
      <c r="B39" s="597" t="s">
        <v>971</v>
      </c>
      <c r="C39" s="21"/>
      <c r="D39" s="21"/>
      <c r="E39" s="496">
        <v>0</v>
      </c>
      <c r="F39" s="467"/>
      <c r="G39" s="496">
        <v>0</v>
      </c>
      <c r="H39" s="467"/>
      <c r="I39" s="496">
        <v>0</v>
      </c>
      <c r="J39" s="467"/>
      <c r="K39" s="496">
        <v>0</v>
      </c>
      <c r="L39" s="467"/>
      <c r="M39" s="496">
        <v>0</v>
      </c>
      <c r="N39" s="467"/>
      <c r="O39" s="496">
        <v>0</v>
      </c>
      <c r="P39" s="467"/>
      <c r="Q39" s="496">
        <v>0</v>
      </c>
      <c r="R39" s="467"/>
      <c r="S39" s="496">
        <v>0</v>
      </c>
      <c r="T39" s="496"/>
      <c r="U39" s="496">
        <v>0</v>
      </c>
      <c r="V39" s="467"/>
      <c r="W39" s="496">
        <v>0</v>
      </c>
      <c r="X39" s="467"/>
      <c r="Y39" s="496">
        <v>0</v>
      </c>
      <c r="Z39" s="467"/>
      <c r="AA39" s="496">
        <f t="shared" si="4"/>
        <v>0</v>
      </c>
      <c r="AB39" s="467"/>
      <c r="AC39" s="939"/>
      <c r="AD39" s="496">
        <v>0</v>
      </c>
      <c r="AE39" s="1792"/>
      <c r="AF39" s="467"/>
      <c r="AG39" s="496">
        <v>0</v>
      </c>
      <c r="AH39" s="46"/>
      <c r="AI39" s="236"/>
      <c r="AJ39" s="46">
        <f t="shared" si="5"/>
        <v>0</v>
      </c>
      <c r="AK39" s="112"/>
      <c r="AL39" s="8">
        <f t="shared" si="7"/>
        <v>0</v>
      </c>
    </row>
    <row r="40" spans="1:39">
      <c r="A40" s="21"/>
      <c r="B40" s="597" t="s">
        <v>973</v>
      </c>
      <c r="C40" s="21"/>
      <c r="D40" s="21"/>
      <c r="E40" s="496">
        <v>0</v>
      </c>
      <c r="F40" s="467"/>
      <c r="G40" s="496">
        <v>0</v>
      </c>
      <c r="H40" s="467"/>
      <c r="I40" s="496">
        <v>0</v>
      </c>
      <c r="J40" s="467"/>
      <c r="K40" s="496">
        <v>0</v>
      </c>
      <c r="L40" s="467"/>
      <c r="M40" s="496">
        <v>0</v>
      </c>
      <c r="N40" s="467"/>
      <c r="O40" s="496">
        <v>0</v>
      </c>
      <c r="P40" s="467"/>
      <c r="Q40" s="496">
        <v>0</v>
      </c>
      <c r="R40" s="467"/>
      <c r="S40" s="496">
        <v>0</v>
      </c>
      <c r="T40" s="496"/>
      <c r="U40" s="496">
        <v>0</v>
      </c>
      <c r="V40" s="467"/>
      <c r="W40" s="496">
        <v>0</v>
      </c>
      <c r="X40" s="467"/>
      <c r="Y40" s="496">
        <v>0</v>
      </c>
      <c r="Z40" s="467"/>
      <c r="AA40" s="496">
        <f t="shared" si="4"/>
        <v>0</v>
      </c>
      <c r="AB40" s="467"/>
      <c r="AC40" s="939"/>
      <c r="AD40" s="496">
        <v>0</v>
      </c>
      <c r="AE40" s="1792"/>
      <c r="AF40" s="467"/>
      <c r="AG40" s="496">
        <v>0</v>
      </c>
      <c r="AH40" s="46"/>
      <c r="AI40" s="236"/>
      <c r="AJ40" s="46">
        <f t="shared" si="5"/>
        <v>0</v>
      </c>
      <c r="AK40" s="112"/>
      <c r="AL40" s="8">
        <f t="shared" si="7"/>
        <v>0</v>
      </c>
    </row>
    <row r="41" spans="1:39">
      <c r="A41" s="21"/>
      <c r="B41" s="597" t="s">
        <v>946</v>
      </c>
      <c r="C41" s="21"/>
      <c r="D41" s="21"/>
      <c r="E41" s="496">
        <v>0</v>
      </c>
      <c r="F41" s="467"/>
      <c r="G41" s="496">
        <v>0</v>
      </c>
      <c r="H41" s="467"/>
      <c r="I41" s="496">
        <v>0</v>
      </c>
      <c r="J41" s="467"/>
      <c r="K41" s="496">
        <v>0</v>
      </c>
      <c r="L41" s="467"/>
      <c r="M41" s="496">
        <v>0</v>
      </c>
      <c r="N41" s="1010"/>
      <c r="O41" s="496">
        <v>0</v>
      </c>
      <c r="P41" s="1010"/>
      <c r="Q41" s="496">
        <v>0</v>
      </c>
      <c r="R41" s="1010"/>
      <c r="S41" s="496">
        <v>0</v>
      </c>
      <c r="T41" s="1010"/>
      <c r="U41" s="496">
        <v>0</v>
      </c>
      <c r="V41" s="1010"/>
      <c r="W41" s="496">
        <v>0</v>
      </c>
      <c r="X41" s="1010"/>
      <c r="Y41" s="496">
        <v>0</v>
      </c>
      <c r="Z41" s="1010"/>
      <c r="AA41" s="496">
        <f t="shared" si="4"/>
        <v>0</v>
      </c>
      <c r="AB41" s="36"/>
      <c r="AC41" s="37"/>
      <c r="AD41" s="919">
        <v>0</v>
      </c>
      <c r="AE41" s="757"/>
      <c r="AF41" s="36"/>
      <c r="AG41" s="1130">
        <v>0</v>
      </c>
      <c r="AH41" s="46"/>
      <c r="AI41" s="236"/>
      <c r="AJ41" s="46">
        <f t="shared" si="5"/>
        <v>0</v>
      </c>
      <c r="AK41" s="112"/>
      <c r="AL41" s="469">
        <f>ROUND(IF(AG41=0,0,AJ41/ABS(AG41)),3)</f>
        <v>0</v>
      </c>
    </row>
    <row r="42" spans="1:39" s="19" customFormat="1" collapsed="1">
      <c r="B42" s="217" t="s">
        <v>980</v>
      </c>
      <c r="E42" s="178">
        <f>ROUND(SUM(E19:E41),1)</f>
        <v>0</v>
      </c>
      <c r="F42" s="42"/>
      <c r="G42" s="178">
        <f>ROUND(SUM(G19:G41),1)</f>
        <v>0</v>
      </c>
      <c r="H42" s="693"/>
      <c r="I42" s="178">
        <f>ROUND(SUM(I19:I41),1)</f>
        <v>0</v>
      </c>
      <c r="J42" s="42"/>
      <c r="K42" s="178">
        <f>ROUND(SUM(K19:K41),1)</f>
        <v>0</v>
      </c>
      <c r="L42" s="42"/>
      <c r="M42" s="178">
        <f>ROUND(SUM(M19:M41),1)</f>
        <v>0</v>
      </c>
      <c r="N42" s="42"/>
      <c r="O42" s="178">
        <f>ROUND(SUM(O19:O41),1)</f>
        <v>0</v>
      </c>
      <c r="P42" s="42"/>
      <c r="Q42" s="178">
        <f>ROUND(SUM(Q19:Q41),1)</f>
        <v>0</v>
      </c>
      <c r="R42" s="42"/>
      <c r="S42" s="178">
        <f>ROUND(SUM(S19:S41),1)</f>
        <v>0</v>
      </c>
      <c r="T42" s="42"/>
      <c r="U42" s="178">
        <f t="shared" ref="U42" si="8">ROUND(SUM(U19:U41),1)</f>
        <v>0</v>
      </c>
      <c r="V42" s="42"/>
      <c r="W42" s="178">
        <f>ROUND(SUM(W19:W41),1)</f>
        <v>0</v>
      </c>
      <c r="X42" s="42"/>
      <c r="Y42" s="178">
        <f>ROUND(SUM(Y19:Y41),1)</f>
        <v>0</v>
      </c>
      <c r="Z42" s="42"/>
      <c r="AA42" s="178">
        <f>ROUND(SUM(AA19:AA41),1)</f>
        <v>0</v>
      </c>
      <c r="AB42" s="42"/>
      <c r="AC42" s="44"/>
      <c r="AD42" s="178">
        <f>ROUND(SUM(AD19:AD41),1)</f>
        <v>0</v>
      </c>
      <c r="AE42" s="143"/>
      <c r="AF42" s="42"/>
      <c r="AG42" s="178">
        <f>ROUND(SUM(AG19:AG41),1)</f>
        <v>-0.3</v>
      </c>
      <c r="AH42" s="57"/>
      <c r="AI42" s="236"/>
      <c r="AJ42" s="178">
        <f>ROUND(SUM(AJ19:AJ41),1)</f>
        <v>0.3</v>
      </c>
      <c r="AK42" s="111"/>
      <c r="AL42" s="13">
        <f t="shared" si="7"/>
        <v>1</v>
      </c>
    </row>
    <row r="43" spans="1:39" s="38" customFormat="1">
      <c r="A43" s="36"/>
      <c r="B43" s="2010"/>
      <c r="C43" s="36"/>
      <c r="D43" s="36"/>
      <c r="E43" s="496"/>
      <c r="F43" s="467"/>
      <c r="G43" s="480"/>
      <c r="H43" s="467"/>
      <c r="I43" s="496"/>
      <c r="J43" s="467"/>
      <c r="K43" s="480"/>
      <c r="L43" s="36"/>
      <c r="M43" s="193"/>
      <c r="N43" s="36"/>
      <c r="O43" s="192"/>
      <c r="P43" s="36"/>
      <c r="Q43" s="193"/>
      <c r="R43" s="36"/>
      <c r="S43" s="192"/>
      <c r="T43" s="36"/>
      <c r="U43" s="192"/>
      <c r="V43" s="36"/>
      <c r="W43" s="193"/>
      <c r="X43" s="36"/>
      <c r="Y43" s="193"/>
      <c r="Z43" s="36"/>
      <c r="AA43" s="193"/>
      <c r="AB43" s="36"/>
      <c r="AC43" s="37"/>
      <c r="AD43" s="193"/>
      <c r="AE43" s="52"/>
      <c r="AF43" s="37"/>
      <c r="AG43" s="193"/>
      <c r="AH43" s="46"/>
      <c r="AI43" s="236"/>
      <c r="AL43" s="235"/>
    </row>
    <row r="44" spans="1:39">
      <c r="A44" s="21"/>
      <c r="B44" s="21" t="s">
        <v>146</v>
      </c>
      <c r="C44" s="21"/>
      <c r="D44" s="21"/>
      <c r="E44" s="496">
        <v>134.4</v>
      </c>
      <c r="F44" s="467"/>
      <c r="G44" s="496">
        <v>166.20000000000002</v>
      </c>
      <c r="H44" s="467"/>
      <c r="I44" s="496">
        <v>210.1</v>
      </c>
      <c r="J44" s="467"/>
      <c r="K44" s="496">
        <v>187.79999999999993</v>
      </c>
      <c r="L44" s="467"/>
      <c r="M44" s="496">
        <v>286.39999999999998</v>
      </c>
      <c r="N44" s="467"/>
      <c r="O44" s="496">
        <v>180.59999999999991</v>
      </c>
      <c r="P44" s="467"/>
      <c r="Q44" s="496">
        <v>344</v>
      </c>
      <c r="R44" s="467"/>
      <c r="S44" s="496">
        <v>258.3</v>
      </c>
      <c r="T44" s="496"/>
      <c r="U44" s="496">
        <v>215.60000000000019</v>
      </c>
      <c r="V44" s="467"/>
      <c r="W44" s="496">
        <v>169.49999999999989</v>
      </c>
      <c r="X44" s="467"/>
      <c r="Y44" s="496">
        <v>133.79999999999978</v>
      </c>
      <c r="Z44" s="467"/>
      <c r="AA44" s="496">
        <f t="shared" ref="AA44" si="9">$AD44-$E44-$G44-$I44-$K44-$M44-$O44-$Q44-$S44-$U44-$W44-$Y44</f>
        <v>229.4000000000006</v>
      </c>
      <c r="AB44" s="467"/>
      <c r="AC44" s="939"/>
      <c r="AD44" s="496">
        <v>2516.1</v>
      </c>
      <c r="AE44" s="1792"/>
      <c r="AF44" s="467"/>
      <c r="AG44" s="496">
        <v>2064</v>
      </c>
      <c r="AH44" s="46"/>
      <c r="AI44" s="237"/>
      <c r="AJ44" s="238">
        <f>ROUND(AD44-AG44,1)</f>
        <v>452.1</v>
      </c>
      <c r="AK44" s="112"/>
      <c r="AL44" s="2293">
        <f>ROUND(IF(AG44=0,0,AJ44/ABS(AG44)),3)</f>
        <v>0.219</v>
      </c>
    </row>
    <row r="45" spans="1:39">
      <c r="A45" s="21"/>
      <c r="B45" s="21"/>
      <c r="C45" s="21"/>
      <c r="D45" s="21"/>
      <c r="E45" s="497"/>
      <c r="F45" s="467"/>
      <c r="G45" s="497"/>
      <c r="H45" s="467"/>
      <c r="I45" s="497"/>
      <c r="J45" s="467"/>
      <c r="K45" s="497"/>
      <c r="L45" s="36"/>
      <c r="M45" s="61"/>
      <c r="N45" s="36"/>
      <c r="O45" s="61"/>
      <c r="P45" s="36"/>
      <c r="Q45" s="61"/>
      <c r="R45" s="36"/>
      <c r="S45" s="61"/>
      <c r="T45" s="36"/>
      <c r="U45" s="61"/>
      <c r="V45" s="36"/>
      <c r="W45" s="61"/>
      <c r="X45" s="36"/>
      <c r="Y45" s="61"/>
      <c r="Z45" s="36"/>
      <c r="AA45" s="61"/>
      <c r="AB45" s="36"/>
      <c r="AC45" s="37"/>
      <c r="AD45" s="61"/>
      <c r="AE45" s="52"/>
      <c r="AF45" s="37"/>
      <c r="AG45" s="61"/>
      <c r="AH45" s="36"/>
      <c r="AI45" s="237"/>
      <c r="AJ45" s="38"/>
      <c r="AL45" s="235"/>
    </row>
    <row r="46" spans="1:39">
      <c r="A46" s="21"/>
      <c r="B46" s="19" t="s">
        <v>193</v>
      </c>
      <c r="C46" s="21"/>
      <c r="D46" s="21"/>
      <c r="E46" s="42">
        <f>ROUND(SUM(E42+E44),1)</f>
        <v>134.4</v>
      </c>
      <c r="F46" s="42"/>
      <c r="G46" s="42">
        <f>ROUND(SUM(G42+G44),1)</f>
        <v>166.2</v>
      </c>
      <c r="H46" s="42"/>
      <c r="I46" s="42">
        <f>ROUND(SUM(I42+I44),1)</f>
        <v>210.1</v>
      </c>
      <c r="J46" s="42"/>
      <c r="K46" s="42">
        <f>ROUND(SUM(K42+K44),1)</f>
        <v>187.8</v>
      </c>
      <c r="L46" s="42"/>
      <c r="M46" s="42">
        <f>ROUND(SUM(M42+M44),1)</f>
        <v>286.39999999999998</v>
      </c>
      <c r="N46" s="42"/>
      <c r="O46" s="42">
        <f>ROUND(SUM(O42+O44),1)</f>
        <v>180.6</v>
      </c>
      <c r="P46" s="42"/>
      <c r="Q46" s="42">
        <f>ROUND(SUM(Q42+Q44),1)</f>
        <v>344</v>
      </c>
      <c r="R46" s="42"/>
      <c r="S46" s="42">
        <f>ROUND(SUM(S42+S44),1)</f>
        <v>258.3</v>
      </c>
      <c r="T46" s="42"/>
      <c r="U46" s="42">
        <f t="shared" ref="U46" si="10">ROUND(SUM(U42+U44),1)</f>
        <v>215.6</v>
      </c>
      <c r="V46" s="42"/>
      <c r="W46" s="42">
        <f>ROUND(SUM(W42+W44),1)</f>
        <v>169.5</v>
      </c>
      <c r="X46" s="42"/>
      <c r="Y46" s="42">
        <f>ROUND(SUM(Y42+Y44),1)</f>
        <v>133.80000000000001</v>
      </c>
      <c r="Z46" s="42"/>
      <c r="AA46" s="42">
        <f>ROUND(SUM(AA42+AA44),1)</f>
        <v>229.4</v>
      </c>
      <c r="AB46" s="42"/>
      <c r="AC46" s="44"/>
      <c r="AD46" s="42">
        <f>ROUND(SUM(AD42+AD44),1)</f>
        <v>2516.1</v>
      </c>
      <c r="AE46" s="143"/>
      <c r="AF46" s="44"/>
      <c r="AG46" s="42">
        <f>ROUND(SUM(AG42+AG44),1)</f>
        <v>2063.6999999999998</v>
      </c>
      <c r="AH46" s="57"/>
      <c r="AI46" s="237"/>
      <c r="AJ46" s="603">
        <f>ROUND(SUM(AJ42+AJ44),1)</f>
        <v>452.4</v>
      </c>
      <c r="AK46" s="111"/>
      <c r="AL46" s="244">
        <f>ROUND(SUM(AD46-AG46)/ABS(AG46),3)</f>
        <v>0.219</v>
      </c>
      <c r="AM46" s="19"/>
    </row>
    <row r="47" spans="1:39">
      <c r="A47" s="21"/>
      <c r="B47" s="21"/>
      <c r="C47" s="21"/>
      <c r="D47" s="21"/>
      <c r="E47" s="497"/>
      <c r="F47" s="467"/>
      <c r="G47" s="497"/>
      <c r="H47" s="467"/>
      <c r="I47" s="497"/>
      <c r="J47" s="467"/>
      <c r="K47" s="497"/>
      <c r="L47" s="36"/>
      <c r="M47" s="61"/>
      <c r="N47" s="36"/>
      <c r="O47" s="61"/>
      <c r="P47" s="36"/>
      <c r="Q47" s="61"/>
      <c r="R47" s="36"/>
      <c r="S47" s="61"/>
      <c r="T47" s="36"/>
      <c r="U47" s="61"/>
      <c r="V47" s="36"/>
      <c r="W47" s="61"/>
      <c r="X47" s="36"/>
      <c r="Y47" s="61"/>
      <c r="Z47" s="36"/>
      <c r="AA47" s="61"/>
      <c r="AB47" s="36"/>
      <c r="AC47" s="37"/>
      <c r="AD47" s="61"/>
      <c r="AE47" s="52"/>
      <c r="AF47" s="37"/>
      <c r="AG47" s="61"/>
      <c r="AH47" s="36"/>
      <c r="AI47" s="237"/>
      <c r="AJ47" s="38"/>
      <c r="AL47" s="235"/>
    </row>
    <row r="48" spans="1:39">
      <c r="A48" s="21"/>
      <c r="B48" s="19" t="s">
        <v>22</v>
      </c>
      <c r="C48" s="21"/>
      <c r="D48" s="21"/>
      <c r="E48" s="467"/>
      <c r="F48" s="467"/>
      <c r="G48" s="467"/>
      <c r="H48" s="467"/>
      <c r="I48" s="467"/>
      <c r="J48" s="467"/>
      <c r="K48" s="467"/>
      <c r="L48" s="36"/>
      <c r="M48" s="36"/>
      <c r="N48" s="36"/>
      <c r="O48" s="36"/>
      <c r="P48" s="36"/>
      <c r="Q48" s="36"/>
      <c r="R48" s="36"/>
      <c r="S48" s="36"/>
      <c r="T48" s="36"/>
      <c r="U48" s="36"/>
      <c r="V48" s="36"/>
      <c r="W48" s="36"/>
      <c r="X48" s="36"/>
      <c r="Y48" s="36"/>
      <c r="Z48" s="36"/>
      <c r="AA48" s="36"/>
      <c r="AB48" s="36"/>
      <c r="AC48" s="37"/>
      <c r="AD48" s="36"/>
      <c r="AE48" s="52"/>
      <c r="AF48" s="37"/>
      <c r="AG48" s="36"/>
      <c r="AH48" s="36"/>
      <c r="AI48" s="237"/>
      <c r="AJ48" s="38"/>
      <c r="AL48" s="235"/>
    </row>
    <row r="49" spans="1:41">
      <c r="A49" s="21"/>
      <c r="B49" s="21" t="s">
        <v>148</v>
      </c>
      <c r="C49" s="21"/>
      <c r="D49" s="21"/>
      <c r="E49" s="496"/>
      <c r="F49" s="467"/>
      <c r="G49" s="467"/>
      <c r="H49" s="467"/>
      <c r="I49" s="467"/>
      <c r="J49" s="467"/>
      <c r="K49" s="467"/>
      <c r="L49" s="36"/>
      <c r="M49" s="36"/>
      <c r="N49" s="36"/>
      <c r="O49" s="36"/>
      <c r="P49" s="36"/>
      <c r="Q49" s="193"/>
      <c r="R49" s="36"/>
      <c r="S49" s="36"/>
      <c r="T49" s="36"/>
      <c r="U49" s="36"/>
      <c r="V49" s="36"/>
      <c r="W49" s="36"/>
      <c r="X49" s="36"/>
      <c r="Y49" s="36"/>
      <c r="Z49" s="36"/>
      <c r="AA49" s="36"/>
      <c r="AB49" s="36"/>
      <c r="AC49" s="37"/>
      <c r="AD49" s="36"/>
      <c r="AE49" s="52"/>
      <c r="AF49" s="37"/>
      <c r="AG49" s="36"/>
      <c r="AH49" s="36"/>
      <c r="AI49" s="237"/>
      <c r="AJ49" s="38"/>
      <c r="AK49" s="112"/>
      <c r="AL49" s="235"/>
    </row>
    <row r="50" spans="1:41">
      <c r="A50" s="21"/>
      <c r="B50" s="21" t="s">
        <v>24</v>
      </c>
      <c r="C50" s="21"/>
      <c r="D50" s="21"/>
      <c r="E50" s="496">
        <v>0</v>
      </c>
      <c r="F50" s="467"/>
      <c r="G50" s="496">
        <v>0</v>
      </c>
      <c r="H50" s="467"/>
      <c r="I50" s="496">
        <v>0</v>
      </c>
      <c r="J50" s="467"/>
      <c r="K50" s="496">
        <v>0</v>
      </c>
      <c r="L50" s="467"/>
      <c r="M50" s="496">
        <v>0</v>
      </c>
      <c r="N50" s="467"/>
      <c r="O50" s="496">
        <v>0</v>
      </c>
      <c r="P50" s="467"/>
      <c r="Q50" s="496">
        <v>0</v>
      </c>
      <c r="R50" s="467"/>
      <c r="S50" s="496">
        <v>0</v>
      </c>
      <c r="T50" s="496"/>
      <c r="U50" s="496">
        <v>0</v>
      </c>
      <c r="V50" s="467"/>
      <c r="W50" s="496">
        <v>0</v>
      </c>
      <c r="X50" s="496"/>
      <c r="Y50" s="496">
        <v>0</v>
      </c>
      <c r="Z50" s="467"/>
      <c r="AA50" s="496">
        <f t="shared" ref="AA50:AA59" si="11">$AD50-$E50-$G50-$I50-$K50-$M50-$O50-$Q50-$S50-$U50-$W50-$Y50</f>
        <v>0</v>
      </c>
      <c r="AB50" s="467"/>
      <c r="AC50" s="939"/>
      <c r="AD50" s="496">
        <v>0</v>
      </c>
      <c r="AE50" s="1792"/>
      <c r="AF50" s="467"/>
      <c r="AG50" s="496">
        <v>0</v>
      </c>
      <c r="AH50" s="46"/>
      <c r="AI50" s="236"/>
      <c r="AJ50" s="759">
        <f>ROUND(AD50-AG50,1)</f>
        <v>0</v>
      </c>
      <c r="AK50" s="112"/>
      <c r="AL50" s="955">
        <f>ROUND(IF(AG50=0,0,AJ50/ABS(AG50)),3)</f>
        <v>0</v>
      </c>
    </row>
    <row r="51" spans="1:41">
      <c r="A51" s="21"/>
      <c r="B51" s="21" t="s">
        <v>25</v>
      </c>
      <c r="C51" s="21"/>
      <c r="D51" s="21"/>
      <c r="E51" s="496">
        <v>0</v>
      </c>
      <c r="F51" s="467"/>
      <c r="G51" s="496">
        <v>0</v>
      </c>
      <c r="H51" s="467"/>
      <c r="I51" s="496">
        <v>0</v>
      </c>
      <c r="J51" s="467"/>
      <c r="K51" s="496">
        <v>0</v>
      </c>
      <c r="L51" s="467"/>
      <c r="M51" s="496">
        <v>108.3</v>
      </c>
      <c r="N51" s="467"/>
      <c r="O51" s="496">
        <v>0</v>
      </c>
      <c r="P51" s="467"/>
      <c r="Q51" s="496">
        <v>0</v>
      </c>
      <c r="R51" s="467"/>
      <c r="S51" s="496">
        <v>0</v>
      </c>
      <c r="T51" s="496"/>
      <c r="U51" s="496">
        <v>0</v>
      </c>
      <c r="V51" s="467"/>
      <c r="W51" s="496">
        <v>0</v>
      </c>
      <c r="X51" s="496"/>
      <c r="Y51" s="496">
        <v>0</v>
      </c>
      <c r="Z51" s="467"/>
      <c r="AA51" s="496">
        <f t="shared" si="11"/>
        <v>125.00000000000001</v>
      </c>
      <c r="AB51" s="467"/>
      <c r="AC51" s="939"/>
      <c r="AD51" s="496">
        <v>233.3</v>
      </c>
      <c r="AE51" s="1792"/>
      <c r="AF51" s="467"/>
      <c r="AG51" s="496">
        <v>115.8</v>
      </c>
      <c r="AH51" s="46"/>
      <c r="AI51" s="236"/>
      <c r="AJ51" s="759">
        <f>ROUND(AD51-AG51,1)</f>
        <v>117.5</v>
      </c>
      <c r="AK51" s="112"/>
      <c r="AL51" s="978">
        <f>ROUND(IF(AG51=0,1,AJ51/ABS(AG51)),3)</f>
        <v>1.0149999999999999</v>
      </c>
    </row>
    <row r="52" spans="1:41">
      <c r="A52" s="21"/>
      <c r="B52" s="21" t="s">
        <v>26</v>
      </c>
      <c r="C52" s="21"/>
      <c r="D52" s="21"/>
      <c r="E52" s="496">
        <v>0</v>
      </c>
      <c r="F52" s="467"/>
      <c r="G52" s="496">
        <v>0</v>
      </c>
      <c r="H52" s="467"/>
      <c r="I52" s="496">
        <v>0</v>
      </c>
      <c r="J52" s="467"/>
      <c r="K52" s="496">
        <v>0</v>
      </c>
      <c r="L52" s="467"/>
      <c r="M52" s="496">
        <v>0</v>
      </c>
      <c r="N52" s="467"/>
      <c r="O52" s="496">
        <v>0</v>
      </c>
      <c r="P52" s="467"/>
      <c r="Q52" s="496">
        <v>0</v>
      </c>
      <c r="R52" s="467"/>
      <c r="S52" s="496">
        <v>0</v>
      </c>
      <c r="T52" s="496"/>
      <c r="U52" s="496">
        <v>0</v>
      </c>
      <c r="V52" s="467"/>
      <c r="W52" s="496">
        <v>0</v>
      </c>
      <c r="X52" s="496"/>
      <c r="Y52" s="496">
        <v>0</v>
      </c>
      <c r="Z52" s="467"/>
      <c r="AA52" s="496">
        <f t="shared" si="11"/>
        <v>0</v>
      </c>
      <c r="AB52" s="467"/>
      <c r="AC52" s="939"/>
      <c r="AD52" s="496">
        <v>0</v>
      </c>
      <c r="AE52" s="1792"/>
      <c r="AF52" s="467"/>
      <c r="AG52" s="496">
        <v>0</v>
      </c>
      <c r="AH52" s="46"/>
      <c r="AI52" s="236"/>
      <c r="AJ52" s="759">
        <f>ROUND(AD52-AG52,1)</f>
        <v>0</v>
      </c>
      <c r="AL52" s="8">
        <f>ROUND(IF(AG52=0,0,AJ52/ABS(AG52)),3)</f>
        <v>0</v>
      </c>
    </row>
    <row r="53" spans="1:41">
      <c r="A53" s="21"/>
      <c r="B53" s="21" t="s">
        <v>27</v>
      </c>
      <c r="C53" s="21"/>
      <c r="D53" s="21"/>
      <c r="E53" s="496" t="s">
        <v>14</v>
      </c>
      <c r="F53" s="467"/>
      <c r="G53" s="496"/>
      <c r="H53" s="467"/>
      <c r="I53" s="496"/>
      <c r="J53" s="467"/>
      <c r="K53" s="496"/>
      <c r="L53" s="467"/>
      <c r="M53" s="496"/>
      <c r="N53" s="467"/>
      <c r="O53" s="496" t="s">
        <v>14</v>
      </c>
      <c r="P53" s="467"/>
      <c r="Q53" s="496" t="s">
        <v>1148</v>
      </c>
      <c r="R53" s="467"/>
      <c r="S53" s="496" t="s">
        <v>14</v>
      </c>
      <c r="T53" s="496"/>
      <c r="U53" s="496"/>
      <c r="V53" s="467"/>
      <c r="W53" s="496"/>
      <c r="X53" s="496"/>
      <c r="Y53" s="496"/>
      <c r="Z53" s="467"/>
      <c r="AA53" s="496"/>
      <c r="AB53" s="467"/>
      <c r="AC53" s="939"/>
      <c r="AD53" s="496"/>
      <c r="AE53" s="1792"/>
      <c r="AF53" s="467"/>
      <c r="AG53" s="496"/>
      <c r="AH53" s="36"/>
      <c r="AI53" s="237"/>
      <c r="AJ53" s="760"/>
      <c r="AK53" s="112"/>
      <c r="AL53" s="1109" t="s">
        <v>14</v>
      </c>
    </row>
    <row r="54" spans="1:41">
      <c r="A54" s="21"/>
      <c r="B54" s="21" t="s">
        <v>28</v>
      </c>
      <c r="C54" s="19"/>
      <c r="D54" s="21"/>
      <c r="E54" s="496">
        <v>0</v>
      </c>
      <c r="F54" s="467"/>
      <c r="G54" s="496">
        <v>0</v>
      </c>
      <c r="H54" s="467"/>
      <c r="I54" s="496">
        <v>0</v>
      </c>
      <c r="J54" s="467"/>
      <c r="K54" s="496">
        <v>0</v>
      </c>
      <c r="L54" s="467"/>
      <c r="M54" s="496">
        <v>0</v>
      </c>
      <c r="N54" s="467"/>
      <c r="O54" s="496">
        <v>0</v>
      </c>
      <c r="P54" s="467"/>
      <c r="Q54" s="496">
        <v>0</v>
      </c>
      <c r="R54" s="467"/>
      <c r="S54" s="496">
        <v>0</v>
      </c>
      <c r="T54" s="496"/>
      <c r="U54" s="496">
        <v>0</v>
      </c>
      <c r="V54" s="467"/>
      <c r="W54" s="496">
        <v>0</v>
      </c>
      <c r="X54" s="496"/>
      <c r="Y54" s="496">
        <v>0</v>
      </c>
      <c r="Z54" s="467"/>
      <c r="AA54" s="496">
        <f t="shared" si="11"/>
        <v>0</v>
      </c>
      <c r="AB54" s="467"/>
      <c r="AC54" s="939"/>
      <c r="AD54" s="496">
        <v>0</v>
      </c>
      <c r="AE54" s="1792"/>
      <c r="AF54" s="467"/>
      <c r="AG54" s="496">
        <v>0</v>
      </c>
      <c r="AH54" s="36"/>
      <c r="AI54" s="237"/>
      <c r="AJ54" s="759">
        <f t="shared" ref="AJ54:AJ59" si="12">ROUND(AD54-AG54,1)</f>
        <v>0</v>
      </c>
      <c r="AL54" s="8">
        <f>ROUND(IF(AG54=0,0,AJ54/ABS(AG54)),3)</f>
        <v>0</v>
      </c>
    </row>
    <row r="55" spans="1:41">
      <c r="A55" s="21"/>
      <c r="B55" s="21" t="s">
        <v>29</v>
      </c>
      <c r="C55" s="21"/>
      <c r="D55" s="21"/>
      <c r="E55" s="496">
        <v>0</v>
      </c>
      <c r="F55" s="467"/>
      <c r="G55" s="496">
        <v>0</v>
      </c>
      <c r="H55" s="467"/>
      <c r="I55" s="496">
        <v>0</v>
      </c>
      <c r="J55" s="467"/>
      <c r="K55" s="496">
        <v>0</v>
      </c>
      <c r="L55" s="467"/>
      <c r="M55" s="496">
        <v>0</v>
      </c>
      <c r="N55" s="467"/>
      <c r="O55" s="496">
        <v>2.5</v>
      </c>
      <c r="P55" s="467"/>
      <c r="Q55" s="496">
        <v>-0.10000000000000009</v>
      </c>
      <c r="R55" s="467"/>
      <c r="S55" s="496">
        <v>0</v>
      </c>
      <c r="T55" s="496"/>
      <c r="U55" s="496">
        <v>7.8000000000000007</v>
      </c>
      <c r="V55" s="467"/>
      <c r="W55" s="496">
        <v>9.9999999999999645E-2</v>
      </c>
      <c r="X55" s="496"/>
      <c r="Y55" s="496">
        <v>0</v>
      </c>
      <c r="Z55" s="467"/>
      <c r="AA55" s="496">
        <f t="shared" si="11"/>
        <v>25.200000000000003</v>
      </c>
      <c r="AB55" s="467"/>
      <c r="AC55" s="939"/>
      <c r="AD55" s="496">
        <v>35.5</v>
      </c>
      <c r="AE55" s="1792"/>
      <c r="AF55" s="467"/>
      <c r="AG55" s="496">
        <v>90</v>
      </c>
      <c r="AH55" s="46"/>
      <c r="AI55" s="236"/>
      <c r="AJ55" s="759">
        <f t="shared" si="12"/>
        <v>-54.5</v>
      </c>
      <c r="AK55" s="112"/>
      <c r="AL55" s="971">
        <f>ROUND(IF(AG55=0,0,AJ55/ABS(AG55)),3)</f>
        <v>-0.60599999999999998</v>
      </c>
    </row>
    <row r="56" spans="1:41">
      <c r="A56" s="21"/>
      <c r="B56" s="21" t="s">
        <v>30</v>
      </c>
      <c r="C56" s="21"/>
      <c r="D56" s="21"/>
      <c r="E56" s="496">
        <v>11.6</v>
      </c>
      <c r="F56" s="467"/>
      <c r="G56" s="496">
        <v>0</v>
      </c>
      <c r="H56" s="467"/>
      <c r="I56" s="496">
        <v>17.200000000000003</v>
      </c>
      <c r="J56" s="467"/>
      <c r="K56" s="496">
        <v>7.4999999999999947</v>
      </c>
      <c r="L56" s="467"/>
      <c r="M56" s="496">
        <v>0</v>
      </c>
      <c r="N56" s="467"/>
      <c r="O56" s="2228">
        <v>0</v>
      </c>
      <c r="P56" s="467"/>
      <c r="Q56" s="496">
        <v>69.900000000000006</v>
      </c>
      <c r="R56" s="467"/>
      <c r="S56" s="496">
        <v>0</v>
      </c>
      <c r="T56" s="496"/>
      <c r="U56" s="496">
        <v>0</v>
      </c>
      <c r="V56" s="467"/>
      <c r="W56" s="496">
        <v>0</v>
      </c>
      <c r="X56" s="496"/>
      <c r="Y56" s="496">
        <v>0</v>
      </c>
      <c r="Z56" s="467"/>
      <c r="AA56" s="496">
        <f t="shared" si="11"/>
        <v>0</v>
      </c>
      <c r="AB56" s="467"/>
      <c r="AC56" s="939"/>
      <c r="AD56" s="496">
        <v>106.2</v>
      </c>
      <c r="AE56" s="1792"/>
      <c r="AF56" s="467"/>
      <c r="AG56" s="496">
        <v>73.099999999999994</v>
      </c>
      <c r="AH56" s="46"/>
      <c r="AI56" s="236"/>
      <c r="AJ56" s="759">
        <f t="shared" si="12"/>
        <v>33.1</v>
      </c>
      <c r="AL56" s="971">
        <f>ROUND(IF(AG56=0,1,AJ56/ABS(AG56)),3)</f>
        <v>0.45300000000000001</v>
      </c>
    </row>
    <row r="57" spans="1:41">
      <c r="A57" s="21"/>
      <c r="B57" s="21" t="s">
        <v>31</v>
      </c>
      <c r="C57" s="21"/>
      <c r="D57" s="21"/>
      <c r="E57" s="496">
        <v>0</v>
      </c>
      <c r="F57" s="467"/>
      <c r="G57" s="496">
        <v>0</v>
      </c>
      <c r="H57" s="467"/>
      <c r="I57" s="496">
        <v>0</v>
      </c>
      <c r="J57" s="467"/>
      <c r="K57" s="496">
        <v>0</v>
      </c>
      <c r="L57" s="467"/>
      <c r="M57" s="496">
        <v>0</v>
      </c>
      <c r="N57" s="467"/>
      <c r="O57" s="496">
        <v>0</v>
      </c>
      <c r="P57" s="467"/>
      <c r="Q57" s="496">
        <v>0</v>
      </c>
      <c r="R57" s="467"/>
      <c r="S57" s="496">
        <v>0</v>
      </c>
      <c r="T57" s="496"/>
      <c r="U57" s="496">
        <v>0</v>
      </c>
      <c r="V57" s="467"/>
      <c r="W57" s="496">
        <v>0</v>
      </c>
      <c r="X57" s="496"/>
      <c r="Y57" s="496">
        <v>0</v>
      </c>
      <c r="Z57" s="467"/>
      <c r="AA57" s="496">
        <f t="shared" si="11"/>
        <v>0</v>
      </c>
      <c r="AB57" s="467"/>
      <c r="AC57" s="939"/>
      <c r="AD57" s="496">
        <v>0</v>
      </c>
      <c r="AE57" s="1792"/>
      <c r="AF57" s="467"/>
      <c r="AG57" s="496">
        <v>0</v>
      </c>
      <c r="AH57" s="36"/>
      <c r="AI57" s="237"/>
      <c r="AJ57" s="759">
        <f t="shared" si="12"/>
        <v>0</v>
      </c>
      <c r="AK57" s="112"/>
      <c r="AL57" s="8">
        <f>ROUND(IF(AG57=0,0,AJ57/ABS(AG57)),3)</f>
        <v>0</v>
      </c>
    </row>
    <row r="58" spans="1:41">
      <c r="A58" s="21"/>
      <c r="B58" s="21" t="s">
        <v>32</v>
      </c>
      <c r="C58" s="19"/>
      <c r="D58" s="21"/>
      <c r="E58" s="496">
        <v>0</v>
      </c>
      <c r="F58" s="467"/>
      <c r="G58" s="496">
        <v>0</v>
      </c>
      <c r="H58" s="467"/>
      <c r="I58" s="496">
        <v>0</v>
      </c>
      <c r="J58" s="467"/>
      <c r="K58" s="496">
        <v>0</v>
      </c>
      <c r="L58" s="467"/>
      <c r="M58" s="496">
        <v>0</v>
      </c>
      <c r="N58" s="467"/>
      <c r="O58" s="496">
        <v>0</v>
      </c>
      <c r="P58" s="467"/>
      <c r="Q58" s="496">
        <v>0</v>
      </c>
      <c r="R58" s="467"/>
      <c r="S58" s="496">
        <v>0</v>
      </c>
      <c r="T58" s="496"/>
      <c r="U58" s="496">
        <v>0</v>
      </c>
      <c r="V58" s="467"/>
      <c r="W58" s="496">
        <v>0</v>
      </c>
      <c r="X58" s="496"/>
      <c r="Y58" s="496">
        <v>0</v>
      </c>
      <c r="Z58" s="467"/>
      <c r="AA58" s="496">
        <f t="shared" si="11"/>
        <v>0</v>
      </c>
      <c r="AB58" s="467"/>
      <c r="AC58" s="939"/>
      <c r="AD58" s="496">
        <v>0</v>
      </c>
      <c r="AE58" s="1792"/>
      <c r="AF58" s="467"/>
      <c r="AG58" s="496">
        <v>0</v>
      </c>
      <c r="AH58" s="36"/>
      <c r="AI58" s="237"/>
      <c r="AJ58" s="759">
        <f t="shared" si="12"/>
        <v>0</v>
      </c>
      <c r="AL58" s="8">
        <f>ROUND(IF(AG58=0,0,AJ58/ABS(AG58)),3)</f>
        <v>0</v>
      </c>
    </row>
    <row r="59" spans="1:41">
      <c r="A59" s="21"/>
      <c r="B59" s="21" t="s">
        <v>33</v>
      </c>
      <c r="C59" s="21"/>
      <c r="D59" s="21"/>
      <c r="E59" s="496">
        <v>28.8</v>
      </c>
      <c r="F59" s="467"/>
      <c r="G59" s="496">
        <v>53.800000000000011</v>
      </c>
      <c r="H59" s="467"/>
      <c r="I59" s="496">
        <v>28.599999999999991</v>
      </c>
      <c r="J59" s="467"/>
      <c r="K59" s="496">
        <v>22.100000000000005</v>
      </c>
      <c r="L59" s="467"/>
      <c r="M59" s="496">
        <v>30.900000000000016</v>
      </c>
      <c r="N59" s="467"/>
      <c r="O59" s="496">
        <v>35.69999999999996</v>
      </c>
      <c r="P59" s="467"/>
      <c r="Q59" s="496">
        <v>31.199999999999989</v>
      </c>
      <c r="R59" s="467"/>
      <c r="S59" s="496">
        <v>32.600000000000009</v>
      </c>
      <c r="T59" s="496"/>
      <c r="U59" s="496">
        <v>51.800000000000026</v>
      </c>
      <c r="V59" s="467"/>
      <c r="W59" s="496">
        <v>31.399999999999977</v>
      </c>
      <c r="X59" s="496"/>
      <c r="Y59" s="496">
        <v>34.400000000000063</v>
      </c>
      <c r="Z59" s="467"/>
      <c r="AA59" s="496">
        <f t="shared" si="11"/>
        <v>38.899999999999991</v>
      </c>
      <c r="AB59" s="467"/>
      <c r="AC59" s="939"/>
      <c r="AD59" s="496">
        <v>420.20000000000005</v>
      </c>
      <c r="AE59" s="1792"/>
      <c r="AF59" s="467"/>
      <c r="AG59" s="496">
        <v>469.7</v>
      </c>
      <c r="AH59" s="36"/>
      <c r="AI59" s="237"/>
      <c r="AJ59" s="759">
        <f t="shared" si="12"/>
        <v>-49.5</v>
      </c>
      <c r="AL59" s="1110">
        <f>ROUND((AD59-AG59)/ABS(AG59),3)</f>
        <v>-0.105</v>
      </c>
    </row>
    <row r="60" spans="1:41">
      <c r="A60" s="21"/>
      <c r="B60" s="19" t="s">
        <v>194</v>
      </c>
      <c r="C60" s="21"/>
      <c r="D60" s="21"/>
      <c r="E60" s="206">
        <f>ROUND(SUM(E50:E59),1)</f>
        <v>40.4</v>
      </c>
      <c r="F60" s="42"/>
      <c r="G60" s="206">
        <f>ROUND(SUM(G50:G59),1)</f>
        <v>53.8</v>
      </c>
      <c r="H60" s="42"/>
      <c r="I60" s="206">
        <f>ROUND(SUM(I50:I59),1)</f>
        <v>45.8</v>
      </c>
      <c r="J60" s="42"/>
      <c r="K60" s="206">
        <f>ROUND(SUM(K50:K59),1)</f>
        <v>29.6</v>
      </c>
      <c r="L60" s="42"/>
      <c r="M60" s="206">
        <f>ROUND(SUM(M50:M59),1)</f>
        <v>139.19999999999999</v>
      </c>
      <c r="N60" s="42"/>
      <c r="O60" s="206">
        <f>ROUND(SUM(O50:O59),1)</f>
        <v>38.200000000000003</v>
      </c>
      <c r="P60" s="42"/>
      <c r="Q60" s="206">
        <f>ROUND(SUM(Q50:Q59),1)</f>
        <v>101</v>
      </c>
      <c r="R60" s="42"/>
      <c r="S60" s="206">
        <f>ROUND(SUM(S50:S59),1)</f>
        <v>32.6</v>
      </c>
      <c r="T60" s="42"/>
      <c r="U60" s="206">
        <f t="shared" ref="U60" si="13">ROUND(SUM(U50:U59),1)</f>
        <v>59.6</v>
      </c>
      <c r="V60" s="42"/>
      <c r="W60" s="206">
        <f>ROUND(SUM(W50:W59),1)</f>
        <v>31.5</v>
      </c>
      <c r="X60" s="42"/>
      <c r="Y60" s="206">
        <f>ROUND(SUM(Y50:Y59),1)</f>
        <v>34.4</v>
      </c>
      <c r="Z60" s="42"/>
      <c r="AA60" s="206">
        <f>ROUND(SUM(AA50:AA59),1)</f>
        <v>189.1</v>
      </c>
      <c r="AB60" s="42"/>
      <c r="AC60" s="44"/>
      <c r="AD60" s="206">
        <f>ROUND(SUM(AD50:AD59),1)</f>
        <v>795.2</v>
      </c>
      <c r="AE60" s="143"/>
      <c r="AF60" s="44"/>
      <c r="AG60" s="206">
        <f>ROUND(SUM(AG50:AG59),1)</f>
        <v>748.6</v>
      </c>
      <c r="AH60" s="42"/>
      <c r="AI60" s="237"/>
      <c r="AJ60" s="206">
        <f>ROUND(SUM(AJ50:AJ59),1)</f>
        <v>46.6</v>
      </c>
      <c r="AK60" s="19"/>
      <c r="AL60" s="199">
        <f>ROUND(SUM(AD60-AG60)/ABS(AG60),3)</f>
        <v>6.2E-2</v>
      </c>
      <c r="AM60" s="19"/>
      <c r="AN60" s="19"/>
      <c r="AO60" s="19"/>
    </row>
    <row r="61" spans="1:41">
      <c r="A61" s="21"/>
      <c r="B61" s="21" t="s">
        <v>195</v>
      </c>
      <c r="C61" s="21"/>
      <c r="D61" s="21"/>
      <c r="E61" s="467"/>
      <c r="F61" s="467"/>
      <c r="G61" s="467"/>
      <c r="H61" s="467"/>
      <c r="I61" s="467"/>
      <c r="J61" s="467"/>
      <c r="K61" s="467"/>
      <c r="L61" s="36"/>
      <c r="M61" s="36"/>
      <c r="N61" s="36"/>
      <c r="O61" s="36"/>
      <c r="P61" s="36"/>
      <c r="Q61" s="36"/>
      <c r="R61" s="36"/>
      <c r="S61" s="36"/>
      <c r="T61" s="36"/>
      <c r="U61" s="36"/>
      <c r="V61" s="36"/>
      <c r="W61" s="36"/>
      <c r="X61" s="36"/>
      <c r="Y61" s="36"/>
      <c r="Z61" s="36"/>
      <c r="AA61" s="36"/>
      <c r="AB61" s="36"/>
      <c r="AC61" s="37"/>
      <c r="AD61" s="36"/>
      <c r="AE61" s="52"/>
      <c r="AF61" s="37"/>
      <c r="AG61" s="36"/>
      <c r="AH61" s="36"/>
      <c r="AI61" s="237"/>
      <c r="AJ61" s="38"/>
      <c r="AL61" s="235"/>
    </row>
    <row r="62" spans="1:41">
      <c r="A62" s="21"/>
      <c r="B62" s="21" t="s">
        <v>196</v>
      </c>
      <c r="C62" s="21"/>
      <c r="D62" s="21"/>
      <c r="E62" s="496">
        <v>0</v>
      </c>
      <c r="F62" s="467"/>
      <c r="G62" s="496">
        <v>0</v>
      </c>
      <c r="H62" s="467"/>
      <c r="I62" s="496">
        <v>0</v>
      </c>
      <c r="J62" s="467"/>
      <c r="K62" s="496">
        <v>0</v>
      </c>
      <c r="L62" s="467"/>
      <c r="M62" s="496">
        <v>0</v>
      </c>
      <c r="N62" s="467"/>
      <c r="O62" s="496">
        <v>0</v>
      </c>
      <c r="P62" s="467"/>
      <c r="Q62" s="496">
        <v>0</v>
      </c>
      <c r="R62" s="467"/>
      <c r="S62" s="496">
        <v>0</v>
      </c>
      <c r="T62" s="496"/>
      <c r="U62" s="496">
        <v>0</v>
      </c>
      <c r="V62" s="467"/>
      <c r="W62" s="496">
        <v>0</v>
      </c>
      <c r="X62" s="467"/>
      <c r="Y62" s="496">
        <v>0</v>
      </c>
      <c r="Z62" s="467"/>
      <c r="AA62" s="496">
        <f t="shared" ref="AA62:AA65" si="14">$AD62-$E62-$G62-$I62-$K62-$M62-$O62-$Q62-$S62-$U62-$W62-$Y62</f>
        <v>0</v>
      </c>
      <c r="AB62" s="467"/>
      <c r="AC62" s="939"/>
      <c r="AD62" s="496">
        <v>0</v>
      </c>
      <c r="AE62" s="1792"/>
      <c r="AF62" s="467"/>
      <c r="AG62" s="496">
        <v>0</v>
      </c>
      <c r="AH62" s="40"/>
      <c r="AI62" s="240"/>
      <c r="AJ62" s="759">
        <f>ROUND(AD62-AG62,1)</f>
        <v>0</v>
      </c>
      <c r="AL62" s="8">
        <f>ROUND(IF(AG62=0,0,AJ62/ABS(AG62)),3)</f>
        <v>0</v>
      </c>
      <c r="AM62" s="112"/>
    </row>
    <row r="63" spans="1:41">
      <c r="A63" s="21"/>
      <c r="B63" s="21" t="s">
        <v>197</v>
      </c>
      <c r="C63" s="21"/>
      <c r="D63" s="21"/>
      <c r="E63" s="496">
        <v>0</v>
      </c>
      <c r="F63" s="467"/>
      <c r="G63" s="496">
        <v>0</v>
      </c>
      <c r="H63" s="467"/>
      <c r="I63" s="496">
        <v>0</v>
      </c>
      <c r="J63" s="467"/>
      <c r="K63" s="496">
        <v>0</v>
      </c>
      <c r="L63" s="467"/>
      <c r="M63" s="496">
        <v>0</v>
      </c>
      <c r="N63" s="467"/>
      <c r="O63" s="496">
        <v>0</v>
      </c>
      <c r="P63" s="467"/>
      <c r="Q63" s="496">
        <v>0</v>
      </c>
      <c r="R63" s="467"/>
      <c r="S63" s="496">
        <v>0</v>
      </c>
      <c r="T63" s="496"/>
      <c r="U63" s="496">
        <v>0</v>
      </c>
      <c r="V63" s="467"/>
      <c r="W63" s="496">
        <v>0</v>
      </c>
      <c r="X63" s="467"/>
      <c r="Y63" s="496">
        <v>0</v>
      </c>
      <c r="Z63" s="467"/>
      <c r="AA63" s="496">
        <f t="shared" si="14"/>
        <v>0</v>
      </c>
      <c r="AB63" s="467"/>
      <c r="AC63" s="939"/>
      <c r="AD63" s="496">
        <v>0</v>
      </c>
      <c r="AE63" s="1792"/>
      <c r="AF63" s="467"/>
      <c r="AG63" s="496">
        <v>0</v>
      </c>
      <c r="AH63" s="40"/>
      <c r="AI63" s="240"/>
      <c r="AJ63" s="759">
        <f>ROUND(AD63-AG63,1)</f>
        <v>0</v>
      </c>
      <c r="AL63" s="8">
        <f>ROUND(IF(AG63=0,0,AJ63/ABS(AG63)),3)</f>
        <v>0</v>
      </c>
    </row>
    <row r="64" spans="1:41">
      <c r="A64" s="21"/>
      <c r="B64" s="21" t="s">
        <v>198</v>
      </c>
      <c r="C64" s="21"/>
      <c r="D64" s="21"/>
      <c r="E64" s="496">
        <v>0</v>
      </c>
      <c r="F64" s="467"/>
      <c r="G64" s="496">
        <v>0</v>
      </c>
      <c r="H64" s="467"/>
      <c r="I64" s="496">
        <v>0</v>
      </c>
      <c r="J64" s="467"/>
      <c r="K64" s="496">
        <v>0</v>
      </c>
      <c r="L64" s="467"/>
      <c r="M64" s="496">
        <v>0</v>
      </c>
      <c r="N64" s="467"/>
      <c r="O64" s="496">
        <v>0</v>
      </c>
      <c r="P64" s="467"/>
      <c r="Q64" s="496">
        <v>0</v>
      </c>
      <c r="R64" s="467"/>
      <c r="S64" s="496">
        <v>0</v>
      </c>
      <c r="T64" s="496"/>
      <c r="U64" s="496">
        <v>0</v>
      </c>
      <c r="V64" s="467"/>
      <c r="W64" s="496">
        <v>0</v>
      </c>
      <c r="X64" s="467"/>
      <c r="Y64" s="496">
        <v>0</v>
      </c>
      <c r="Z64" s="467"/>
      <c r="AA64" s="496">
        <f t="shared" si="14"/>
        <v>0</v>
      </c>
      <c r="AB64" s="467"/>
      <c r="AC64" s="939"/>
      <c r="AD64" s="496">
        <v>0</v>
      </c>
      <c r="AE64" s="1792"/>
      <c r="AF64" s="467"/>
      <c r="AG64" s="496">
        <v>0</v>
      </c>
      <c r="AH64" s="40"/>
      <c r="AI64" s="240"/>
      <c r="AJ64" s="759">
        <f>ROUND(AD64-AG64,1)</f>
        <v>0</v>
      </c>
      <c r="AL64" s="8">
        <f>ROUND(IF(AG64=0,0,AJ64/ABS(AG64)),3)</f>
        <v>0</v>
      </c>
    </row>
    <row r="65" spans="1:39">
      <c r="A65" s="21"/>
      <c r="B65" s="34" t="s">
        <v>209</v>
      </c>
      <c r="C65" s="21"/>
      <c r="D65" s="21"/>
      <c r="E65" s="496">
        <v>114.9</v>
      </c>
      <c r="F65" s="467"/>
      <c r="G65" s="496">
        <v>-231.9</v>
      </c>
      <c r="H65" s="467"/>
      <c r="I65" s="496">
        <v>204.29999999999998</v>
      </c>
      <c r="J65" s="467"/>
      <c r="K65" s="496">
        <v>139.60000000000002</v>
      </c>
      <c r="L65" s="467"/>
      <c r="M65" s="496">
        <v>213.99999999999997</v>
      </c>
      <c r="N65" s="467"/>
      <c r="O65" s="496">
        <v>228.3000000000001</v>
      </c>
      <c r="P65" s="467"/>
      <c r="Q65" s="496">
        <v>165.1999999999999</v>
      </c>
      <c r="R65" s="467"/>
      <c r="S65" s="496">
        <v>155.50000000000014</v>
      </c>
      <c r="T65" s="496"/>
      <c r="U65" s="496">
        <v>155.59999999999988</v>
      </c>
      <c r="V65" s="467"/>
      <c r="W65" s="496">
        <v>110.70000000000019</v>
      </c>
      <c r="X65" s="467"/>
      <c r="Y65" s="496">
        <v>90.599999999999909</v>
      </c>
      <c r="Z65" s="467"/>
      <c r="AA65" s="496">
        <f t="shared" si="14"/>
        <v>79.400000000000063</v>
      </c>
      <c r="AB65" s="467"/>
      <c r="AC65" s="939"/>
      <c r="AD65" s="1793">
        <v>1426.2</v>
      </c>
      <c r="AE65" s="1792"/>
      <c r="AF65" s="467"/>
      <c r="AG65" s="1793">
        <v>1503.4</v>
      </c>
      <c r="AH65" s="46"/>
      <c r="AI65" s="236"/>
      <c r="AJ65" s="761">
        <f>ROUND(AD65-AG65,1)</f>
        <v>-77.2</v>
      </c>
      <c r="AL65" s="656">
        <f>ROUND(IF(AG65=0,0,AJ65/ABS(AG65)),3)</f>
        <v>-5.0999999999999997E-2</v>
      </c>
    </row>
    <row r="66" spans="1:39">
      <c r="A66" s="21"/>
      <c r="B66" s="21"/>
      <c r="C66" s="21"/>
      <c r="D66" s="21"/>
      <c r="E66" s="497"/>
      <c r="F66" s="467"/>
      <c r="G66" s="497"/>
      <c r="H66" s="467"/>
      <c r="I66" s="497"/>
      <c r="J66" s="467"/>
      <c r="K66" s="497"/>
      <c r="L66" s="36"/>
      <c r="M66" s="61"/>
      <c r="N66" s="36"/>
      <c r="O66" s="61"/>
      <c r="P66" s="36"/>
      <c r="Q66" s="61"/>
      <c r="R66" s="36"/>
      <c r="S66" s="61"/>
      <c r="T66" s="36"/>
      <c r="U66" s="61"/>
      <c r="V66" s="36"/>
      <c r="W66" s="61"/>
      <c r="X66" s="36"/>
      <c r="Y66" s="61"/>
      <c r="Z66" s="36"/>
      <c r="AA66" s="61"/>
      <c r="AB66" s="36"/>
      <c r="AC66" s="37"/>
      <c r="AD66" s="38"/>
      <c r="AE66" s="52"/>
      <c r="AF66" s="37"/>
      <c r="AG66" s="38"/>
      <c r="AH66" s="38"/>
      <c r="AI66" s="237"/>
      <c r="AJ66" s="38"/>
      <c r="AL66" s="235"/>
    </row>
    <row r="67" spans="1:39">
      <c r="A67" s="21"/>
      <c r="B67" s="19" t="s">
        <v>199</v>
      </c>
      <c r="C67" s="21"/>
      <c r="D67" s="21"/>
      <c r="E67" s="42">
        <f>ROUND(SUM(E60:E65),1)</f>
        <v>155.30000000000001</v>
      </c>
      <c r="F67" s="42"/>
      <c r="G67" s="42">
        <f>ROUND(SUM(G60:G65),1)</f>
        <v>-178.1</v>
      </c>
      <c r="H67" s="42"/>
      <c r="I67" s="42">
        <f>ROUND(SUM(I60:I65),1)</f>
        <v>250.1</v>
      </c>
      <c r="J67" s="42"/>
      <c r="K67" s="42">
        <f>ROUND(SUM(K60:K65),1)</f>
        <v>169.2</v>
      </c>
      <c r="L67" s="42"/>
      <c r="M67" s="42">
        <f>ROUND(SUM(M60:M65),1)</f>
        <v>353.2</v>
      </c>
      <c r="N67" s="42"/>
      <c r="O67" s="42">
        <f>ROUND(SUM(O60:O65),1)</f>
        <v>266.5</v>
      </c>
      <c r="P67" s="42"/>
      <c r="Q67" s="42">
        <f>ROUND(SUM(Q60:Q65),1)</f>
        <v>266.2</v>
      </c>
      <c r="R67" s="42"/>
      <c r="S67" s="42">
        <f>ROUND(SUM(S60:S65),1)</f>
        <v>188.1</v>
      </c>
      <c r="T67" s="42"/>
      <c r="U67" s="42">
        <f t="shared" ref="U67" si="15">ROUND(SUM(U60:U65),1)</f>
        <v>215.2</v>
      </c>
      <c r="V67" s="42"/>
      <c r="W67" s="42">
        <f>ROUND(SUM(W60:W65),1)</f>
        <v>142.19999999999999</v>
      </c>
      <c r="X67" s="42"/>
      <c r="Y67" s="42">
        <f>ROUND(SUM(Y60:Y65),1)</f>
        <v>125</v>
      </c>
      <c r="Z67" s="42"/>
      <c r="AA67" s="42">
        <f>ROUND(SUM(AA60:AA65),1)</f>
        <v>268.5</v>
      </c>
      <c r="AB67" s="42"/>
      <c r="AC67" s="44"/>
      <c r="AD67" s="42">
        <f>SUM(AD60:AD65)</f>
        <v>2221.4</v>
      </c>
      <c r="AE67" s="143"/>
      <c r="AF67" s="44"/>
      <c r="AG67" s="42">
        <f>SUM(AG60:AG65)</f>
        <v>2252</v>
      </c>
      <c r="AH67" s="42"/>
      <c r="AI67" s="237"/>
      <c r="AJ67" s="50">
        <f>ROUND(AD67-AG67,1)</f>
        <v>-30.6</v>
      </c>
      <c r="AK67" s="19"/>
      <c r="AL67" s="210">
        <f>ROUND(SUM(AD67-AG67)/ABS(AG67),3)</f>
        <v>-1.4E-2</v>
      </c>
    </row>
    <row r="68" spans="1:39">
      <c r="A68" s="21"/>
      <c r="B68" s="21"/>
      <c r="C68" s="21"/>
      <c r="D68" s="21"/>
      <c r="E68" s="497"/>
      <c r="F68" s="467"/>
      <c r="G68" s="497"/>
      <c r="H68" s="467"/>
      <c r="I68" s="497"/>
      <c r="J68" s="467"/>
      <c r="K68" s="497"/>
      <c r="L68" s="36"/>
      <c r="M68" s="61"/>
      <c r="N68" s="36"/>
      <c r="O68" s="61"/>
      <c r="P68" s="36"/>
      <c r="Q68" s="61"/>
      <c r="R68" s="36"/>
      <c r="S68" s="61"/>
      <c r="T68" s="36"/>
      <c r="U68" s="61"/>
      <c r="V68" s="36"/>
      <c r="W68" s="61"/>
      <c r="X68" s="36"/>
      <c r="Y68" s="61"/>
      <c r="Z68" s="36"/>
      <c r="AA68" s="61"/>
      <c r="AB68" s="36"/>
      <c r="AC68" s="37"/>
      <c r="AD68" s="497" t="s">
        <v>14</v>
      </c>
      <c r="AE68" s="52"/>
      <c r="AF68" s="37"/>
      <c r="AG68" s="61"/>
      <c r="AH68" s="36"/>
      <c r="AI68" s="237"/>
      <c r="AJ68" s="38"/>
      <c r="AL68" s="235"/>
    </row>
    <row r="69" spans="1:39">
      <c r="A69" s="21"/>
      <c r="B69" s="19" t="s">
        <v>200</v>
      </c>
      <c r="C69" s="21"/>
      <c r="D69" s="21"/>
      <c r="E69" s="467"/>
      <c r="F69" s="467"/>
      <c r="G69" s="467"/>
      <c r="H69" s="467"/>
      <c r="I69" s="467"/>
      <c r="J69" s="467"/>
      <c r="K69" s="467"/>
      <c r="L69" s="36"/>
      <c r="M69" s="36"/>
      <c r="N69" s="36"/>
      <c r="O69" s="36"/>
      <c r="P69" s="36"/>
      <c r="Q69" s="36"/>
      <c r="R69" s="36"/>
      <c r="S69" s="36"/>
      <c r="T69" s="36"/>
      <c r="U69" s="36"/>
      <c r="V69" s="36"/>
      <c r="W69" s="36"/>
      <c r="X69" s="36"/>
      <c r="Y69" s="36"/>
      <c r="Z69" s="36"/>
      <c r="AA69" s="36"/>
      <c r="AB69" s="36"/>
      <c r="AC69" s="37"/>
      <c r="AD69" s="38" t="s">
        <v>14</v>
      </c>
      <c r="AE69" s="52"/>
      <c r="AF69" s="36"/>
      <c r="AG69" s="38"/>
      <c r="AH69" s="38"/>
      <c r="AI69" s="237"/>
      <c r="AJ69" s="38"/>
      <c r="AL69" s="235"/>
    </row>
    <row r="70" spans="1:39">
      <c r="A70" s="21"/>
      <c r="B70" s="19" t="s">
        <v>201</v>
      </c>
      <c r="C70" s="21"/>
      <c r="D70" s="21"/>
      <c r="E70" s="42">
        <f>ROUND(E46-E67,1)</f>
        <v>-20.9</v>
      </c>
      <c r="F70" s="42"/>
      <c r="G70" s="42">
        <f>ROUND(G46-G67,1)</f>
        <v>344.3</v>
      </c>
      <c r="H70" s="42"/>
      <c r="I70" s="42">
        <f>ROUND(I46-I67,1)</f>
        <v>-40</v>
      </c>
      <c r="J70" s="42"/>
      <c r="K70" s="42">
        <f>ROUND(K46-K67,1)</f>
        <v>18.600000000000001</v>
      </c>
      <c r="L70" s="42"/>
      <c r="M70" s="42">
        <f>ROUND(M46-M67,1)</f>
        <v>-66.8</v>
      </c>
      <c r="N70" s="42"/>
      <c r="O70" s="42">
        <f>ROUND(O46-O67,1)</f>
        <v>-85.9</v>
      </c>
      <c r="P70" s="42"/>
      <c r="Q70" s="42">
        <f>ROUND(Q46-Q67,1)</f>
        <v>77.8</v>
      </c>
      <c r="R70" s="42"/>
      <c r="S70" s="42">
        <f>ROUND(S46-S67,1)</f>
        <v>70.2</v>
      </c>
      <c r="T70" s="42"/>
      <c r="U70" s="42">
        <f t="shared" ref="U70" si="16">ROUND(U46-U67,1)</f>
        <v>0.4</v>
      </c>
      <c r="V70" s="42"/>
      <c r="W70" s="42">
        <f>ROUND(W46-W67,1)</f>
        <v>27.3</v>
      </c>
      <c r="X70" s="42"/>
      <c r="Y70" s="42">
        <f>ROUND(Y46-Y67,1)</f>
        <v>8.8000000000000007</v>
      </c>
      <c r="Z70" s="42"/>
      <c r="AA70" s="42">
        <f>ROUND(AA46-AA67,1)</f>
        <v>-39.1</v>
      </c>
      <c r="AB70" s="42"/>
      <c r="AC70" s="44"/>
      <c r="AD70" s="42">
        <f>ROUND(SUM(AD46-AD67),1)</f>
        <v>294.7</v>
      </c>
      <c r="AE70" s="143"/>
      <c r="AF70" s="44"/>
      <c r="AG70" s="42">
        <f>ROUND(SUM(AG46-AG67),1)</f>
        <v>-188.3</v>
      </c>
      <c r="AH70" s="42"/>
      <c r="AI70" s="237"/>
      <c r="AJ70" s="50">
        <f>ROUND(AD70-AG70,1)</f>
        <v>483</v>
      </c>
      <c r="AK70" s="19"/>
      <c r="AL70" s="972">
        <f>ROUND(SUM(AD70-AG70)/ABS(AG70),3)</f>
        <v>2.5649999999999999</v>
      </c>
    </row>
    <row r="71" spans="1:39">
      <c r="A71" s="21"/>
      <c r="B71" s="21"/>
      <c r="C71" s="21"/>
      <c r="D71" s="21"/>
      <c r="E71" s="497"/>
      <c r="F71" s="467"/>
      <c r="G71" s="497"/>
      <c r="H71" s="467"/>
      <c r="I71" s="497"/>
      <c r="J71" s="467"/>
      <c r="K71" s="497"/>
      <c r="L71" s="36"/>
      <c r="M71" s="61"/>
      <c r="N71" s="36"/>
      <c r="O71" s="61"/>
      <c r="P71" s="36"/>
      <c r="Q71" s="61"/>
      <c r="R71" s="36"/>
      <c r="S71" s="61"/>
      <c r="T71" s="36"/>
      <c r="U71" s="61"/>
      <c r="V71" s="36"/>
      <c r="W71" s="61"/>
      <c r="X71" s="36"/>
      <c r="Y71" s="61"/>
      <c r="Z71" s="36"/>
      <c r="AA71" s="61"/>
      <c r="AB71" s="36"/>
      <c r="AC71" s="37"/>
      <c r="AD71" s="61"/>
      <c r="AE71" s="52"/>
      <c r="AF71" s="37"/>
      <c r="AG71" s="61"/>
      <c r="AH71" s="36"/>
      <c r="AI71" s="237"/>
      <c r="AJ71" s="38"/>
      <c r="AL71" s="235"/>
    </row>
    <row r="72" spans="1:39">
      <c r="A72" s="21"/>
      <c r="B72" s="19" t="s">
        <v>202</v>
      </c>
      <c r="C72" s="21"/>
      <c r="D72" s="21"/>
      <c r="E72" s="467"/>
      <c r="F72" s="467"/>
      <c r="G72" s="467"/>
      <c r="H72" s="467"/>
      <c r="I72" s="467"/>
      <c r="J72" s="467"/>
      <c r="K72" s="467"/>
      <c r="L72" s="36"/>
      <c r="M72" s="36"/>
      <c r="N72" s="36"/>
      <c r="O72" s="36"/>
      <c r="P72" s="36"/>
      <c r="Q72" s="36"/>
      <c r="R72" s="36"/>
      <c r="S72" s="36"/>
      <c r="T72" s="36"/>
      <c r="U72" s="36"/>
      <c r="V72" s="36"/>
      <c r="W72" s="36" t="s">
        <v>14</v>
      </c>
      <c r="X72" s="36"/>
      <c r="Y72" s="36"/>
      <c r="Z72" s="36"/>
      <c r="AA72" s="36"/>
      <c r="AB72" s="36"/>
      <c r="AC72" s="37"/>
      <c r="AD72" s="40"/>
      <c r="AE72" s="52"/>
      <c r="AF72" s="37"/>
      <c r="AG72" s="40"/>
      <c r="AH72" s="40"/>
      <c r="AI72" s="240"/>
      <c r="AJ72" s="38"/>
      <c r="AL72" s="235"/>
    </row>
    <row r="73" spans="1:39">
      <c r="A73" s="21"/>
      <c r="B73" s="34" t="s">
        <v>210</v>
      </c>
      <c r="C73" s="21"/>
      <c r="D73" s="21"/>
      <c r="E73" s="496">
        <v>0</v>
      </c>
      <c r="F73" s="467"/>
      <c r="G73" s="496">
        <v>0</v>
      </c>
      <c r="H73" s="467"/>
      <c r="I73" s="496">
        <v>0</v>
      </c>
      <c r="J73" s="467"/>
      <c r="K73" s="496">
        <v>0</v>
      </c>
      <c r="L73" s="467"/>
      <c r="M73" s="496">
        <v>0</v>
      </c>
      <c r="N73" s="467"/>
      <c r="O73" s="496">
        <v>0</v>
      </c>
      <c r="P73" s="467"/>
      <c r="Q73" s="496">
        <v>0</v>
      </c>
      <c r="R73" s="467"/>
      <c r="S73" s="496">
        <v>0</v>
      </c>
      <c r="T73" s="496"/>
      <c r="U73" s="496">
        <v>0</v>
      </c>
      <c r="V73" s="467"/>
      <c r="W73" s="496">
        <v>0</v>
      </c>
      <c r="X73" s="467"/>
      <c r="Y73" s="496">
        <v>0</v>
      </c>
      <c r="Z73" s="467"/>
      <c r="AA73" s="496">
        <f t="shared" ref="AA73" si="17">$AD73-$E73-$G73-$I73-$K73-$M73-$O73-$Q73-$S73-$U73-$W73-$Y73</f>
        <v>12.8</v>
      </c>
      <c r="AB73" s="467"/>
      <c r="AC73" s="939"/>
      <c r="AD73" s="496">
        <v>12.8</v>
      </c>
      <c r="AE73" s="1792"/>
      <c r="AF73" s="467"/>
      <c r="AG73" s="496">
        <v>2.1</v>
      </c>
      <c r="AH73" s="46"/>
      <c r="AI73" s="236"/>
      <c r="AJ73" s="1219">
        <f>ROUND(AD73-AG73,1)</f>
        <v>10.7</v>
      </c>
      <c r="AL73" s="955">
        <f>ROUND(IF(AG73=0,0,AJ73/ABS(AG73)),3)</f>
        <v>5.0949999999999998</v>
      </c>
    </row>
    <row r="74" spans="1:39">
      <c r="A74" s="21"/>
      <c r="B74" s="34" t="s">
        <v>211</v>
      </c>
      <c r="C74" s="21"/>
      <c r="D74" s="21"/>
      <c r="E74" s="496">
        <v>0</v>
      </c>
      <c r="F74" s="467"/>
      <c r="G74" s="496">
        <v>0</v>
      </c>
      <c r="H74" s="467"/>
      <c r="I74" s="496">
        <v>-0.2</v>
      </c>
      <c r="J74" s="467"/>
      <c r="K74" s="496">
        <v>0.1</v>
      </c>
      <c r="L74" s="467"/>
      <c r="M74" s="496">
        <v>-0.10000000000000003</v>
      </c>
      <c r="N74" s="467"/>
      <c r="O74" s="496">
        <v>0</v>
      </c>
      <c r="P74" s="467"/>
      <c r="Q74" s="496">
        <v>0</v>
      </c>
      <c r="R74" s="467"/>
      <c r="S74" s="496">
        <v>0</v>
      </c>
      <c r="T74" s="496"/>
      <c r="U74" s="496">
        <v>0</v>
      </c>
      <c r="V74" s="467"/>
      <c r="W74" s="496">
        <v>0</v>
      </c>
      <c r="X74" s="467"/>
      <c r="Y74" s="496">
        <v>0</v>
      </c>
      <c r="Z74" s="496"/>
      <c r="AA74" s="496">
        <f>ROUND(($AD74-$E74-$G74-$I74-$K74-$M74-$O74-$Q74-$S74-$U74-$W74-$Y74),0)</f>
        <v>0</v>
      </c>
      <c r="AB74" s="467"/>
      <c r="AC74" s="939"/>
      <c r="AD74" s="1793">
        <v>-0.2</v>
      </c>
      <c r="AE74" s="1792"/>
      <c r="AF74" s="467"/>
      <c r="AG74" s="1793">
        <v>-20.6</v>
      </c>
      <c r="AH74" s="36"/>
      <c r="AI74" s="237"/>
      <c r="AJ74" s="761">
        <f>-ROUND(AD74-AG74,1)</f>
        <v>-20.399999999999999</v>
      </c>
      <c r="AL74" s="978">
        <f>ROUND(IF(AG74=0,0,AJ74/ABS(AG74)),3)</f>
        <v>-0.99</v>
      </c>
    </row>
    <row r="75" spans="1:39">
      <c r="A75" s="21"/>
      <c r="B75" s="21"/>
      <c r="C75" s="21"/>
      <c r="D75" s="21"/>
      <c r="E75" s="61"/>
      <c r="F75" s="36"/>
      <c r="G75" s="61"/>
      <c r="H75" s="36"/>
      <c r="I75" s="61"/>
      <c r="J75" s="36"/>
      <c r="K75" s="61"/>
      <c r="L75" s="36"/>
      <c r="M75" s="61"/>
      <c r="N75" s="36"/>
      <c r="O75" s="61"/>
      <c r="P75" s="36"/>
      <c r="Q75" s="61"/>
      <c r="R75" s="36"/>
      <c r="S75" s="61"/>
      <c r="T75" s="36"/>
      <c r="U75" s="61"/>
      <c r="V75" s="36"/>
      <c r="W75" s="142"/>
      <c r="X75" s="36"/>
      <c r="Y75" s="61"/>
      <c r="Z75" s="36"/>
      <c r="AA75" s="61"/>
      <c r="AB75" s="36"/>
      <c r="AC75" s="37"/>
      <c r="AD75" s="38"/>
      <c r="AE75" s="52"/>
      <c r="AF75" s="37"/>
      <c r="AG75" s="38"/>
      <c r="AH75" s="38"/>
      <c r="AI75" s="237"/>
      <c r="AJ75" s="762"/>
      <c r="AK75" s="2011"/>
      <c r="AL75" s="2012"/>
    </row>
    <row r="76" spans="1:39">
      <c r="A76" s="21"/>
      <c r="B76" s="19" t="s">
        <v>204</v>
      </c>
      <c r="C76" s="21"/>
      <c r="D76" s="21"/>
      <c r="E76" s="54">
        <f>ROUND(SUM(E73:E75),1)</f>
        <v>0</v>
      </c>
      <c r="F76" s="36"/>
      <c r="G76" s="54">
        <v>0</v>
      </c>
      <c r="H76" s="36"/>
      <c r="I76" s="54">
        <f>ROUND(SUM(I73:I75),1)</f>
        <v>-0.2</v>
      </c>
      <c r="J76" s="36"/>
      <c r="K76" s="54">
        <f>ROUND(SUM(K73:K75),1)</f>
        <v>0.1</v>
      </c>
      <c r="L76" s="36"/>
      <c r="M76" s="54">
        <f>ROUND(SUM(M73:M75),1)</f>
        <v>-0.1</v>
      </c>
      <c r="N76" s="36"/>
      <c r="O76" s="54">
        <f>ROUND(SUM(O73:O75),1)</f>
        <v>0</v>
      </c>
      <c r="P76" s="36"/>
      <c r="Q76" s="54">
        <f>ROUND(SUM(Q73:Q75),1)</f>
        <v>0</v>
      </c>
      <c r="R76" s="40"/>
      <c r="S76" s="54">
        <f>ROUND(SUM(S73:S75),1)</f>
        <v>0</v>
      </c>
      <c r="T76" s="36"/>
      <c r="U76" s="54">
        <f>ROUND(SUM(U73:U75),1)</f>
        <v>0</v>
      </c>
      <c r="V76" s="36"/>
      <c r="W76" s="54">
        <f>ROUND(SUM(W73:W75),1)</f>
        <v>0</v>
      </c>
      <c r="X76" s="36"/>
      <c r="Y76" s="54">
        <f>ROUND(SUM(Y73:Y75),1)</f>
        <v>0</v>
      </c>
      <c r="Z76" s="46"/>
      <c r="AA76" s="54">
        <f>ROUND(SUM(AA73:AA75),1)</f>
        <v>12.8</v>
      </c>
      <c r="AB76" s="36"/>
      <c r="AC76" s="37"/>
      <c r="AD76" s="54">
        <f>ROUND(SUM(AD73:AD75),1)</f>
        <v>12.6</v>
      </c>
      <c r="AE76" s="52"/>
      <c r="AF76" s="37"/>
      <c r="AG76" s="54">
        <f>ROUND(SUM(AG73:AG75),1)</f>
        <v>-18.5</v>
      </c>
      <c r="AH76" s="36"/>
      <c r="AI76" s="237"/>
      <c r="AJ76" s="54">
        <f>ROUND(SUM(AD76-AG76),1)</f>
        <v>31.1</v>
      </c>
      <c r="AK76" s="2011"/>
      <c r="AL76" s="486">
        <f>ROUND(IF(AG76=0,0,AJ76/ABS(AG76)),3)</f>
        <v>1.681</v>
      </c>
    </row>
    <row r="77" spans="1:39">
      <c r="A77" s="21"/>
      <c r="B77" s="21"/>
      <c r="C77" s="21"/>
      <c r="D77" s="21"/>
      <c r="E77" s="61"/>
      <c r="F77" s="36"/>
      <c r="G77" s="61"/>
      <c r="H77" s="36"/>
      <c r="I77" s="61"/>
      <c r="J77" s="36"/>
      <c r="K77" s="61"/>
      <c r="L77" s="36"/>
      <c r="M77" s="61"/>
      <c r="N77" s="36"/>
      <c r="O77" s="61"/>
      <c r="P77" s="36"/>
      <c r="Q77" s="61"/>
      <c r="R77" s="36"/>
      <c r="S77" s="61"/>
      <c r="T77" s="36"/>
      <c r="U77" s="61"/>
      <c r="V77" s="36"/>
      <c r="W77" s="61"/>
      <c r="X77" s="36"/>
      <c r="Y77" s="61"/>
      <c r="Z77" s="36"/>
      <c r="AA77" s="61"/>
      <c r="AB77" s="36"/>
      <c r="AC77" s="37"/>
      <c r="AD77" s="61"/>
      <c r="AE77" s="52"/>
      <c r="AF77" s="37"/>
      <c r="AG77" s="61"/>
      <c r="AH77" s="36"/>
      <c r="AI77" s="237"/>
      <c r="AJ77" s="61"/>
      <c r="AL77" s="113"/>
    </row>
    <row r="78" spans="1:39">
      <c r="A78" s="21"/>
      <c r="B78" s="19" t="s">
        <v>205</v>
      </c>
      <c r="C78" s="21"/>
      <c r="D78" s="21"/>
      <c r="E78" s="36" t="s">
        <v>14</v>
      </c>
      <c r="F78" s="36" t="s">
        <v>14</v>
      </c>
      <c r="G78" s="36" t="s">
        <v>14</v>
      </c>
      <c r="H78" s="36"/>
      <c r="I78" s="36" t="s">
        <v>14</v>
      </c>
      <c r="J78" s="36"/>
      <c r="K78" s="36" t="s">
        <v>14</v>
      </c>
      <c r="L78" s="36"/>
      <c r="M78" s="36" t="s">
        <v>14</v>
      </c>
      <c r="N78" s="36"/>
      <c r="O78" s="36" t="s">
        <v>14</v>
      </c>
      <c r="P78" s="36"/>
      <c r="Q78" s="36" t="s">
        <v>14</v>
      </c>
      <c r="R78" s="36"/>
      <c r="S78" s="36" t="s">
        <v>14</v>
      </c>
      <c r="T78" s="36"/>
      <c r="U78" s="36" t="s">
        <v>14</v>
      </c>
      <c r="V78" s="36"/>
      <c r="W78" s="36" t="s">
        <v>14</v>
      </c>
      <c r="X78" s="36"/>
      <c r="Y78" s="36" t="s">
        <v>14</v>
      </c>
      <c r="Z78" s="36"/>
      <c r="AA78" s="36" t="s">
        <v>14</v>
      </c>
      <c r="AB78" s="36"/>
      <c r="AC78" s="37"/>
      <c r="AD78" s="36"/>
      <c r="AE78" s="52"/>
      <c r="AF78" s="37"/>
      <c r="AG78" s="36"/>
      <c r="AH78" s="36"/>
      <c r="AI78" s="237"/>
      <c r="AJ78" s="38"/>
      <c r="AL78" s="235"/>
    </row>
    <row r="79" spans="1:39">
      <c r="A79" s="21"/>
      <c r="B79" s="19" t="s">
        <v>206</v>
      </c>
      <c r="C79" s="21"/>
      <c r="D79" s="21"/>
      <c r="E79" s="36"/>
      <c r="F79" s="36"/>
      <c r="G79" s="36" t="s">
        <v>14</v>
      </c>
      <c r="H79" s="36"/>
      <c r="I79" s="36" t="s">
        <v>14</v>
      </c>
      <c r="J79" s="36"/>
      <c r="K79" s="36" t="s">
        <v>14</v>
      </c>
      <c r="L79" s="36"/>
      <c r="M79" s="36" t="s">
        <v>14</v>
      </c>
      <c r="N79" s="36"/>
      <c r="O79" s="36" t="s">
        <v>14</v>
      </c>
      <c r="P79" s="36"/>
      <c r="Q79" s="36" t="s">
        <v>14</v>
      </c>
      <c r="R79" s="36"/>
      <c r="S79" s="36" t="s">
        <v>14</v>
      </c>
      <c r="T79" s="36"/>
      <c r="U79" s="36" t="s">
        <v>14</v>
      </c>
      <c r="V79" s="36"/>
      <c r="W79" s="36" t="s">
        <v>14</v>
      </c>
      <c r="X79" s="36"/>
      <c r="Y79" s="36" t="s">
        <v>14</v>
      </c>
      <c r="Z79" s="36"/>
      <c r="AA79" s="36" t="s">
        <v>14</v>
      </c>
      <c r="AB79" s="36"/>
      <c r="AC79" s="37"/>
      <c r="AD79" s="36"/>
      <c r="AE79" s="52"/>
      <c r="AF79" s="37"/>
      <c r="AG79" s="36"/>
      <c r="AH79" s="36"/>
      <c r="AI79" s="237"/>
      <c r="AJ79" s="38"/>
      <c r="AL79" s="235"/>
    </row>
    <row r="80" spans="1:39">
      <c r="A80" s="21"/>
      <c r="B80" s="19" t="s">
        <v>164</v>
      </c>
      <c r="C80" s="21"/>
      <c r="D80" s="21"/>
      <c r="E80" s="603">
        <f>ROUND(E70+E76,1)</f>
        <v>-20.9</v>
      </c>
      <c r="F80" s="36"/>
      <c r="G80" s="603">
        <f>ROUND(G70+G76,1)</f>
        <v>344.3</v>
      </c>
      <c r="H80" s="36"/>
      <c r="I80" s="603">
        <f>ROUND(I70+I76,1)</f>
        <v>-40.200000000000003</v>
      </c>
      <c r="J80" s="36"/>
      <c r="K80" s="603">
        <f>ROUND(K70+K76,1)</f>
        <v>18.7</v>
      </c>
      <c r="L80" s="36"/>
      <c r="M80" s="603">
        <f>ROUND(M70+M76,1)</f>
        <v>-66.900000000000006</v>
      </c>
      <c r="N80" s="36"/>
      <c r="O80" s="603">
        <f>ROUND(O70+O76,1)</f>
        <v>-85.9</v>
      </c>
      <c r="P80" s="36"/>
      <c r="Q80" s="603">
        <f>ROUND(Q70+Q76,1)</f>
        <v>77.8</v>
      </c>
      <c r="R80" s="36"/>
      <c r="S80" s="603">
        <f>ROUND(S70+S76,1)</f>
        <v>70.2</v>
      </c>
      <c r="T80" s="36"/>
      <c r="U80" s="603">
        <f>ROUND(U70+U76,1)</f>
        <v>0.4</v>
      </c>
      <c r="V80" s="36"/>
      <c r="W80" s="603">
        <f>ROUND(W70+W76,1)</f>
        <v>27.3</v>
      </c>
      <c r="X80" s="36"/>
      <c r="Y80" s="603">
        <f>ROUND(Y70+Y76,1)</f>
        <v>8.8000000000000007</v>
      </c>
      <c r="Z80" s="36"/>
      <c r="AA80" s="603">
        <f>ROUND(AA70+AA76,1)</f>
        <v>-26.3</v>
      </c>
      <c r="AB80" s="36"/>
      <c r="AC80" s="752"/>
      <c r="AD80" s="603">
        <f>ROUND(AD70+AD76,1)</f>
        <v>307.3</v>
      </c>
      <c r="AE80" s="1794"/>
      <c r="AF80" s="1795"/>
      <c r="AG80" s="603">
        <f>ROUND(AG70+AG76,1)</f>
        <v>-206.8</v>
      </c>
      <c r="AH80" s="1157"/>
      <c r="AI80" s="1158"/>
      <c r="AJ80" s="603">
        <f>ROUND(AD80-AG80,1)</f>
        <v>514.1</v>
      </c>
      <c r="AK80" s="42"/>
      <c r="AL80" s="972">
        <f>ROUND(SUM(AD80-AG80)/ABS(AG80),3)</f>
        <v>2.4860000000000002</v>
      </c>
      <c r="AM80" s="660"/>
    </row>
    <row r="81" spans="1:39">
      <c r="A81" s="21"/>
      <c r="B81" s="19"/>
      <c r="C81" s="21"/>
      <c r="D81" s="21"/>
      <c r="E81" s="65"/>
      <c r="F81" s="36"/>
      <c r="G81" s="65"/>
      <c r="H81" s="36"/>
      <c r="I81" s="65"/>
      <c r="J81" s="36"/>
      <c r="K81" s="65"/>
      <c r="L81" s="36"/>
      <c r="M81" s="65"/>
      <c r="N81" s="36"/>
      <c r="O81" s="65"/>
      <c r="P81" s="36"/>
      <c r="Q81" s="65"/>
      <c r="R81" s="36"/>
      <c r="S81" s="65"/>
      <c r="T81" s="36"/>
      <c r="U81" s="65"/>
      <c r="V81" s="36"/>
      <c r="W81" s="65"/>
      <c r="X81" s="36"/>
      <c r="Y81" s="65"/>
      <c r="Z81" s="36"/>
      <c r="AA81" s="65"/>
      <c r="AB81" s="36"/>
      <c r="AC81" s="752"/>
      <c r="AD81" s="65"/>
      <c r="AE81" s="932"/>
      <c r="AF81" s="1796"/>
      <c r="AG81" s="65"/>
      <c r="AH81" s="932"/>
      <c r="AI81" s="933"/>
      <c r="AJ81" s="65"/>
      <c r="AK81" s="19"/>
      <c r="AL81" s="981"/>
      <c r="AM81" s="660"/>
    </row>
    <row r="82" spans="1:39" ht="16" thickBot="1">
      <c r="A82" s="21"/>
      <c r="B82" s="19" t="s">
        <v>1082</v>
      </c>
      <c r="C82" s="21"/>
      <c r="D82" s="21"/>
      <c r="E82" s="1159">
        <f>ROUND(SUM(E14+E80),1)</f>
        <v>-808</v>
      </c>
      <c r="F82" s="36"/>
      <c r="G82" s="1159">
        <f>ROUND(SUM(G14+G80),1)</f>
        <v>-463.7</v>
      </c>
      <c r="H82" s="36"/>
      <c r="I82" s="1159">
        <f>ROUND(SUM(I14+I80),1)</f>
        <v>-503.9</v>
      </c>
      <c r="J82" s="36"/>
      <c r="K82" s="1159">
        <f>ROUND(SUM(K14+K80),1)</f>
        <v>-485.2</v>
      </c>
      <c r="L82" s="36"/>
      <c r="M82" s="1159">
        <f>ROUND(SUM(M14+M80),1)</f>
        <v>-552.1</v>
      </c>
      <c r="N82" s="36"/>
      <c r="O82" s="1159">
        <f>ROUND(SUM(O14+O80),1)</f>
        <v>-638</v>
      </c>
      <c r="P82" s="36"/>
      <c r="Q82" s="1159">
        <f>ROUND(SUM(Q14+Q80),1)</f>
        <v>-560.20000000000005</v>
      </c>
      <c r="R82" s="36"/>
      <c r="S82" s="1159">
        <f>ROUND(SUM(S14+S80),1)</f>
        <v>-490</v>
      </c>
      <c r="T82" s="36"/>
      <c r="U82" s="1159">
        <f>ROUND(SUM(U14+U80),1)</f>
        <v>-489.6</v>
      </c>
      <c r="V82" s="36"/>
      <c r="W82" s="1159">
        <f>ROUND(SUM(W14+W80),1)</f>
        <v>-462.3</v>
      </c>
      <c r="X82" s="36"/>
      <c r="Y82" s="1159">
        <f>ROUND(SUM(Y14+Y80),1)</f>
        <v>-453.5</v>
      </c>
      <c r="Z82" s="36"/>
      <c r="AA82" s="1159">
        <f>ROUND(SUM(AA14+AA80),1)</f>
        <v>-479.8</v>
      </c>
      <c r="AB82" s="36"/>
      <c r="AC82" s="752"/>
      <c r="AD82" s="1159">
        <f>ROUND(SUM(AD14+AD80),1)</f>
        <v>-479.8</v>
      </c>
      <c r="AE82" s="932"/>
      <c r="AF82" s="1796"/>
      <c r="AG82" s="1159">
        <f>ROUND(SUM(AG14+AG80),1)</f>
        <v>-787.1</v>
      </c>
      <c r="AH82" s="932"/>
      <c r="AI82" s="933"/>
      <c r="AJ82" s="1159">
        <f>ROUND(SUM(AJ14+AJ80),1)</f>
        <v>307.3</v>
      </c>
      <c r="AK82" s="19"/>
      <c r="AL82" s="2013">
        <f>ROUND(SUM(AD82-AG82)/ABS(AG82),3)</f>
        <v>0.39</v>
      </c>
      <c r="AM82" s="660"/>
    </row>
    <row r="83" spans="1:39" ht="16" thickTop="1">
      <c r="A83" s="21"/>
      <c r="B83" s="21"/>
      <c r="C83" s="21"/>
      <c r="D83" s="21"/>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111"/>
      <c r="AL83" s="2014"/>
    </row>
    <row r="84" spans="1:39">
      <c r="A84" s="21"/>
      <c r="B84" s="2015"/>
      <c r="C84" s="21"/>
      <c r="D84" s="21"/>
      <c r="E84" s="21"/>
      <c r="F84" s="21"/>
      <c r="G84" s="21"/>
      <c r="H84" s="21"/>
      <c r="I84" s="21"/>
      <c r="J84" s="21"/>
      <c r="K84" s="21"/>
      <c r="L84" s="21"/>
      <c r="M84" s="21"/>
      <c r="N84" s="21"/>
      <c r="O84" s="21"/>
      <c r="P84" s="21"/>
      <c r="Q84" s="21"/>
      <c r="R84" s="21"/>
      <c r="S84" s="185" t="s">
        <v>14</v>
      </c>
      <c r="T84" s="21"/>
      <c r="U84" s="185" t="s">
        <v>14</v>
      </c>
      <c r="V84" s="21"/>
      <c r="W84" s="21"/>
      <c r="X84" s="21"/>
      <c r="Y84" s="21"/>
      <c r="Z84" s="21"/>
      <c r="AA84" s="21"/>
      <c r="AB84" s="21"/>
      <c r="AC84" s="21"/>
      <c r="AD84" s="21"/>
      <c r="AE84" s="21"/>
      <c r="AF84" s="21"/>
      <c r="AG84" s="21"/>
      <c r="AH84" s="21"/>
      <c r="AI84" s="21"/>
      <c r="AL84" s="235"/>
    </row>
    <row r="85" spans="1:39">
      <c r="B85" s="21"/>
      <c r="Y85" s="1883" t="s">
        <v>14</v>
      </c>
      <c r="AJ85" s="71" t="s">
        <v>14</v>
      </c>
      <c r="AL85" s="235"/>
    </row>
    <row r="90" spans="1:39">
      <c r="AD90" s="38"/>
    </row>
  </sheetData>
  <mergeCells count="1">
    <mergeCell ref="AD10:AL10"/>
  </mergeCells>
  <printOptions horizontalCentered="1"/>
  <pageMargins left="0.25" right="0.25" top="0.5" bottom="0.25" header="0" footer="0.25"/>
  <pageSetup scale="43" firstPageNumber="34" orientation="landscape" useFirstPageNumber="1" r:id="rId1"/>
  <headerFooter scaleWithDoc="0" alignWithMargins="0">
    <oddFooter>&amp;C&amp;8&amp;P</oddFooter>
  </headerFooter>
  <ignoredErrors>
    <ignoredError sqref="AL30:AL33 AL42 AL62:AL65 AL57:AL58 AL35:AL37 AL21:AL28 AL39:AL40 AL52:AL54" unlockedFormula="1"/>
    <ignoredError sqref="AL56 AL5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70" workbookViewId="0"/>
  </sheetViews>
  <sheetFormatPr defaultColWidth="8.84375" defaultRowHeight="16.5" customHeight="1"/>
  <cols>
    <col min="1" max="1" width="45.07421875" style="72" customWidth="1"/>
    <col min="2" max="2" width="1.84375" style="72" customWidth="1"/>
    <col min="3" max="3" width="9.84375" style="72" customWidth="1"/>
    <col min="4" max="4" width="1.84375" style="72" customWidth="1"/>
    <col min="5" max="5" width="11.07421875" style="72" customWidth="1"/>
    <col min="6" max="6" width="1.84375" style="72" customWidth="1"/>
    <col min="7" max="7" width="11.53515625" style="72" customWidth="1"/>
    <col min="8" max="8" width="1.84375" style="72" customWidth="1"/>
    <col min="9" max="9" width="11.84375" style="72" bestFit="1" customWidth="1"/>
    <col min="10" max="10" width="1.53515625" style="72" customWidth="1"/>
    <col min="11" max="11" width="11.53515625" style="72" bestFit="1" customWidth="1"/>
    <col min="12" max="12" width="1.53515625" style="72" customWidth="1"/>
    <col min="13" max="13" width="13.07421875" style="72" customWidth="1"/>
    <col min="14" max="14" width="1.84375" style="72" customWidth="1"/>
    <col min="15" max="15" width="11.84375" style="72" customWidth="1"/>
    <col min="16" max="16" width="1.84375" style="72" customWidth="1"/>
    <col min="17" max="17" width="11.84375" style="72" customWidth="1"/>
    <col min="18" max="18" width="1.84375" style="72" customWidth="1"/>
    <col min="19" max="19" width="12.4609375" style="72" customWidth="1"/>
    <col min="20" max="20" width="1.84375" style="72" customWidth="1"/>
    <col min="21" max="21" width="11.84375" style="72" customWidth="1"/>
    <col min="22" max="22" width="1.84375" style="72" customWidth="1"/>
    <col min="23" max="23" width="12" style="72" customWidth="1"/>
    <col min="24" max="24" width="1.84375" style="72" customWidth="1"/>
    <col min="25" max="25" width="11.84375" style="72" customWidth="1"/>
    <col min="26" max="27" width="1.84375" style="72" customWidth="1"/>
    <col min="28" max="28" width="11.53515625" style="72" customWidth="1"/>
    <col min="29" max="30" width="1.84375" style="72" customWidth="1"/>
    <col min="31" max="31" width="12.4609375" style="72" customWidth="1"/>
    <col min="32" max="32" width="1.84375" style="275" customWidth="1"/>
    <col min="33" max="33" width="2.4609375" style="773" customWidth="1"/>
    <col min="34" max="34" width="12.4609375" style="773" customWidth="1"/>
    <col min="35" max="35" width="1.84375" style="773" customWidth="1"/>
    <col min="36" max="36" width="14.07421875" style="773" bestFit="1" customWidth="1"/>
    <col min="37" max="16384" width="8.84375" style="72"/>
  </cols>
  <sheetData>
    <row r="1" spans="1:38" ht="16.5" customHeight="1">
      <c r="A1" s="468" t="s">
        <v>868</v>
      </c>
    </row>
    <row r="2" spans="1:38" ht="16.5" customHeight="1">
      <c r="A2" s="151"/>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row>
    <row r="3" spans="1:38" ht="20.25" customHeight="1">
      <c r="A3" s="1923" t="s">
        <v>0</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21"/>
      <c r="AJ3" s="802" t="s">
        <v>977</v>
      </c>
      <c r="AK3" s="149"/>
      <c r="AL3" s="149"/>
    </row>
    <row r="4" spans="1:38" ht="20.25" customHeight="1">
      <c r="A4" s="1923" t="s">
        <v>212</v>
      </c>
      <c r="B4" s="147"/>
      <c r="C4" s="147"/>
      <c r="D4" s="147"/>
      <c r="E4" s="147"/>
      <c r="F4" s="147"/>
      <c r="G4" s="147"/>
      <c r="H4" s="147"/>
      <c r="I4" s="147" t="s">
        <v>14</v>
      </c>
      <c r="J4" s="147"/>
      <c r="K4" s="147"/>
      <c r="L4" s="147"/>
      <c r="M4" s="147"/>
      <c r="N4" s="147"/>
      <c r="O4" s="147"/>
      <c r="P4" s="147"/>
      <c r="Q4" s="147"/>
      <c r="R4" s="147"/>
      <c r="S4" s="147"/>
      <c r="T4" s="147"/>
      <c r="U4" s="147"/>
      <c r="V4" s="147"/>
      <c r="W4" s="147"/>
      <c r="X4" s="147"/>
      <c r="Y4" s="147" t="s">
        <v>14</v>
      </c>
      <c r="Z4" s="147"/>
      <c r="AA4" s="147"/>
      <c r="AB4" s="147"/>
      <c r="AC4" s="147"/>
      <c r="AD4" s="147"/>
      <c r="AE4" s="147"/>
      <c r="AF4" s="21"/>
      <c r="AK4" s="149"/>
      <c r="AL4" s="149"/>
    </row>
    <row r="5" spans="1:38" ht="20.25" customHeight="1">
      <c r="A5" s="1924" t="s">
        <v>121</v>
      </c>
      <c r="B5" s="147"/>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F5" s="604"/>
      <c r="AK5" s="148"/>
      <c r="AL5" s="148"/>
    </row>
    <row r="6" spans="1:38" ht="20.25" customHeight="1">
      <c r="A6" s="1924" t="str">
        <f>'Cashflow Governmental'!A6</f>
        <v xml:space="preserve">FISCAL YEAR 2022-2023   </v>
      </c>
      <c r="B6" s="147"/>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21"/>
      <c r="AK6" s="149"/>
      <c r="AL6" s="149"/>
    </row>
    <row r="7" spans="1:38" ht="20.25" customHeight="1">
      <c r="A7" s="1923" t="s">
        <v>1247</v>
      </c>
      <c r="B7" s="147"/>
      <c r="C7" s="147"/>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21"/>
      <c r="AK7" s="149"/>
      <c r="AL7" s="149"/>
    </row>
    <row r="8" spans="1:38" ht="16.5" customHeight="1">
      <c r="A8" s="151"/>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21"/>
    </row>
    <row r="9" spans="1:38" ht="16.5" customHeight="1">
      <c r="A9" s="151"/>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37"/>
      <c r="AG9" s="774"/>
    </row>
    <row r="10" spans="1:38" ht="16.5" customHeight="1">
      <c r="A10" s="151"/>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72"/>
      <c r="AG10" s="775"/>
    </row>
    <row r="11" spans="1:38" ht="16.5" customHeight="1">
      <c r="A11" s="151"/>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C11" s="151"/>
      <c r="AD11" s="151"/>
      <c r="AE11" s="151"/>
      <c r="AF11" s="974"/>
      <c r="AG11" s="765"/>
      <c r="AH11" s="774"/>
      <c r="AI11" s="774"/>
      <c r="AJ11" s="774"/>
    </row>
    <row r="12" spans="1:38" ht="16.5" customHeight="1">
      <c r="A12" s="147"/>
      <c r="B12" s="147"/>
      <c r="C12" s="156" t="s">
        <v>14</v>
      </c>
      <c r="D12" s="156" t="s">
        <v>14</v>
      </c>
      <c r="E12" s="156"/>
      <c r="F12" s="156"/>
      <c r="G12" s="156"/>
      <c r="H12" s="156"/>
      <c r="I12" s="156"/>
      <c r="J12" s="156"/>
      <c r="K12" s="156"/>
      <c r="L12" s="156"/>
      <c r="M12" s="156"/>
      <c r="N12" s="156"/>
      <c r="O12" s="156"/>
      <c r="P12" s="156"/>
      <c r="Q12" s="156"/>
      <c r="R12" s="156"/>
      <c r="S12" s="156"/>
      <c r="T12" s="156"/>
      <c r="U12" s="156"/>
      <c r="V12" s="156"/>
      <c r="W12" s="156"/>
      <c r="X12" s="156"/>
      <c r="Y12" s="556"/>
      <c r="Z12" s="556"/>
      <c r="AA12" s="156"/>
      <c r="AB12" s="2322" t="s">
        <v>1559</v>
      </c>
      <c r="AC12" s="2323"/>
      <c r="AD12" s="2323"/>
      <c r="AE12" s="2323"/>
      <c r="AF12" s="2323"/>
      <c r="AG12" s="2323"/>
      <c r="AH12" s="2323"/>
      <c r="AI12" s="2323"/>
      <c r="AJ12" s="2323"/>
    </row>
    <row r="13" spans="1:38" ht="16.5" customHeight="1">
      <c r="A13" s="147"/>
      <c r="B13" s="147"/>
      <c r="C13" s="661" t="str">
        <f>'Cashflow Governmental'!C13</f>
        <v>2022</v>
      </c>
      <c r="D13" s="156"/>
      <c r="E13" s="156"/>
      <c r="F13" s="156"/>
      <c r="G13" s="156"/>
      <c r="H13" s="156"/>
      <c r="I13" s="156"/>
      <c r="J13" s="156"/>
      <c r="K13" s="156"/>
      <c r="L13" s="156"/>
      <c r="M13" s="156"/>
      <c r="N13" s="156"/>
      <c r="O13" s="156"/>
      <c r="P13" s="156"/>
      <c r="Q13" s="156"/>
      <c r="R13" s="156"/>
      <c r="S13" s="156"/>
      <c r="T13" s="156"/>
      <c r="U13" s="661">
        <f>'Cashflow Governmental'!U13</f>
        <v>2023</v>
      </c>
      <c r="V13" s="156"/>
      <c r="W13" s="156"/>
      <c r="X13" s="156"/>
      <c r="Y13" s="156"/>
      <c r="Z13" s="156"/>
      <c r="AA13" s="156"/>
      <c r="AB13" s="369"/>
      <c r="AC13" s="156"/>
      <c r="AD13" s="156"/>
      <c r="AE13" s="156"/>
      <c r="AF13" s="1799"/>
      <c r="AG13" s="1800"/>
      <c r="AH13" s="776" t="s">
        <v>7</v>
      </c>
      <c r="AI13" s="776"/>
      <c r="AJ13" s="777" t="s">
        <v>8</v>
      </c>
    </row>
    <row r="14" spans="1:38" ht="16.5" customHeight="1">
      <c r="A14" s="147"/>
      <c r="B14" s="147"/>
      <c r="C14" s="557" t="s">
        <v>122</v>
      </c>
      <c r="D14" s="156"/>
      <c r="E14" s="557" t="s">
        <v>123</v>
      </c>
      <c r="F14" s="156"/>
      <c r="G14" s="557" t="s">
        <v>124</v>
      </c>
      <c r="H14" s="156"/>
      <c r="I14" s="557" t="s">
        <v>125</v>
      </c>
      <c r="J14" s="156"/>
      <c r="K14" s="557" t="s">
        <v>126</v>
      </c>
      <c r="L14" s="156"/>
      <c r="M14" s="557" t="s">
        <v>141</v>
      </c>
      <c r="N14" s="156"/>
      <c r="O14" s="557" t="s">
        <v>142</v>
      </c>
      <c r="P14" s="156"/>
      <c r="Q14" s="557" t="s">
        <v>129</v>
      </c>
      <c r="R14" s="156"/>
      <c r="S14" s="557" t="s">
        <v>130</v>
      </c>
      <c r="T14" s="156"/>
      <c r="U14" s="557" t="s">
        <v>131</v>
      </c>
      <c r="V14" s="156"/>
      <c r="W14" s="557" t="s">
        <v>132</v>
      </c>
      <c r="X14" s="156"/>
      <c r="Y14" s="557" t="s">
        <v>182</v>
      </c>
      <c r="Z14" s="156"/>
      <c r="AA14" s="156"/>
      <c r="AB14" s="661">
        <f>'Cashflow Governmental'!AB14</f>
        <v>2023</v>
      </c>
      <c r="AC14" s="156" t="s">
        <v>14</v>
      </c>
      <c r="AD14" s="156"/>
      <c r="AE14" s="661">
        <f>'Cashflow Governmental'!AE14</f>
        <v>2022</v>
      </c>
      <c r="AF14" s="98"/>
      <c r="AG14" s="1801"/>
      <c r="AH14" s="778" t="s">
        <v>11</v>
      </c>
      <c r="AI14" s="776"/>
      <c r="AJ14" s="778" t="s">
        <v>12</v>
      </c>
    </row>
    <row r="15" spans="1:38" ht="4.5" customHeight="1">
      <c r="A15" s="147"/>
      <c r="B15" s="147"/>
      <c r="C15" s="152"/>
      <c r="D15" s="147"/>
      <c r="E15" s="152"/>
      <c r="F15" s="147"/>
      <c r="G15" s="152"/>
      <c r="H15" s="147"/>
      <c r="I15" s="152"/>
      <c r="J15" s="147"/>
      <c r="K15" s="152"/>
      <c r="L15" s="147"/>
      <c r="M15" s="152"/>
      <c r="N15" s="147"/>
      <c r="O15" s="152" t="s">
        <v>14</v>
      </c>
      <c r="P15" s="147"/>
      <c r="Q15" s="152"/>
      <c r="R15" s="147"/>
      <c r="S15" s="152"/>
      <c r="T15" s="147"/>
      <c r="U15" s="152" t="s">
        <v>14</v>
      </c>
      <c r="V15" s="147"/>
      <c r="W15" s="152"/>
      <c r="X15" s="147"/>
      <c r="Y15" s="152"/>
      <c r="Z15" s="147"/>
      <c r="AA15" s="147"/>
      <c r="AB15" s="152"/>
      <c r="AC15" s="147"/>
      <c r="AD15" s="147"/>
      <c r="AE15" s="152"/>
      <c r="AF15" s="98"/>
      <c r="AG15" s="1801"/>
    </row>
    <row r="16" spans="1:38" ht="16.5" customHeight="1">
      <c r="A16" s="153" t="s">
        <v>134</v>
      </c>
      <c r="B16" s="147"/>
      <c r="C16" s="1320">
        <v>357.7</v>
      </c>
      <c r="D16" s="154"/>
      <c r="E16" s="154">
        <f>C51</f>
        <v>331.3</v>
      </c>
      <c r="F16" s="251"/>
      <c r="G16" s="154">
        <f>E51</f>
        <v>637.79999999999995</v>
      </c>
      <c r="H16" s="251"/>
      <c r="I16" s="154">
        <f>G51</f>
        <v>414.6</v>
      </c>
      <c r="J16" s="154"/>
      <c r="K16" s="154">
        <f>I51</f>
        <v>366.2</v>
      </c>
      <c r="L16" s="251"/>
      <c r="M16" s="154">
        <f>K51</f>
        <v>469.1</v>
      </c>
      <c r="N16" s="251"/>
      <c r="O16" s="154">
        <f>M51</f>
        <v>327.8</v>
      </c>
      <c r="P16" s="251"/>
      <c r="Q16" s="154">
        <f>O51</f>
        <v>332.5</v>
      </c>
      <c r="R16" s="154"/>
      <c r="S16" s="154">
        <f t="shared" ref="S16" si="0">Q51</f>
        <v>387.2</v>
      </c>
      <c r="T16" s="154"/>
      <c r="U16" s="154">
        <f t="shared" ref="U16" si="1">S51</f>
        <v>419</v>
      </c>
      <c r="V16" s="154"/>
      <c r="W16" s="154">
        <f t="shared" ref="W16" si="2">U51</f>
        <v>415.6</v>
      </c>
      <c r="X16" s="154"/>
      <c r="Y16" s="154">
        <f t="shared" ref="Y16" si="3">W51</f>
        <v>421.1</v>
      </c>
      <c r="Z16" s="154"/>
      <c r="AA16" s="155"/>
      <c r="AB16" s="154">
        <f>C16</f>
        <v>357.7</v>
      </c>
      <c r="AC16" s="154"/>
      <c r="AD16" s="155"/>
      <c r="AE16" s="1320">
        <v>328</v>
      </c>
      <c r="AF16" s="625"/>
      <c r="AG16" s="766"/>
      <c r="AH16" s="779">
        <f>ROUND(SUM(AB16-AE16),1)</f>
        <v>29.7</v>
      </c>
      <c r="AJ16" s="2115">
        <f>ROUND(IF(AH16=0,0,AH16/(AE16)),3)</f>
        <v>9.0999999999999998E-2</v>
      </c>
    </row>
    <row r="17" spans="1:38" ht="16.5" customHeight="1">
      <c r="A17" s="147"/>
      <c r="B17" s="147"/>
      <c r="C17" s="147" t="s">
        <v>14</v>
      </c>
      <c r="D17" s="147"/>
      <c r="E17" s="157"/>
      <c r="F17" s="157"/>
      <c r="G17" s="157"/>
      <c r="H17" s="157"/>
      <c r="I17" s="157"/>
      <c r="J17" s="157"/>
      <c r="K17" s="157"/>
      <c r="L17" s="157"/>
      <c r="M17" s="157"/>
      <c r="N17" s="157"/>
      <c r="O17" s="157"/>
      <c r="P17" s="157"/>
      <c r="Q17" s="157"/>
      <c r="R17" s="157"/>
      <c r="S17" s="157"/>
      <c r="T17" s="157"/>
      <c r="U17" s="157"/>
      <c r="V17" s="157"/>
      <c r="W17" s="157"/>
      <c r="X17" s="157"/>
      <c r="Y17" s="157"/>
      <c r="Z17" s="147"/>
      <c r="AA17" s="158"/>
      <c r="AB17" s="147" t="s">
        <v>14</v>
      </c>
      <c r="AC17" s="147"/>
      <c r="AD17" s="158"/>
      <c r="AE17" s="147" t="s">
        <v>14</v>
      </c>
      <c r="AF17" s="626"/>
      <c r="AG17" s="766"/>
      <c r="AJ17" s="1981"/>
    </row>
    <row r="18" spans="1:38" ht="16.5" customHeight="1">
      <c r="A18" s="156" t="s">
        <v>13</v>
      </c>
      <c r="B18" s="147"/>
      <c r="C18" s="147"/>
      <c r="D18" s="147"/>
      <c r="E18" s="157"/>
      <c r="F18" s="157"/>
      <c r="G18" s="157"/>
      <c r="H18" s="157"/>
      <c r="I18" s="157"/>
      <c r="J18" s="157"/>
      <c r="K18" s="157"/>
      <c r="L18" s="157"/>
      <c r="M18" s="157"/>
      <c r="N18" s="157"/>
      <c r="O18" s="157"/>
      <c r="P18" s="157"/>
      <c r="Q18" s="157"/>
      <c r="R18" s="157"/>
      <c r="S18" s="157"/>
      <c r="T18" s="157"/>
      <c r="U18" s="157"/>
      <c r="V18" s="157"/>
      <c r="W18" s="157"/>
      <c r="X18" s="157"/>
      <c r="Y18" s="157"/>
      <c r="Z18" s="147"/>
      <c r="AA18" s="158"/>
      <c r="AB18" s="147"/>
      <c r="AC18" s="147"/>
      <c r="AD18" s="158"/>
      <c r="AE18" s="147"/>
      <c r="AF18" s="163"/>
      <c r="AG18" s="766"/>
      <c r="AJ18" s="1981"/>
    </row>
    <row r="19" spans="1:38" ht="18.75" customHeight="1">
      <c r="A19" s="147" t="s">
        <v>175</v>
      </c>
      <c r="B19" s="147"/>
      <c r="C19" s="159">
        <v>191.2</v>
      </c>
      <c r="D19" s="159"/>
      <c r="E19" s="159">
        <v>257.2</v>
      </c>
      <c r="F19" s="165"/>
      <c r="G19" s="159">
        <v>199.39999999999998</v>
      </c>
      <c r="H19" s="165"/>
      <c r="I19" s="159">
        <v>295.90000000000009</v>
      </c>
      <c r="J19" s="165"/>
      <c r="K19" s="159">
        <v>325.89999999999992</v>
      </c>
      <c r="L19" s="165"/>
      <c r="M19" s="159">
        <v>311.59999999999997</v>
      </c>
      <c r="N19" s="165"/>
      <c r="O19" s="159">
        <v>225.10000000000008</v>
      </c>
      <c r="P19" s="165"/>
      <c r="Q19" s="159">
        <v>302.2</v>
      </c>
      <c r="R19" s="159"/>
      <c r="S19" s="159">
        <v>359.80000000000047</v>
      </c>
      <c r="T19" s="159"/>
      <c r="U19" s="159">
        <v>214.79999999999967</v>
      </c>
      <c r="V19" s="159"/>
      <c r="W19" s="159">
        <v>234.20000000000027</v>
      </c>
      <c r="X19" s="159"/>
      <c r="Y19" s="159">
        <f>$AB19-$C19-$E19-$G19-$I19-$K19-$M19-$O19-$Q19-$S19-$U19-$W19</f>
        <v>231.89999999999969</v>
      </c>
      <c r="Z19" s="159"/>
      <c r="AA19" s="160"/>
      <c r="AB19" s="1100">
        <v>3149.2</v>
      </c>
      <c r="AC19" s="159"/>
      <c r="AD19" s="160"/>
      <c r="AE19" s="1100">
        <v>2919.8</v>
      </c>
      <c r="AF19" s="163"/>
      <c r="AG19" s="766"/>
      <c r="AH19" s="1802">
        <f>ROUND(AB19-AE19,1)</f>
        <v>229.4</v>
      </c>
      <c r="AI19" s="775"/>
      <c r="AJ19" s="2111">
        <f>ROUND(IF(AE19=0,0,AH19/ABS(AE19)),3)</f>
        <v>7.9000000000000001E-2</v>
      </c>
    </row>
    <row r="20" spans="1:38" ht="17.25" customHeight="1">
      <c r="A20" s="153" t="s">
        <v>213</v>
      </c>
      <c r="B20" s="147"/>
      <c r="C20" s="159">
        <v>14.2</v>
      </c>
      <c r="D20" s="159"/>
      <c r="E20" s="159">
        <v>11.3</v>
      </c>
      <c r="F20" s="165"/>
      <c r="G20" s="159">
        <v>10.100000000000001</v>
      </c>
      <c r="H20" s="165"/>
      <c r="I20" s="159">
        <v>7.2999999999999972</v>
      </c>
      <c r="J20" s="165"/>
      <c r="K20" s="159">
        <v>7.2000000000000028</v>
      </c>
      <c r="L20" s="165"/>
      <c r="M20" s="159">
        <v>5.1999999999999922</v>
      </c>
      <c r="N20" s="165"/>
      <c r="O20" s="159">
        <v>2.9000000000000092</v>
      </c>
      <c r="P20" s="165"/>
      <c r="Q20" s="159">
        <v>4.0999999999999943</v>
      </c>
      <c r="R20" s="165"/>
      <c r="S20" s="159">
        <v>3.4000000000000057</v>
      </c>
      <c r="T20" s="165"/>
      <c r="U20" s="159">
        <v>3.0999999999999943</v>
      </c>
      <c r="V20" s="165"/>
      <c r="W20" s="159">
        <v>2.7000000000000028</v>
      </c>
      <c r="X20" s="165"/>
      <c r="Y20" s="159">
        <f t="shared" ref="Y20:Y21" si="4">$AB20-$C20-$E20-$G20-$I20-$K20-$M20-$O20-$Q20-$S20-$U20-$W20</f>
        <v>2.5</v>
      </c>
      <c r="Z20" s="159"/>
      <c r="AA20" s="160"/>
      <c r="AB20" s="1100">
        <v>74</v>
      </c>
      <c r="AC20" s="159"/>
      <c r="AD20" s="160"/>
      <c r="AE20" s="1100">
        <v>23966.2</v>
      </c>
      <c r="AF20" s="163"/>
      <c r="AG20" s="766"/>
      <c r="AH20" s="1802">
        <f>ROUND(AB20-AE20,1)</f>
        <v>-23892.2</v>
      </c>
      <c r="AI20" s="775"/>
      <c r="AJ20" s="2111">
        <f>ROUND(IF(AE20=0,0,AH20/ABS(AE20)),3)</f>
        <v>-0.997</v>
      </c>
    </row>
    <row r="21" spans="1:38" ht="17.25" customHeight="1">
      <c r="A21" s="167" t="s">
        <v>214</v>
      </c>
      <c r="B21" s="147"/>
      <c r="C21" s="159">
        <v>162.80000000000001</v>
      </c>
      <c r="D21" s="159"/>
      <c r="E21" s="159">
        <v>71</v>
      </c>
      <c r="F21" s="165"/>
      <c r="G21" s="159">
        <v>0</v>
      </c>
      <c r="H21" s="165"/>
      <c r="I21" s="159">
        <v>37.699999999999989</v>
      </c>
      <c r="J21" s="165"/>
      <c r="K21" s="159">
        <v>202.7</v>
      </c>
      <c r="L21" s="165"/>
      <c r="M21" s="159">
        <v>149.40000000000003</v>
      </c>
      <c r="N21" s="165"/>
      <c r="O21" s="159">
        <v>158.19999999999999</v>
      </c>
      <c r="P21" s="165"/>
      <c r="Q21" s="159">
        <v>168.09999999999985</v>
      </c>
      <c r="R21" s="165"/>
      <c r="S21" s="159">
        <v>188.00000000000011</v>
      </c>
      <c r="T21" s="165"/>
      <c r="U21" s="159">
        <v>262.49999999999994</v>
      </c>
      <c r="V21" s="165"/>
      <c r="W21" s="159">
        <v>229.49999999999994</v>
      </c>
      <c r="X21" s="165"/>
      <c r="Y21" s="159">
        <f t="shared" si="4"/>
        <v>230.89999999999986</v>
      </c>
      <c r="Z21" s="159"/>
      <c r="AA21" s="160"/>
      <c r="AB21" s="1100">
        <v>1860.8</v>
      </c>
      <c r="AC21" s="159"/>
      <c r="AD21" s="160"/>
      <c r="AE21" s="1100">
        <v>3132.2</v>
      </c>
      <c r="AF21" s="164"/>
      <c r="AG21" s="767"/>
      <c r="AH21" s="1803">
        <f>ROUND(AB21-AE21,1)</f>
        <v>-1271.4000000000001</v>
      </c>
      <c r="AI21" s="775"/>
      <c r="AJ21" s="2007">
        <f>ROUND(IF(AE21=0,0,AH21/ABS(AE21)),3)</f>
        <v>-0.40600000000000003</v>
      </c>
    </row>
    <row r="22" spans="1:38" ht="16.5" customHeight="1">
      <c r="A22" s="147"/>
      <c r="B22" s="147"/>
      <c r="C22" s="254"/>
      <c r="D22" s="159"/>
      <c r="E22" s="255"/>
      <c r="F22" s="165"/>
      <c r="G22" s="255"/>
      <c r="H22" s="165"/>
      <c r="I22" s="255"/>
      <c r="J22" s="165"/>
      <c r="K22" s="255"/>
      <c r="L22" s="165"/>
      <c r="M22" s="255"/>
      <c r="N22" s="165"/>
      <c r="O22" s="255"/>
      <c r="P22" s="165"/>
      <c r="Q22" s="255"/>
      <c r="R22" s="165"/>
      <c r="S22" s="255"/>
      <c r="T22" s="165"/>
      <c r="U22" s="255"/>
      <c r="V22" s="165"/>
      <c r="W22" s="1101"/>
      <c r="X22" s="165"/>
      <c r="Y22" s="255"/>
      <c r="Z22" s="159"/>
      <c r="AA22" s="160"/>
      <c r="AB22" s="254"/>
      <c r="AC22" s="159"/>
      <c r="AD22" s="160"/>
      <c r="AE22" s="254"/>
      <c r="AF22" s="1037"/>
      <c r="AG22" s="767"/>
      <c r="AH22" s="780"/>
      <c r="AJ22" s="1981"/>
    </row>
    <row r="23" spans="1:38" ht="16.5" customHeight="1">
      <c r="A23" s="156" t="s">
        <v>147</v>
      </c>
      <c r="B23" s="147"/>
      <c r="C23" s="166">
        <f>ROUND(SUM(C19:C22),1)</f>
        <v>368.2</v>
      </c>
      <c r="D23" s="161"/>
      <c r="E23" s="166">
        <f>ROUND(SUM(E19:E22),1)</f>
        <v>339.5</v>
      </c>
      <c r="F23" s="166"/>
      <c r="G23" s="166">
        <f>ROUND(SUM(G19:G22),1)</f>
        <v>209.5</v>
      </c>
      <c r="H23" s="166"/>
      <c r="I23" s="166">
        <f>ROUND(SUM(I19:I22),1)</f>
        <v>340.9</v>
      </c>
      <c r="J23" s="166"/>
      <c r="K23" s="166">
        <f>ROUND(SUM(K19:K22),1)</f>
        <v>535.79999999999995</v>
      </c>
      <c r="L23" s="166"/>
      <c r="M23" s="166">
        <f>ROUND(SUM(M19:M22),1)</f>
        <v>466.2</v>
      </c>
      <c r="N23" s="166"/>
      <c r="O23" s="166">
        <f>ROUND(SUM(O19:O22),1)</f>
        <v>386.2</v>
      </c>
      <c r="P23" s="166"/>
      <c r="Q23" s="166">
        <f>ROUND(SUM(Q19:Q22),1)</f>
        <v>474.4</v>
      </c>
      <c r="R23" s="166"/>
      <c r="S23" s="166">
        <f t="shared" ref="S23" si="5">ROUND(SUM(S19:S22),1)</f>
        <v>551.20000000000005</v>
      </c>
      <c r="T23" s="166"/>
      <c r="U23" s="166">
        <f>ROUND(SUM(U19:U22),1)</f>
        <v>480.4</v>
      </c>
      <c r="V23" s="166"/>
      <c r="W23" s="166">
        <f>ROUND(SUM(W19:W22),1)</f>
        <v>466.4</v>
      </c>
      <c r="X23" s="166"/>
      <c r="Y23" s="166">
        <f>ROUND(SUM(Y19:Y22),1)</f>
        <v>465.3</v>
      </c>
      <c r="Z23" s="161"/>
      <c r="AA23" s="162"/>
      <c r="AB23" s="166">
        <f>ROUND(SUM(AB19:AB22),1)</f>
        <v>5084</v>
      </c>
      <c r="AC23" s="1797"/>
      <c r="AD23" s="161"/>
      <c r="AE23" s="166">
        <f>ROUND(SUM(AE19:AE22),1)</f>
        <v>30018.2</v>
      </c>
      <c r="AF23" s="164"/>
      <c r="AG23" s="767"/>
      <c r="AH23" s="1804">
        <f>ROUND(SUM(AH19:AH21),1)</f>
        <v>-24934.2</v>
      </c>
      <c r="AI23" s="781"/>
      <c r="AJ23" s="1984">
        <f>ROUND(IF(AH23=0,0,AH23/ABS(AE23)),3)</f>
        <v>-0.83099999999999996</v>
      </c>
      <c r="AK23" s="252"/>
      <c r="AL23" s="252"/>
    </row>
    <row r="24" spans="1:38" ht="16.5" customHeight="1">
      <c r="A24" s="147"/>
      <c r="B24" s="147"/>
      <c r="C24" s="254"/>
      <c r="D24" s="159"/>
      <c r="E24" s="255"/>
      <c r="F24" s="165"/>
      <c r="G24" s="255"/>
      <c r="H24" s="165"/>
      <c r="I24" s="255"/>
      <c r="J24" s="165"/>
      <c r="K24" s="255"/>
      <c r="L24" s="165"/>
      <c r="M24" s="255"/>
      <c r="N24" s="165"/>
      <c r="O24" s="255"/>
      <c r="P24" s="165"/>
      <c r="Q24" s="255"/>
      <c r="R24" s="165"/>
      <c r="S24" s="255"/>
      <c r="T24" s="165"/>
      <c r="U24" s="255"/>
      <c r="V24" s="165"/>
      <c r="W24" s="255"/>
      <c r="X24" s="165"/>
      <c r="Y24" s="255"/>
      <c r="Z24" s="159"/>
      <c r="AA24" s="160"/>
      <c r="AB24" s="254"/>
      <c r="AC24" s="159"/>
      <c r="AD24" s="160"/>
      <c r="AE24" s="254"/>
      <c r="AF24" s="1037"/>
      <c r="AG24" s="767"/>
      <c r="AH24" s="780"/>
      <c r="AJ24" s="1981"/>
    </row>
    <row r="25" spans="1:38" ht="16.5" customHeight="1">
      <c r="A25" s="147"/>
      <c r="B25" s="147"/>
      <c r="C25" s="159"/>
      <c r="D25" s="159"/>
      <c r="E25" s="165"/>
      <c r="F25" s="165"/>
      <c r="G25" s="165"/>
      <c r="H25" s="165"/>
      <c r="I25" s="165"/>
      <c r="J25" s="165"/>
      <c r="K25" s="165"/>
      <c r="L25" s="165"/>
      <c r="M25" s="165"/>
      <c r="N25" s="165"/>
      <c r="O25" s="165"/>
      <c r="P25" s="165"/>
      <c r="Q25" s="165"/>
      <c r="R25" s="165"/>
      <c r="S25" s="165"/>
      <c r="T25" s="165"/>
      <c r="U25" s="165"/>
      <c r="V25" s="165"/>
      <c r="W25" s="165"/>
      <c r="X25" s="165"/>
      <c r="Y25" s="165"/>
      <c r="Z25" s="159"/>
      <c r="AA25" s="160"/>
      <c r="AB25" s="159"/>
      <c r="AC25" s="159"/>
      <c r="AD25" s="160"/>
      <c r="AE25" s="159"/>
      <c r="AF25" s="163"/>
      <c r="AG25" s="766"/>
      <c r="AH25" s="780"/>
      <c r="AJ25" s="1982"/>
    </row>
    <row r="26" spans="1:38" ht="16.5" customHeight="1">
      <c r="A26" s="156" t="s">
        <v>22</v>
      </c>
      <c r="B26" s="147"/>
      <c r="C26" s="159"/>
      <c r="D26" s="159"/>
      <c r="E26" s="165"/>
      <c r="F26" s="165"/>
      <c r="G26" s="165"/>
      <c r="H26" s="165"/>
      <c r="I26" s="165"/>
      <c r="J26" s="165"/>
      <c r="K26" s="165"/>
      <c r="L26" s="165"/>
      <c r="M26" s="165"/>
      <c r="N26" s="165"/>
      <c r="O26" s="165"/>
      <c r="P26" s="165"/>
      <c r="Q26" s="165"/>
      <c r="R26" s="165"/>
      <c r="S26" s="165"/>
      <c r="T26" s="165"/>
      <c r="U26" s="165"/>
      <c r="V26" s="165"/>
      <c r="W26" s="165"/>
      <c r="X26" s="165"/>
      <c r="Y26" s="165"/>
      <c r="Z26" s="159"/>
      <c r="AA26" s="160"/>
      <c r="AB26" s="159"/>
      <c r="AC26" s="159"/>
      <c r="AD26" s="160"/>
      <c r="AE26" s="159"/>
      <c r="AF26" s="163"/>
      <c r="AG26" s="766"/>
      <c r="AH26" s="780"/>
      <c r="AI26" s="784"/>
      <c r="AJ26" s="1982"/>
    </row>
    <row r="27" spans="1:38" ht="16.5" customHeight="1">
      <c r="A27" s="147" t="s">
        <v>149</v>
      </c>
      <c r="B27" s="147"/>
      <c r="C27" s="159"/>
      <c r="D27" s="159"/>
      <c r="E27" s="159"/>
      <c r="F27" s="165"/>
      <c r="G27" s="165"/>
      <c r="H27" s="165"/>
      <c r="I27" s="165"/>
      <c r="J27" s="165"/>
      <c r="K27" s="165"/>
      <c r="L27" s="165"/>
      <c r="M27" s="165"/>
      <c r="N27" s="165"/>
      <c r="O27" s="165"/>
      <c r="P27" s="165"/>
      <c r="Q27" s="165"/>
      <c r="R27" s="165"/>
      <c r="S27" s="1100"/>
      <c r="T27" s="165"/>
      <c r="U27" s="165"/>
      <c r="V27" s="165"/>
      <c r="W27" s="165"/>
      <c r="X27" s="165"/>
      <c r="Y27" s="165"/>
      <c r="Z27" s="159"/>
      <c r="AA27" s="160"/>
      <c r="AB27" s="159"/>
      <c r="AC27" s="159"/>
      <c r="AD27" s="160"/>
      <c r="AE27" s="159"/>
      <c r="AF27" s="626"/>
      <c r="AG27" s="767"/>
      <c r="AH27" s="780"/>
      <c r="AJ27" s="1982"/>
    </row>
    <row r="28" spans="1:38" ht="16.5" customHeight="1">
      <c r="A28" s="147" t="s">
        <v>215</v>
      </c>
      <c r="B28" s="147"/>
      <c r="C28" s="159">
        <v>134.4</v>
      </c>
      <c r="D28" s="159"/>
      <c r="E28" s="159">
        <v>132.99999999999997</v>
      </c>
      <c r="F28" s="165"/>
      <c r="G28" s="159">
        <v>179.49999999999997</v>
      </c>
      <c r="H28" s="165"/>
      <c r="I28" s="159">
        <v>128.1</v>
      </c>
      <c r="J28" s="165"/>
      <c r="K28" s="159">
        <v>123.29999999999993</v>
      </c>
      <c r="L28" s="165"/>
      <c r="M28" s="159">
        <v>138.50000000000003</v>
      </c>
      <c r="N28" s="165"/>
      <c r="O28" s="159">
        <v>140.49999999999997</v>
      </c>
      <c r="P28" s="165"/>
      <c r="Q28" s="159">
        <v>138.70000000000007</v>
      </c>
      <c r="R28" s="165"/>
      <c r="S28" s="159">
        <v>196.59999999999977</v>
      </c>
      <c r="T28" s="165"/>
      <c r="U28" s="159">
        <v>116.30000000000021</v>
      </c>
      <c r="V28" s="165"/>
      <c r="W28" s="159">
        <v>135.59999999999991</v>
      </c>
      <c r="X28" s="165"/>
      <c r="Y28" s="159">
        <f t="shared" ref="Y28:Y31" si="6">$AB28-$C28-$E28-$G28-$I28-$K28-$M28-$O28-$Q28-$S28-$U28-$W28</f>
        <v>139.4000000000002</v>
      </c>
      <c r="Z28" s="159"/>
      <c r="AA28" s="160"/>
      <c r="AB28" s="1100">
        <v>1703.9</v>
      </c>
      <c r="AC28" s="159"/>
      <c r="AD28" s="160"/>
      <c r="AE28" s="1100">
        <v>1643.3</v>
      </c>
      <c r="AF28" s="163"/>
      <c r="AG28" s="768"/>
      <c r="AH28" s="780">
        <f>ROUND(SUM(AB28-AE28),1)</f>
        <v>60.6</v>
      </c>
      <c r="AJ28" s="2110">
        <f>ROUND(IF(AH28=0,0,AH28/ABS(AE28)),3)</f>
        <v>3.6999999999999998E-2</v>
      </c>
    </row>
    <row r="29" spans="1:38" ht="16.5" customHeight="1">
      <c r="A29" s="147" t="s">
        <v>176</v>
      </c>
      <c r="B29" s="147"/>
      <c r="C29" s="159">
        <v>26.3</v>
      </c>
      <c r="D29" s="159"/>
      <c r="E29" s="159">
        <v>32.799999999999997</v>
      </c>
      <c r="F29" s="165"/>
      <c r="G29" s="159">
        <v>42.800000000000011</v>
      </c>
      <c r="H29" s="165"/>
      <c r="I29" s="159">
        <v>33.299999999999983</v>
      </c>
      <c r="J29" s="165"/>
      <c r="K29" s="159">
        <v>38.600000000000023</v>
      </c>
      <c r="L29" s="165"/>
      <c r="M29" s="159">
        <v>266.09999999999991</v>
      </c>
      <c r="N29" s="165"/>
      <c r="O29" s="159">
        <v>30.200000000000045</v>
      </c>
      <c r="P29" s="165"/>
      <c r="Q29" s="159">
        <v>36.700000000000045</v>
      </c>
      <c r="R29" s="165"/>
      <c r="S29" s="159">
        <v>41</v>
      </c>
      <c r="T29" s="165"/>
      <c r="U29" s="159">
        <v>41.100000000000023</v>
      </c>
      <c r="V29" s="165"/>
      <c r="W29" s="159">
        <v>31</v>
      </c>
      <c r="X29" s="165"/>
      <c r="Y29" s="159">
        <f t="shared" si="6"/>
        <v>53.100000000000136</v>
      </c>
      <c r="Z29" s="159"/>
      <c r="AA29" s="160"/>
      <c r="AB29" s="1100">
        <v>673</v>
      </c>
      <c r="AC29" s="159"/>
      <c r="AD29" s="160"/>
      <c r="AE29" s="1100">
        <v>428.4</v>
      </c>
      <c r="AF29" s="163"/>
      <c r="AG29" s="768"/>
      <c r="AH29" s="780">
        <f>ROUND(SUM(AB29-AE29),1)</f>
        <v>244.6</v>
      </c>
      <c r="AJ29" s="2110">
        <f t="shared" ref="AJ29:AJ30" si="7">ROUND(IF(AH29=0,0,AH29/ABS(AE29)),3)</f>
        <v>0.57099999999999995</v>
      </c>
    </row>
    <row r="30" spans="1:38" ht="16.5" customHeight="1">
      <c r="A30" s="147" t="s">
        <v>152</v>
      </c>
      <c r="B30" s="147"/>
      <c r="C30" s="159">
        <v>59</v>
      </c>
      <c r="D30" s="159"/>
      <c r="E30" s="159">
        <v>55.8</v>
      </c>
      <c r="F30" s="165"/>
      <c r="G30" s="159">
        <v>51.600000000000009</v>
      </c>
      <c r="H30" s="165"/>
      <c r="I30" s="159">
        <v>61.59999999999998</v>
      </c>
      <c r="J30" s="165"/>
      <c r="K30" s="159">
        <v>63.600000000000037</v>
      </c>
      <c r="L30" s="165"/>
      <c r="M30" s="159">
        <v>47.799999999999926</v>
      </c>
      <c r="N30" s="165"/>
      <c r="O30" s="159">
        <v>49.399999999999991</v>
      </c>
      <c r="P30" s="165"/>
      <c r="Q30" s="159">
        <v>72.600000000000037</v>
      </c>
      <c r="R30" s="165"/>
      <c r="S30" s="159">
        <v>89.999999999999986</v>
      </c>
      <c r="T30" s="165"/>
      <c r="U30" s="159">
        <v>60.899999999999991</v>
      </c>
      <c r="V30" s="165"/>
      <c r="W30" s="159">
        <v>61.600000000000136</v>
      </c>
      <c r="X30" s="165"/>
      <c r="Y30" s="159">
        <f t="shared" si="6"/>
        <v>50.999999999999986</v>
      </c>
      <c r="Z30" s="159"/>
      <c r="AA30" s="160"/>
      <c r="AB30" s="1100">
        <v>724.9</v>
      </c>
      <c r="AC30" s="159"/>
      <c r="AD30" s="160"/>
      <c r="AE30" s="1100">
        <v>721.9</v>
      </c>
      <c r="AF30" s="164"/>
      <c r="AG30" s="769"/>
      <c r="AH30" s="780">
        <f>ROUND(SUM(AB30-AE30),1)</f>
        <v>3</v>
      </c>
      <c r="AJ30" s="2110">
        <f t="shared" si="7"/>
        <v>4.0000000000000001E-3</v>
      </c>
    </row>
    <row r="31" spans="1:38" ht="16.5" customHeight="1">
      <c r="A31" s="167" t="s">
        <v>216</v>
      </c>
      <c r="B31" s="147"/>
      <c r="C31" s="159">
        <v>175.9</v>
      </c>
      <c r="D31" s="159"/>
      <c r="E31" s="159">
        <v>-186.6</v>
      </c>
      <c r="F31" s="165"/>
      <c r="G31" s="159">
        <v>158.79999999999998</v>
      </c>
      <c r="H31" s="165"/>
      <c r="I31" s="159">
        <v>166.29999999999998</v>
      </c>
      <c r="J31" s="165"/>
      <c r="K31" s="159">
        <v>209.4</v>
      </c>
      <c r="L31" s="165"/>
      <c r="M31" s="159">
        <v>155.10000000000011</v>
      </c>
      <c r="N31" s="165"/>
      <c r="O31" s="159">
        <v>161.4</v>
      </c>
      <c r="P31" s="165"/>
      <c r="Q31" s="159">
        <v>171.70000000000002</v>
      </c>
      <c r="R31" s="165"/>
      <c r="S31" s="159">
        <v>191.79999999999976</v>
      </c>
      <c r="T31" s="165"/>
      <c r="U31" s="159">
        <v>265.5</v>
      </c>
      <c r="V31" s="165"/>
      <c r="W31" s="159">
        <v>232.69999999999993</v>
      </c>
      <c r="X31" s="165"/>
      <c r="Y31" s="159">
        <f t="shared" si="6"/>
        <v>131.59999999999991</v>
      </c>
      <c r="Z31" s="159"/>
      <c r="AA31" s="160"/>
      <c r="AB31" s="1100">
        <v>1833.6</v>
      </c>
      <c r="AC31" s="159"/>
      <c r="AD31" s="160"/>
      <c r="AE31" s="1100">
        <v>27201.9</v>
      </c>
      <c r="AF31" s="164"/>
      <c r="AG31" s="768"/>
      <c r="AH31" s="1098">
        <f>ROUND(SUM(AB31-AE31),1)</f>
        <v>-25368.3</v>
      </c>
      <c r="AJ31" s="1985">
        <f>ROUND(IF(AH31=0,0,AH31/ABS(AE31)),3)</f>
        <v>-0.93300000000000005</v>
      </c>
    </row>
    <row r="32" spans="1:38" ht="16.5" customHeight="1">
      <c r="A32" s="147"/>
      <c r="B32" s="147"/>
      <c r="C32" s="254"/>
      <c r="D32" s="159"/>
      <c r="E32" s="255"/>
      <c r="F32" s="165"/>
      <c r="G32" s="255"/>
      <c r="H32" s="165"/>
      <c r="I32" s="255"/>
      <c r="J32" s="165"/>
      <c r="K32" s="255"/>
      <c r="L32" s="165"/>
      <c r="M32" s="255"/>
      <c r="N32" s="165"/>
      <c r="O32" s="255"/>
      <c r="P32" s="165"/>
      <c r="Q32" s="255"/>
      <c r="R32" s="165"/>
      <c r="S32" s="255"/>
      <c r="T32" s="165"/>
      <c r="U32" s="255"/>
      <c r="V32" s="165"/>
      <c r="W32" s="1101"/>
      <c r="X32" s="165"/>
      <c r="Y32" s="255"/>
      <c r="Z32" s="159"/>
      <c r="AA32" s="160"/>
      <c r="AB32" s="254"/>
      <c r="AC32" s="159"/>
      <c r="AD32" s="160"/>
      <c r="AE32" s="254"/>
      <c r="AF32" s="635"/>
      <c r="AG32" s="769"/>
      <c r="AH32" s="780"/>
      <c r="AI32" s="775"/>
      <c r="AJ32" s="1982"/>
    </row>
    <row r="33" spans="1:37" ht="16.5" customHeight="1">
      <c r="A33" s="156" t="s">
        <v>153</v>
      </c>
      <c r="B33" s="147"/>
      <c r="C33" s="166">
        <f>ROUND(SUM(C28:C32),1)</f>
        <v>395.6</v>
      </c>
      <c r="D33" s="161"/>
      <c r="E33" s="166">
        <f>ROUND(SUM(E28:E32),1)</f>
        <v>35</v>
      </c>
      <c r="F33" s="166"/>
      <c r="G33" s="166">
        <f>ROUND(SUM(G28:G32),1)</f>
        <v>432.7</v>
      </c>
      <c r="H33" s="166"/>
      <c r="I33" s="166">
        <f>ROUND(SUM(I28:I32),1)</f>
        <v>389.3</v>
      </c>
      <c r="J33" s="166"/>
      <c r="K33" s="652">
        <f>ROUND(SUM(K28:K32),1)</f>
        <v>434.9</v>
      </c>
      <c r="L33" s="166"/>
      <c r="M33" s="652">
        <f>ROUND(SUM(M28:M32),1)</f>
        <v>607.5</v>
      </c>
      <c r="N33" s="166"/>
      <c r="O33" s="166">
        <f>ROUND(SUM(O28:O32),1)</f>
        <v>381.5</v>
      </c>
      <c r="P33" s="166"/>
      <c r="Q33" s="166">
        <f>ROUND(SUM(Q28:Q32),1)</f>
        <v>419.7</v>
      </c>
      <c r="R33" s="166"/>
      <c r="S33" s="166">
        <f t="shared" ref="S33" si="8">ROUND(SUM(S28:S32),1)</f>
        <v>519.4</v>
      </c>
      <c r="T33" s="166"/>
      <c r="U33" s="166">
        <f>ROUND(SUM(U28:U32),1)</f>
        <v>483.8</v>
      </c>
      <c r="V33" s="166"/>
      <c r="W33" s="166">
        <f>ROUND(SUM(W28:W32),1)</f>
        <v>460.9</v>
      </c>
      <c r="X33" s="166"/>
      <c r="Y33" s="166">
        <f>ROUND(SUM(Y28:Y32),1)</f>
        <v>375.1</v>
      </c>
      <c r="Z33" s="161"/>
      <c r="AA33" s="162"/>
      <c r="AB33" s="166">
        <f>ROUND(SUM(AB28:AB32),1)</f>
        <v>4935.3999999999996</v>
      </c>
      <c r="AC33" s="1797"/>
      <c r="AD33" s="161"/>
      <c r="AE33" s="166">
        <f>ROUND(SUM(AE28:AE32),1)</f>
        <v>29995.5</v>
      </c>
      <c r="AF33" s="163"/>
      <c r="AG33" s="766"/>
      <c r="AH33" s="1804">
        <f>ROUND(SUM(AH28:AH31),1)</f>
        <v>-25060.1</v>
      </c>
      <c r="AI33" s="781"/>
      <c r="AJ33" s="1984">
        <f>ROUND(IF(AH33=0,0,AH33/ABS(AE33)),3)</f>
        <v>-0.83499999999999996</v>
      </c>
      <c r="AK33" s="252"/>
    </row>
    <row r="34" spans="1:37" ht="16.5" customHeight="1">
      <c r="A34" s="147"/>
      <c r="B34" s="147"/>
      <c r="C34" s="254"/>
      <c r="D34" s="159"/>
      <c r="E34" s="255"/>
      <c r="F34" s="165"/>
      <c r="G34" s="255"/>
      <c r="H34" s="165"/>
      <c r="I34" s="255"/>
      <c r="J34" s="165"/>
      <c r="K34" s="165"/>
      <c r="L34" s="165"/>
      <c r="M34" s="165"/>
      <c r="N34" s="165"/>
      <c r="O34" s="255"/>
      <c r="P34" s="165"/>
      <c r="Q34" s="255"/>
      <c r="R34" s="165"/>
      <c r="S34" s="255"/>
      <c r="T34" s="165"/>
      <c r="U34" s="255"/>
      <c r="V34" s="165"/>
      <c r="W34" s="255"/>
      <c r="X34" s="165"/>
      <c r="Y34" s="255"/>
      <c r="Z34" s="159"/>
      <c r="AA34" s="160"/>
      <c r="AB34" s="254"/>
      <c r="AC34" s="1798"/>
      <c r="AD34" s="160"/>
      <c r="AE34" s="254"/>
      <c r="AF34" s="163"/>
      <c r="AG34" s="766"/>
      <c r="AH34" s="780"/>
      <c r="AJ34" s="1981"/>
    </row>
    <row r="35" spans="1:37" ht="16.5" customHeight="1">
      <c r="A35" s="147"/>
      <c r="B35" s="147"/>
      <c r="C35" s="159"/>
      <c r="D35" s="159"/>
      <c r="E35" s="165"/>
      <c r="F35" s="165"/>
      <c r="G35" s="165"/>
      <c r="H35" s="165"/>
      <c r="I35" s="165"/>
      <c r="J35" s="165"/>
      <c r="K35" s="165"/>
      <c r="L35" s="165"/>
      <c r="M35" s="165"/>
      <c r="N35" s="165"/>
      <c r="O35" s="165"/>
      <c r="P35" s="165"/>
      <c r="Q35" s="165"/>
      <c r="R35" s="165"/>
      <c r="S35" s="165"/>
      <c r="T35" s="165"/>
      <c r="U35" s="165"/>
      <c r="V35" s="165"/>
      <c r="W35" s="165"/>
      <c r="X35" s="165"/>
      <c r="Y35" s="165"/>
      <c r="Z35" s="159"/>
      <c r="AA35" s="160"/>
      <c r="AB35" s="159"/>
      <c r="AC35" s="1798"/>
      <c r="AD35" s="160"/>
      <c r="AE35" s="159"/>
      <c r="AF35" s="626"/>
      <c r="AG35" s="771"/>
      <c r="AH35" s="780"/>
      <c r="AI35" s="784"/>
      <c r="AJ35" s="1982"/>
    </row>
    <row r="36" spans="1:37" ht="16.5" customHeight="1">
      <c r="A36" s="156" t="s">
        <v>154</v>
      </c>
      <c r="B36" s="147"/>
      <c r="C36" s="159"/>
      <c r="D36" s="159"/>
      <c r="E36" s="165" t="s">
        <v>14</v>
      </c>
      <c r="F36" s="165"/>
      <c r="G36" s="165"/>
      <c r="H36" s="165"/>
      <c r="I36" s="165"/>
      <c r="J36" s="165"/>
      <c r="K36" s="165"/>
      <c r="L36" s="165"/>
      <c r="M36" s="165"/>
      <c r="N36" s="165"/>
      <c r="O36" s="165"/>
      <c r="P36" s="165"/>
      <c r="Q36" s="165"/>
      <c r="R36" s="165"/>
      <c r="S36" s="165"/>
      <c r="T36" s="165"/>
      <c r="U36" s="165"/>
      <c r="V36" s="165"/>
      <c r="W36" s="165"/>
      <c r="X36" s="165"/>
      <c r="Y36" s="165"/>
      <c r="Z36" s="159"/>
      <c r="AA36" s="160"/>
      <c r="AB36" s="159"/>
      <c r="AC36" s="1798"/>
      <c r="AD36" s="160"/>
      <c r="AE36" s="159"/>
      <c r="AF36" s="267"/>
      <c r="AG36" s="772"/>
      <c r="AH36" s="780"/>
      <c r="AI36" s="784"/>
      <c r="AJ36" s="1982"/>
    </row>
    <row r="37" spans="1:37" ht="16.5" customHeight="1">
      <c r="A37" s="156" t="s">
        <v>44</v>
      </c>
      <c r="B37" s="147"/>
      <c r="C37" s="166">
        <f>ROUND(C23-C33,1)</f>
        <v>-27.4</v>
      </c>
      <c r="D37" s="161"/>
      <c r="E37" s="166">
        <f>ROUND(E23-E33,1)</f>
        <v>304.5</v>
      </c>
      <c r="F37" s="166"/>
      <c r="G37" s="166">
        <f>ROUND(G23-G33,1)</f>
        <v>-223.2</v>
      </c>
      <c r="H37" s="166"/>
      <c r="I37" s="166">
        <f>ROUND(I23-I33,1)</f>
        <v>-48.4</v>
      </c>
      <c r="J37" s="166"/>
      <c r="K37" s="166">
        <f>ROUND(K23-K33,1)</f>
        <v>100.9</v>
      </c>
      <c r="L37" s="166"/>
      <c r="M37" s="166">
        <f>ROUND(M23-M33,1)</f>
        <v>-141.30000000000001</v>
      </c>
      <c r="N37" s="166"/>
      <c r="O37" s="166">
        <f>ROUND(O23-O33,1)</f>
        <v>4.7</v>
      </c>
      <c r="P37" s="166"/>
      <c r="Q37" s="166">
        <f>ROUND(Q23-Q33,1)</f>
        <v>54.7</v>
      </c>
      <c r="R37" s="166"/>
      <c r="S37" s="166">
        <f t="shared" ref="S37" si="9">ROUND(S23-S33,1)</f>
        <v>31.8</v>
      </c>
      <c r="T37" s="166"/>
      <c r="U37" s="166">
        <f>ROUND(U23-U33,1)</f>
        <v>-3.4</v>
      </c>
      <c r="V37" s="166"/>
      <c r="W37" s="166">
        <f>ROUND(W23-W33,1)</f>
        <v>5.5</v>
      </c>
      <c r="X37" s="166"/>
      <c r="Y37" s="166">
        <f>ROUND(Y23-Y33,1)</f>
        <v>90.2</v>
      </c>
      <c r="Z37" s="161"/>
      <c r="AA37" s="162"/>
      <c r="AB37" s="166">
        <f>ROUND(AB23-AB33,1)</f>
        <v>148.6</v>
      </c>
      <c r="AC37" s="1797"/>
      <c r="AD37" s="161"/>
      <c r="AE37" s="166">
        <f>ROUND(AE23-AE33,1)</f>
        <v>22.7</v>
      </c>
      <c r="AF37" s="634"/>
      <c r="AG37" s="770"/>
      <c r="AH37" s="1804">
        <f>ROUND(SUM(AH23-AH33),1)</f>
        <v>125.9</v>
      </c>
      <c r="AI37" s="781"/>
      <c r="AJ37" s="1305">
        <f>ROUND(IF(AE37=0,1,AH37/ABS(AE37)),3)</f>
        <v>5.5460000000000003</v>
      </c>
    </row>
    <row r="38" spans="1:37" ht="16.5" customHeight="1">
      <c r="A38" s="147"/>
      <c r="B38" s="147"/>
      <c r="C38" s="254"/>
      <c r="D38" s="159"/>
      <c r="E38" s="255"/>
      <c r="F38" s="165"/>
      <c r="G38" s="255"/>
      <c r="H38" s="165"/>
      <c r="I38" s="255"/>
      <c r="J38" s="165"/>
      <c r="K38" s="255"/>
      <c r="L38" s="165"/>
      <c r="M38" s="255"/>
      <c r="N38" s="165"/>
      <c r="O38" s="255"/>
      <c r="P38" s="165"/>
      <c r="Q38" s="255"/>
      <c r="R38" s="165"/>
      <c r="S38" s="255"/>
      <c r="T38" s="165"/>
      <c r="U38" s="255"/>
      <c r="V38" s="165"/>
      <c r="W38" s="255"/>
      <c r="X38" s="165"/>
      <c r="Y38" s="255"/>
      <c r="Z38" s="159"/>
      <c r="AA38" s="160"/>
      <c r="AB38" s="254"/>
      <c r="AC38" s="1798"/>
      <c r="AD38" s="160"/>
      <c r="AE38" s="254"/>
      <c r="AF38" s="39"/>
      <c r="AG38" s="770"/>
      <c r="AH38" s="780"/>
      <c r="AJ38" s="1981"/>
    </row>
    <row r="39" spans="1:37" ht="16.5" customHeight="1">
      <c r="A39" s="147"/>
      <c r="B39" s="147"/>
      <c r="C39" s="159"/>
      <c r="D39" s="159"/>
      <c r="E39" s="165"/>
      <c r="F39" s="165"/>
      <c r="G39" s="165"/>
      <c r="H39" s="165"/>
      <c r="I39" s="165"/>
      <c r="J39" s="165"/>
      <c r="K39" s="165"/>
      <c r="L39" s="165"/>
      <c r="M39" s="165"/>
      <c r="N39" s="165"/>
      <c r="O39" s="165"/>
      <c r="P39" s="165"/>
      <c r="Q39" s="165"/>
      <c r="R39" s="165"/>
      <c r="S39" s="165"/>
      <c r="T39" s="165"/>
      <c r="U39" s="165"/>
      <c r="V39" s="165"/>
      <c r="W39" s="165"/>
      <c r="X39" s="165"/>
      <c r="Y39" s="165"/>
      <c r="Z39" s="159"/>
      <c r="AA39" s="160"/>
      <c r="AB39" s="159"/>
      <c r="AC39" s="159"/>
      <c r="AD39" s="160"/>
      <c r="AE39" s="159"/>
      <c r="AG39" s="767"/>
      <c r="AH39" s="780"/>
      <c r="AJ39" s="1982"/>
    </row>
    <row r="40" spans="1:37" ht="16.5" customHeight="1">
      <c r="A40" s="156" t="s">
        <v>45</v>
      </c>
      <c r="B40" s="147"/>
      <c r="C40" s="159"/>
      <c r="D40" s="159"/>
      <c r="E40" s="165"/>
      <c r="F40" s="165"/>
      <c r="G40" s="165"/>
      <c r="H40" s="165"/>
      <c r="I40" s="165"/>
      <c r="J40" s="165"/>
      <c r="K40" s="1102"/>
      <c r="L40" s="165"/>
      <c r="M40" s="1102"/>
      <c r="N40" s="165"/>
      <c r="O40" s="165"/>
      <c r="P40" s="165"/>
      <c r="Q40" s="165"/>
      <c r="R40" s="165"/>
      <c r="S40" s="165"/>
      <c r="T40" s="165"/>
      <c r="U40" s="165"/>
      <c r="V40" s="165"/>
      <c r="W40" s="165"/>
      <c r="X40" s="165"/>
      <c r="Y40" s="165"/>
      <c r="Z40" s="159"/>
      <c r="AA40" s="160"/>
      <c r="AB40" s="159"/>
      <c r="AC40" s="159"/>
      <c r="AD40" s="160"/>
      <c r="AE40" s="159"/>
      <c r="AF40" s="39"/>
      <c r="AG40" s="770"/>
      <c r="AH40" s="1103"/>
      <c r="AI40" s="786"/>
      <c r="AJ40" s="1983"/>
    </row>
    <row r="41" spans="1:37" ht="16.5" customHeight="1">
      <c r="A41" s="147" t="s">
        <v>178</v>
      </c>
      <c r="B41" s="147"/>
      <c r="C41" s="159">
        <v>1</v>
      </c>
      <c r="D41" s="159"/>
      <c r="E41" s="159">
        <v>2</v>
      </c>
      <c r="F41" s="165"/>
      <c r="G41" s="159">
        <v>0</v>
      </c>
      <c r="H41" s="1156"/>
      <c r="I41" s="159">
        <v>0</v>
      </c>
      <c r="J41" s="165"/>
      <c r="K41" s="159">
        <v>2</v>
      </c>
      <c r="L41" s="165"/>
      <c r="M41" s="159">
        <v>0</v>
      </c>
      <c r="N41" s="165"/>
      <c r="O41" s="159">
        <v>0</v>
      </c>
      <c r="P41" s="165"/>
      <c r="Q41" s="159">
        <v>0</v>
      </c>
      <c r="R41" s="165"/>
      <c r="S41" s="159">
        <v>0</v>
      </c>
      <c r="T41" s="165"/>
      <c r="U41" s="159">
        <v>0</v>
      </c>
      <c r="V41" s="165"/>
      <c r="W41" s="159">
        <v>0</v>
      </c>
      <c r="X41" s="165"/>
      <c r="Y41" s="159">
        <f t="shared" ref="Y41:Y42" si="10">$AB41-$C41-$E41-$G41-$I41-$K41-$M41-$O41-$Q41-$S41-$U41-$W41</f>
        <v>2</v>
      </c>
      <c r="Z41" s="159"/>
      <c r="AA41" s="160"/>
      <c r="AB41" s="1100">
        <v>7</v>
      </c>
      <c r="AC41" s="159"/>
      <c r="AD41" s="160"/>
      <c r="AE41" s="1100">
        <v>7</v>
      </c>
      <c r="AF41" s="39"/>
      <c r="AG41" s="770"/>
      <c r="AH41" s="780">
        <f>ROUND(SUM(AB41-AE41),1)</f>
        <v>0</v>
      </c>
      <c r="AJ41" s="2002">
        <f>ROUND(IF(AE41=0,1,AH41/ABS(AE41)),3)</f>
        <v>0</v>
      </c>
    </row>
    <row r="42" spans="1:37" ht="16.5" customHeight="1">
      <c r="A42" s="147" t="s">
        <v>179</v>
      </c>
      <c r="B42" s="147"/>
      <c r="C42" s="159">
        <v>0</v>
      </c>
      <c r="D42" s="159"/>
      <c r="E42" s="159">
        <v>0</v>
      </c>
      <c r="F42" s="165"/>
      <c r="G42" s="159">
        <v>0</v>
      </c>
      <c r="H42" s="1156"/>
      <c r="I42" s="159">
        <v>0</v>
      </c>
      <c r="J42" s="165"/>
      <c r="K42" s="159">
        <v>0</v>
      </c>
      <c r="L42" s="165"/>
      <c r="M42" s="159">
        <v>0</v>
      </c>
      <c r="N42" s="165"/>
      <c r="O42" s="159">
        <v>0</v>
      </c>
      <c r="P42" s="165"/>
      <c r="Q42" s="159">
        <v>0</v>
      </c>
      <c r="R42" s="165"/>
      <c r="S42" s="159">
        <v>0</v>
      </c>
      <c r="T42" s="165"/>
      <c r="U42" s="159">
        <v>0</v>
      </c>
      <c r="V42" s="165"/>
      <c r="W42" s="159">
        <v>0</v>
      </c>
      <c r="X42" s="165"/>
      <c r="Y42" s="159">
        <f t="shared" si="10"/>
        <v>-2.9</v>
      </c>
      <c r="Z42" s="159"/>
      <c r="AA42" s="160"/>
      <c r="AB42" s="1100">
        <v>-2.9</v>
      </c>
      <c r="AC42" s="159"/>
      <c r="AD42" s="160"/>
      <c r="AE42" s="1100">
        <v>0</v>
      </c>
      <c r="AF42" s="39"/>
      <c r="AG42" s="770"/>
      <c r="AH42" s="1805">
        <f>-ROUND(SUM(AB42-AE42),1)</f>
        <v>2.9</v>
      </c>
      <c r="AJ42" s="2003">
        <f>ROUND(IF(AE42=0,1,AH42/ABS(AE42)),3)</f>
        <v>1</v>
      </c>
    </row>
    <row r="43" spans="1:37" ht="16.5" customHeight="1">
      <c r="A43" s="147"/>
      <c r="B43" s="147"/>
      <c r="C43" s="254"/>
      <c r="D43" s="159"/>
      <c r="E43" s="254"/>
      <c r="F43" s="165"/>
      <c r="G43" s="254"/>
      <c r="H43" s="165"/>
      <c r="I43" s="254"/>
      <c r="J43" s="165"/>
      <c r="K43" s="254"/>
      <c r="L43" s="165"/>
      <c r="M43" s="254"/>
      <c r="N43" s="165"/>
      <c r="O43" s="254"/>
      <c r="P43" s="165"/>
      <c r="Q43" s="254"/>
      <c r="R43" s="165"/>
      <c r="S43" s="254"/>
      <c r="T43" s="165"/>
      <c r="U43" s="255"/>
      <c r="V43" s="165"/>
      <c r="W43" s="255"/>
      <c r="X43" s="165"/>
      <c r="Y43" s="255"/>
      <c r="Z43" s="159"/>
      <c r="AA43" s="160"/>
      <c r="AB43" s="254"/>
      <c r="AC43" s="159"/>
      <c r="AD43" s="160"/>
      <c r="AE43" s="254"/>
      <c r="AF43" s="39"/>
      <c r="AG43" s="770"/>
      <c r="AJ43" s="1981"/>
    </row>
    <row r="44" spans="1:37" ht="16.5" customHeight="1">
      <c r="A44" s="156" t="s">
        <v>204</v>
      </c>
      <c r="B44" s="147"/>
      <c r="C44" s="256">
        <f>ROUND(SUM(C41:C43),1)</f>
        <v>1</v>
      </c>
      <c r="D44" s="161"/>
      <c r="E44" s="256">
        <f>ROUND(SUM(E41:E43),1)</f>
        <v>2</v>
      </c>
      <c r="F44" s="166"/>
      <c r="G44" s="256">
        <f>ROUND(SUM(G41:G43),1)</f>
        <v>0</v>
      </c>
      <c r="H44" s="166"/>
      <c r="I44" s="256">
        <f>ROUND(SUM(I41:I43),1)</f>
        <v>0</v>
      </c>
      <c r="J44" s="166"/>
      <c r="K44" s="256">
        <f>ROUND(SUM(K41:K43),1)</f>
        <v>2</v>
      </c>
      <c r="L44" s="166"/>
      <c r="M44" s="256">
        <f>ROUND(SUM(M41:M43),1)</f>
        <v>0</v>
      </c>
      <c r="N44" s="166"/>
      <c r="O44" s="256">
        <f>ROUND(SUM(O41:O43),1)</f>
        <v>0</v>
      </c>
      <c r="P44" s="166"/>
      <c r="Q44" s="256">
        <f>ROUND(SUM(Q41:Q43),1)</f>
        <v>0</v>
      </c>
      <c r="R44" s="256"/>
      <c r="S44" s="256">
        <f t="shared" ref="S44" si="11">ROUND(SUM(S41:S43),1)</f>
        <v>0</v>
      </c>
      <c r="T44" s="166"/>
      <c r="U44" s="256">
        <f>ROUND(SUM(U41:U43),1)</f>
        <v>0</v>
      </c>
      <c r="V44" s="166"/>
      <c r="W44" s="256">
        <f>ROUND(SUM(W41:W43),1)</f>
        <v>0</v>
      </c>
      <c r="X44" s="166"/>
      <c r="Y44" s="256">
        <f>ROUND(SUM(Y41:Y43),1)</f>
        <v>-0.9</v>
      </c>
      <c r="Z44" s="161"/>
      <c r="AA44" s="162"/>
      <c r="AB44" s="951">
        <f>ROUND(SUM(AB41+AB42),1)</f>
        <v>4.0999999999999996</v>
      </c>
      <c r="AC44" s="1797"/>
      <c r="AD44" s="161"/>
      <c r="AE44" s="951">
        <f>ROUND(SUM(AE41+AE42),1)</f>
        <v>7</v>
      </c>
      <c r="AF44" s="21"/>
      <c r="AG44" s="767"/>
      <c r="AH44" s="1804">
        <f>ROUND(SUM(AH41:AH42),1)</f>
        <v>2.9</v>
      </c>
      <c r="AI44" s="787"/>
      <c r="AJ44" s="2004">
        <f>ROUND(IF(AE44=0,1,AH44/ABS(AE44)),3)</f>
        <v>0.41399999999999998</v>
      </c>
    </row>
    <row r="45" spans="1:37" ht="16.5" customHeight="1">
      <c r="A45" s="147"/>
      <c r="B45" s="147"/>
      <c r="C45" s="254"/>
      <c r="D45" s="159"/>
      <c r="E45" s="255"/>
      <c r="F45" s="165"/>
      <c r="G45" s="255"/>
      <c r="H45" s="165"/>
      <c r="I45" s="255"/>
      <c r="J45" s="165"/>
      <c r="K45" s="255"/>
      <c r="L45" s="165"/>
      <c r="M45" s="255"/>
      <c r="N45" s="165"/>
      <c r="O45" s="255"/>
      <c r="P45" s="165"/>
      <c r="Q45" s="255"/>
      <c r="R45" s="165"/>
      <c r="S45" s="255"/>
      <c r="T45" s="165"/>
      <c r="U45" s="255"/>
      <c r="V45" s="165"/>
      <c r="W45" s="255"/>
      <c r="X45" s="165"/>
      <c r="Y45" s="255"/>
      <c r="Z45" s="159"/>
      <c r="AA45" s="160"/>
      <c r="AB45" s="254"/>
      <c r="AC45" s="159"/>
      <c r="AD45" s="160"/>
      <c r="AE45" s="254"/>
      <c r="AG45" s="767"/>
      <c r="AJ45" s="1981"/>
    </row>
    <row r="46" spans="1:37" ht="16.5" customHeight="1">
      <c r="A46" s="147"/>
      <c r="B46" s="147"/>
      <c r="C46" s="159"/>
      <c r="D46" s="159"/>
      <c r="E46" s="165"/>
      <c r="F46" s="165"/>
      <c r="G46" s="165"/>
      <c r="H46" s="165"/>
      <c r="I46" s="165"/>
      <c r="J46" s="165"/>
      <c r="K46" s="165"/>
      <c r="L46" s="165"/>
      <c r="M46" s="165"/>
      <c r="N46" s="165"/>
      <c r="O46" s="165"/>
      <c r="P46" s="165"/>
      <c r="Q46" s="165"/>
      <c r="R46" s="165"/>
      <c r="S46" s="165"/>
      <c r="T46" s="165"/>
      <c r="U46" s="165"/>
      <c r="V46" s="165"/>
      <c r="W46" s="165"/>
      <c r="X46" s="165"/>
      <c r="Y46" s="165"/>
      <c r="Z46" s="159"/>
      <c r="AA46" s="160"/>
      <c r="AB46" s="159"/>
      <c r="AC46" s="159"/>
      <c r="AD46" s="160"/>
      <c r="AE46" s="159"/>
      <c r="AG46" s="767"/>
      <c r="AJ46" s="1981"/>
    </row>
    <row r="47" spans="1:37" ht="16.5" customHeight="1">
      <c r="A47" s="156" t="s">
        <v>162</v>
      </c>
      <c r="B47" s="147"/>
      <c r="C47" s="159"/>
      <c r="D47" s="159"/>
      <c r="E47" s="165"/>
      <c r="F47" s="165"/>
      <c r="G47" s="165"/>
      <c r="H47" s="165"/>
      <c r="I47" s="165"/>
      <c r="J47" s="165"/>
      <c r="K47" s="165"/>
      <c r="L47" s="165"/>
      <c r="M47" s="165"/>
      <c r="N47" s="165"/>
      <c r="O47" s="165"/>
      <c r="P47" s="165"/>
      <c r="Q47" s="165"/>
      <c r="R47" s="165"/>
      <c r="S47" s="165"/>
      <c r="T47" s="165"/>
      <c r="U47" s="165"/>
      <c r="V47" s="165"/>
      <c r="W47" s="165"/>
      <c r="X47" s="165"/>
      <c r="Y47" s="165"/>
      <c r="Z47" s="159"/>
      <c r="AA47" s="160"/>
      <c r="AB47" s="159"/>
      <c r="AC47" s="159"/>
      <c r="AD47" s="160"/>
      <c r="AE47" s="159"/>
      <c r="AG47" s="767"/>
      <c r="AJ47" s="1981"/>
    </row>
    <row r="48" spans="1:37" ht="16.5" customHeight="1">
      <c r="A48" s="156" t="s">
        <v>222</v>
      </c>
      <c r="B48" s="147"/>
      <c r="C48" s="159"/>
      <c r="D48" s="159"/>
      <c r="E48" s="165"/>
      <c r="F48" s="165"/>
      <c r="G48" s="165"/>
      <c r="H48" s="165"/>
      <c r="I48" s="165"/>
      <c r="J48" s="165"/>
      <c r="K48" s="257"/>
      <c r="L48" s="165"/>
      <c r="M48" s="165"/>
      <c r="N48" s="165"/>
      <c r="O48" s="165"/>
      <c r="P48" s="165"/>
      <c r="Q48" s="165"/>
      <c r="R48" s="165"/>
      <c r="S48" s="165"/>
      <c r="T48" s="165"/>
      <c r="U48" s="165"/>
      <c r="V48" s="165"/>
      <c r="W48" s="165"/>
      <c r="X48" s="165"/>
      <c r="Y48" s="165"/>
      <c r="Z48" s="159"/>
      <c r="AA48" s="160"/>
      <c r="AB48" s="159"/>
      <c r="AC48" s="159"/>
      <c r="AD48" s="160"/>
      <c r="AE48" s="159"/>
      <c r="AG48" s="767"/>
      <c r="AJ48" s="1981"/>
    </row>
    <row r="49" spans="1:38" ht="16.5" customHeight="1">
      <c r="A49" s="156" t="s">
        <v>164</v>
      </c>
      <c r="B49" s="147"/>
      <c r="C49" s="166">
        <f>ROUND(C37+C44,1)</f>
        <v>-26.4</v>
      </c>
      <c r="D49" s="161"/>
      <c r="E49" s="166">
        <f>ROUND(E37+E44,1)</f>
        <v>306.5</v>
      </c>
      <c r="F49" s="166"/>
      <c r="G49" s="166">
        <f>ROUND(G37+G44,1)</f>
        <v>-223.2</v>
      </c>
      <c r="H49" s="166"/>
      <c r="I49" s="166">
        <f>ROUND(I37+I44,1)</f>
        <v>-48.4</v>
      </c>
      <c r="J49" s="166"/>
      <c r="K49" s="652">
        <f>ROUND(K37+K44,1)</f>
        <v>102.9</v>
      </c>
      <c r="L49" s="166"/>
      <c r="M49" s="166">
        <f>ROUND(M37+M44,1)</f>
        <v>-141.30000000000001</v>
      </c>
      <c r="N49" s="166"/>
      <c r="O49" s="166">
        <f>ROUND(O37+O44,1)</f>
        <v>4.7</v>
      </c>
      <c r="P49" s="166"/>
      <c r="Q49" s="166">
        <f>ROUND(Q37+Q44,1)</f>
        <v>54.7</v>
      </c>
      <c r="R49" s="166"/>
      <c r="S49" s="166">
        <f>ROUND(S37+S44,1)</f>
        <v>31.8</v>
      </c>
      <c r="T49" s="166"/>
      <c r="U49" s="166">
        <f>ROUND(U37+U44,1)</f>
        <v>-3.4</v>
      </c>
      <c r="V49" s="166"/>
      <c r="W49" s="166">
        <f>ROUND(W37+W44,1)</f>
        <v>5.5</v>
      </c>
      <c r="X49" s="166"/>
      <c r="Y49" s="166">
        <f>ROUND(Y37+Y44,1)</f>
        <v>89.3</v>
      </c>
      <c r="Z49" s="161"/>
      <c r="AA49" s="162"/>
      <c r="AB49" s="166">
        <f>ROUND(AB37+AB44,1)</f>
        <v>152.69999999999999</v>
      </c>
      <c r="AC49" s="1797"/>
      <c r="AD49" s="161"/>
      <c r="AE49" s="166">
        <f>ROUND(AE37+AE44,1)</f>
        <v>29.7</v>
      </c>
      <c r="AG49" s="767"/>
      <c r="AH49" s="1804">
        <f>ROUND(SUM(AH37+AH44),1)</f>
        <v>128.80000000000001</v>
      </c>
      <c r="AI49" s="765"/>
      <c r="AJ49" s="1305">
        <f>ROUND(IF(AE49=0,1,AH49/ABS(AE49)),3)</f>
        <v>4.3369999999999997</v>
      </c>
      <c r="AK49" s="252"/>
      <c r="AL49" s="252"/>
    </row>
    <row r="50" spans="1:38" ht="16.5" customHeight="1">
      <c r="A50" s="147"/>
      <c r="B50" s="147"/>
      <c r="C50" s="258"/>
      <c r="D50" s="156"/>
      <c r="E50" s="259"/>
      <c r="F50" s="260"/>
      <c r="G50" s="259"/>
      <c r="H50" s="260"/>
      <c r="I50" s="259"/>
      <c r="J50" s="260"/>
      <c r="K50" s="261"/>
      <c r="L50" s="260"/>
      <c r="M50" s="259"/>
      <c r="N50" s="260"/>
      <c r="O50" s="259"/>
      <c r="P50" s="260"/>
      <c r="Q50" s="259"/>
      <c r="R50" s="260"/>
      <c r="S50" s="259"/>
      <c r="T50" s="260"/>
      <c r="U50" s="259"/>
      <c r="V50" s="260"/>
      <c r="W50" s="259"/>
      <c r="X50" s="260"/>
      <c r="Y50" s="259"/>
      <c r="Z50" s="156"/>
      <c r="AA50" s="262"/>
      <c r="AB50" s="258"/>
      <c r="AC50" s="156"/>
      <c r="AD50" s="262"/>
      <c r="AE50" s="258"/>
      <c r="AG50" s="767"/>
      <c r="AJ50" s="1981"/>
      <c r="AK50" s="252"/>
      <c r="AL50" s="252"/>
    </row>
    <row r="51" spans="1:38" ht="16.5" customHeight="1" thickBot="1">
      <c r="A51" s="156" t="s">
        <v>139</v>
      </c>
      <c r="B51" s="147"/>
      <c r="C51" s="154">
        <f>ROUND(C16+C49,1)</f>
        <v>331.3</v>
      </c>
      <c r="D51" s="154"/>
      <c r="E51" s="154">
        <f>ROUND(E16+E49,1)</f>
        <v>637.79999999999995</v>
      </c>
      <c r="F51" s="251"/>
      <c r="G51" s="154">
        <f>ROUND(G16+G49,1)</f>
        <v>414.6</v>
      </c>
      <c r="H51" s="251"/>
      <c r="I51" s="654">
        <f>ROUND(I16+I49,1)</f>
        <v>366.2</v>
      </c>
      <c r="J51" s="251"/>
      <c r="K51" s="154">
        <f>ROUND(K16+K49,1)</f>
        <v>469.1</v>
      </c>
      <c r="L51" s="251"/>
      <c r="M51" s="154">
        <f>ROUND(M16+M49,1)</f>
        <v>327.8</v>
      </c>
      <c r="N51" s="251"/>
      <c r="O51" s="154">
        <f>ROUND(O16+O49,1)</f>
        <v>332.5</v>
      </c>
      <c r="P51" s="251"/>
      <c r="Q51" s="154">
        <f>ROUND(Q16+Q49,1)</f>
        <v>387.2</v>
      </c>
      <c r="R51" s="251"/>
      <c r="S51" s="154">
        <f>ROUND(S16+S49,1)</f>
        <v>419</v>
      </c>
      <c r="T51" s="251"/>
      <c r="U51" s="154">
        <f>ROUND(U16+U49,1)</f>
        <v>415.6</v>
      </c>
      <c r="V51" s="251"/>
      <c r="W51" s="154">
        <f>ROUND(W16+W49,1)</f>
        <v>421.1</v>
      </c>
      <c r="X51" s="251"/>
      <c r="Y51" s="154">
        <f>ROUND(Y16+Y49,1)</f>
        <v>510.4</v>
      </c>
      <c r="Z51" s="154"/>
      <c r="AA51" s="155"/>
      <c r="AB51" s="154">
        <f>ROUND(AB16+AB49,1)</f>
        <v>510.4</v>
      </c>
      <c r="AC51" s="154"/>
      <c r="AD51" s="155"/>
      <c r="AE51" s="154">
        <f>ROUND(AE16+AE49,1)</f>
        <v>357.7</v>
      </c>
      <c r="AG51" s="767"/>
      <c r="AH51" s="1806">
        <f>ROUND(SUM(AB51-AE51),1)</f>
        <v>152.69999999999999</v>
      </c>
      <c r="AI51" s="786"/>
      <c r="AJ51" s="788">
        <f>ROUND(IF(AH51=0,0,AH51/ABS(AE51)),3)</f>
        <v>0.42699999999999999</v>
      </c>
      <c r="AK51" s="252"/>
      <c r="AL51" s="252"/>
    </row>
    <row r="52" spans="1:38" ht="16.5" customHeight="1" thickTop="1">
      <c r="A52" s="149"/>
      <c r="B52" s="149"/>
      <c r="C52" s="263"/>
      <c r="D52" s="149"/>
      <c r="E52" s="263"/>
      <c r="F52" s="149"/>
      <c r="G52" s="263"/>
      <c r="H52" s="149"/>
      <c r="I52" s="149"/>
      <c r="J52" s="149"/>
      <c r="K52" s="263"/>
      <c r="L52" s="149"/>
      <c r="M52" s="263"/>
      <c r="N52" s="149"/>
      <c r="O52" s="263"/>
      <c r="P52" s="149"/>
      <c r="Q52" s="263"/>
      <c r="R52" s="149"/>
      <c r="S52" s="263"/>
      <c r="T52" s="149"/>
      <c r="U52" s="263"/>
      <c r="V52" s="149"/>
      <c r="W52" s="263"/>
      <c r="X52" s="149"/>
      <c r="Y52" s="263"/>
      <c r="Z52" s="149"/>
      <c r="AA52" s="149"/>
      <c r="AB52" s="263"/>
      <c r="AC52" s="149"/>
      <c r="AD52" s="149"/>
      <c r="AE52" s="263"/>
    </row>
    <row r="53" spans="1:38" ht="16.5" customHeight="1">
      <c r="A53" s="167"/>
    </row>
    <row r="54" spans="1:38" ht="16.5" customHeight="1">
      <c r="A54" s="167"/>
    </row>
    <row r="55" spans="1:38" ht="16.5" customHeight="1">
      <c r="A55" s="167"/>
    </row>
    <row r="56" spans="1:38" ht="16.5" customHeight="1">
      <c r="A56" s="167"/>
    </row>
    <row r="57" spans="1:38" ht="16.5" customHeight="1">
      <c r="A57" s="167"/>
    </row>
  </sheetData>
  <mergeCells count="1">
    <mergeCell ref="AB12:AJ12"/>
  </mergeCells>
  <printOptions horizontalCentered="1"/>
  <pageMargins left="0.25" right="0.25" top="0.5" bottom="0.25" header="0" footer="0.25"/>
  <pageSetup scale="41" firstPageNumber="35"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workbookViewId="0"/>
  </sheetViews>
  <sheetFormatPr defaultColWidth="8.84375" defaultRowHeight="16.5" customHeight="1"/>
  <cols>
    <col min="1" max="1" width="48.4609375" style="137" customWidth="1"/>
    <col min="2" max="2" width="11" style="137" customWidth="1"/>
    <col min="3" max="3" width="1.84375" style="137" customWidth="1"/>
    <col min="4" max="4" width="11" style="137" customWidth="1"/>
    <col min="5" max="5" width="1.84375" style="137" customWidth="1"/>
    <col min="6" max="6" width="11.07421875" style="137" customWidth="1"/>
    <col min="7" max="7" width="1.84375" style="137" customWidth="1"/>
    <col min="8" max="8" width="11" style="137" customWidth="1"/>
    <col min="9" max="9" width="1.84375" style="137" customWidth="1"/>
    <col min="10" max="10" width="10.4609375" style="137" customWidth="1"/>
    <col min="11" max="11" width="1.84375" style="137" customWidth="1"/>
    <col min="12" max="12" width="13.07421875" style="137" customWidth="1"/>
    <col min="13" max="13" width="1.84375" style="137" customWidth="1"/>
    <col min="14" max="14" width="11.07421875" style="137" customWidth="1"/>
    <col min="15" max="15" width="1.84375" style="137" customWidth="1"/>
    <col min="16" max="16" width="12.07421875" style="137" customWidth="1"/>
    <col min="17" max="17" width="1.84375" style="137" customWidth="1"/>
    <col min="18" max="18" width="12" style="137" customWidth="1"/>
    <col min="19" max="19" width="1.84375" style="137" customWidth="1"/>
    <col min="20" max="20" width="11.07421875" style="137" customWidth="1"/>
    <col min="21" max="21" width="1.84375" style="137" customWidth="1"/>
    <col min="22" max="22" width="11.84375" style="137" customWidth="1"/>
    <col min="23" max="23" width="1.84375" style="137" customWidth="1"/>
    <col min="24" max="24" width="11.07421875" style="137" customWidth="1"/>
    <col min="25" max="26" width="1.84375" style="137" customWidth="1"/>
    <col min="27" max="27" width="11.53515625" style="137" customWidth="1"/>
    <col min="28" max="29" width="1.84375" style="137" customWidth="1"/>
    <col min="30" max="30" width="11.53515625" style="137" customWidth="1"/>
    <col min="31" max="31" width="1.84375" style="275" customWidth="1"/>
    <col min="32" max="32" width="2.4609375" style="773" customWidth="1"/>
    <col min="33" max="33" width="10.07421875" style="773" bestFit="1" customWidth="1"/>
    <col min="34" max="34" width="1.84375" style="773" customWidth="1"/>
    <col min="35" max="35" width="12.07421875" style="773" customWidth="1"/>
    <col min="36" max="16384" width="8.84375" style="137"/>
  </cols>
  <sheetData>
    <row r="1" spans="1:37" ht="16.5" customHeight="1">
      <c r="A1" s="468" t="s">
        <v>868</v>
      </c>
    </row>
    <row r="2" spans="1:37" ht="16.5" customHeight="1">
      <c r="A2" s="600"/>
    </row>
    <row r="3" spans="1:37" ht="20.25" customHeight="1">
      <c r="A3" s="1925" t="s">
        <v>0</v>
      </c>
      <c r="B3" s="227"/>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1"/>
      <c r="AI3" s="186" t="s">
        <v>219</v>
      </c>
      <c r="AJ3" s="264"/>
      <c r="AK3" s="264"/>
    </row>
    <row r="4" spans="1:37" ht="22.5" customHeight="1">
      <c r="A4" s="1925" t="s">
        <v>217</v>
      </c>
      <c r="B4" s="227"/>
      <c r="C4" s="264"/>
      <c r="D4" s="264"/>
      <c r="E4" s="264"/>
      <c r="F4" s="264"/>
      <c r="G4" s="264"/>
      <c r="H4" s="227" t="s">
        <v>14</v>
      </c>
      <c r="I4" s="264"/>
      <c r="J4" s="264"/>
      <c r="K4" s="264"/>
      <c r="L4" s="264"/>
      <c r="M4" s="264"/>
      <c r="N4" s="264"/>
      <c r="O4" s="264"/>
      <c r="P4" s="264"/>
      <c r="Q4" s="264"/>
      <c r="R4" s="264"/>
      <c r="S4" s="264"/>
      <c r="T4" s="264"/>
      <c r="U4" s="264"/>
      <c r="V4" s="264"/>
      <c r="W4" s="264"/>
      <c r="X4" s="264" t="s">
        <v>14</v>
      </c>
      <c r="Y4" s="264"/>
      <c r="Z4" s="264"/>
      <c r="AA4" s="264"/>
      <c r="AB4" s="264"/>
      <c r="AC4" s="264"/>
      <c r="AD4" s="264"/>
      <c r="AE4" s="21"/>
      <c r="AJ4" s="264"/>
      <c r="AK4" s="264"/>
    </row>
    <row r="5" spans="1:37" ht="20.25" customHeight="1">
      <c r="A5" s="1925" t="s">
        <v>218</v>
      </c>
      <c r="B5" s="227"/>
      <c r="C5" s="264"/>
      <c r="D5" s="264"/>
      <c r="E5" s="264"/>
      <c r="F5" s="264"/>
      <c r="G5" s="264"/>
      <c r="H5" s="264"/>
      <c r="I5" s="264"/>
      <c r="J5" s="264"/>
      <c r="K5" s="264"/>
      <c r="L5" s="264"/>
      <c r="M5" s="264"/>
      <c r="N5" s="264"/>
      <c r="O5" s="264"/>
      <c r="P5" s="264"/>
      <c r="Q5" s="264"/>
      <c r="R5" s="264"/>
      <c r="S5" s="264"/>
      <c r="T5" s="264"/>
      <c r="U5" s="264"/>
      <c r="V5" s="264"/>
      <c r="W5" s="264"/>
      <c r="X5" s="264"/>
      <c r="Y5" s="264"/>
      <c r="Z5" s="264"/>
      <c r="AB5" s="186"/>
      <c r="AC5" s="186"/>
      <c r="AD5" s="186"/>
      <c r="AE5" s="604"/>
      <c r="AJ5" s="264"/>
      <c r="AK5" s="264"/>
    </row>
    <row r="6" spans="1:37" ht="20.25" customHeight="1">
      <c r="A6" s="1926" t="str">
        <f>'Cashflow Governmental'!A6</f>
        <v xml:space="preserve">FISCAL YEAR 2022-2023   </v>
      </c>
      <c r="B6" s="227"/>
      <c r="C6" s="264"/>
      <c r="D6" s="264"/>
      <c r="E6" s="264"/>
      <c r="F6" s="264"/>
      <c r="G6" s="264"/>
      <c r="H6" s="264"/>
      <c r="I6" s="264"/>
      <c r="J6" s="264"/>
      <c r="K6" s="264"/>
      <c r="L6" s="264"/>
      <c r="M6" s="264"/>
      <c r="N6" s="264"/>
      <c r="O6" s="264"/>
      <c r="P6" s="264"/>
      <c r="Q6" s="264"/>
      <c r="R6" s="264"/>
      <c r="S6" s="264"/>
      <c r="T6" s="264"/>
      <c r="U6" s="264"/>
      <c r="V6" s="264"/>
      <c r="W6" s="264"/>
      <c r="X6" s="264"/>
      <c r="Y6" s="264"/>
      <c r="Z6" s="264"/>
      <c r="AA6" s="264"/>
      <c r="AB6" s="264"/>
      <c r="AC6" s="264"/>
      <c r="AD6" s="264"/>
      <c r="AE6" s="21"/>
      <c r="AJ6" s="264"/>
      <c r="AK6" s="264"/>
    </row>
    <row r="7" spans="1:37" ht="20.25" customHeight="1">
      <c r="A7" s="1925" t="s">
        <v>1247</v>
      </c>
      <c r="B7" s="227"/>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1"/>
      <c r="AJ7" s="264"/>
      <c r="AK7" s="264"/>
    </row>
    <row r="8" spans="1:37" ht="16.5" customHeight="1">
      <c r="L8" s="1302"/>
      <c r="AE8" s="21"/>
    </row>
    <row r="9" spans="1:37" ht="16.5" customHeight="1">
      <c r="A9" s="265"/>
      <c r="B9" s="144"/>
      <c r="C9" s="144"/>
      <c r="D9" s="144"/>
      <c r="E9" s="144"/>
      <c r="F9" s="144"/>
      <c r="G9" s="144"/>
      <c r="H9" s="184"/>
      <c r="I9" s="184"/>
      <c r="J9" s="184"/>
      <c r="K9" s="144"/>
      <c r="L9" s="144"/>
      <c r="M9" s="144"/>
      <c r="N9" s="144"/>
      <c r="O9" s="144"/>
      <c r="P9" s="144"/>
      <c r="Q9" s="144"/>
      <c r="R9" s="144"/>
      <c r="S9" s="144"/>
      <c r="T9" s="144"/>
      <c r="U9" s="144"/>
      <c r="V9" s="144"/>
      <c r="W9" s="144"/>
      <c r="X9" s="144"/>
      <c r="Y9" s="144"/>
      <c r="Z9" s="144"/>
      <c r="AA9" s="144"/>
      <c r="AB9" s="144"/>
      <c r="AC9" s="144"/>
      <c r="AD9" s="144"/>
      <c r="AE9" s="137"/>
      <c r="AF9" s="774"/>
      <c r="AG9" s="774"/>
      <c r="AH9" s="774"/>
      <c r="AI9" s="774"/>
    </row>
    <row r="10" spans="1:37" ht="16.5" customHeight="1">
      <c r="A10" s="168"/>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1"/>
      <c r="AA10" s="2324" t="s">
        <v>1559</v>
      </c>
      <c r="AB10" s="2325"/>
      <c r="AC10" s="2325"/>
      <c r="AD10" s="2325"/>
      <c r="AE10" s="2325"/>
      <c r="AF10" s="2325"/>
      <c r="AG10" s="2325"/>
      <c r="AH10" s="2325"/>
      <c r="AI10" s="2325"/>
    </row>
    <row r="11" spans="1:37" ht="16.5" customHeight="1">
      <c r="A11" s="168"/>
      <c r="B11" s="561" t="str">
        <f>'Cashflow Governmental'!C13</f>
        <v>2022</v>
      </c>
      <c r="C11" s="171"/>
      <c r="D11" s="171"/>
      <c r="E11" s="171"/>
      <c r="F11" s="171"/>
      <c r="G11" s="171"/>
      <c r="H11" s="171"/>
      <c r="I11" s="171"/>
      <c r="J11" s="171"/>
      <c r="K11" s="171"/>
      <c r="L11" s="171"/>
      <c r="M11" s="171"/>
      <c r="N11" s="171"/>
      <c r="O11" s="171"/>
      <c r="P11" s="171"/>
      <c r="Q11" s="171"/>
      <c r="R11" s="171"/>
      <c r="S11" s="171"/>
      <c r="T11" s="561">
        <f>'Cashflow Governmental'!U13</f>
        <v>2023</v>
      </c>
      <c r="U11" s="171"/>
      <c r="V11" s="171"/>
      <c r="W11" s="171"/>
      <c r="X11" s="171"/>
      <c r="Y11" s="171"/>
      <c r="Z11" s="171"/>
      <c r="AA11" s="171"/>
      <c r="AB11" s="171"/>
      <c r="AC11" s="171"/>
      <c r="AD11" s="171"/>
      <c r="AE11" s="974"/>
      <c r="AF11" s="765"/>
      <c r="AG11" s="776" t="s">
        <v>7</v>
      </c>
      <c r="AH11" s="776"/>
      <c r="AI11" s="777" t="s">
        <v>8</v>
      </c>
    </row>
    <row r="12" spans="1:37" ht="16.5" customHeight="1">
      <c r="A12" s="168"/>
      <c r="B12" s="562" t="s">
        <v>122</v>
      </c>
      <c r="C12" s="171"/>
      <c r="D12" s="562" t="s">
        <v>123</v>
      </c>
      <c r="E12" s="171"/>
      <c r="F12" s="562" t="s">
        <v>124</v>
      </c>
      <c r="G12" s="171"/>
      <c r="H12" s="562" t="s">
        <v>125</v>
      </c>
      <c r="I12" s="171"/>
      <c r="J12" s="562" t="s">
        <v>126</v>
      </c>
      <c r="K12" s="171"/>
      <c r="L12" s="561" t="s">
        <v>141</v>
      </c>
      <c r="M12" s="171"/>
      <c r="N12" s="561" t="s">
        <v>142</v>
      </c>
      <c r="O12" s="171"/>
      <c r="P12" s="562" t="s">
        <v>129</v>
      </c>
      <c r="Q12" s="171"/>
      <c r="R12" s="562" t="s">
        <v>130</v>
      </c>
      <c r="S12" s="171"/>
      <c r="T12" s="562" t="s">
        <v>131</v>
      </c>
      <c r="U12" s="171"/>
      <c r="V12" s="562" t="s">
        <v>132</v>
      </c>
      <c r="W12" s="171"/>
      <c r="X12" s="561" t="s">
        <v>182</v>
      </c>
      <c r="Y12" s="171"/>
      <c r="Z12" s="171"/>
      <c r="AA12" s="562">
        <f>'Cashflow Governmental'!AB14</f>
        <v>2023</v>
      </c>
      <c r="AB12" s="171" t="s">
        <v>14</v>
      </c>
      <c r="AC12" s="171"/>
      <c r="AD12" s="562">
        <f>'Cashflow Governmental'!AE14</f>
        <v>2022</v>
      </c>
      <c r="AE12" s="562"/>
      <c r="AF12" s="787"/>
      <c r="AG12" s="778" t="s">
        <v>11</v>
      </c>
      <c r="AH12" s="776"/>
      <c r="AI12" s="778" t="s">
        <v>12</v>
      </c>
    </row>
    <row r="13" spans="1:37" ht="4.5" customHeight="1">
      <c r="A13" s="168"/>
      <c r="B13" s="266"/>
      <c r="C13" s="168"/>
      <c r="D13" s="266"/>
      <c r="E13" s="168"/>
      <c r="F13" s="266"/>
      <c r="G13" s="168"/>
      <c r="H13" s="266"/>
      <c r="I13" s="168"/>
      <c r="J13" s="266"/>
      <c r="K13" s="168"/>
      <c r="L13" s="266"/>
      <c r="M13" s="168"/>
      <c r="N13" s="266"/>
      <c r="O13" s="168"/>
      <c r="P13" s="266"/>
      <c r="Q13" s="168"/>
      <c r="R13" s="266"/>
      <c r="S13" s="168"/>
      <c r="T13" s="266"/>
      <c r="U13" s="168"/>
      <c r="V13" s="266"/>
      <c r="W13" s="168"/>
      <c r="X13" s="266"/>
      <c r="Y13" s="168"/>
      <c r="Z13" s="168"/>
      <c r="AA13" s="266"/>
      <c r="AB13" s="168"/>
      <c r="AC13" s="168"/>
      <c r="AD13" s="266"/>
      <c r="AE13" s="1799"/>
      <c r="AF13" s="1079"/>
    </row>
    <row r="14" spans="1:37" ht="16.5" customHeight="1">
      <c r="A14" s="128" t="s">
        <v>134</v>
      </c>
      <c r="B14" s="1320">
        <v>-136.69999999999999</v>
      </c>
      <c r="C14" s="267"/>
      <c r="D14" s="267">
        <f>B46</f>
        <v>-149.9</v>
      </c>
      <c r="E14" s="267"/>
      <c r="F14" s="267">
        <f>D46</f>
        <v>-159.19999999999999</v>
      </c>
      <c r="G14" s="267"/>
      <c r="H14" s="267">
        <f>F46</f>
        <v>-175</v>
      </c>
      <c r="I14" s="267"/>
      <c r="J14" s="267">
        <f>H46</f>
        <v>-189</v>
      </c>
      <c r="K14" s="267"/>
      <c r="L14" s="267">
        <f>J46</f>
        <v>-224.8</v>
      </c>
      <c r="M14" s="267"/>
      <c r="N14" s="267">
        <f>L46</f>
        <v>-245.5</v>
      </c>
      <c r="O14" s="267"/>
      <c r="P14" s="267">
        <f>N46</f>
        <v>-281.10000000000002</v>
      </c>
      <c r="Q14" s="267"/>
      <c r="R14" s="267">
        <f t="shared" ref="R14" si="0">P46</f>
        <v>-254.4</v>
      </c>
      <c r="S14" s="267"/>
      <c r="T14" s="267">
        <f t="shared" ref="T14" si="1">R46</f>
        <v>-263.5</v>
      </c>
      <c r="U14" s="267"/>
      <c r="V14" s="267">
        <f t="shared" ref="V14" si="2">T46</f>
        <v>-257.10000000000002</v>
      </c>
      <c r="W14" s="267"/>
      <c r="X14" s="267">
        <f t="shared" ref="X14" si="3">V46</f>
        <v>-210.4</v>
      </c>
      <c r="Y14" s="267"/>
      <c r="Z14" s="1807"/>
      <c r="AA14" s="267">
        <f>B14</f>
        <v>-136.69999999999999</v>
      </c>
      <c r="AB14" s="1808"/>
      <c r="AC14" s="267"/>
      <c r="AD14" s="1320">
        <v>-363.5</v>
      </c>
      <c r="AE14" s="98"/>
      <c r="AF14" s="789"/>
      <c r="AG14" s="779">
        <f>ROUND(SUM(AA14-AD14),1)</f>
        <v>226.8</v>
      </c>
      <c r="AI14" s="922">
        <f>-ROUND(IF(AG14=0,0,AG14/(AD14)),3)</f>
        <v>0.624</v>
      </c>
    </row>
    <row r="15" spans="1:37" ht="16.5" customHeight="1">
      <c r="A15" s="98"/>
      <c r="B15" s="98"/>
      <c r="C15" s="98"/>
      <c r="D15" s="98"/>
      <c r="E15" s="98"/>
      <c r="F15" s="98"/>
      <c r="G15" s="98"/>
      <c r="H15" s="98"/>
      <c r="I15" s="98"/>
      <c r="J15" s="98"/>
      <c r="K15" s="98"/>
      <c r="L15" s="98"/>
      <c r="M15" s="98"/>
      <c r="N15" s="98"/>
      <c r="O15" s="98"/>
      <c r="P15" s="98"/>
      <c r="Q15" s="98"/>
      <c r="R15" s="98"/>
      <c r="S15" s="98"/>
      <c r="T15" s="98"/>
      <c r="U15" s="98"/>
      <c r="V15" s="98"/>
      <c r="W15" s="98"/>
      <c r="X15" s="98"/>
      <c r="Y15" s="98"/>
      <c r="Z15" s="1809"/>
      <c r="AA15" s="98"/>
      <c r="AB15" s="1810"/>
      <c r="AC15" s="98"/>
      <c r="AD15" s="98"/>
      <c r="AE15" s="98"/>
      <c r="AF15" s="789"/>
    </row>
    <row r="16" spans="1:37" ht="16.5" customHeight="1">
      <c r="A16" s="171" t="s">
        <v>13</v>
      </c>
      <c r="B16" s="98"/>
      <c r="C16" s="98"/>
      <c r="D16" s="98"/>
      <c r="E16" s="98"/>
      <c r="F16" s="98"/>
      <c r="G16" s="98"/>
      <c r="H16" s="98"/>
      <c r="I16" s="98"/>
      <c r="J16" s="98"/>
      <c r="K16" s="98"/>
      <c r="L16" s="98"/>
      <c r="M16" s="98"/>
      <c r="N16" s="163"/>
      <c r="O16" s="98"/>
      <c r="P16" s="98"/>
      <c r="Q16" s="98"/>
      <c r="R16" s="98"/>
      <c r="S16" s="98"/>
      <c r="T16" s="98"/>
      <c r="U16" s="98"/>
      <c r="V16" s="98"/>
      <c r="W16" s="98"/>
      <c r="X16" s="98"/>
      <c r="Y16" s="98"/>
      <c r="Z16" s="1809"/>
      <c r="AA16" s="98"/>
      <c r="AB16" s="1810"/>
      <c r="AC16" s="98"/>
      <c r="AD16" s="98"/>
      <c r="AE16" s="625"/>
      <c r="AF16" s="766"/>
      <c r="AG16" s="780"/>
      <c r="AI16" s="783"/>
    </row>
    <row r="17" spans="1:36" ht="16.5" customHeight="1">
      <c r="A17" s="98" t="s">
        <v>175</v>
      </c>
      <c r="B17" s="163">
        <v>31.8</v>
      </c>
      <c r="C17" s="163"/>
      <c r="D17" s="163">
        <v>36</v>
      </c>
      <c r="E17" s="163"/>
      <c r="F17" s="163">
        <v>46.600000000000009</v>
      </c>
      <c r="G17" s="163"/>
      <c r="H17" s="163">
        <v>25.799999999999983</v>
      </c>
      <c r="I17" s="163"/>
      <c r="J17" s="163">
        <v>43.7</v>
      </c>
      <c r="K17" s="163"/>
      <c r="L17" s="163">
        <v>38.800000000000011</v>
      </c>
      <c r="M17" s="163"/>
      <c r="N17" s="163">
        <v>37.599999999999923</v>
      </c>
      <c r="O17" s="163"/>
      <c r="P17" s="163">
        <v>85.3</v>
      </c>
      <c r="Q17" s="163"/>
      <c r="R17" s="163">
        <v>50.000000000000071</v>
      </c>
      <c r="S17" s="163"/>
      <c r="T17" s="163">
        <v>61</v>
      </c>
      <c r="U17" s="163"/>
      <c r="V17" s="163">
        <v>48.899999999999963</v>
      </c>
      <c r="W17" s="163"/>
      <c r="X17" s="163">
        <f>$AA17-$B17-$D17-$F17-$H17-$J17-$L17-$N17-$P17-$R17-$T17-$V17</f>
        <v>98.200000000000173</v>
      </c>
      <c r="Y17" s="163"/>
      <c r="Z17" s="1097"/>
      <c r="AA17" s="1811">
        <v>603.70000000000005</v>
      </c>
      <c r="AB17" s="1812"/>
      <c r="AC17" s="163"/>
      <c r="AD17" s="1811">
        <v>582</v>
      </c>
      <c r="AE17" s="626"/>
      <c r="AF17" s="766"/>
      <c r="AG17" s="1098">
        <f>ROUND(SUM(AA17-AD17),1)</f>
        <v>21.7</v>
      </c>
      <c r="AI17" s="1099">
        <f>ROUND(IF(AG17=0,0,AG17/ABS(AD17)),3)</f>
        <v>3.6999999999999998E-2</v>
      </c>
    </row>
    <row r="18" spans="1:36" ht="16.5" customHeight="1">
      <c r="A18" s="98"/>
      <c r="B18" s="268"/>
      <c r="C18" s="163"/>
      <c r="D18" s="268"/>
      <c r="E18" s="163"/>
      <c r="F18" s="268"/>
      <c r="G18" s="163"/>
      <c r="H18" s="268"/>
      <c r="I18" s="163"/>
      <c r="J18" s="268"/>
      <c r="K18" s="163"/>
      <c r="L18" s="268"/>
      <c r="M18" s="163"/>
      <c r="N18" s="268"/>
      <c r="O18" s="163"/>
      <c r="P18" s="268"/>
      <c r="Q18" s="163"/>
      <c r="R18" s="268"/>
      <c r="S18" s="163"/>
      <c r="T18" s="268"/>
      <c r="U18" s="163"/>
      <c r="V18" s="268"/>
      <c r="W18" s="163"/>
      <c r="X18" s="268"/>
      <c r="Y18" s="163"/>
      <c r="Z18" s="1097"/>
      <c r="AA18" s="467"/>
      <c r="AB18" s="1812"/>
      <c r="AC18" s="163"/>
      <c r="AD18" s="467"/>
      <c r="AE18" s="163"/>
      <c r="AF18" s="766"/>
      <c r="AG18" s="780"/>
    </row>
    <row r="19" spans="1:36" ht="16.5" customHeight="1">
      <c r="A19" s="171" t="s">
        <v>147</v>
      </c>
      <c r="B19" s="269">
        <f>ROUND(SUM(B17),1)</f>
        <v>31.8</v>
      </c>
      <c r="C19" s="269"/>
      <c r="D19" s="269">
        <f>ROUND(SUM(D17),1)</f>
        <v>36</v>
      </c>
      <c r="E19" s="269"/>
      <c r="F19" s="269">
        <f>ROUND(SUM(F17),1)</f>
        <v>46.6</v>
      </c>
      <c r="G19" s="269"/>
      <c r="H19" s="269">
        <f>ROUND(SUM(H17),1)</f>
        <v>25.8</v>
      </c>
      <c r="I19" s="269"/>
      <c r="J19" s="269">
        <f>ROUND(SUM(J17),1)</f>
        <v>43.7</v>
      </c>
      <c r="K19" s="269"/>
      <c r="L19" s="269">
        <f>ROUND(SUM(L17),1)</f>
        <v>38.799999999999997</v>
      </c>
      <c r="M19" s="269"/>
      <c r="N19" s="269">
        <f>ROUND(SUM(N17),1)</f>
        <v>37.6</v>
      </c>
      <c r="O19" s="269"/>
      <c r="P19" s="269">
        <f>ROUND(SUM(P17),1)</f>
        <v>85.3</v>
      </c>
      <c r="Q19" s="269"/>
      <c r="R19" s="269">
        <f t="shared" ref="R19" si="4">ROUND(SUM(R17),1)</f>
        <v>50</v>
      </c>
      <c r="S19" s="269"/>
      <c r="T19" s="269">
        <f>ROUND(SUM(T17),1)</f>
        <v>61</v>
      </c>
      <c r="U19" s="269"/>
      <c r="V19" s="269">
        <f>ROUND(SUM(V17),1)</f>
        <v>48.9</v>
      </c>
      <c r="W19" s="269"/>
      <c r="X19" s="269">
        <f>ROUND(SUM(X17),1)</f>
        <v>98.2</v>
      </c>
      <c r="Y19" s="269"/>
      <c r="Z19" s="1344"/>
      <c r="AA19" s="269">
        <f>ROUND(SUM(AA17),1)</f>
        <v>603.70000000000005</v>
      </c>
      <c r="AB19" s="1813"/>
      <c r="AC19" s="269"/>
      <c r="AD19" s="269">
        <f>ROUND(SUM(AD17),1)</f>
        <v>582</v>
      </c>
      <c r="AE19" s="163"/>
      <c r="AF19" s="766"/>
      <c r="AG19" s="1804">
        <f>ROUND(SUM(AG17),1)</f>
        <v>21.7</v>
      </c>
      <c r="AH19" s="781"/>
      <c r="AI19" s="782">
        <f>ROUND(IF(AG19=0,0,AG19/ABS(AD19)),3)</f>
        <v>3.6999999999999998E-2</v>
      </c>
    </row>
    <row r="20" spans="1:36" ht="16.5" customHeight="1">
      <c r="A20" s="98"/>
      <c r="B20" s="268"/>
      <c r="C20" s="163"/>
      <c r="D20" s="268"/>
      <c r="E20" s="163"/>
      <c r="F20" s="268"/>
      <c r="G20" s="163"/>
      <c r="H20" s="268"/>
      <c r="I20" s="163"/>
      <c r="J20" s="268"/>
      <c r="K20" s="163"/>
      <c r="L20" s="268"/>
      <c r="M20" s="163"/>
      <c r="N20" s="268"/>
      <c r="O20" s="163"/>
      <c r="P20" s="268"/>
      <c r="Q20" s="163"/>
      <c r="R20" s="268"/>
      <c r="S20" s="163"/>
      <c r="T20" s="268"/>
      <c r="U20" s="163"/>
      <c r="V20" s="268"/>
      <c r="W20" s="163"/>
      <c r="X20" s="268"/>
      <c r="Y20" s="163"/>
      <c r="Z20" s="1097"/>
      <c r="AA20" s="268"/>
      <c r="AB20" s="1812"/>
      <c r="AC20" s="163"/>
      <c r="AD20" s="268"/>
      <c r="AE20" s="163"/>
      <c r="AF20" s="766"/>
      <c r="AG20" s="780"/>
    </row>
    <row r="21" spans="1:36" ht="16.5" customHeight="1">
      <c r="A21" s="98"/>
      <c r="B21" s="163"/>
      <c r="C21" s="163"/>
      <c r="D21" s="163"/>
      <c r="E21" s="163"/>
      <c r="F21" s="163"/>
      <c r="G21" s="163"/>
      <c r="H21" s="163"/>
      <c r="I21" s="163"/>
      <c r="J21" s="163"/>
      <c r="K21" s="163"/>
      <c r="L21" s="163"/>
      <c r="M21" s="163"/>
      <c r="N21" s="163"/>
      <c r="O21" s="163"/>
      <c r="P21" s="163"/>
      <c r="Q21" s="163"/>
      <c r="R21" s="163"/>
      <c r="S21" s="163"/>
      <c r="T21" s="163"/>
      <c r="U21" s="163"/>
      <c r="V21" s="163"/>
      <c r="W21" s="163"/>
      <c r="X21" s="163"/>
      <c r="Y21" s="163"/>
      <c r="Z21" s="1097"/>
      <c r="AA21" s="163"/>
      <c r="AB21" s="1812"/>
      <c r="AC21" s="163"/>
      <c r="AD21" s="163"/>
      <c r="AE21" s="1037"/>
      <c r="AF21" s="767"/>
      <c r="AG21" s="780"/>
      <c r="AI21" s="783"/>
    </row>
    <row r="22" spans="1:36" ht="16.5" customHeight="1">
      <c r="A22" s="171" t="s">
        <v>22</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097"/>
      <c r="AA22" s="163"/>
      <c r="AB22" s="1812"/>
      <c r="AC22" s="163"/>
      <c r="AD22" s="163"/>
      <c r="AE22" s="164"/>
      <c r="AF22" s="767"/>
      <c r="AG22" s="780"/>
      <c r="AH22" s="784"/>
      <c r="AI22" s="783"/>
    </row>
    <row r="23" spans="1:36" ht="16.5" customHeight="1">
      <c r="A23" s="98" t="s">
        <v>149</v>
      </c>
      <c r="B23" s="163"/>
      <c r="C23" s="163"/>
      <c r="D23" s="163"/>
      <c r="E23" s="163"/>
      <c r="F23" s="163"/>
      <c r="G23" s="163"/>
      <c r="H23" s="163"/>
      <c r="I23" s="163"/>
      <c r="J23" s="163"/>
      <c r="K23" s="163"/>
      <c r="L23" s="163"/>
      <c r="M23" s="163"/>
      <c r="N23" s="163"/>
      <c r="O23" s="163"/>
      <c r="P23" s="163"/>
      <c r="Q23" s="163"/>
      <c r="R23" s="163"/>
      <c r="S23" s="163"/>
      <c r="T23" s="163"/>
      <c r="U23" s="163"/>
      <c r="V23" s="163"/>
      <c r="W23" s="163"/>
      <c r="X23" s="163" t="s">
        <v>14</v>
      </c>
      <c r="Y23" s="163"/>
      <c r="Z23" s="1097"/>
      <c r="AA23" s="164"/>
      <c r="AB23" s="1812"/>
      <c r="AC23" s="163"/>
      <c r="AD23" s="164"/>
      <c r="AE23" s="1037"/>
      <c r="AF23" s="767"/>
      <c r="AG23" s="780"/>
      <c r="AI23" s="783"/>
    </row>
    <row r="24" spans="1:36" ht="16.5" customHeight="1">
      <c r="A24" s="98" t="s">
        <v>215</v>
      </c>
      <c r="B24" s="163">
        <v>10.4</v>
      </c>
      <c r="C24" s="163"/>
      <c r="D24" s="163">
        <v>9.7000000000000011</v>
      </c>
      <c r="E24" s="163"/>
      <c r="F24" s="163">
        <v>10.4</v>
      </c>
      <c r="G24" s="163"/>
      <c r="H24" s="163">
        <v>9.800000000000006</v>
      </c>
      <c r="I24" s="163"/>
      <c r="J24" s="163">
        <v>15.099999999999996</v>
      </c>
      <c r="K24" s="163"/>
      <c r="L24" s="163">
        <v>10.000000000000005</v>
      </c>
      <c r="M24" s="163"/>
      <c r="N24" s="163">
        <v>13.499999999999995</v>
      </c>
      <c r="O24" s="163"/>
      <c r="P24" s="163">
        <v>10.499999999999998</v>
      </c>
      <c r="Q24" s="163"/>
      <c r="R24" s="163">
        <v>8.4999999999999947</v>
      </c>
      <c r="S24" s="163"/>
      <c r="T24" s="163">
        <v>11.19999999999998</v>
      </c>
      <c r="U24" s="163"/>
      <c r="V24" s="163">
        <v>9.9000000000000075</v>
      </c>
      <c r="W24" s="163"/>
      <c r="X24" s="163">
        <f>$AA24-$B24-$D24-$F24-$H24-$J24-$L24-$N24-$P24-$R24-$T24-$V24</f>
        <v>13.300000000000017</v>
      </c>
      <c r="Y24" s="163"/>
      <c r="Z24" s="1097"/>
      <c r="AA24" s="1037">
        <v>132.30000000000001</v>
      </c>
      <c r="AB24" s="1812"/>
      <c r="AC24" s="163"/>
      <c r="AD24" s="1037">
        <v>130.19999999999999</v>
      </c>
      <c r="AE24" s="635"/>
      <c r="AF24" s="767"/>
      <c r="AG24" s="780">
        <f>ROUND(SUM(AA24-AD24),1)</f>
        <v>2.1</v>
      </c>
      <c r="AI24" s="785">
        <f>ROUND(IF(AG24=0,0,AG24/ABS(AD24)),3)</f>
        <v>1.6E-2</v>
      </c>
    </row>
    <row r="25" spans="1:36" ht="16.5" customHeight="1">
      <c r="A25" s="98" t="s">
        <v>176</v>
      </c>
      <c r="B25" s="163">
        <v>33.799999999999997</v>
      </c>
      <c r="C25" s="163"/>
      <c r="D25" s="163">
        <v>33.5</v>
      </c>
      <c r="E25" s="163"/>
      <c r="F25" s="163">
        <v>79.600000000000009</v>
      </c>
      <c r="G25" s="163"/>
      <c r="H25" s="163">
        <v>27.200000000000003</v>
      </c>
      <c r="I25" s="163"/>
      <c r="J25" s="163">
        <v>68.2</v>
      </c>
      <c r="K25" s="163"/>
      <c r="L25" s="163">
        <v>49.799999999999983</v>
      </c>
      <c r="M25" s="163"/>
      <c r="N25" s="163">
        <v>55.2</v>
      </c>
      <c r="O25" s="163"/>
      <c r="P25" s="163">
        <v>50.899999999999991</v>
      </c>
      <c r="Q25" s="163"/>
      <c r="R25" s="163">
        <v>48.300000000000011</v>
      </c>
      <c r="S25" s="163"/>
      <c r="T25" s="163">
        <v>40.499999999999986</v>
      </c>
      <c r="U25" s="163"/>
      <c r="V25" s="163">
        <v>-2.3000000000000114</v>
      </c>
      <c r="W25" s="163"/>
      <c r="X25" s="163">
        <f t="shared" ref="X25:X26" si="5">$AA25-$B25-$D25-$F25-$H25-$J25-$L25-$N25-$P25-$R25-$T25-$V25</f>
        <v>17.399999999999977</v>
      </c>
      <c r="Y25" s="163"/>
      <c r="Z25" s="1097"/>
      <c r="AA25" s="1037">
        <v>502.09999999999997</v>
      </c>
      <c r="AB25" s="1812"/>
      <c r="AC25" s="163"/>
      <c r="AD25" s="1037">
        <v>403.9</v>
      </c>
      <c r="AE25" s="163"/>
      <c r="AF25" s="766"/>
      <c r="AG25" s="780">
        <f>ROUND(SUM(AA25-AD25),1)</f>
        <v>98.2</v>
      </c>
      <c r="AI25" s="785">
        <f>ROUND(IF(AG25=0,0,AG25/ABS(AD25)),3)</f>
        <v>0.24299999999999999</v>
      </c>
      <c r="AJ25" s="1450"/>
    </row>
    <row r="26" spans="1:36" ht="16.5" customHeight="1">
      <c r="A26" s="98" t="s">
        <v>152</v>
      </c>
      <c r="B26" s="163">
        <v>3.3</v>
      </c>
      <c r="C26" s="163"/>
      <c r="D26" s="163">
        <v>5.0000000000000009</v>
      </c>
      <c r="E26" s="163"/>
      <c r="F26" s="163">
        <v>6.8999999999999977</v>
      </c>
      <c r="G26" s="163"/>
      <c r="H26" s="163">
        <v>4.6999999999999984</v>
      </c>
      <c r="I26" s="163"/>
      <c r="J26" s="163">
        <v>4.700000000000002</v>
      </c>
      <c r="K26" s="163"/>
      <c r="L26" s="163">
        <v>4.2</v>
      </c>
      <c r="M26" s="163"/>
      <c r="N26" s="163">
        <v>6.6000000000000005</v>
      </c>
      <c r="O26" s="163"/>
      <c r="P26" s="163">
        <v>7.3999999999999995</v>
      </c>
      <c r="Q26" s="163"/>
      <c r="R26" s="163">
        <v>3.6000000000000005</v>
      </c>
      <c r="S26" s="163"/>
      <c r="T26" s="163">
        <v>5.5000000000000044</v>
      </c>
      <c r="U26" s="163"/>
      <c r="V26" s="163">
        <v>4.8000000000000034</v>
      </c>
      <c r="W26" s="163"/>
      <c r="X26" s="163">
        <f t="shared" si="5"/>
        <v>5.1999999999999931</v>
      </c>
      <c r="Y26" s="163"/>
      <c r="Z26" s="1097"/>
      <c r="AA26" s="1037">
        <v>61.9</v>
      </c>
      <c r="AB26" s="1812"/>
      <c r="AC26" s="163"/>
      <c r="AD26" s="1037">
        <v>62.1</v>
      </c>
      <c r="AE26" s="163"/>
      <c r="AF26" s="766"/>
      <c r="AG26" s="1098">
        <f>ROUND(SUM(AA26-AD26),1)</f>
        <v>-0.2</v>
      </c>
      <c r="AI26" s="1937">
        <f>ROUND(IF(AD26=0,1,AG26/ABS(AD26)),3)</f>
        <v>-3.0000000000000001E-3</v>
      </c>
      <c r="AJ26" s="1450"/>
    </row>
    <row r="27" spans="1:36" ht="16.5" customHeight="1">
      <c r="A27" s="98"/>
      <c r="B27" s="268"/>
      <c r="C27" s="163"/>
      <c r="D27" s="268"/>
      <c r="E27" s="163"/>
      <c r="F27" s="268"/>
      <c r="G27" s="163"/>
      <c r="H27" s="268"/>
      <c r="I27" s="163"/>
      <c r="J27" s="268"/>
      <c r="K27" s="163"/>
      <c r="L27" s="268"/>
      <c r="M27" s="163"/>
      <c r="N27" s="268"/>
      <c r="O27" s="163"/>
      <c r="P27" s="268"/>
      <c r="Q27" s="163"/>
      <c r="R27" s="268"/>
      <c r="S27" s="163"/>
      <c r="T27" s="268"/>
      <c r="U27" s="163"/>
      <c r="V27" s="268"/>
      <c r="W27" s="163"/>
      <c r="X27" s="268"/>
      <c r="Y27" s="163"/>
      <c r="Z27" s="1097"/>
      <c r="AA27" s="268"/>
      <c r="AB27" s="1812"/>
      <c r="AC27" s="163"/>
      <c r="AD27" s="268"/>
      <c r="AE27" s="626"/>
      <c r="AF27" s="767"/>
      <c r="AG27" s="780"/>
      <c r="AH27" s="775"/>
      <c r="AI27" s="783"/>
    </row>
    <row r="28" spans="1:36" ht="16.5" customHeight="1">
      <c r="A28" s="171" t="s">
        <v>153</v>
      </c>
      <c r="B28" s="269">
        <f>ROUND(SUM(B24:B27),1)</f>
        <v>47.5</v>
      </c>
      <c r="C28" s="269"/>
      <c r="D28" s="269">
        <f>ROUND(SUM(D24:D27),1)</f>
        <v>48.2</v>
      </c>
      <c r="E28" s="269"/>
      <c r="F28" s="269">
        <f>ROUND(SUM(F24:F27),1)</f>
        <v>96.9</v>
      </c>
      <c r="G28" s="269"/>
      <c r="H28" s="269">
        <f>ROUND(SUM(H24:H27),1)</f>
        <v>41.7</v>
      </c>
      <c r="I28" s="269"/>
      <c r="J28" s="269">
        <f>ROUND(SUM(J24:J27),1)</f>
        <v>88</v>
      </c>
      <c r="K28" s="269"/>
      <c r="L28" s="269">
        <f>ROUND(SUM(L24:L27),1)</f>
        <v>64</v>
      </c>
      <c r="M28" s="269"/>
      <c r="N28" s="269">
        <f>ROUND(SUM(N24:N27),1)</f>
        <v>75.3</v>
      </c>
      <c r="O28" s="269"/>
      <c r="P28" s="269">
        <f>ROUND(SUM(P24:P27),1)</f>
        <v>68.8</v>
      </c>
      <c r="Q28" s="269"/>
      <c r="R28" s="269">
        <f t="shared" ref="R28" si="6">ROUND(SUM(R24:R27),1)</f>
        <v>60.4</v>
      </c>
      <c r="S28" s="269"/>
      <c r="T28" s="269">
        <f>ROUND(SUM(T24:T27),1)</f>
        <v>57.2</v>
      </c>
      <c r="U28" s="269"/>
      <c r="V28" s="269">
        <f>ROUND(SUM(V24:V27),1)</f>
        <v>12.4</v>
      </c>
      <c r="W28" s="269">
        <f>SUM(W24:W27)</f>
        <v>0</v>
      </c>
      <c r="X28" s="269">
        <f>ROUND(SUM(X24:X26),1)</f>
        <v>35.9</v>
      </c>
      <c r="Y28" s="269"/>
      <c r="Z28" s="1344"/>
      <c r="AA28" s="269">
        <f>ROUND(SUM(AA23:AA26),1)</f>
        <v>696.3</v>
      </c>
      <c r="AB28" s="1813"/>
      <c r="AC28" s="269"/>
      <c r="AD28" s="269">
        <f>ROUND(SUM(AD23:AD26),1)</f>
        <v>596.20000000000005</v>
      </c>
      <c r="AE28" s="163"/>
      <c r="AF28" s="768"/>
      <c r="AG28" s="1804">
        <f>ROUND(SUM(AG24:AG26),1)</f>
        <v>100.1</v>
      </c>
      <c r="AH28" s="781"/>
      <c r="AI28" s="782">
        <f>ROUND(IF(AG28=0,0,AG28/ABS(AD28)),3)</f>
        <v>0.16800000000000001</v>
      </c>
    </row>
    <row r="29" spans="1:36" ht="16.5" customHeight="1">
      <c r="A29" s="98"/>
      <c r="B29" s="268"/>
      <c r="C29" s="163"/>
      <c r="D29" s="268"/>
      <c r="E29" s="163"/>
      <c r="F29" s="268"/>
      <c r="G29" s="163"/>
      <c r="H29" s="268"/>
      <c r="I29" s="163"/>
      <c r="J29" s="268"/>
      <c r="K29" s="163"/>
      <c r="L29" s="268"/>
      <c r="M29" s="163"/>
      <c r="N29" s="268"/>
      <c r="O29" s="163"/>
      <c r="P29" s="268"/>
      <c r="Q29" s="163"/>
      <c r="R29" s="268"/>
      <c r="S29" s="163"/>
      <c r="T29" s="268"/>
      <c r="U29" s="163"/>
      <c r="V29" s="268"/>
      <c r="W29" s="163"/>
      <c r="X29" s="268"/>
      <c r="Y29" s="163"/>
      <c r="Z29" s="1097"/>
      <c r="AA29" s="268"/>
      <c r="AB29" s="1812"/>
      <c r="AC29" s="163"/>
      <c r="AD29" s="268"/>
      <c r="AE29" s="163"/>
      <c r="AF29" s="768"/>
      <c r="AG29" s="780"/>
    </row>
    <row r="30" spans="1:36" ht="16.5" customHeight="1">
      <c r="A30" s="98"/>
      <c r="B30" s="163"/>
      <c r="C30" s="163"/>
      <c r="D30" s="163"/>
      <c r="E30" s="163"/>
      <c r="F30" s="163"/>
      <c r="G30" s="163"/>
      <c r="H30" s="163"/>
      <c r="I30" s="163"/>
      <c r="J30" s="163"/>
      <c r="K30" s="163"/>
      <c r="L30" s="163"/>
      <c r="M30" s="163"/>
      <c r="N30" s="163"/>
      <c r="O30" s="163"/>
      <c r="P30" s="163"/>
      <c r="Q30" s="163"/>
      <c r="R30" s="163"/>
      <c r="S30" s="163"/>
      <c r="T30" s="163"/>
      <c r="U30" s="163"/>
      <c r="V30" s="163"/>
      <c r="W30" s="163"/>
      <c r="X30" s="163"/>
      <c r="Y30" s="163"/>
      <c r="Z30" s="1097"/>
      <c r="AA30" s="163"/>
      <c r="AB30" s="1812"/>
      <c r="AC30" s="163"/>
      <c r="AD30" s="163"/>
      <c r="AE30" s="164"/>
      <c r="AF30" s="768"/>
      <c r="AG30" s="780"/>
      <c r="AH30" s="784"/>
      <c r="AI30" s="783"/>
    </row>
    <row r="31" spans="1:36" ht="16.5" customHeight="1">
      <c r="A31" s="171" t="s">
        <v>154</v>
      </c>
      <c r="B31" s="163"/>
      <c r="C31" s="163"/>
      <c r="D31" s="163"/>
      <c r="E31" s="163"/>
      <c r="F31" s="163"/>
      <c r="G31" s="163"/>
      <c r="H31" s="163"/>
      <c r="I31" s="163"/>
      <c r="J31" s="163"/>
      <c r="K31" s="163"/>
      <c r="L31" s="163"/>
      <c r="M31" s="163"/>
      <c r="N31" s="163"/>
      <c r="O31" s="163"/>
      <c r="P31" s="163"/>
      <c r="Q31" s="163"/>
      <c r="R31" s="163"/>
      <c r="S31" s="163"/>
      <c r="T31" s="163"/>
      <c r="U31" s="163"/>
      <c r="V31" s="163"/>
      <c r="W31" s="163"/>
      <c r="X31" s="163"/>
      <c r="Y31" s="163"/>
      <c r="Z31" s="1097"/>
      <c r="AA31" s="163"/>
      <c r="AB31" s="1812"/>
      <c r="AC31" s="163"/>
      <c r="AD31" s="163"/>
      <c r="AE31" s="635"/>
      <c r="AF31" s="769"/>
      <c r="AG31" s="780"/>
      <c r="AH31" s="784"/>
      <c r="AI31" s="783"/>
    </row>
    <row r="32" spans="1:36" ht="16.5" customHeight="1">
      <c r="A32" s="171" t="s">
        <v>44</v>
      </c>
      <c r="B32" s="269">
        <f>ROUND(B19-B28,1)</f>
        <v>-15.7</v>
      </c>
      <c r="C32" s="269"/>
      <c r="D32" s="269">
        <f>ROUND(D19-D28,1)</f>
        <v>-12.2</v>
      </c>
      <c r="E32" s="269"/>
      <c r="F32" s="269">
        <f>ROUND(F19-F28,1)</f>
        <v>-50.3</v>
      </c>
      <c r="G32" s="269"/>
      <c r="H32" s="269">
        <f>ROUND(H19-H28,1)</f>
        <v>-15.9</v>
      </c>
      <c r="I32" s="269"/>
      <c r="J32" s="269">
        <f>ROUND(J19-J28,1)</f>
        <v>-44.3</v>
      </c>
      <c r="K32" s="269"/>
      <c r="L32" s="269">
        <f>ROUND(L19-L28,1)</f>
        <v>-25.2</v>
      </c>
      <c r="M32" s="269"/>
      <c r="N32" s="269">
        <f>ROUND(N19-N28,1)</f>
        <v>-37.700000000000003</v>
      </c>
      <c r="O32" s="269"/>
      <c r="P32" s="269">
        <f>ROUND(P19-P28,1)</f>
        <v>16.5</v>
      </c>
      <c r="Q32" s="269"/>
      <c r="R32" s="269">
        <f t="shared" ref="R32" si="7">ROUND(R19-R28,1)</f>
        <v>-10.4</v>
      </c>
      <c r="S32" s="269"/>
      <c r="T32" s="269">
        <f>ROUND(T19-T28,1)</f>
        <v>3.8</v>
      </c>
      <c r="U32" s="269"/>
      <c r="V32" s="269">
        <f>ROUND(V19-V28,1)</f>
        <v>36.5</v>
      </c>
      <c r="W32" s="269"/>
      <c r="X32" s="269">
        <f>ROUND(X19-X28,1)</f>
        <v>62.3</v>
      </c>
      <c r="Y32" s="269"/>
      <c r="Z32" s="1344"/>
      <c r="AA32" s="269">
        <f>ROUND(AA19-AA28,1)</f>
        <v>-92.6</v>
      </c>
      <c r="AB32" s="1813"/>
      <c r="AC32" s="269"/>
      <c r="AD32" s="269">
        <f>ROUND(AD19-AD28,1)</f>
        <v>-14.2</v>
      </c>
      <c r="AE32" s="163"/>
      <c r="AF32" s="766"/>
      <c r="AG32" s="1804">
        <f>ROUND(SUM(AG19-AG28),1)</f>
        <v>-78.400000000000006</v>
      </c>
      <c r="AH32" s="781"/>
      <c r="AI32" s="1305">
        <f>ROUND(IF(AG32=0,0,AG32/ABS(AD32)),3)</f>
        <v>-5.5209999999999999</v>
      </c>
    </row>
    <row r="33" spans="1:35" ht="16.5" customHeight="1">
      <c r="A33" s="98"/>
      <c r="B33" s="268"/>
      <c r="C33" s="163"/>
      <c r="D33" s="268"/>
      <c r="E33" s="163"/>
      <c r="F33" s="268"/>
      <c r="G33" s="163"/>
      <c r="H33" s="268"/>
      <c r="I33" s="163"/>
      <c r="J33" s="268"/>
      <c r="K33" s="163"/>
      <c r="L33" s="268"/>
      <c r="M33" s="163"/>
      <c r="N33" s="268"/>
      <c r="O33" s="163"/>
      <c r="P33" s="268"/>
      <c r="Q33" s="163"/>
      <c r="R33" s="268"/>
      <c r="S33" s="163"/>
      <c r="T33" s="268"/>
      <c r="U33" s="163"/>
      <c r="V33" s="268"/>
      <c r="W33" s="163"/>
      <c r="X33" s="268"/>
      <c r="Y33" s="163"/>
      <c r="Z33" s="1097"/>
      <c r="AA33" s="268"/>
      <c r="AB33" s="1812"/>
      <c r="AC33" s="163"/>
      <c r="AD33" s="268"/>
      <c r="AE33" s="163"/>
      <c r="AF33" s="766"/>
      <c r="AG33" s="780"/>
    </row>
    <row r="34" spans="1:35" ht="16.5" customHeight="1">
      <c r="A34" s="98"/>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097"/>
      <c r="AA34" s="163"/>
      <c r="AB34" s="1812"/>
      <c r="AC34" s="163"/>
      <c r="AD34" s="163"/>
      <c r="AE34" s="626"/>
      <c r="AF34" s="771"/>
      <c r="AG34" s="780"/>
      <c r="AI34" s="783"/>
    </row>
    <row r="35" spans="1:35" ht="16.5" customHeight="1">
      <c r="A35" s="171" t="s">
        <v>45</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097"/>
      <c r="AA35" s="163"/>
      <c r="AB35" s="1812"/>
      <c r="AC35" s="163"/>
      <c r="AD35" s="163"/>
      <c r="AE35" s="267"/>
      <c r="AF35" s="772"/>
      <c r="AG35" s="1103"/>
      <c r="AH35" s="786"/>
      <c r="AI35" s="783"/>
    </row>
    <row r="36" spans="1:35" ht="16.5" customHeight="1">
      <c r="A36" s="98" t="s">
        <v>178</v>
      </c>
      <c r="B36" s="163">
        <v>2.5</v>
      </c>
      <c r="C36" s="163"/>
      <c r="D36" s="163">
        <v>3</v>
      </c>
      <c r="E36" s="163"/>
      <c r="F36" s="163">
        <v>38.4</v>
      </c>
      <c r="G36" s="163"/>
      <c r="H36" s="163">
        <v>2.1000000000000014</v>
      </c>
      <c r="I36" s="163"/>
      <c r="J36" s="163">
        <v>8.5</v>
      </c>
      <c r="K36" s="163"/>
      <c r="L36" s="163">
        <v>4.5</v>
      </c>
      <c r="M36" s="163"/>
      <c r="N36" s="163">
        <v>2.2000000000000028</v>
      </c>
      <c r="O36" s="163"/>
      <c r="P36" s="163">
        <v>10.200000000000003</v>
      </c>
      <c r="Q36" s="163"/>
      <c r="R36" s="163">
        <v>2.5999999999999943</v>
      </c>
      <c r="S36" s="163"/>
      <c r="T36" s="163">
        <v>2.5999999999999943</v>
      </c>
      <c r="U36" s="163"/>
      <c r="V36" s="163">
        <v>10.200000000000003</v>
      </c>
      <c r="W36" s="163"/>
      <c r="X36" s="163">
        <f>$AA36-$B36-$D36-$F36-$H36-$J36-$L36-$N36-$P36-$R36-$T36-$V36</f>
        <v>106.50000000000003</v>
      </c>
      <c r="Y36" s="163"/>
      <c r="Z36" s="1097"/>
      <c r="AA36" s="1037">
        <v>193.3</v>
      </c>
      <c r="AB36" s="1812"/>
      <c r="AC36" s="163"/>
      <c r="AD36" s="1037">
        <v>246.2</v>
      </c>
      <c r="AE36" s="634"/>
      <c r="AF36" s="770"/>
      <c r="AG36" s="780">
        <f>ROUND(SUM(AA36-AD36),1)</f>
        <v>-52.9</v>
      </c>
      <c r="AH36" s="784"/>
      <c r="AI36" s="785">
        <f>ROUND(IF(AG36=0,0,AG36/ABS(AD36)),3)</f>
        <v>-0.215</v>
      </c>
    </row>
    <row r="37" spans="1:35" ht="16.5" customHeight="1">
      <c r="A37" s="98" t="s">
        <v>179</v>
      </c>
      <c r="B37" s="163">
        <v>0</v>
      </c>
      <c r="C37" s="163"/>
      <c r="D37" s="163">
        <v>-0.1</v>
      </c>
      <c r="E37" s="163"/>
      <c r="F37" s="163">
        <v>-3.9</v>
      </c>
      <c r="G37" s="163"/>
      <c r="H37" s="163">
        <v>-0.20000000000000026</v>
      </c>
      <c r="I37" s="163"/>
      <c r="J37" s="163">
        <v>0</v>
      </c>
      <c r="K37" s="163"/>
      <c r="L37" s="163">
        <v>0</v>
      </c>
      <c r="M37" s="163"/>
      <c r="N37" s="163">
        <v>-0.1</v>
      </c>
      <c r="O37" s="163"/>
      <c r="P37" s="163">
        <v>0</v>
      </c>
      <c r="Q37" s="163"/>
      <c r="R37" s="163">
        <v>-1.2999999999999998</v>
      </c>
      <c r="S37" s="163"/>
      <c r="T37" s="163">
        <v>0</v>
      </c>
      <c r="U37" s="163"/>
      <c r="V37" s="163">
        <v>0</v>
      </c>
      <c r="W37" s="163"/>
      <c r="X37" s="163">
        <f>$AA37-$B37-$D37-$F37-$H37-$J37-$L37-$N37-$P37-$R37-$T37-$V37</f>
        <v>0</v>
      </c>
      <c r="Y37" s="163"/>
      <c r="Z37" s="1097"/>
      <c r="AA37" s="1037">
        <v>-5.6</v>
      </c>
      <c r="AB37" s="1812"/>
      <c r="AC37" s="163"/>
      <c r="AD37" s="1037">
        <v>-5.2</v>
      </c>
      <c r="AE37" s="39"/>
      <c r="AF37" s="770"/>
      <c r="AG37" s="1727">
        <f>-ROUND(SUM(AA37-AD37),1)</f>
        <v>0.4</v>
      </c>
      <c r="AH37" s="784"/>
      <c r="AI37" s="2124">
        <f>ROUND(IF(AG37=0,0,AG37/ABS(AD37)),3)</f>
        <v>7.6999999999999999E-2</v>
      </c>
    </row>
    <row r="38" spans="1:35" ht="16.5" customHeight="1">
      <c r="A38" s="98"/>
      <c r="B38" s="268"/>
      <c r="C38" s="163"/>
      <c r="D38" s="268"/>
      <c r="E38" s="163"/>
      <c r="F38" s="268"/>
      <c r="G38" s="163"/>
      <c r="H38" s="268"/>
      <c r="I38" s="163"/>
      <c r="J38" s="268"/>
      <c r="K38" s="163"/>
      <c r="L38" s="268"/>
      <c r="M38" s="163"/>
      <c r="N38" s="268"/>
      <c r="O38" s="163"/>
      <c r="P38" s="268"/>
      <c r="Q38" s="163"/>
      <c r="R38" s="268"/>
      <c r="S38" s="163"/>
      <c r="T38" s="268"/>
      <c r="U38" s="163"/>
      <c r="V38" s="268"/>
      <c r="W38" s="163"/>
      <c r="X38" s="268"/>
      <c r="Y38" s="163"/>
      <c r="Z38" s="1097"/>
      <c r="AA38" s="1814"/>
      <c r="AB38" s="1812"/>
      <c r="AC38" s="163"/>
      <c r="AD38" s="1814"/>
      <c r="AE38" s="39"/>
      <c r="AF38" s="770"/>
    </row>
    <row r="39" spans="1:35" ht="16.5" customHeight="1">
      <c r="A39" s="171" t="s">
        <v>204</v>
      </c>
      <c r="B39" s="269">
        <f>ROUND(SUM(B36:B38),1)</f>
        <v>2.5</v>
      </c>
      <c r="C39" s="269"/>
      <c r="D39" s="269">
        <f>ROUND(SUM(D36:D38),1)</f>
        <v>2.9</v>
      </c>
      <c r="E39" s="269"/>
      <c r="F39" s="269">
        <f>ROUND(SUM(F36:F38),1)</f>
        <v>34.5</v>
      </c>
      <c r="G39" s="269"/>
      <c r="H39" s="269">
        <f>ROUND(SUM(H36:H38),1)</f>
        <v>1.9</v>
      </c>
      <c r="I39" s="269"/>
      <c r="J39" s="269">
        <f>ROUND(SUM(J36:J38),1)</f>
        <v>8.5</v>
      </c>
      <c r="K39" s="269"/>
      <c r="L39" s="269">
        <f>ROUND(SUM(L36:L38),1)</f>
        <v>4.5</v>
      </c>
      <c r="M39" s="269"/>
      <c r="N39" s="269">
        <f>ROUND(SUM(N36:N38),1)</f>
        <v>2.1</v>
      </c>
      <c r="O39" s="269"/>
      <c r="P39" s="269">
        <f>ROUND(SUM(P36:P38),1)</f>
        <v>10.199999999999999</v>
      </c>
      <c r="Q39" s="269"/>
      <c r="R39" s="269">
        <f t="shared" ref="R39" si="8">ROUND(SUM(R36:R38),1)</f>
        <v>1.3</v>
      </c>
      <c r="S39" s="269"/>
      <c r="T39" s="269">
        <f>ROUND(SUM(T36:T38),1)</f>
        <v>2.6</v>
      </c>
      <c r="U39" s="269"/>
      <c r="V39" s="269">
        <f>ROUND(SUM(V36:V38),1)</f>
        <v>10.199999999999999</v>
      </c>
      <c r="W39" s="269"/>
      <c r="X39" s="269">
        <f>ROUND(SUM(X36:X38),1)</f>
        <v>106.5</v>
      </c>
      <c r="Y39" s="269"/>
      <c r="Z39" s="1344"/>
      <c r="AA39" s="269">
        <f>ROUND(SUM(AA36:AA38),1)</f>
        <v>187.7</v>
      </c>
      <c r="AB39" s="1813"/>
      <c r="AC39" s="269"/>
      <c r="AD39" s="269">
        <f>ROUND(SUM(AD36:AD38),1)</f>
        <v>241</v>
      </c>
      <c r="AF39" s="767"/>
      <c r="AG39" s="1804">
        <f>AA39-AD39</f>
        <v>-53.300000000000011</v>
      </c>
      <c r="AH39" s="787"/>
      <c r="AI39" s="782">
        <f>ROUND(IF(AG39=0,0,AG39/ABS(AD39)),3)</f>
        <v>-0.221</v>
      </c>
    </row>
    <row r="40" spans="1:35" ht="16.5" customHeight="1">
      <c r="A40" s="98"/>
      <c r="B40" s="268"/>
      <c r="C40" s="163"/>
      <c r="D40" s="268"/>
      <c r="E40" s="163"/>
      <c r="F40" s="268"/>
      <c r="G40" s="163"/>
      <c r="H40" s="268"/>
      <c r="I40" s="163"/>
      <c r="J40" s="268"/>
      <c r="K40" s="163"/>
      <c r="L40" s="268"/>
      <c r="M40" s="163"/>
      <c r="N40" s="268"/>
      <c r="O40" s="163"/>
      <c r="P40" s="268"/>
      <c r="Q40" s="163"/>
      <c r="R40" s="268"/>
      <c r="S40" s="163"/>
      <c r="T40" s="268"/>
      <c r="U40" s="163"/>
      <c r="V40" s="268"/>
      <c r="W40" s="163"/>
      <c r="X40" s="268"/>
      <c r="Y40" s="163"/>
      <c r="Z40" s="1097"/>
      <c r="AA40" s="268"/>
      <c r="AB40" s="1812"/>
      <c r="AC40" s="163"/>
      <c r="AD40" s="268"/>
      <c r="AE40" s="39"/>
      <c r="AF40" s="770"/>
    </row>
    <row r="41" spans="1:35" ht="16.5" customHeight="1">
      <c r="A41" s="98"/>
      <c r="B41" s="163"/>
      <c r="C41" s="163"/>
      <c r="D41" s="163"/>
      <c r="E41" s="163"/>
      <c r="F41" s="163"/>
      <c r="G41" s="163"/>
      <c r="H41" s="163"/>
      <c r="I41" s="163"/>
      <c r="J41" s="163"/>
      <c r="K41" s="163"/>
      <c r="L41" s="163"/>
      <c r="M41" s="163"/>
      <c r="N41" s="163"/>
      <c r="O41" s="163"/>
      <c r="P41" s="163"/>
      <c r="Q41" s="163"/>
      <c r="R41" s="163"/>
      <c r="S41" s="163"/>
      <c r="T41" s="163"/>
      <c r="U41" s="163"/>
      <c r="V41" s="163"/>
      <c r="W41" s="163"/>
      <c r="X41" s="163"/>
      <c r="Y41" s="163"/>
      <c r="Z41" s="1097"/>
      <c r="AA41" s="163"/>
      <c r="AB41" s="1812"/>
      <c r="AC41" s="163"/>
      <c r="AD41" s="163"/>
      <c r="AE41" s="39"/>
      <c r="AF41" s="770"/>
    </row>
    <row r="42" spans="1:35" ht="16.5" customHeight="1">
      <c r="A42" s="171" t="s">
        <v>162</v>
      </c>
      <c r="B42" s="16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097"/>
      <c r="AA42" s="163"/>
      <c r="AB42" s="1812"/>
      <c r="AC42" s="163"/>
      <c r="AD42" s="163"/>
      <c r="AE42" s="39"/>
      <c r="AF42" s="770"/>
    </row>
    <row r="43" spans="1:35" ht="16.5" customHeight="1">
      <c r="A43" s="171" t="s">
        <v>222</v>
      </c>
      <c r="B43" s="163"/>
      <c r="C43" s="163"/>
      <c r="D43" s="163"/>
      <c r="E43" s="163"/>
      <c r="F43" s="163"/>
      <c r="G43" s="163"/>
      <c r="H43" s="163"/>
      <c r="I43" s="163"/>
      <c r="J43" s="163"/>
      <c r="K43" s="163"/>
      <c r="L43" s="163"/>
      <c r="M43" s="163"/>
      <c r="N43" s="163"/>
      <c r="O43" s="163"/>
      <c r="P43" s="163"/>
      <c r="Q43" s="163"/>
      <c r="R43" s="163"/>
      <c r="S43" s="163"/>
      <c r="T43" s="163"/>
      <c r="U43" s="163"/>
      <c r="V43" s="163"/>
      <c r="W43" s="163"/>
      <c r="X43" s="163"/>
      <c r="Y43" s="163"/>
      <c r="Z43" s="1097"/>
      <c r="AA43" s="163"/>
      <c r="AB43" s="1812"/>
      <c r="AC43" s="163"/>
      <c r="AD43" s="163"/>
      <c r="AE43" s="21"/>
      <c r="AF43" s="767"/>
    </row>
    <row r="44" spans="1:35" s="144" customFormat="1" ht="16.5" customHeight="1">
      <c r="A44" s="171" t="s">
        <v>164</v>
      </c>
      <c r="B44" s="269">
        <f>ROUND(SUM(B32,B39),1)</f>
        <v>-13.2</v>
      </c>
      <c r="C44" s="269"/>
      <c r="D44" s="269">
        <f>ROUND(SUM(D32,D39),1)</f>
        <v>-9.3000000000000007</v>
      </c>
      <c r="E44" s="269"/>
      <c r="F44" s="269">
        <f>ROUND(SUM(F32,F39),1)</f>
        <v>-15.8</v>
      </c>
      <c r="G44" s="269"/>
      <c r="H44" s="269">
        <f>ROUND(SUM(H32,H39),1)</f>
        <v>-14</v>
      </c>
      <c r="I44" s="269"/>
      <c r="J44" s="269">
        <f>ROUND(SUM(J32,J39),1)</f>
        <v>-35.799999999999997</v>
      </c>
      <c r="K44" s="269"/>
      <c r="L44" s="269">
        <f>ROUND(SUM(L32,L39),1)</f>
        <v>-20.7</v>
      </c>
      <c r="M44" s="269"/>
      <c r="N44" s="269">
        <f>ROUND(SUM(N32,N39),1)</f>
        <v>-35.6</v>
      </c>
      <c r="O44" s="269"/>
      <c r="P44" s="269">
        <f>ROUND(SUM(P32,P39),1)</f>
        <v>26.7</v>
      </c>
      <c r="Q44" s="269"/>
      <c r="R44" s="269">
        <f>ROUND(SUM(R32,R39),1)</f>
        <v>-9.1</v>
      </c>
      <c r="S44" s="269"/>
      <c r="T44" s="269">
        <f>ROUND(SUM(T32,T39),1)</f>
        <v>6.4</v>
      </c>
      <c r="U44" s="269"/>
      <c r="V44" s="269">
        <f>ROUND(SUM(V32,V39),1)</f>
        <v>46.7</v>
      </c>
      <c r="W44" s="269"/>
      <c r="X44" s="269">
        <f>ROUND(SUM(X32,X39),1)</f>
        <v>168.8</v>
      </c>
      <c r="Y44" s="269"/>
      <c r="Z44" s="1344"/>
      <c r="AA44" s="270">
        <f>ROUND(AA32+AA39,1)</f>
        <v>95.1</v>
      </c>
      <c r="AB44" s="1813"/>
      <c r="AC44" s="269"/>
      <c r="AD44" s="270">
        <f>ROUND(AD32+AD39,1)</f>
        <v>226.8</v>
      </c>
      <c r="AE44" s="275"/>
      <c r="AF44" s="767"/>
      <c r="AG44" s="1804">
        <f>ROUND(SUM(AG32+AG39),1)</f>
        <v>-131.69999999999999</v>
      </c>
      <c r="AH44" s="765"/>
      <c r="AI44" s="1305">
        <f>ROUND(IF(AG44=0,0,AG44/ABS(AD44)),3)</f>
        <v>-0.58099999999999996</v>
      </c>
    </row>
    <row r="45" spans="1:35" ht="16.5" customHeight="1">
      <c r="A45" s="98"/>
      <c r="B45" s="271"/>
      <c r="C45" s="98"/>
      <c r="D45" s="271"/>
      <c r="E45" s="98"/>
      <c r="F45" s="271"/>
      <c r="G45" s="98"/>
      <c r="H45" s="271"/>
      <c r="I45" s="98"/>
      <c r="J45" s="271"/>
      <c r="K45" s="98"/>
      <c r="L45" s="271"/>
      <c r="M45" s="98"/>
      <c r="N45" s="271"/>
      <c r="O45" s="98"/>
      <c r="P45" s="271"/>
      <c r="Q45" s="98"/>
      <c r="R45" s="271"/>
      <c r="S45" s="98"/>
      <c r="T45" s="271"/>
      <c r="U45" s="98"/>
      <c r="V45" s="271"/>
      <c r="W45" s="98"/>
      <c r="X45" s="271"/>
      <c r="Y45" s="98"/>
      <c r="Z45" s="1809"/>
      <c r="AA45" s="271"/>
      <c r="AB45" s="1810"/>
      <c r="AC45" s="98"/>
      <c r="AD45" s="271"/>
      <c r="AF45" s="767"/>
    </row>
    <row r="46" spans="1:35" ht="16.5" customHeight="1" thickBot="1">
      <c r="A46" s="128" t="s">
        <v>139</v>
      </c>
      <c r="B46" s="267">
        <f>ROUND(SUM(B14,B44),1)</f>
        <v>-149.9</v>
      </c>
      <c r="C46" s="267"/>
      <c r="D46" s="267">
        <f>ROUND(SUM(D14,D44),1)</f>
        <v>-159.19999999999999</v>
      </c>
      <c r="E46" s="267"/>
      <c r="F46" s="267">
        <f>ROUND(SUM(F14,F44),1)</f>
        <v>-175</v>
      </c>
      <c r="G46" s="267"/>
      <c r="H46" s="267">
        <f>ROUND(SUM(H14,H44),1)</f>
        <v>-189</v>
      </c>
      <c r="I46" s="267"/>
      <c r="J46" s="267">
        <f>ROUND(SUM(J14,J44),1)</f>
        <v>-224.8</v>
      </c>
      <c r="K46" s="267"/>
      <c r="L46" s="267">
        <f>ROUND(SUM(L14,L44),1)</f>
        <v>-245.5</v>
      </c>
      <c r="M46" s="267"/>
      <c r="N46" s="267">
        <f>ROUND(SUM(N14,N44),1)</f>
        <v>-281.10000000000002</v>
      </c>
      <c r="O46" s="267"/>
      <c r="P46" s="267">
        <f>ROUND(SUM(P14,P44),1)</f>
        <v>-254.4</v>
      </c>
      <c r="Q46" s="267"/>
      <c r="R46" s="272">
        <f>ROUND(SUM(R14,R44),1)</f>
        <v>-263.5</v>
      </c>
      <c r="S46" s="267"/>
      <c r="T46" s="267">
        <f>ROUND(SUM(T14,T44),1)</f>
        <v>-257.10000000000002</v>
      </c>
      <c r="U46" s="267"/>
      <c r="V46" s="267">
        <f>ROUND(SUM(V14,V44),1)</f>
        <v>-210.4</v>
      </c>
      <c r="W46" s="267"/>
      <c r="X46" s="267">
        <f>ROUND(SUM(X14,X44),1)</f>
        <v>-41.6</v>
      </c>
      <c r="Y46" s="267"/>
      <c r="Z46" s="1807"/>
      <c r="AA46" s="267">
        <f>ROUND(SUM(AA14,AA44),1)</f>
        <v>-41.6</v>
      </c>
      <c r="AB46" s="1808"/>
      <c r="AC46" s="267"/>
      <c r="AD46" s="267">
        <f>ROUND(SUM(AD14,AD44),1)</f>
        <v>-136.69999999999999</v>
      </c>
      <c r="AF46" s="767"/>
      <c r="AG46" s="1806">
        <f>ROUND(SUM(AA46-AD46),1)</f>
        <v>95.1</v>
      </c>
      <c r="AH46" s="786"/>
      <c r="AI46" s="788">
        <f>ROUND(IF(AG46=0,0,AG46/ABS(AD46)),3)</f>
        <v>0.69599999999999995</v>
      </c>
    </row>
    <row r="47" spans="1:35" ht="16.5" customHeight="1" thickTop="1">
      <c r="A47" s="98"/>
      <c r="B47" s="273"/>
      <c r="C47" s="98"/>
      <c r="D47" s="273"/>
      <c r="E47" s="98"/>
      <c r="F47" s="273"/>
      <c r="G47" s="98"/>
      <c r="H47" s="273"/>
      <c r="I47" s="98"/>
      <c r="J47" s="273"/>
      <c r="K47" s="98"/>
      <c r="L47" s="273"/>
      <c r="M47" s="98"/>
      <c r="N47" s="273"/>
      <c r="O47" s="98"/>
      <c r="P47" s="273"/>
      <c r="Q47" s="98"/>
      <c r="R47" s="98"/>
      <c r="S47" s="98"/>
      <c r="T47" s="273"/>
      <c r="U47" s="98"/>
      <c r="V47" s="273"/>
      <c r="W47" s="98"/>
      <c r="X47" s="273"/>
      <c r="Y47" s="98"/>
      <c r="Z47" s="98"/>
      <c r="AA47" s="273"/>
      <c r="AB47" s="98"/>
      <c r="AC47" s="98"/>
      <c r="AD47" s="273"/>
    </row>
    <row r="49" spans="1:1" ht="16.5" customHeight="1">
      <c r="A49" s="274"/>
    </row>
    <row r="50" spans="1:1" ht="16.5" customHeight="1">
      <c r="A50" s="169"/>
    </row>
  </sheetData>
  <mergeCells count="1">
    <mergeCell ref="AA10:AI10"/>
  </mergeCells>
  <printOptions horizontalCentered="1"/>
  <pageMargins left="0.25" right="0.25" top="0.5" bottom="0.25" header="0" footer="0.25"/>
  <pageSetup scale="42" firstPageNumber="36"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workbookViewId="0"/>
  </sheetViews>
  <sheetFormatPr defaultColWidth="8.84375" defaultRowHeight="17.5"/>
  <cols>
    <col min="1" max="1" width="45.53515625" style="275" customWidth="1"/>
    <col min="2" max="2" width="11.07421875" style="275" customWidth="1"/>
    <col min="3" max="3" width="1.84375" style="275" customWidth="1"/>
    <col min="4" max="4" width="11.07421875" style="275" customWidth="1"/>
    <col min="5" max="5" width="1.84375" style="275" customWidth="1"/>
    <col min="6" max="6" width="11.07421875" style="275" customWidth="1"/>
    <col min="7" max="7" width="1.84375" style="275" customWidth="1"/>
    <col min="8" max="8" width="11.07421875" style="275" customWidth="1"/>
    <col min="9" max="9" width="1.84375" style="275" customWidth="1"/>
    <col min="10" max="10" width="10.84375" style="275" customWidth="1"/>
    <col min="11" max="11" width="1.84375" style="275" customWidth="1"/>
    <col min="12" max="12" width="14.07421875" style="275" customWidth="1"/>
    <col min="13" max="13" width="1.84375" style="275" customWidth="1"/>
    <col min="14" max="14" width="12" style="275" bestFit="1" customWidth="1"/>
    <col min="15" max="15" width="1.84375" style="275" customWidth="1"/>
    <col min="16" max="16" width="13.53515625" style="275" bestFit="1" customWidth="1"/>
    <col min="17" max="17" width="1.84375" style="275" customWidth="1"/>
    <col min="18" max="18" width="13.53515625" style="275" bestFit="1" customWidth="1"/>
    <col min="19" max="19" width="1.84375" style="275" customWidth="1"/>
    <col min="20" max="20" width="12.84375" style="275" customWidth="1"/>
    <col min="21" max="21" width="1.84375" style="275" customWidth="1"/>
    <col min="22" max="22" width="12.84375" style="275" bestFit="1" customWidth="1"/>
    <col min="23" max="23" width="1.84375" style="275" customWidth="1"/>
    <col min="24" max="24" width="11" style="275" customWidth="1"/>
    <col min="25" max="26" width="1.84375" style="275" customWidth="1"/>
    <col min="27" max="27" width="12.69140625" style="275" customWidth="1"/>
    <col min="28" max="29" width="1.84375" style="275" customWidth="1"/>
    <col min="30" max="30" width="10.07421875" style="606" customWidth="1"/>
    <col min="31" max="31" width="1.84375" style="773" customWidth="1"/>
    <col min="32" max="32" width="2.4609375" style="773" customWidth="1"/>
    <col min="33" max="33" width="10.07421875" style="773" bestFit="1" customWidth="1"/>
    <col min="34" max="34" width="1.84375" style="773" customWidth="1"/>
    <col min="35" max="35" width="12.07421875" style="773" customWidth="1"/>
    <col min="36" max="16384" width="8.84375" style="275"/>
  </cols>
  <sheetData>
    <row r="1" spans="1:35">
      <c r="A1" s="468" t="s">
        <v>868</v>
      </c>
    </row>
    <row r="2" spans="1:35">
      <c r="A2" s="600"/>
    </row>
    <row r="3" spans="1:35" ht="20.25" customHeight="1">
      <c r="A3" s="1927" t="s">
        <v>0</v>
      </c>
      <c r="B3" s="21"/>
      <c r="C3" s="21"/>
      <c r="D3" s="21"/>
      <c r="E3" s="21"/>
      <c r="F3" s="21"/>
      <c r="G3" s="21"/>
      <c r="H3" s="21"/>
      <c r="I3" s="21"/>
      <c r="J3" s="21"/>
      <c r="K3" s="19"/>
      <c r="L3" s="19"/>
      <c r="M3" s="21"/>
      <c r="N3" s="21"/>
      <c r="O3" s="21"/>
      <c r="P3" s="21"/>
      <c r="Q3" s="21"/>
      <c r="R3" s="21"/>
      <c r="S3" s="21"/>
      <c r="T3" s="21"/>
      <c r="U3" s="21"/>
      <c r="V3" s="21"/>
      <c r="W3" s="21"/>
      <c r="X3" s="21"/>
      <c r="Y3" s="21"/>
      <c r="Z3" s="21"/>
      <c r="AA3" s="21"/>
      <c r="AB3" s="21"/>
      <c r="AC3" s="21"/>
      <c r="AD3" s="98"/>
      <c r="AI3" s="803" t="s">
        <v>220</v>
      </c>
    </row>
    <row r="4" spans="1:35" ht="20.25" customHeight="1">
      <c r="A4" s="202" t="s">
        <v>781</v>
      </c>
      <c r="B4" s="21"/>
      <c r="C4" s="21"/>
      <c r="D4" s="21"/>
      <c r="E4" s="21"/>
      <c r="F4" s="21"/>
      <c r="G4" s="21"/>
      <c r="H4" s="19" t="s">
        <v>14</v>
      </c>
      <c r="I4" s="21"/>
      <c r="J4" s="21"/>
      <c r="K4" s="19"/>
      <c r="L4" s="19"/>
      <c r="M4" s="21"/>
      <c r="N4" s="21"/>
      <c r="O4" s="21"/>
      <c r="P4" s="21"/>
      <c r="Q4" s="21"/>
      <c r="R4" s="21"/>
      <c r="S4" s="21"/>
      <c r="T4" s="21"/>
      <c r="U4" s="21"/>
      <c r="V4" s="21"/>
      <c r="W4" s="21"/>
      <c r="X4" s="21" t="s">
        <v>14</v>
      </c>
      <c r="Y4" s="21"/>
      <c r="Z4" s="21"/>
      <c r="AA4" s="21"/>
      <c r="AB4" s="21"/>
      <c r="AC4" s="21"/>
      <c r="AD4" s="98"/>
    </row>
    <row r="5" spans="1:35" ht="20.25" customHeight="1">
      <c r="A5" s="1009" t="s">
        <v>121</v>
      </c>
      <c r="B5" s="21"/>
      <c r="C5" s="21"/>
      <c r="D5" s="21"/>
      <c r="E5" s="21"/>
      <c r="F5" s="21"/>
      <c r="G5" s="21"/>
      <c r="H5" s="21"/>
      <c r="I5" s="21"/>
      <c r="J5" s="21"/>
      <c r="K5" s="19"/>
      <c r="L5" s="19"/>
      <c r="M5" s="21"/>
      <c r="N5" s="21"/>
      <c r="O5" s="21"/>
      <c r="P5" s="21"/>
      <c r="Q5" s="21"/>
      <c r="R5" s="21"/>
      <c r="S5" s="21"/>
      <c r="T5" s="21"/>
      <c r="U5" s="21"/>
      <c r="V5" s="21"/>
      <c r="W5" s="21"/>
      <c r="X5" s="21"/>
      <c r="Y5" s="21"/>
      <c r="Z5" s="21"/>
      <c r="AB5" s="276"/>
      <c r="AC5" s="276"/>
      <c r="AE5" s="790"/>
    </row>
    <row r="6" spans="1:35" ht="20.25" customHeight="1">
      <c r="A6" s="1009" t="str">
        <f>'Cashflow Governmental'!A6</f>
        <v xml:space="preserve">FISCAL YEAR 2022-2023   </v>
      </c>
      <c r="B6" s="21"/>
      <c r="C6" s="21"/>
      <c r="D6" s="21"/>
      <c r="E6" s="21"/>
      <c r="F6" s="21"/>
      <c r="G6" s="21"/>
      <c r="H6" s="21"/>
      <c r="I6" s="21"/>
      <c r="J6" s="21"/>
      <c r="K6" s="19"/>
      <c r="L6" s="19"/>
      <c r="M6" s="21"/>
      <c r="N6" s="21"/>
      <c r="O6" s="21"/>
      <c r="P6" s="21"/>
      <c r="Q6" s="21"/>
      <c r="R6" s="21"/>
      <c r="S6" s="21"/>
      <c r="T6" s="21"/>
      <c r="U6" s="21"/>
      <c r="V6" s="21"/>
      <c r="W6" s="21"/>
      <c r="X6" s="21"/>
      <c r="Y6" s="21"/>
      <c r="Z6" s="21"/>
      <c r="AA6" s="21"/>
      <c r="AB6" s="21"/>
      <c r="AC6" s="21"/>
      <c r="AD6" s="98"/>
    </row>
    <row r="7" spans="1:35" ht="20.25" customHeight="1">
      <c r="A7" s="1927" t="s">
        <v>1247</v>
      </c>
      <c r="B7" s="21"/>
      <c r="C7" s="21"/>
      <c r="D7" s="21"/>
      <c r="E7" s="21"/>
      <c r="F7" s="21"/>
      <c r="G7" s="21"/>
      <c r="H7" s="21"/>
      <c r="I7" s="21"/>
      <c r="J7" s="21"/>
      <c r="K7" s="19"/>
      <c r="L7" s="21"/>
      <c r="M7" s="21"/>
      <c r="N7" s="21"/>
      <c r="O7" s="21"/>
      <c r="P7" s="21"/>
      <c r="Q7" s="21"/>
      <c r="R7" s="21"/>
      <c r="S7" s="21"/>
      <c r="T7" s="21"/>
      <c r="U7" s="21"/>
      <c r="V7" s="21"/>
      <c r="W7" s="21"/>
      <c r="X7" s="21"/>
      <c r="Y7" s="21"/>
      <c r="Z7" s="21"/>
      <c r="AA7" s="21"/>
      <c r="AB7" s="21"/>
      <c r="AC7" s="21"/>
      <c r="AD7" s="98"/>
    </row>
    <row r="8" spans="1:35" s="277" customFormat="1" ht="19.399999999999999" customHeight="1">
      <c r="A8" s="128"/>
      <c r="B8" s="21"/>
      <c r="C8" s="21"/>
      <c r="D8" s="21"/>
      <c r="E8" s="21"/>
      <c r="F8" s="21"/>
      <c r="G8" s="21"/>
      <c r="H8" s="21"/>
      <c r="I8" s="21"/>
      <c r="J8" s="21"/>
      <c r="K8" s="21"/>
      <c r="L8" s="21"/>
      <c r="M8" s="21"/>
      <c r="N8" s="21"/>
      <c r="O8" s="21"/>
      <c r="P8" s="21"/>
      <c r="Q8" s="21"/>
      <c r="R8" s="21"/>
      <c r="S8" s="21"/>
      <c r="T8" s="21"/>
      <c r="U8" s="21"/>
      <c r="V8" s="21"/>
      <c r="W8" s="21"/>
      <c r="X8" s="21"/>
      <c r="Y8" s="21"/>
      <c r="Z8" s="98"/>
      <c r="AA8" s="98"/>
      <c r="AB8" s="98"/>
      <c r="AC8" s="98"/>
      <c r="AD8" s="98"/>
      <c r="AE8" s="773"/>
      <c r="AF8" s="773"/>
      <c r="AG8" s="773"/>
      <c r="AH8" s="773"/>
      <c r="AI8" s="773"/>
    </row>
    <row r="9" spans="1:35" s="277" customFormat="1" ht="19.399999999999999" customHeight="1">
      <c r="A9" s="499"/>
      <c r="B9" s="499"/>
      <c r="C9" s="499"/>
      <c r="D9" s="499"/>
      <c r="E9" s="499"/>
      <c r="F9" s="499"/>
      <c r="G9" s="499"/>
      <c r="H9" s="19"/>
      <c r="I9" s="19"/>
      <c r="J9" s="19"/>
      <c r="K9" s="499"/>
      <c r="L9" s="499"/>
      <c r="M9" s="499"/>
      <c r="N9" s="499"/>
      <c r="O9" s="499"/>
      <c r="P9" s="499"/>
      <c r="Q9" s="499"/>
      <c r="R9" s="499"/>
      <c r="S9" s="499"/>
      <c r="T9" s="499"/>
      <c r="U9" s="499"/>
      <c r="V9" s="499"/>
      <c r="W9" s="499"/>
      <c r="X9" s="499"/>
      <c r="Y9" s="499"/>
      <c r="Z9" s="98"/>
      <c r="AA9" s="98"/>
      <c r="AB9" s="98"/>
      <c r="AC9" s="2326"/>
      <c r="AD9" s="2327"/>
      <c r="AE9" s="2327"/>
      <c r="AF9" s="2327"/>
      <c r="AG9" s="2327"/>
      <c r="AH9" s="2327"/>
      <c r="AI9" s="2327"/>
    </row>
    <row r="10" spans="1:35" s="277" customFormat="1" ht="19.399999999999999" customHeight="1">
      <c r="A10" s="98"/>
      <c r="B10" s="98"/>
      <c r="C10" s="98"/>
      <c r="D10" s="98"/>
      <c r="E10" s="98"/>
      <c r="F10" s="98"/>
      <c r="G10" s="98"/>
      <c r="H10" s="98"/>
      <c r="I10" s="98"/>
      <c r="J10" s="98"/>
      <c r="K10" s="98"/>
      <c r="L10" s="98"/>
      <c r="M10" s="98"/>
      <c r="N10" s="98"/>
      <c r="O10" s="98"/>
      <c r="P10" s="98"/>
      <c r="Q10" s="98"/>
      <c r="R10" s="98"/>
      <c r="S10" s="98"/>
      <c r="T10" s="98"/>
      <c r="U10" s="98"/>
      <c r="V10" s="606"/>
      <c r="W10" s="98"/>
      <c r="X10" s="605"/>
      <c r="Y10" s="606"/>
      <c r="Z10" s="2328" t="s">
        <v>1559</v>
      </c>
      <c r="AA10" s="2328"/>
      <c r="AB10" s="2328"/>
      <c r="AC10" s="2328"/>
      <c r="AD10" s="2328"/>
      <c r="AE10" s="2328"/>
      <c r="AF10" s="2328"/>
      <c r="AG10" s="2328"/>
      <c r="AH10" s="2328"/>
      <c r="AI10" s="2328"/>
    </row>
    <row r="11" spans="1:35" s="277" customFormat="1" ht="19.399999999999999" customHeight="1">
      <c r="A11" s="98"/>
      <c r="B11" s="561" t="str">
        <f>'Cashflow Governmental'!C13</f>
        <v>2022</v>
      </c>
      <c r="C11" s="171"/>
      <c r="D11" s="171"/>
      <c r="E11" s="171"/>
      <c r="F11" s="171"/>
      <c r="G11" s="171"/>
      <c r="H11" s="171"/>
      <c r="I11" s="171"/>
      <c r="J11" s="171"/>
      <c r="K11" s="171"/>
      <c r="L11" s="171"/>
      <c r="M11" s="171"/>
      <c r="N11" s="171"/>
      <c r="O11" s="171"/>
      <c r="P11" s="171"/>
      <c r="Q11" s="171"/>
      <c r="R11" s="171"/>
      <c r="S11" s="171"/>
      <c r="T11" s="561">
        <f>'Cashflow Governmental'!U13</f>
        <v>2023</v>
      </c>
      <c r="U11" s="171"/>
      <c r="V11" s="562"/>
      <c r="W11" s="171"/>
      <c r="X11" s="171"/>
      <c r="Y11" s="171"/>
      <c r="Z11" s="171"/>
      <c r="AA11" s="171"/>
      <c r="AB11" s="171"/>
      <c r="AC11" s="171"/>
      <c r="AD11" s="974"/>
      <c r="AE11" s="791"/>
      <c r="AF11" s="765"/>
      <c r="AG11" s="776" t="s">
        <v>7</v>
      </c>
      <c r="AH11" s="776"/>
      <c r="AI11" s="777" t="s">
        <v>8</v>
      </c>
    </row>
    <row r="12" spans="1:35" s="277" customFormat="1" ht="19.399999999999999" customHeight="1">
      <c r="A12" s="98"/>
      <c r="B12" s="607" t="s">
        <v>122</v>
      </c>
      <c r="C12" s="171"/>
      <c r="D12" s="607" t="s">
        <v>123</v>
      </c>
      <c r="E12" s="171"/>
      <c r="F12" s="607" t="s">
        <v>124</v>
      </c>
      <c r="G12" s="171"/>
      <c r="H12" s="607" t="s">
        <v>125</v>
      </c>
      <c r="I12" s="171"/>
      <c r="J12" s="608" t="s">
        <v>221</v>
      </c>
      <c r="K12" s="171"/>
      <c r="L12" s="608" t="s">
        <v>141</v>
      </c>
      <c r="M12" s="171"/>
      <c r="N12" s="608" t="s">
        <v>142</v>
      </c>
      <c r="O12" s="171"/>
      <c r="P12" s="607" t="s">
        <v>129</v>
      </c>
      <c r="Q12" s="171"/>
      <c r="R12" s="607" t="s">
        <v>130</v>
      </c>
      <c r="S12" s="171"/>
      <c r="T12" s="608" t="s">
        <v>131</v>
      </c>
      <c r="U12" s="171"/>
      <c r="V12" s="607" t="s">
        <v>132</v>
      </c>
      <c r="W12" s="171"/>
      <c r="X12" s="608" t="s">
        <v>182</v>
      </c>
      <c r="Y12" s="171"/>
      <c r="Z12" s="171"/>
      <c r="AA12" s="562">
        <f>'Cashflow Governmental'!AB14</f>
        <v>2023</v>
      </c>
      <c r="AB12" s="562"/>
      <c r="AC12" s="562"/>
      <c r="AD12" s="607">
        <f>'Cashflow Governmental'!AE14</f>
        <v>2022</v>
      </c>
      <c r="AE12" s="787"/>
      <c r="AF12" s="787"/>
      <c r="AG12" s="778" t="s">
        <v>11</v>
      </c>
      <c r="AH12" s="776"/>
      <c r="AI12" s="778" t="s">
        <v>12</v>
      </c>
    </row>
    <row r="13" spans="1:35" s="277" customFormat="1" ht="19.399999999999999" customHeight="1">
      <c r="A13" s="171" t="s">
        <v>134</v>
      </c>
      <c r="B13" s="1084">
        <v>318.89999999999998</v>
      </c>
      <c r="C13" s="267"/>
      <c r="D13" s="1084">
        <f>B38</f>
        <v>320.10000000000002</v>
      </c>
      <c r="E13" s="267"/>
      <c r="F13" s="1084">
        <f>D38</f>
        <v>319.60000000000002</v>
      </c>
      <c r="G13" s="1085"/>
      <c r="H13" s="1084">
        <f>F38</f>
        <v>321.8</v>
      </c>
      <c r="I13" s="1085"/>
      <c r="J13" s="1084">
        <f>H38</f>
        <v>318.8</v>
      </c>
      <c r="K13" s="1085"/>
      <c r="L13" s="1084">
        <f>J38</f>
        <v>314.60000000000002</v>
      </c>
      <c r="M13" s="1085"/>
      <c r="N13" s="1084">
        <f>L38</f>
        <v>321.2</v>
      </c>
      <c r="O13" s="1085"/>
      <c r="P13" s="1084">
        <f>N38</f>
        <v>317.10000000000002</v>
      </c>
      <c r="Q13" s="1320"/>
      <c r="R13" s="1084">
        <f t="shared" ref="R13" si="0">P38</f>
        <v>321.10000000000002</v>
      </c>
      <c r="S13" s="1320"/>
      <c r="T13" s="1084">
        <f t="shared" ref="T13" si="1">R38</f>
        <v>321.60000000000002</v>
      </c>
      <c r="U13" s="1084"/>
      <c r="V13" s="1084">
        <f t="shared" ref="V13" si="2">T38</f>
        <v>322.89999999999998</v>
      </c>
      <c r="W13" s="1084"/>
      <c r="X13" s="1084">
        <f t="shared" ref="X13" si="3">V38</f>
        <v>326.10000000000002</v>
      </c>
      <c r="Y13" s="609"/>
      <c r="Z13" s="610"/>
      <c r="AA13" s="1084">
        <f>B13</f>
        <v>318.89999999999998</v>
      </c>
      <c r="AB13" s="609"/>
      <c r="AC13" s="632"/>
      <c r="AD13" s="1084">
        <v>0</v>
      </c>
      <c r="AE13" s="1078"/>
      <c r="AF13" s="1079"/>
      <c r="AG13" s="779">
        <f>ROUND(SUM(AA13-AD13),1)</f>
        <v>318.89999999999998</v>
      </c>
      <c r="AH13" s="773"/>
      <c r="AI13" s="474">
        <f>ROUND(IF(AD13=0,1,AG13/ABS(AD13)),3)</f>
        <v>1</v>
      </c>
    </row>
    <row r="14" spans="1:35" s="277" customFormat="1" ht="19.399999999999999" customHeight="1">
      <c r="A14" s="98"/>
      <c r="B14" s="98"/>
      <c r="C14" s="98"/>
      <c r="D14" s="98"/>
      <c r="E14" s="98"/>
      <c r="F14" s="611"/>
      <c r="G14" s="611"/>
      <c r="H14" s="612"/>
      <c r="I14" s="612"/>
      <c r="J14" s="612"/>
      <c r="K14" s="611"/>
      <c r="L14" s="612"/>
      <c r="M14" s="612"/>
      <c r="N14" s="612"/>
      <c r="O14" s="612"/>
      <c r="P14" s="612"/>
      <c r="Q14" s="612"/>
      <c r="R14" s="612"/>
      <c r="S14" s="612"/>
      <c r="T14" s="612"/>
      <c r="U14" s="612"/>
      <c r="V14" s="612"/>
      <c r="W14" s="612"/>
      <c r="X14" s="612"/>
      <c r="Y14" s="613"/>
      <c r="Z14" s="614"/>
      <c r="AA14" s="98"/>
      <c r="AB14" s="613"/>
      <c r="AC14" s="615"/>
      <c r="AD14" s="98"/>
      <c r="AE14" s="773"/>
      <c r="AF14" s="789"/>
      <c r="AG14" s="773"/>
      <c r="AH14" s="773"/>
      <c r="AI14" s="773"/>
    </row>
    <row r="15" spans="1:35" s="277" customFormat="1" ht="19.399999999999999" customHeight="1">
      <c r="A15" s="171" t="s">
        <v>13</v>
      </c>
      <c r="B15" s="98"/>
      <c r="C15" s="98"/>
      <c r="D15" s="98"/>
      <c r="E15" s="98"/>
      <c r="F15" s="611"/>
      <c r="G15" s="611"/>
      <c r="H15" s="612"/>
      <c r="I15" s="612"/>
      <c r="J15" s="612"/>
      <c r="K15" s="611"/>
      <c r="L15" s="612"/>
      <c r="M15" s="612"/>
      <c r="N15" s="612"/>
      <c r="O15" s="612"/>
      <c r="P15" s="612"/>
      <c r="Q15" s="612"/>
      <c r="R15" s="612"/>
      <c r="S15" s="612"/>
      <c r="T15" s="612"/>
      <c r="U15" s="612"/>
      <c r="V15" s="612"/>
      <c r="W15" s="612"/>
      <c r="X15" s="612"/>
      <c r="Y15" s="613"/>
      <c r="Z15" s="614"/>
      <c r="AA15" s="98"/>
      <c r="AB15" s="613"/>
      <c r="AC15" s="615"/>
      <c r="AD15" s="98"/>
      <c r="AE15" s="773"/>
      <c r="AF15" s="789"/>
      <c r="AG15" s="773"/>
      <c r="AH15" s="773"/>
      <c r="AI15" s="773"/>
    </row>
    <row r="16" spans="1:35" s="277" customFormat="1" ht="19.399999999999999" customHeight="1">
      <c r="A16" s="616" t="s">
        <v>175</v>
      </c>
      <c r="B16" s="1332">
        <v>11.4</v>
      </c>
      <c r="C16" s="163"/>
      <c r="D16" s="1332">
        <v>10.9</v>
      </c>
      <c r="E16" s="163"/>
      <c r="F16" s="1332">
        <v>15.999999999999998</v>
      </c>
      <c r="G16" s="163"/>
      <c r="H16" s="1332">
        <v>6.9999999999999982</v>
      </c>
      <c r="I16" s="617"/>
      <c r="J16" s="1332">
        <v>10</v>
      </c>
      <c r="K16" s="163"/>
      <c r="L16" s="1332">
        <v>19.400000000000006</v>
      </c>
      <c r="M16" s="617"/>
      <c r="N16" s="1332">
        <v>7.0999999999999872</v>
      </c>
      <c r="O16" s="617"/>
      <c r="P16" s="1332">
        <v>54.79999999999999</v>
      </c>
      <c r="Q16" s="625"/>
      <c r="R16" s="1332">
        <v>13.899999999999999</v>
      </c>
      <c r="S16" s="625"/>
      <c r="T16" s="1332">
        <v>12.099999999999994</v>
      </c>
      <c r="U16" s="625"/>
      <c r="V16" s="1332">
        <v>14</v>
      </c>
      <c r="W16" s="625"/>
      <c r="X16" s="1332">
        <f>$AA16-$B16-$D16-$F16-$H16-$J16-$L16-$N16-$P16-$R16-$T16-$V16</f>
        <v>954.99999999999977</v>
      </c>
      <c r="Y16" s="618"/>
      <c r="Z16" s="619"/>
      <c r="AA16" s="1081">
        <v>1131.5999999999999</v>
      </c>
      <c r="AB16" s="618"/>
      <c r="AC16" s="617"/>
      <c r="AD16" s="1081">
        <v>498.8</v>
      </c>
      <c r="AE16" s="792"/>
      <c r="AF16" s="766"/>
      <c r="AG16" s="780">
        <f>ROUND(SUM(AA16-AD16),1)</f>
        <v>632.79999999999995</v>
      </c>
      <c r="AH16" s="773"/>
      <c r="AI16" s="785">
        <f>ROUND(IF(AG16=0,0,AG16/ABS(AD16)),3)</f>
        <v>1.2689999999999999</v>
      </c>
    </row>
    <row r="17" spans="1:35" s="277" customFormat="1" ht="24" customHeight="1">
      <c r="A17" s="171" t="s">
        <v>147</v>
      </c>
      <c r="B17" s="1323">
        <f>ROUND(SUM(B16),1)</f>
        <v>11.4</v>
      </c>
      <c r="C17" s="269"/>
      <c r="D17" s="620">
        <f>ROUND(SUM(D16),1)</f>
        <v>10.9</v>
      </c>
      <c r="E17" s="269"/>
      <c r="F17" s="620">
        <f>ROUND(SUM(F16),1)</f>
        <v>16</v>
      </c>
      <c r="G17" s="269"/>
      <c r="H17" s="620">
        <f>ROUND(SUM(H16),1)</f>
        <v>7</v>
      </c>
      <c r="I17" s="270"/>
      <c r="J17" s="620">
        <f>ROUND(SUM(J16),1)</f>
        <v>10</v>
      </c>
      <c r="K17" s="269"/>
      <c r="L17" s="620">
        <f>ROUND(SUM(L16),1)</f>
        <v>19.399999999999999</v>
      </c>
      <c r="M17" s="621"/>
      <c r="N17" s="620">
        <f>ROUND(SUM(N16),1)</f>
        <v>7.1</v>
      </c>
      <c r="O17" s="621"/>
      <c r="P17" s="620">
        <f>ROUND(SUM(P16),1)</f>
        <v>54.8</v>
      </c>
      <c r="Q17" s="270"/>
      <c r="R17" s="620">
        <f t="shared" ref="R17" si="4">ROUND(SUM(R16),1)</f>
        <v>13.9</v>
      </c>
      <c r="S17" s="621"/>
      <c r="T17" s="620">
        <f>ROUND(SUM(T16),1)</f>
        <v>12.1</v>
      </c>
      <c r="U17" s="621"/>
      <c r="V17" s="620">
        <f>ROUND(SUM(V16),1)</f>
        <v>14</v>
      </c>
      <c r="W17" s="621"/>
      <c r="X17" s="620">
        <f>ROUND(SUM(X16),1)</f>
        <v>955</v>
      </c>
      <c r="Y17" s="622"/>
      <c r="Z17" s="623"/>
      <c r="AA17" s="626">
        <f>ROUND(SUM(AA16),1)</f>
        <v>1131.5999999999999</v>
      </c>
      <c r="AB17" s="622"/>
      <c r="AC17" s="623"/>
      <c r="AD17" s="626">
        <f>ROUND(SUM(AD16),1)</f>
        <v>498.8</v>
      </c>
      <c r="AE17" s="793"/>
      <c r="AF17" s="766"/>
      <c r="AG17" s="797">
        <f>ROUND(SUM(AG16),1)</f>
        <v>632.79999999999995</v>
      </c>
      <c r="AH17" s="798"/>
      <c r="AI17" s="799">
        <f>ROUND(IF(AG17=0,0,AG17/ABS(AD17)),3)</f>
        <v>1.2689999999999999</v>
      </c>
    </row>
    <row r="18" spans="1:35" s="277" customFormat="1" ht="19.399999999999999" customHeight="1">
      <c r="A18" s="98"/>
      <c r="B18" s="268"/>
      <c r="C18" s="163"/>
      <c r="D18" s="268" t="s">
        <v>14</v>
      </c>
      <c r="E18" s="163"/>
      <c r="F18" s="268"/>
      <c r="G18" s="163"/>
      <c r="H18" s="624"/>
      <c r="I18" s="617"/>
      <c r="J18" s="624"/>
      <c r="K18" s="163"/>
      <c r="L18" s="624"/>
      <c r="M18" s="617"/>
      <c r="N18" s="624"/>
      <c r="O18" s="617"/>
      <c r="P18" s="624"/>
      <c r="Q18" s="617"/>
      <c r="R18" s="624"/>
      <c r="S18" s="617"/>
      <c r="T18" s="624"/>
      <c r="U18" s="617"/>
      <c r="V18" s="624"/>
      <c r="W18" s="617"/>
      <c r="X18" s="624"/>
      <c r="Y18" s="618"/>
      <c r="Z18" s="619"/>
      <c r="AA18" s="268"/>
      <c r="AB18" s="618"/>
      <c r="AC18" s="617"/>
      <c r="AD18" s="268"/>
      <c r="AE18" s="780"/>
      <c r="AF18" s="766"/>
      <c r="AG18" s="780"/>
      <c r="AH18" s="773"/>
      <c r="AI18" s="773"/>
    </row>
    <row r="19" spans="1:35" s="277" customFormat="1" ht="19.399999999999999" customHeight="1">
      <c r="A19" s="98"/>
      <c r="B19" s="163"/>
      <c r="C19" s="163"/>
      <c r="D19" s="163" t="s">
        <v>14</v>
      </c>
      <c r="E19" s="163"/>
      <c r="F19" s="163"/>
      <c r="G19" s="163"/>
      <c r="H19" s="617"/>
      <c r="I19" s="617"/>
      <c r="J19" s="617"/>
      <c r="K19" s="163"/>
      <c r="L19" s="617"/>
      <c r="M19" s="617"/>
      <c r="N19" s="617"/>
      <c r="O19" s="617"/>
      <c r="P19" s="617"/>
      <c r="Q19" s="617"/>
      <c r="R19" s="617"/>
      <c r="S19" s="617"/>
      <c r="T19" s="617"/>
      <c r="U19" s="617"/>
      <c r="V19" s="617"/>
      <c r="W19" s="617"/>
      <c r="X19" s="617"/>
      <c r="Y19" s="618"/>
      <c r="Z19" s="619"/>
      <c r="AA19" s="163"/>
      <c r="AB19" s="618"/>
      <c r="AC19" s="617"/>
      <c r="AD19" s="163"/>
      <c r="AE19" s="780"/>
      <c r="AF19" s="766"/>
      <c r="AG19" s="780"/>
      <c r="AH19" s="773"/>
      <c r="AI19" s="773"/>
    </row>
    <row r="20" spans="1:35" s="277" customFormat="1" ht="19.399999999999999" customHeight="1">
      <c r="A20" s="171" t="s">
        <v>22</v>
      </c>
      <c r="B20" s="163"/>
      <c r="C20" s="163"/>
      <c r="D20" s="163" t="s">
        <v>14</v>
      </c>
      <c r="E20" s="163"/>
      <c r="F20" s="163"/>
      <c r="G20" s="163"/>
      <c r="H20" s="617"/>
      <c r="I20" s="617"/>
      <c r="J20" s="617"/>
      <c r="K20" s="163"/>
      <c r="L20" s="617"/>
      <c r="M20" s="617"/>
      <c r="N20" s="617"/>
      <c r="O20" s="617"/>
      <c r="P20" s="617"/>
      <c r="Q20" s="617"/>
      <c r="R20" s="617"/>
      <c r="S20" s="617"/>
      <c r="T20" s="617"/>
      <c r="U20" s="617"/>
      <c r="V20" s="617"/>
      <c r="W20" s="617"/>
      <c r="X20" s="617"/>
      <c r="Y20" s="618"/>
      <c r="Z20" s="619"/>
      <c r="AA20" s="163"/>
      <c r="AB20" s="618"/>
      <c r="AC20" s="617"/>
      <c r="AD20" s="163"/>
      <c r="AE20" s="780"/>
      <c r="AF20" s="766"/>
      <c r="AG20" s="780"/>
      <c r="AH20" s="773"/>
      <c r="AI20" s="773"/>
    </row>
    <row r="21" spans="1:35" s="277" customFormat="1" ht="19.399999999999999" customHeight="1">
      <c r="A21" s="98" t="s">
        <v>149</v>
      </c>
      <c r="B21" s="164"/>
      <c r="C21" s="163"/>
      <c r="D21" s="163"/>
      <c r="E21" s="163"/>
      <c r="F21" s="163"/>
      <c r="G21" s="163"/>
      <c r="H21" s="617"/>
      <c r="I21" s="617"/>
      <c r="J21" s="617"/>
      <c r="K21" s="163"/>
      <c r="L21" s="617"/>
      <c r="M21" s="617"/>
      <c r="N21" s="617"/>
      <c r="O21" s="617"/>
      <c r="P21" s="617"/>
      <c r="Q21" s="617"/>
      <c r="R21" s="617"/>
      <c r="S21" s="617"/>
      <c r="T21" s="617"/>
      <c r="U21" s="617"/>
      <c r="V21" s="617"/>
      <c r="W21" s="617"/>
      <c r="X21" s="617"/>
      <c r="Y21" s="618"/>
      <c r="Z21" s="619"/>
      <c r="AA21" s="164"/>
      <c r="AB21" s="2033"/>
      <c r="AC21" s="2034"/>
      <c r="AD21" s="164"/>
      <c r="AE21" s="794"/>
      <c r="AF21" s="767"/>
      <c r="AG21" s="780"/>
      <c r="AH21" s="773"/>
      <c r="AI21" s="773"/>
    </row>
    <row r="22" spans="1:35" s="277" customFormat="1" ht="19.399999999999999" customHeight="1">
      <c r="A22" s="98" t="s">
        <v>215</v>
      </c>
      <c r="B22" s="625">
        <v>5.9</v>
      </c>
      <c r="C22" s="163"/>
      <c r="D22" s="625">
        <v>6.6</v>
      </c>
      <c r="E22" s="163"/>
      <c r="F22" s="625">
        <v>5.8999999999999986</v>
      </c>
      <c r="G22" s="163"/>
      <c r="H22" s="625">
        <v>5.7000000000000046</v>
      </c>
      <c r="I22" s="617"/>
      <c r="J22" s="625">
        <v>9.6000000000000032</v>
      </c>
      <c r="K22" s="163"/>
      <c r="L22" s="625">
        <v>5.899999999999995</v>
      </c>
      <c r="M22" s="617"/>
      <c r="N22" s="625">
        <v>6.5000000000000018</v>
      </c>
      <c r="O22" s="617"/>
      <c r="P22" s="625">
        <v>6.1000000000000032</v>
      </c>
      <c r="Q22" s="625">
        <f t="shared" ref="Q22" si="5">$AA22-$B22-$D22-$F22-$H22-$J22-$L22-$N22</f>
        <v>32.900000000000006</v>
      </c>
      <c r="R22" s="625">
        <v>5.8999999999999986</v>
      </c>
      <c r="S22" s="625"/>
      <c r="T22" s="625">
        <v>5.9999999999999911</v>
      </c>
      <c r="U22" s="625"/>
      <c r="V22" s="625">
        <v>5.9999999999999947</v>
      </c>
      <c r="W22" s="625"/>
      <c r="X22" s="625">
        <f>$AA22-$B22-$D22-$F22-$H22-$J22-$L22-$N22-$P22-$R22-$T22-$V22</f>
        <v>8.9000000000000199</v>
      </c>
      <c r="Y22" s="618"/>
      <c r="Z22" s="619"/>
      <c r="AA22" s="625">
        <v>79</v>
      </c>
      <c r="AB22" s="618"/>
      <c r="AC22" s="617"/>
      <c r="AD22" s="625">
        <v>81.2</v>
      </c>
      <c r="AE22" s="1083"/>
      <c r="AF22" s="767"/>
      <c r="AG22" s="780">
        <f>ROUND(SUM(AA22-AD22),1)</f>
        <v>-2.2000000000000002</v>
      </c>
      <c r="AH22" s="773"/>
      <c r="AI22" s="1082">
        <f>ROUND(IF(AG22=0,0,AG22/ABS(AD22)),3)</f>
        <v>-2.7E-2</v>
      </c>
    </row>
    <row r="23" spans="1:35" s="277" customFormat="1" ht="19.399999999999999" customHeight="1">
      <c r="A23" s="616" t="s">
        <v>167</v>
      </c>
      <c r="B23" s="625">
        <v>0.6</v>
      </c>
      <c r="C23" s="163"/>
      <c r="D23" s="625">
        <v>1</v>
      </c>
      <c r="E23" s="163"/>
      <c r="F23" s="625">
        <v>1.7999999999999998</v>
      </c>
      <c r="G23" s="163"/>
      <c r="H23" s="625">
        <v>0.69999999999999973</v>
      </c>
      <c r="I23" s="617"/>
      <c r="J23" s="625">
        <v>0.80000000000000115</v>
      </c>
      <c r="K23" s="163"/>
      <c r="L23" s="625">
        <v>2.6999999999999993</v>
      </c>
      <c r="M23" s="617"/>
      <c r="N23" s="625">
        <v>0.5999999999999992</v>
      </c>
      <c r="O23" s="617"/>
      <c r="P23" s="625">
        <v>38.9</v>
      </c>
      <c r="Q23" s="617"/>
      <c r="R23" s="625">
        <v>3.6999999999999886</v>
      </c>
      <c r="S23" s="617"/>
      <c r="T23" s="625">
        <v>1.1000000000000085</v>
      </c>
      <c r="U23" s="617"/>
      <c r="V23" s="625">
        <v>1</v>
      </c>
      <c r="W23" s="617"/>
      <c r="X23" s="625">
        <f>$AA23-$B23-$D23-$F23-$H23-$J23-$L23-$N23-$P23-$R23-$T23-$V23</f>
        <v>12.700000000000003</v>
      </c>
      <c r="Y23" s="618"/>
      <c r="Z23" s="619"/>
      <c r="AA23" s="625">
        <v>65.599999999999994</v>
      </c>
      <c r="AB23" s="618"/>
      <c r="AC23" s="617"/>
      <c r="AD23" s="625">
        <v>48.2</v>
      </c>
      <c r="AE23" s="794"/>
      <c r="AF23" s="767"/>
      <c r="AG23" s="780">
        <f>ROUND(SUM(AA23-AD23),1)</f>
        <v>17.399999999999999</v>
      </c>
      <c r="AH23" s="784"/>
      <c r="AI23" s="785">
        <f>ROUND(IF(AG23=0,0,AG23/ABS(AD23)),3)</f>
        <v>0.36099999999999999</v>
      </c>
    </row>
    <row r="24" spans="1:35" s="277" customFormat="1" ht="19.399999999999999" customHeight="1">
      <c r="A24" s="98" t="s">
        <v>152</v>
      </c>
      <c r="B24" s="625">
        <v>3.7</v>
      </c>
      <c r="C24" s="163"/>
      <c r="D24" s="1332">
        <v>3.8</v>
      </c>
      <c r="E24" s="163"/>
      <c r="F24" s="625">
        <v>6.1000000000000005</v>
      </c>
      <c r="G24" s="163"/>
      <c r="H24" s="1081">
        <v>3.5999999999999996</v>
      </c>
      <c r="I24" s="617"/>
      <c r="J24" s="1332">
        <v>3.8000000000000007</v>
      </c>
      <c r="K24" s="163"/>
      <c r="L24" s="625">
        <v>4.1999999999999975</v>
      </c>
      <c r="M24" s="617"/>
      <c r="N24" s="625">
        <v>4.1000000000000014</v>
      </c>
      <c r="O24" s="617"/>
      <c r="P24" s="625">
        <v>5.7999999999999989</v>
      </c>
      <c r="Q24" s="617"/>
      <c r="R24" s="625">
        <v>3.7999999999999972</v>
      </c>
      <c r="S24" s="617"/>
      <c r="T24" s="625">
        <v>3.7000000000000011</v>
      </c>
      <c r="U24" s="617"/>
      <c r="V24" s="1081">
        <v>3.7999999999999972</v>
      </c>
      <c r="W24" s="617"/>
      <c r="X24" s="625">
        <f>$AA24-$B24-$D24-$F24-$H24-$J24-$L24-$N24-$P24-$R24-$T24-$V24</f>
        <v>3.8000000000000043</v>
      </c>
      <c r="Y24" s="618"/>
      <c r="Z24" s="619"/>
      <c r="AA24" s="2035">
        <v>50.2</v>
      </c>
      <c r="AB24" s="618"/>
      <c r="AC24" s="617"/>
      <c r="AD24" s="2035">
        <v>50.5</v>
      </c>
      <c r="AE24" s="1083"/>
      <c r="AF24" s="767"/>
      <c r="AG24" s="780">
        <f>ROUND(SUM(AA24-AD24),1)</f>
        <v>-0.3</v>
      </c>
      <c r="AH24" s="773"/>
      <c r="AI24" s="785">
        <f>ROUND(IF(AD24=0,1,AG24/ABS(AD24)),3)</f>
        <v>-6.0000000000000001E-3</v>
      </c>
    </row>
    <row r="25" spans="1:35" s="277" customFormat="1" ht="22.5" customHeight="1">
      <c r="A25" s="171" t="s">
        <v>153</v>
      </c>
      <c r="B25" s="1300">
        <f>ROUND(SUM(B22)+SUM(B23)+SUM(B24),1)</f>
        <v>10.199999999999999</v>
      </c>
      <c r="C25" s="269"/>
      <c r="D25" s="626">
        <f>ROUND(SUM(D22)+SUM(D23)+SUM(D24),1)</f>
        <v>11.4</v>
      </c>
      <c r="E25" s="269"/>
      <c r="F25" s="1300">
        <f>ROUND(SUM(F22)+SUM(F23)+SUM(F24),1)</f>
        <v>13.8</v>
      </c>
      <c r="G25" s="626"/>
      <c r="H25" s="626">
        <f>ROUND(SUM(H22)+SUM(H23)+SUM(H24),1)</f>
        <v>10</v>
      </c>
      <c r="I25" s="621"/>
      <c r="J25" s="1303">
        <f>ROUND(SUM(J22)+SUM(J23)+SUM(J24),1)</f>
        <v>14.2</v>
      </c>
      <c r="K25" s="269"/>
      <c r="L25" s="1303">
        <f>ROUND(SUM(L22)+SUM(L23)+SUM(L24),1)</f>
        <v>12.8</v>
      </c>
      <c r="M25" s="621"/>
      <c r="N25" s="1303">
        <f>ROUND(SUM(N22)+SUM(N23)+SUM(N24),1)</f>
        <v>11.2</v>
      </c>
      <c r="O25" s="621"/>
      <c r="P25" s="1303">
        <f>ROUND(SUM(P22)+SUM(P23)+SUM(P24),1)</f>
        <v>50.8</v>
      </c>
      <c r="Q25" s="626"/>
      <c r="R25" s="1303">
        <f t="shared" ref="R25" si="6">ROUND(SUM(R22)+SUM(R23)+SUM(R24),1)</f>
        <v>13.4</v>
      </c>
      <c r="S25" s="621"/>
      <c r="T25" s="1300">
        <f>ROUND(SUM(T22)+SUM(T23)+SUM(T24),1)</f>
        <v>10.8</v>
      </c>
      <c r="U25" s="621"/>
      <c r="V25" s="2170">
        <f>ROUND(SUM(V22)+SUM(V23)+SUM(V24),1)</f>
        <v>10.8</v>
      </c>
      <c r="W25" s="621"/>
      <c r="X25" s="1303">
        <f>ROUND(SUM(X22)+SUM(X23)+SUM(X24),1)</f>
        <v>25.4</v>
      </c>
      <c r="Y25" s="622"/>
      <c r="Z25" s="623"/>
      <c r="AA25" s="635">
        <f>ROUND(SUM(AA22:AA24),1)</f>
        <v>194.8</v>
      </c>
      <c r="AB25" s="622"/>
      <c r="AC25" s="623"/>
      <c r="AD25" s="635">
        <f>ROUND(SUM(AD22:AD24),1)</f>
        <v>179.9</v>
      </c>
      <c r="AE25" s="795"/>
      <c r="AF25" s="767"/>
      <c r="AG25" s="797">
        <f>ROUND(SUM(AG22:AG24),1)</f>
        <v>14.9</v>
      </c>
      <c r="AH25" s="781"/>
      <c r="AI25" s="799">
        <f>ROUND(IF(AG25=0,0,AG25/ABS(AD25)),3)</f>
        <v>8.3000000000000004E-2</v>
      </c>
    </row>
    <row r="26" spans="1:35" s="277" customFormat="1" ht="19.399999999999999" customHeight="1">
      <c r="A26" s="98"/>
      <c r="B26" s="268"/>
      <c r="C26" s="163"/>
      <c r="D26" s="268" t="s">
        <v>14</v>
      </c>
      <c r="E26" s="163"/>
      <c r="F26" s="268"/>
      <c r="G26" s="163"/>
      <c r="H26" s="624"/>
      <c r="I26" s="617"/>
      <c r="J26" s="624"/>
      <c r="K26" s="163"/>
      <c r="L26" s="624"/>
      <c r="M26" s="617"/>
      <c r="N26" s="624"/>
      <c r="O26" s="617"/>
      <c r="P26" s="624"/>
      <c r="Q26" s="617"/>
      <c r="R26" s="624"/>
      <c r="S26" s="617"/>
      <c r="T26" s="624"/>
      <c r="U26" s="617"/>
      <c r="V26" s="624"/>
      <c r="W26" s="617"/>
      <c r="X26" s="624"/>
      <c r="Y26" s="618"/>
      <c r="Z26" s="619"/>
      <c r="AA26" s="268"/>
      <c r="AB26" s="618"/>
      <c r="AC26" s="617"/>
      <c r="AD26" s="268"/>
      <c r="AE26" s="780"/>
      <c r="AF26" s="766"/>
      <c r="AG26" s="780"/>
      <c r="AH26" s="773"/>
      <c r="AI26" s="773"/>
    </row>
    <row r="27" spans="1:35" s="277" customFormat="1" ht="19.399999999999999" customHeight="1">
      <c r="A27" s="171" t="s">
        <v>154</v>
      </c>
      <c r="B27" s="163"/>
      <c r="C27" s="163"/>
      <c r="D27" s="163" t="s">
        <v>14</v>
      </c>
      <c r="E27" s="163"/>
      <c r="F27" s="163"/>
      <c r="G27" s="163"/>
      <c r="H27" s="617"/>
      <c r="I27" s="617"/>
      <c r="J27" s="617"/>
      <c r="K27" s="163"/>
      <c r="L27" s="617"/>
      <c r="M27" s="617"/>
      <c r="N27" s="617"/>
      <c r="O27" s="617"/>
      <c r="P27" s="617"/>
      <c r="Q27" s="617"/>
      <c r="R27" s="617"/>
      <c r="S27" s="617"/>
      <c r="T27" s="617"/>
      <c r="U27" s="617"/>
      <c r="V27" s="617"/>
      <c r="W27" s="617"/>
      <c r="X27" s="617"/>
      <c r="Y27" s="618"/>
      <c r="Z27" s="619"/>
      <c r="AA27" s="163"/>
      <c r="AB27" s="618"/>
      <c r="AC27" s="617"/>
      <c r="AD27" s="163"/>
      <c r="AE27" s="780"/>
      <c r="AF27" s="766"/>
      <c r="AG27" s="780"/>
      <c r="AH27" s="773"/>
      <c r="AI27" s="773"/>
    </row>
    <row r="28" spans="1:35" s="277" customFormat="1" ht="18.75" customHeight="1">
      <c r="A28" s="171" t="s">
        <v>44</v>
      </c>
      <c r="B28" s="627">
        <f>ROUND(B17-B25,1)</f>
        <v>1.2</v>
      </c>
      <c r="C28" s="269"/>
      <c r="D28" s="627">
        <f>ROUND(D17-D25,1)</f>
        <v>-0.5</v>
      </c>
      <c r="E28" s="269"/>
      <c r="F28" s="627">
        <f>ROUND(F17-F25,1)</f>
        <v>2.2000000000000002</v>
      </c>
      <c r="G28" s="269"/>
      <c r="H28" s="627">
        <f>ROUND(H17-H25,1)</f>
        <v>-3</v>
      </c>
      <c r="I28" s="269"/>
      <c r="J28" s="627">
        <f>ROUND(J17-J25,1)</f>
        <v>-4.2</v>
      </c>
      <c r="K28" s="269"/>
      <c r="L28" s="627">
        <f>ROUND(L17-L25,1)</f>
        <v>6.6</v>
      </c>
      <c r="M28" s="621"/>
      <c r="N28" s="627">
        <f>ROUND(N17-N25,1)</f>
        <v>-4.0999999999999996</v>
      </c>
      <c r="O28" s="621"/>
      <c r="P28" s="627">
        <f>ROUND(P17-P25,1)</f>
        <v>4</v>
      </c>
      <c r="Q28" s="2236"/>
      <c r="R28" s="627">
        <f t="shared" ref="R28" si="7">ROUND(R17-R25,1)</f>
        <v>0.5</v>
      </c>
      <c r="S28" s="621"/>
      <c r="T28" s="627">
        <f>ROUND(T17-T25,1)</f>
        <v>1.3</v>
      </c>
      <c r="U28" s="621"/>
      <c r="V28" s="627">
        <f>ROUND(V17-V25,1)</f>
        <v>3.2</v>
      </c>
      <c r="W28" s="621"/>
      <c r="X28" s="627">
        <f>ROUND(X17-X25,1)</f>
        <v>929.6</v>
      </c>
      <c r="Y28" s="622"/>
      <c r="Z28" s="623"/>
      <c r="AA28" s="628">
        <f>ROUND(AA17-AA25,1)</f>
        <v>936.8</v>
      </c>
      <c r="AB28" s="622"/>
      <c r="AC28" s="621"/>
      <c r="AD28" s="628">
        <f>ROUND(AD17-AD25,1)</f>
        <v>318.89999999999998</v>
      </c>
      <c r="AE28" s="793"/>
      <c r="AF28" s="767"/>
      <c r="AG28" s="951">
        <f>ROUND(SUM(AA28-AD28),1)</f>
        <v>617.9</v>
      </c>
      <c r="AH28" s="773"/>
      <c r="AI28" s="1043">
        <f>ROUND(IF(AD28=0,1,AG28/ABS(AD28)),3)</f>
        <v>1.9379999999999999</v>
      </c>
    </row>
    <row r="29" spans="1:35" s="277" customFormat="1" ht="19.399999999999999" customHeight="1">
      <c r="A29" s="98"/>
      <c r="B29" s="163"/>
      <c r="C29" s="163"/>
      <c r="D29" s="163" t="s">
        <v>14</v>
      </c>
      <c r="E29" s="163"/>
      <c r="F29" s="163"/>
      <c r="G29" s="163"/>
      <c r="H29" s="617"/>
      <c r="I29" s="617"/>
      <c r="J29" s="617" t="s">
        <v>1466</v>
      </c>
      <c r="K29" s="163"/>
      <c r="L29" s="617"/>
      <c r="M29" s="617"/>
      <c r="N29" s="624"/>
      <c r="O29" s="617"/>
      <c r="P29" s="617"/>
      <c r="Q29" s="617"/>
      <c r="R29" s="624"/>
      <c r="S29" s="617"/>
      <c r="T29" s="617"/>
      <c r="U29" s="617"/>
      <c r="V29" s="617"/>
      <c r="W29" s="617"/>
      <c r="X29" s="624"/>
      <c r="Y29" s="618"/>
      <c r="Z29" s="619"/>
      <c r="AA29" s="163"/>
      <c r="AB29" s="618"/>
      <c r="AC29" s="617"/>
      <c r="AD29" s="163"/>
      <c r="AE29" s="780"/>
      <c r="AF29" s="768"/>
      <c r="AG29" s="780"/>
      <c r="AH29" s="773"/>
      <c r="AI29" s="773"/>
    </row>
    <row r="30" spans="1:35" s="277" customFormat="1" ht="19.399999999999999" customHeight="1">
      <c r="A30" s="171" t="s">
        <v>45</v>
      </c>
      <c r="B30" s="163"/>
      <c r="C30" s="163"/>
      <c r="D30" s="163"/>
      <c r="E30" s="163"/>
      <c r="F30" s="163"/>
      <c r="G30" s="163"/>
      <c r="H30" s="617"/>
      <c r="I30" s="617"/>
      <c r="J30" s="617"/>
      <c r="K30" s="163"/>
      <c r="L30" s="617"/>
      <c r="M30" s="617"/>
      <c r="N30" s="617"/>
      <c r="O30" s="617"/>
      <c r="P30" s="617"/>
      <c r="Q30" s="617"/>
      <c r="R30" s="617"/>
      <c r="S30" s="617"/>
      <c r="T30" s="617"/>
      <c r="U30" s="617"/>
      <c r="V30" s="617"/>
      <c r="W30" s="617"/>
      <c r="X30" s="617"/>
      <c r="Y30" s="618"/>
      <c r="Z30" s="619"/>
      <c r="AA30" s="163"/>
      <c r="AB30" s="618"/>
      <c r="AC30" s="617"/>
      <c r="AD30" s="163"/>
      <c r="AE30" s="780"/>
      <c r="AF30" s="768"/>
      <c r="AG30" s="780"/>
      <c r="AH30" s="773"/>
      <c r="AI30" s="773"/>
    </row>
    <row r="31" spans="1:35" s="277" customFormat="1" ht="19.399999999999999" customHeight="1">
      <c r="A31" s="98" t="s">
        <v>178</v>
      </c>
      <c r="B31" s="625">
        <v>0</v>
      </c>
      <c r="C31" s="163"/>
      <c r="D31" s="625">
        <v>0</v>
      </c>
      <c r="E31" s="163"/>
      <c r="F31" s="625">
        <v>0</v>
      </c>
      <c r="G31" s="163"/>
      <c r="H31" s="625">
        <v>0</v>
      </c>
      <c r="I31" s="617"/>
      <c r="J31" s="625">
        <v>0</v>
      </c>
      <c r="K31" s="163"/>
      <c r="L31" s="625">
        <v>0</v>
      </c>
      <c r="M31" s="617"/>
      <c r="N31" s="625">
        <v>0</v>
      </c>
      <c r="O31" s="617"/>
      <c r="P31" s="625">
        <v>0</v>
      </c>
      <c r="Q31" s="617"/>
      <c r="R31" s="625">
        <v>0</v>
      </c>
      <c r="S31" s="617"/>
      <c r="T31" s="625">
        <v>0</v>
      </c>
      <c r="U31" s="617"/>
      <c r="V31" s="625">
        <v>0</v>
      </c>
      <c r="W31" s="617"/>
      <c r="X31" s="625">
        <f>$AA31-$B31-$D31-$F31-$H31-$J31-$L31-$N31-$P31-$R31-$T31-$V31</f>
        <v>0</v>
      </c>
      <c r="Y31" s="618"/>
      <c r="Z31" s="619"/>
      <c r="AA31" s="625">
        <v>0</v>
      </c>
      <c r="AB31" s="618"/>
      <c r="AC31" s="617"/>
      <c r="AD31" s="625">
        <v>0</v>
      </c>
      <c r="AE31" s="794"/>
      <c r="AF31" s="769"/>
      <c r="AG31" s="163">
        <f>ROUND(SUM(AA31-AD31),1)</f>
        <v>0</v>
      </c>
      <c r="AH31" s="784"/>
      <c r="AI31" s="785">
        <f>ROUND(IF(AG31=0,0,AG31/ABS(AD31)),3)</f>
        <v>0</v>
      </c>
    </row>
    <row r="32" spans="1:35" s="277" customFormat="1" ht="19.399999999999999" customHeight="1">
      <c r="A32" s="98" t="s">
        <v>179</v>
      </c>
      <c r="B32" s="625">
        <v>0</v>
      </c>
      <c r="C32" s="163"/>
      <c r="D32" s="625">
        <v>0</v>
      </c>
      <c r="E32" s="163"/>
      <c r="F32" s="625">
        <v>0</v>
      </c>
      <c r="G32" s="163"/>
      <c r="H32" s="1081">
        <v>0</v>
      </c>
      <c r="I32" s="617"/>
      <c r="J32" s="1332">
        <v>0</v>
      </c>
      <c r="K32" s="163"/>
      <c r="L32" s="625">
        <v>0</v>
      </c>
      <c r="M32" s="617"/>
      <c r="N32" s="625">
        <v>0</v>
      </c>
      <c r="O32" s="617"/>
      <c r="P32" s="625">
        <v>0</v>
      </c>
      <c r="Q32" s="617"/>
      <c r="R32" s="625">
        <v>0</v>
      </c>
      <c r="S32" s="617"/>
      <c r="T32" s="625">
        <v>0</v>
      </c>
      <c r="U32" s="617"/>
      <c r="V32" s="1081">
        <v>0</v>
      </c>
      <c r="W32" s="617"/>
      <c r="X32" s="625">
        <f>$AA32-$B32-$D32-$F32-$H32-$J32-$L32-$N32-$P32-$R32-$T32-$V32</f>
        <v>0</v>
      </c>
      <c r="Y32" s="618"/>
      <c r="Z32" s="619"/>
      <c r="AA32" s="2035">
        <v>0</v>
      </c>
      <c r="AB32" s="618"/>
      <c r="AC32" s="617"/>
      <c r="AD32" s="2035">
        <v>0</v>
      </c>
      <c r="AE32" s="794"/>
      <c r="AF32" s="768"/>
      <c r="AG32" s="163">
        <f>ROUND(SUM(AA32-AD32),1)</f>
        <v>0</v>
      </c>
      <c r="AH32" s="784"/>
      <c r="AI32" s="785">
        <f>ROUND(IF(AG32=0,0,AG32/ABS(AD32)),3)</f>
        <v>0</v>
      </c>
    </row>
    <row r="33" spans="1:35" s="277" customFormat="1" ht="22.5" customHeight="1">
      <c r="A33" s="171" t="s">
        <v>204</v>
      </c>
      <c r="B33" s="629">
        <f>ROUND(SUM(B31:B32),1)</f>
        <v>0</v>
      </c>
      <c r="C33" s="269"/>
      <c r="D33" s="629">
        <f>ROUND(SUM(D31:D32),1)</f>
        <v>0</v>
      </c>
      <c r="E33" s="270"/>
      <c r="F33" s="629">
        <f>ROUND(SUM(F31:F32),1)</f>
        <v>0</v>
      </c>
      <c r="G33" s="270"/>
      <c r="H33" s="636">
        <f>ROUND(SUM(H31:H32),1)</f>
        <v>0</v>
      </c>
      <c r="I33" s="630"/>
      <c r="J33" s="629">
        <f>ROUND(SUM(J31:J32),1)</f>
        <v>0</v>
      </c>
      <c r="K33" s="270"/>
      <c r="L33" s="629">
        <f>ROUND(SUM(L31:L32),1)</f>
        <v>0</v>
      </c>
      <c r="M33" s="630"/>
      <c r="N33" s="629">
        <f>ROUND(SUM(N31:N32),1)</f>
        <v>0</v>
      </c>
      <c r="O33" s="630"/>
      <c r="P33" s="629">
        <f>ROUND(SUM(P31:P32),1)</f>
        <v>0</v>
      </c>
      <c r="Q33" s="630"/>
      <c r="R33" s="629">
        <f>ROUND(SUM(R31:R32),1)</f>
        <v>0</v>
      </c>
      <c r="S33" s="630"/>
      <c r="T33" s="629">
        <f>ROUND(SUM(T31:T32),1)</f>
        <v>0</v>
      </c>
      <c r="U33" s="630"/>
      <c r="V33" s="636">
        <f>ROUND(SUM(V31:V32),1)</f>
        <v>0</v>
      </c>
      <c r="W33" s="630"/>
      <c r="X33" s="629">
        <f>ROUND(SUM(X31:X32),1)</f>
        <v>0</v>
      </c>
      <c r="Y33" s="622"/>
      <c r="Z33" s="623"/>
      <c r="AA33" s="638">
        <f>ROUND(SUM(AA31:AA32),1)</f>
        <v>0</v>
      </c>
      <c r="AB33" s="2036"/>
      <c r="AC33" s="630"/>
      <c r="AD33" s="638">
        <f>ROUND(SUM(AD31:AD32),1)</f>
        <v>0</v>
      </c>
      <c r="AE33" s="795"/>
      <c r="AF33" s="769"/>
      <c r="AG33" s="797">
        <f>ROUND(SUM(AG31-AG32),1)</f>
        <v>0</v>
      </c>
      <c r="AH33" s="787"/>
      <c r="AI33" s="799">
        <f>ROUND(IF(AG33=0,0,AG33/ABS(AD33)),3)</f>
        <v>0</v>
      </c>
    </row>
    <row r="34" spans="1:35" s="277" customFormat="1" ht="19.399999999999999" customHeight="1">
      <c r="A34" s="98"/>
      <c r="B34" s="268"/>
      <c r="C34" s="163"/>
      <c r="D34" s="268" t="s">
        <v>14</v>
      </c>
      <c r="E34" s="163"/>
      <c r="F34" s="268"/>
      <c r="G34" s="163"/>
      <c r="H34" s="624"/>
      <c r="I34" s="617"/>
      <c r="J34" s="624"/>
      <c r="K34" s="163"/>
      <c r="L34" s="624"/>
      <c r="M34" s="617"/>
      <c r="N34" s="624"/>
      <c r="O34" s="617"/>
      <c r="P34" s="624"/>
      <c r="Q34" s="617"/>
      <c r="R34" s="624"/>
      <c r="S34" s="617"/>
      <c r="T34" s="624"/>
      <c r="U34" s="617"/>
      <c r="V34" s="624"/>
      <c r="W34" s="617"/>
      <c r="X34" s="624"/>
      <c r="Y34" s="618"/>
      <c r="Z34" s="619"/>
      <c r="AA34" s="268"/>
      <c r="AB34" s="618"/>
      <c r="AC34" s="617"/>
      <c r="AD34" s="268"/>
      <c r="AE34" s="780"/>
      <c r="AF34" s="766"/>
      <c r="AG34" s="780"/>
      <c r="AH34" s="773"/>
      <c r="AI34" s="773"/>
    </row>
    <row r="35" spans="1:35" s="277" customFormat="1" ht="19.399999999999999" customHeight="1">
      <c r="A35" s="171" t="s">
        <v>162</v>
      </c>
      <c r="B35" s="163"/>
      <c r="C35" s="163"/>
      <c r="D35" s="163" t="s">
        <v>14</v>
      </c>
      <c r="E35" s="163"/>
      <c r="F35" s="163"/>
      <c r="G35" s="163"/>
      <c r="H35" s="617"/>
      <c r="I35" s="617"/>
      <c r="J35" s="617"/>
      <c r="K35" s="163"/>
      <c r="L35" s="617"/>
      <c r="M35" s="617"/>
      <c r="N35" s="617"/>
      <c r="O35" s="617"/>
      <c r="P35" s="617"/>
      <c r="Q35" s="617"/>
      <c r="R35" s="617"/>
      <c r="S35" s="617"/>
      <c r="T35" s="617"/>
      <c r="U35" s="617"/>
      <c r="V35" s="617"/>
      <c r="W35" s="617"/>
      <c r="X35" s="617"/>
      <c r="Y35" s="618"/>
      <c r="Z35" s="619"/>
      <c r="AA35" s="163"/>
      <c r="AB35" s="618"/>
      <c r="AC35" s="617"/>
      <c r="AD35" s="163"/>
      <c r="AE35" s="780"/>
      <c r="AF35" s="766"/>
      <c r="AG35" s="780"/>
      <c r="AH35" s="773"/>
      <c r="AI35" s="773"/>
    </row>
    <row r="36" spans="1:35" s="277" customFormat="1" ht="19.399999999999999" customHeight="1">
      <c r="A36" s="171" t="s">
        <v>222</v>
      </c>
      <c r="B36" s="163"/>
      <c r="C36" s="163"/>
      <c r="D36" s="163"/>
      <c r="E36" s="163"/>
      <c r="F36" s="163"/>
      <c r="G36" s="163"/>
      <c r="H36" s="617"/>
      <c r="I36" s="617"/>
      <c r="J36" s="617"/>
      <c r="K36" s="163"/>
      <c r="L36" s="617"/>
      <c r="M36" s="617"/>
      <c r="N36" s="617"/>
      <c r="O36" s="617"/>
      <c r="P36" s="617"/>
      <c r="Q36" s="617"/>
      <c r="R36" s="617"/>
      <c r="S36" s="617"/>
      <c r="T36" s="270"/>
      <c r="U36" s="617"/>
      <c r="V36" s="270"/>
      <c r="W36" s="617"/>
      <c r="X36" s="617"/>
      <c r="Y36" s="618"/>
      <c r="Z36" s="619"/>
      <c r="AA36" s="163"/>
      <c r="AB36" s="618"/>
      <c r="AC36" s="617"/>
      <c r="AD36" s="270"/>
      <c r="AE36" s="796"/>
      <c r="AF36" s="770"/>
      <c r="AG36" s="780"/>
      <c r="AH36" s="773"/>
      <c r="AI36" s="773"/>
    </row>
    <row r="37" spans="1:35" s="278" customFormat="1" ht="19.399999999999999" customHeight="1">
      <c r="A37" s="171" t="s">
        <v>842</v>
      </c>
      <c r="B37" s="626">
        <f>ROUND(+B28+B33,1)</f>
        <v>1.2</v>
      </c>
      <c r="C37" s="269"/>
      <c r="D37" s="626">
        <f>ROUND(+D28+D33,1)</f>
        <v>-0.5</v>
      </c>
      <c r="E37" s="270"/>
      <c r="F37" s="626">
        <f>ROUND(+F28+F33,1)</f>
        <v>2.2000000000000002</v>
      </c>
      <c r="G37" s="270"/>
      <c r="H37" s="626">
        <f>ROUND(+H28+H33,1)</f>
        <v>-3</v>
      </c>
      <c r="I37" s="630"/>
      <c r="J37" s="626">
        <f>ROUND(+J28+J33,1)</f>
        <v>-4.2</v>
      </c>
      <c r="K37" s="270"/>
      <c r="L37" s="626">
        <f>ROUND(+L28+L33,1)</f>
        <v>6.6</v>
      </c>
      <c r="M37" s="626"/>
      <c r="N37" s="626">
        <f>ROUND(+N28+N33,1)</f>
        <v>-4.0999999999999996</v>
      </c>
      <c r="O37" s="626"/>
      <c r="P37" s="626">
        <f>ROUND(+P28+P33,1)</f>
        <v>4</v>
      </c>
      <c r="Q37" s="626"/>
      <c r="R37" s="626">
        <f>ROUND(+R28+R33,1)</f>
        <v>0.5</v>
      </c>
      <c r="S37" s="630"/>
      <c r="T37" s="626">
        <f>ROUND(+T28+T33,1)</f>
        <v>1.3</v>
      </c>
      <c r="U37" s="630"/>
      <c r="V37" s="626">
        <f>ROUND(+V28+V33,1)</f>
        <v>3.2</v>
      </c>
      <c r="W37" s="630"/>
      <c r="X37" s="626">
        <f>ROUND(+X28+X33,1)</f>
        <v>929.6</v>
      </c>
      <c r="Y37" s="622"/>
      <c r="Z37" s="623"/>
      <c r="AA37" s="626">
        <f>ROUND(AA28+AA33,1)</f>
        <v>936.8</v>
      </c>
      <c r="AB37" s="269"/>
      <c r="AC37" s="2037"/>
      <c r="AD37" s="626">
        <f>ROUND(AD28+AD33,1)</f>
        <v>318.89999999999998</v>
      </c>
      <c r="AE37" s="793"/>
      <c r="AF37" s="771"/>
      <c r="AG37" s="951">
        <f>ROUND(SUM(AA37-AD37),1)</f>
        <v>617.9</v>
      </c>
      <c r="AH37" s="773"/>
      <c r="AI37" s="1042">
        <f>ROUND(IF(AD37=0,1,AG37/ABS(AD37)),3)</f>
        <v>1.9379999999999999</v>
      </c>
    </row>
    <row r="38" spans="1:35" s="277" customFormat="1" ht="22.5" customHeight="1" thickBot="1">
      <c r="A38" s="171" t="s">
        <v>139</v>
      </c>
      <c r="B38" s="631">
        <f>ROUND(B13+B37,1)</f>
        <v>320.10000000000002</v>
      </c>
      <c r="C38" s="267"/>
      <c r="D38" s="631">
        <f>ROUND(D13+D37,1)</f>
        <v>319.60000000000002</v>
      </c>
      <c r="E38" s="267"/>
      <c r="F38" s="631">
        <f>ROUND(F13+F37,1)</f>
        <v>321.8</v>
      </c>
      <c r="G38" s="267"/>
      <c r="H38" s="631">
        <f>ROUND(H13+H37,1)</f>
        <v>318.8</v>
      </c>
      <c r="I38" s="632"/>
      <c r="J38" s="631">
        <f>ROUND(J13+J37,1)</f>
        <v>314.60000000000002</v>
      </c>
      <c r="K38" s="267"/>
      <c r="L38" s="631">
        <f>ROUND(L13+L37,1)</f>
        <v>321.2</v>
      </c>
      <c r="M38" s="267"/>
      <c r="N38" s="631">
        <f>ROUND(N13+N37,1)</f>
        <v>317.10000000000002</v>
      </c>
      <c r="O38" s="267"/>
      <c r="P38" s="631">
        <f>ROUND(P13+P37,1)</f>
        <v>321.10000000000002</v>
      </c>
      <c r="Q38" s="267"/>
      <c r="R38" s="631">
        <f>ROUND(R13+R37,1)</f>
        <v>321.60000000000002</v>
      </c>
      <c r="S38" s="632"/>
      <c r="T38" s="631">
        <f>ROUND(T13+T37,1)</f>
        <v>322.89999999999998</v>
      </c>
      <c r="U38" s="632"/>
      <c r="V38" s="631">
        <f>ROUND(V13+V37,1)</f>
        <v>326.10000000000002</v>
      </c>
      <c r="W38" s="632"/>
      <c r="X38" s="631">
        <f>ROUND(X13+X37,1)</f>
        <v>1255.7</v>
      </c>
      <c r="Y38" s="609"/>
      <c r="Z38" s="610"/>
      <c r="AA38" s="631">
        <f>ROUND(SUM(AA13,AA37),1)</f>
        <v>1255.7</v>
      </c>
      <c r="AB38" s="267"/>
      <c r="AC38" s="2038"/>
      <c r="AD38" s="2039">
        <f>ROUND(SUM(AD13,AD37),1)</f>
        <v>318.89999999999998</v>
      </c>
      <c r="AE38" s="779"/>
      <c r="AF38" s="772"/>
      <c r="AG38" s="800">
        <f>ROUND(SUM(AA38-AD38),1)</f>
        <v>936.8</v>
      </c>
      <c r="AH38" s="786"/>
      <c r="AI38" s="977">
        <f>ROUND(IF(AD38=0,1,AG38/ABS(AD38)),3)</f>
        <v>2.9380000000000002</v>
      </c>
    </row>
    <row r="39" spans="1:35" s="277" customFormat="1" ht="19.399999999999999" customHeight="1" thickTop="1">
      <c r="A39" s="98" t="s">
        <v>14</v>
      </c>
      <c r="B39" s="633"/>
      <c r="C39" s="634"/>
      <c r="D39" s="633"/>
      <c r="E39" s="634"/>
      <c r="F39" s="633"/>
      <c r="G39" s="634"/>
      <c r="H39" s="633"/>
      <c r="I39" s="634"/>
      <c r="J39" s="633"/>
      <c r="K39" s="634"/>
      <c r="L39" s="633"/>
      <c r="M39" s="634"/>
      <c r="N39" s="633"/>
      <c r="O39" s="634"/>
      <c r="P39" s="633"/>
      <c r="Q39" s="634"/>
      <c r="R39" s="633"/>
      <c r="S39" s="634"/>
      <c r="T39" s="633"/>
      <c r="U39" s="634"/>
      <c r="V39" s="633"/>
      <c r="W39" s="634"/>
      <c r="X39" s="633"/>
      <c r="Y39" s="634"/>
      <c r="Z39" s="634"/>
      <c r="AA39" s="633"/>
      <c r="AB39" s="634"/>
      <c r="AC39" s="634"/>
      <c r="AD39" s="634"/>
      <c r="AE39" s="775"/>
      <c r="AF39" s="775"/>
      <c r="AG39" s="773"/>
      <c r="AH39" s="773"/>
      <c r="AI39" s="773"/>
    </row>
    <row r="40" spans="1:35" s="277" customFormat="1" ht="19.399999999999999" customHeight="1">
      <c r="B40" s="472"/>
      <c r="C40" s="472"/>
      <c r="D40" s="472"/>
      <c r="E40" s="472"/>
      <c r="F40" s="472"/>
      <c r="G40" s="472"/>
      <c r="H40" s="472"/>
      <c r="I40" s="472"/>
      <c r="J40" s="472"/>
      <c r="K40" s="472"/>
      <c r="L40" s="472"/>
      <c r="M40" s="472"/>
      <c r="N40" s="472"/>
      <c r="O40" s="472"/>
      <c r="P40" s="472"/>
      <c r="Q40" s="472"/>
      <c r="R40" s="472"/>
      <c r="S40" s="472"/>
      <c r="T40" s="472"/>
      <c r="U40" s="472"/>
      <c r="V40" s="472"/>
      <c r="W40" s="472"/>
      <c r="X40" s="472"/>
      <c r="Y40" s="472"/>
      <c r="Z40" s="634"/>
      <c r="AA40" s="634"/>
      <c r="AB40" s="634"/>
      <c r="AC40" s="634"/>
      <c r="AD40" s="634"/>
      <c r="AE40" s="775"/>
      <c r="AF40" s="775"/>
      <c r="AG40" s="773"/>
      <c r="AH40" s="773"/>
      <c r="AI40" s="773"/>
    </row>
    <row r="41" spans="1:35" ht="15.75" customHeight="1">
      <c r="A41" s="279"/>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39"/>
      <c r="AB41" s="39"/>
      <c r="AC41" s="39"/>
      <c r="AD41" s="634"/>
      <c r="AE41" s="775"/>
      <c r="AF41" s="775"/>
    </row>
    <row r="42" spans="1:35">
      <c r="A42" s="277"/>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row>
    <row r="43" spans="1:35" ht="13.5" customHeight="1">
      <c r="A43" s="499"/>
      <c r="B43" s="472"/>
      <c r="C43" s="472"/>
      <c r="D43" s="472"/>
      <c r="E43" s="472"/>
      <c r="F43" s="472"/>
      <c r="G43" s="472"/>
      <c r="H43" s="472"/>
      <c r="I43" s="472"/>
      <c r="J43" s="472"/>
      <c r="K43" s="472"/>
      <c r="L43" s="472"/>
      <c r="M43" s="472"/>
      <c r="N43" s="472"/>
      <c r="O43" s="472"/>
      <c r="P43" s="472"/>
      <c r="Q43" s="472"/>
      <c r="R43" s="472"/>
      <c r="S43" s="472"/>
      <c r="T43" s="472"/>
      <c r="U43" s="472"/>
      <c r="V43" s="472"/>
      <c r="W43" s="472"/>
      <c r="X43" s="472"/>
      <c r="Y43" s="472"/>
      <c r="Z43" s="472"/>
      <c r="AA43" s="39"/>
      <c r="AB43" s="39"/>
      <c r="AC43" s="39"/>
      <c r="AD43" s="634"/>
      <c r="AE43" s="775"/>
      <c r="AF43" s="775"/>
    </row>
    <row r="44" spans="1:35">
      <c r="A44" s="499"/>
      <c r="B44" s="472"/>
      <c r="C44" s="472"/>
      <c r="D44" s="472"/>
      <c r="E44" s="472"/>
      <c r="F44" s="472"/>
      <c r="G44" s="472"/>
      <c r="H44" s="472"/>
      <c r="I44" s="472"/>
      <c r="J44" s="472"/>
      <c r="K44" s="472"/>
      <c r="L44" s="472"/>
      <c r="M44" s="472"/>
      <c r="N44" s="472"/>
      <c r="O44" s="472"/>
      <c r="P44" s="472"/>
      <c r="Q44" s="472"/>
      <c r="R44" s="472"/>
      <c r="S44" s="472"/>
      <c r="T44" s="472"/>
      <c r="U44" s="472"/>
      <c r="V44" s="472"/>
      <c r="W44" s="472"/>
      <c r="X44" s="472"/>
      <c r="Y44" s="472"/>
      <c r="Z44" s="472"/>
      <c r="AA44" s="39"/>
      <c r="AB44" s="39"/>
      <c r="AC44" s="39"/>
      <c r="AD44" s="634"/>
      <c r="AE44" s="775"/>
      <c r="AF44" s="775"/>
    </row>
    <row r="45" spans="1:35">
      <c r="A45" s="499"/>
      <c r="B45" s="472"/>
      <c r="C45" s="472"/>
      <c r="D45" s="472"/>
      <c r="E45" s="472"/>
      <c r="F45" s="472"/>
      <c r="G45" s="472"/>
      <c r="H45" s="472"/>
      <c r="I45" s="472"/>
      <c r="J45" s="472"/>
      <c r="K45" s="472"/>
      <c r="L45" s="472"/>
      <c r="M45" s="472"/>
      <c r="N45" s="472"/>
      <c r="O45" s="472"/>
      <c r="P45" s="472"/>
      <c r="Q45" s="472"/>
      <c r="R45" s="472"/>
      <c r="S45" s="472"/>
      <c r="T45" s="472"/>
      <c r="U45" s="472"/>
      <c r="V45" s="472"/>
      <c r="W45" s="472"/>
      <c r="X45" s="472"/>
      <c r="Y45" s="472"/>
      <c r="Z45" s="472"/>
      <c r="AA45" s="39"/>
      <c r="AB45" s="39"/>
      <c r="AC45" s="39"/>
      <c r="AD45" s="634"/>
      <c r="AE45" s="775"/>
      <c r="AF45" s="775"/>
    </row>
    <row r="46" spans="1:35">
      <c r="A46" s="499"/>
      <c r="B46" s="472"/>
      <c r="C46" s="472"/>
      <c r="D46" s="472"/>
      <c r="E46" s="472"/>
      <c r="F46" s="472"/>
      <c r="G46" s="472"/>
      <c r="H46" s="472"/>
      <c r="I46" s="472"/>
      <c r="J46" s="472"/>
      <c r="K46" s="472"/>
      <c r="L46" s="472"/>
      <c r="M46" s="472"/>
      <c r="N46" s="472"/>
      <c r="O46" s="472"/>
      <c r="P46" s="472"/>
      <c r="Q46" s="472"/>
      <c r="R46" s="472"/>
      <c r="S46" s="472"/>
      <c r="T46" s="472"/>
      <c r="U46" s="472"/>
      <c r="V46" s="472"/>
      <c r="W46" s="472"/>
      <c r="X46" s="472"/>
      <c r="Y46" s="472"/>
      <c r="Z46" s="472"/>
      <c r="AA46" s="39"/>
      <c r="AB46" s="39"/>
      <c r="AC46" s="39"/>
      <c r="AD46" s="634"/>
      <c r="AE46" s="775"/>
      <c r="AF46" s="775"/>
    </row>
    <row r="47" spans="1:35">
      <c r="A47" s="499"/>
      <c r="B47" s="499"/>
      <c r="C47" s="499"/>
      <c r="D47" s="499"/>
      <c r="E47" s="499"/>
      <c r="F47" s="499"/>
      <c r="G47" s="499"/>
      <c r="H47" s="499"/>
      <c r="I47" s="499"/>
      <c r="J47" s="499"/>
      <c r="K47" s="499"/>
      <c r="L47" s="499"/>
      <c r="M47" s="499"/>
      <c r="N47" s="499"/>
      <c r="O47" s="499"/>
      <c r="P47" s="499"/>
      <c r="Q47" s="499"/>
      <c r="R47" s="499"/>
      <c r="S47" s="499"/>
      <c r="T47" s="499"/>
      <c r="U47" s="499"/>
      <c r="V47" s="499"/>
      <c r="W47" s="499"/>
      <c r="X47" s="499"/>
      <c r="Y47" s="499"/>
      <c r="Z47" s="499"/>
      <c r="AA47" s="21"/>
      <c r="AB47" s="21"/>
      <c r="AC47" s="21"/>
      <c r="AD47" s="98"/>
    </row>
  </sheetData>
  <mergeCells count="2">
    <mergeCell ref="AC9:AI9"/>
    <mergeCell ref="Z10:AI10"/>
  </mergeCells>
  <printOptions horizontalCentered="1"/>
  <pageMargins left="0.25" right="0.25" top="0.5" bottom="0.25" header="0" footer="0.25"/>
  <pageSetup firstPageNumber="37"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workbookViewId="0"/>
  </sheetViews>
  <sheetFormatPr defaultColWidth="8.84375" defaultRowHeight="12.5"/>
  <cols>
    <col min="1" max="1" width="46.84375" style="275" customWidth="1"/>
    <col min="2" max="2" width="10" style="275" customWidth="1"/>
    <col min="3" max="3" width="1.84375" style="275" customWidth="1"/>
    <col min="4" max="4" width="10.84375" style="275" customWidth="1"/>
    <col min="5" max="5" width="1.84375" style="275" customWidth="1"/>
    <col min="6" max="6" width="10" style="275" customWidth="1"/>
    <col min="7" max="7" width="1.84375" style="275" customWidth="1"/>
    <col min="8" max="8" width="10" style="275" customWidth="1"/>
    <col min="9" max="9" width="1.84375" style="275" customWidth="1"/>
    <col min="10" max="10" width="10.84375" style="275" customWidth="1"/>
    <col min="11" max="11" width="1.84375" style="275" customWidth="1"/>
    <col min="12" max="12" width="14.07421875" style="275" customWidth="1"/>
    <col min="13" max="13" width="1.84375" style="275" customWidth="1"/>
    <col min="14" max="14" width="15.4609375" style="275" bestFit="1" customWidth="1"/>
    <col min="15" max="15" width="1.84375" style="275" customWidth="1"/>
    <col min="16" max="16" width="13.4609375" style="275" bestFit="1" customWidth="1"/>
    <col min="17" max="17" width="1.84375" style="275" customWidth="1"/>
    <col min="18" max="18" width="15.07421875" style="275" bestFit="1" customWidth="1"/>
    <col min="19" max="19" width="1.84375" style="275" customWidth="1"/>
    <col min="20" max="20" width="11.84375" style="275" customWidth="1"/>
    <col min="21" max="21" width="1.84375" style="275" customWidth="1"/>
    <col min="22" max="22" width="12.84375" style="275" bestFit="1" customWidth="1"/>
    <col min="23" max="23" width="1.84375" style="275" customWidth="1"/>
    <col min="24" max="24" width="9.84375" style="275" customWidth="1"/>
    <col min="25" max="26" width="1.84375" style="275" customWidth="1"/>
    <col min="27" max="27" width="10.07421875" style="275" customWidth="1"/>
    <col min="28" max="29" width="1.84375" style="275" customWidth="1"/>
    <col min="30" max="30" width="10.07421875" style="275" customWidth="1"/>
    <col min="31" max="31" width="1.84375" style="275" customWidth="1"/>
    <col min="32" max="32" width="2.4609375" style="275" customWidth="1"/>
    <col min="33" max="33" width="10.07421875" style="275" bestFit="1" customWidth="1"/>
    <col min="34" max="34" width="1.84375" style="275" customWidth="1"/>
    <col min="35" max="35" width="11.07421875" style="275" customWidth="1"/>
    <col min="36" max="16384" width="8.84375" style="275"/>
  </cols>
  <sheetData>
    <row r="1" spans="1:36" ht="15.5">
      <c r="A1" s="468" t="s">
        <v>868</v>
      </c>
    </row>
    <row r="2" spans="1:36" ht="15.5">
      <c r="A2" s="600"/>
    </row>
    <row r="3" spans="1:36" ht="20.25" customHeight="1">
      <c r="A3" s="1927" t="s">
        <v>0</v>
      </c>
      <c r="B3" s="21"/>
      <c r="C3" s="21"/>
      <c r="D3" s="21"/>
      <c r="E3" s="21"/>
      <c r="F3" s="21"/>
      <c r="G3" s="21"/>
      <c r="H3" s="21"/>
      <c r="I3" s="21"/>
      <c r="J3" s="21"/>
      <c r="K3" s="19"/>
      <c r="L3" s="19"/>
      <c r="M3" s="21"/>
      <c r="N3" s="21"/>
      <c r="O3" s="21"/>
      <c r="P3" s="21"/>
      <c r="Q3" s="21"/>
      <c r="R3" s="21"/>
      <c r="S3" s="21"/>
      <c r="T3" s="21"/>
      <c r="U3" s="21"/>
      <c r="V3" s="21"/>
      <c r="W3" s="21"/>
      <c r="X3" s="21"/>
      <c r="Y3" s="21"/>
      <c r="Z3" s="21"/>
      <c r="AA3" s="21"/>
      <c r="AB3" s="21"/>
      <c r="AC3" s="21"/>
      <c r="AD3" s="21"/>
      <c r="AE3" s="21"/>
      <c r="AF3" s="21"/>
      <c r="AG3" s="277"/>
      <c r="AI3" s="604" t="s">
        <v>224</v>
      </c>
    </row>
    <row r="4" spans="1:36" ht="20.25" customHeight="1">
      <c r="A4" s="1009" t="s">
        <v>223</v>
      </c>
      <c r="B4" s="21"/>
      <c r="C4" s="21"/>
      <c r="D4" s="21"/>
      <c r="E4" s="21"/>
      <c r="F4" s="21"/>
      <c r="G4" s="21"/>
      <c r="H4" s="19" t="s">
        <v>14</v>
      </c>
      <c r="I4" s="21"/>
      <c r="J4" s="21"/>
      <c r="K4" s="19"/>
      <c r="L4" s="19"/>
      <c r="M4" s="21"/>
      <c r="N4" s="21"/>
      <c r="O4" s="21"/>
      <c r="P4" s="21"/>
      <c r="Q4" s="21"/>
      <c r="R4" s="21"/>
      <c r="S4" s="21"/>
      <c r="T4" s="21"/>
      <c r="U4" s="21"/>
      <c r="V4" s="21"/>
      <c r="W4" s="21"/>
      <c r="X4" s="21" t="s">
        <v>14</v>
      </c>
      <c r="Y4" s="21"/>
      <c r="Z4" s="21"/>
      <c r="AA4" s="21"/>
      <c r="AB4" s="21"/>
      <c r="AC4" s="21"/>
      <c r="AD4" s="21"/>
      <c r="AE4" s="21"/>
      <c r="AF4" s="21"/>
      <c r="AG4" s="277"/>
    </row>
    <row r="5" spans="1:36" ht="20.25" customHeight="1">
      <c r="A5" s="1009" t="s">
        <v>121</v>
      </c>
      <c r="B5" s="21"/>
      <c r="C5" s="21"/>
      <c r="D5" s="21"/>
      <c r="E5" s="21"/>
      <c r="F5" s="21"/>
      <c r="G5" s="21"/>
      <c r="H5" s="21"/>
      <c r="I5" s="21"/>
      <c r="J5" s="21"/>
      <c r="K5" s="19"/>
      <c r="L5" s="19"/>
      <c r="M5" s="21"/>
      <c r="N5" s="21"/>
      <c r="O5" s="21"/>
      <c r="P5" s="21"/>
      <c r="Q5" s="21"/>
      <c r="R5" s="21"/>
      <c r="S5" s="21"/>
      <c r="T5" s="21"/>
      <c r="U5" s="21"/>
      <c r="V5" s="21"/>
      <c r="W5" s="21"/>
      <c r="X5" s="21"/>
      <c r="Y5" s="21"/>
      <c r="Z5" s="21"/>
      <c r="AB5" s="276"/>
      <c r="AC5" s="276"/>
      <c r="AE5" s="604"/>
      <c r="AG5" s="277"/>
    </row>
    <row r="6" spans="1:36" ht="20.25" customHeight="1">
      <c r="A6" s="1009" t="str">
        <f>'Cashflow Governmental'!A6</f>
        <v xml:space="preserve">FISCAL YEAR 2022-2023   </v>
      </c>
      <c r="B6" s="21"/>
      <c r="C6" s="21"/>
      <c r="D6" s="21"/>
      <c r="E6" s="21"/>
      <c r="F6" s="21"/>
      <c r="G6" s="21"/>
      <c r="H6" s="21"/>
      <c r="I6" s="21"/>
      <c r="J6" s="21"/>
      <c r="K6" s="19"/>
      <c r="L6" s="19"/>
      <c r="M6" s="21"/>
      <c r="N6" s="21"/>
      <c r="O6" s="21"/>
      <c r="P6" s="21"/>
      <c r="Q6" s="21"/>
      <c r="R6" s="21"/>
      <c r="S6" s="21"/>
      <c r="T6" s="21"/>
      <c r="U6" s="21"/>
      <c r="V6" s="21"/>
      <c r="W6" s="21"/>
      <c r="X6" s="21"/>
      <c r="Y6" s="21"/>
      <c r="Z6" s="21"/>
      <c r="AA6" s="21"/>
      <c r="AB6" s="21"/>
      <c r="AC6" s="21"/>
      <c r="AD6" s="21"/>
      <c r="AE6" s="21"/>
      <c r="AF6" s="21"/>
      <c r="AG6" s="277"/>
    </row>
    <row r="7" spans="1:36" ht="20.25" customHeight="1">
      <c r="A7" s="1927" t="s">
        <v>1247</v>
      </c>
      <c r="B7" s="21"/>
      <c r="C7" s="21"/>
      <c r="D7" s="21"/>
      <c r="E7" s="21"/>
      <c r="F7" s="21"/>
      <c r="G7" s="21"/>
      <c r="H7" s="21"/>
      <c r="I7" s="21"/>
      <c r="J7" s="21"/>
      <c r="K7" s="19"/>
      <c r="L7" s="21"/>
      <c r="M7" s="21"/>
      <c r="N7" s="21"/>
      <c r="O7" s="21"/>
      <c r="P7" s="21"/>
      <c r="Q7" s="21"/>
      <c r="R7" s="21"/>
      <c r="S7" s="21"/>
      <c r="T7" s="21"/>
      <c r="U7" s="21"/>
      <c r="V7" s="21"/>
      <c r="W7" s="21"/>
      <c r="X7" s="21"/>
      <c r="Y7" s="21"/>
      <c r="Z7" s="21"/>
      <c r="AA7" s="773"/>
      <c r="AB7" s="773"/>
      <c r="AC7" s="773"/>
      <c r="AD7" s="773"/>
      <c r="AE7" s="773"/>
      <c r="AF7" s="773"/>
      <c r="AG7" s="773"/>
      <c r="AH7" s="773"/>
      <c r="AI7" s="773"/>
    </row>
    <row r="8" spans="1:36" s="277" customFormat="1" ht="19.399999999999999" customHeight="1">
      <c r="A8" s="128"/>
      <c r="B8" s="21"/>
      <c r="C8" s="21"/>
      <c r="D8" s="21"/>
      <c r="E8" s="21"/>
      <c r="F8" s="21"/>
      <c r="G8" s="21"/>
      <c r="H8" s="21"/>
      <c r="I8" s="21"/>
      <c r="J8" s="21"/>
      <c r="K8" s="21"/>
      <c r="L8" s="21"/>
      <c r="M8" s="21"/>
      <c r="N8" s="21"/>
      <c r="O8" s="21"/>
      <c r="P8" s="21"/>
      <c r="Q8" s="21"/>
      <c r="R8" s="21"/>
      <c r="S8" s="21"/>
      <c r="T8" s="21"/>
      <c r="U8" s="21"/>
      <c r="V8" s="21"/>
      <c r="W8" s="21"/>
      <c r="X8" s="21"/>
      <c r="Y8" s="21"/>
      <c r="Z8" s="21"/>
      <c r="AA8" s="773"/>
      <c r="AB8" s="773"/>
      <c r="AC8" s="773"/>
      <c r="AD8" s="773"/>
      <c r="AE8" s="773"/>
      <c r="AF8" s="773"/>
      <c r="AG8" s="773"/>
      <c r="AH8" s="773"/>
      <c r="AI8" s="773"/>
    </row>
    <row r="9" spans="1:36" s="277" customFormat="1" ht="19.399999999999999" customHeight="1">
      <c r="A9" s="21"/>
      <c r="B9" s="21"/>
      <c r="C9" s="21"/>
      <c r="D9" s="21"/>
      <c r="E9" s="21"/>
      <c r="F9" s="21"/>
      <c r="G9" s="21"/>
      <c r="H9" s="19"/>
      <c r="I9" s="19"/>
      <c r="J9" s="19"/>
      <c r="K9" s="21"/>
      <c r="L9" s="21"/>
      <c r="M9" s="21"/>
      <c r="N9" s="21"/>
      <c r="O9" s="21"/>
      <c r="P9" s="21"/>
      <c r="Q9" s="21"/>
      <c r="R9" s="21"/>
      <c r="S9" s="21"/>
      <c r="T9" s="21"/>
      <c r="U9" s="21"/>
      <c r="V9" s="21"/>
      <c r="W9" s="21"/>
      <c r="X9" s="21"/>
      <c r="Y9" s="21"/>
      <c r="Z9" s="21"/>
      <c r="AA9" s="773"/>
      <c r="AB9" s="773"/>
      <c r="AC9" s="2329"/>
      <c r="AD9" s="2330"/>
      <c r="AE9" s="2330"/>
      <c r="AF9" s="2330"/>
      <c r="AG9" s="2330"/>
      <c r="AH9" s="2330"/>
      <c r="AI9" s="2330"/>
    </row>
    <row r="10" spans="1:36" s="277" customFormat="1" ht="19.399999999999999" customHeight="1">
      <c r="A10" s="98"/>
      <c r="B10" s="98"/>
      <c r="C10" s="98"/>
      <c r="D10" s="98"/>
      <c r="E10" s="98"/>
      <c r="F10" s="98"/>
      <c r="G10" s="98"/>
      <c r="H10" s="98"/>
      <c r="I10" s="98"/>
      <c r="J10" s="98"/>
      <c r="K10" s="98"/>
      <c r="L10" s="98"/>
      <c r="M10" s="98"/>
      <c r="N10" s="98"/>
      <c r="O10" s="98"/>
      <c r="P10" s="98"/>
      <c r="Q10" s="98"/>
      <c r="R10" s="98"/>
      <c r="S10" s="98"/>
      <c r="T10" s="98"/>
      <c r="U10" s="98"/>
      <c r="V10" s="606"/>
      <c r="W10" s="98"/>
      <c r="X10" s="605"/>
      <c r="Y10" s="606"/>
      <c r="AA10" s="2328" t="s">
        <v>1559</v>
      </c>
      <c r="AB10" s="2331"/>
      <c r="AC10" s="2331"/>
      <c r="AD10" s="2331"/>
      <c r="AE10" s="2331"/>
      <c r="AF10" s="2331"/>
      <c r="AG10" s="2331"/>
      <c r="AH10" s="2331"/>
      <c r="AI10" s="2331"/>
    </row>
    <row r="11" spans="1:36" s="277" customFormat="1" ht="19.399999999999999" customHeight="1">
      <c r="A11" s="98"/>
      <c r="B11" s="561" t="str">
        <f>'Cashflow Governmental'!C13</f>
        <v>2022</v>
      </c>
      <c r="C11" s="171"/>
      <c r="D11" s="171"/>
      <c r="E11" s="171"/>
      <c r="F11" s="171"/>
      <c r="G11" s="171"/>
      <c r="H11" s="171"/>
      <c r="I11" s="171"/>
      <c r="J11" s="171"/>
      <c r="K11" s="171"/>
      <c r="L11" s="171"/>
      <c r="M11" s="171"/>
      <c r="N11" s="171"/>
      <c r="O11" s="171"/>
      <c r="P11" s="171"/>
      <c r="Q11" s="171"/>
      <c r="R11" s="171"/>
      <c r="S11" s="171"/>
      <c r="T11" s="561">
        <f>'Cashflow Governmental'!U13</f>
        <v>2023</v>
      </c>
      <c r="U11" s="171"/>
      <c r="V11" s="562"/>
      <c r="W11" s="171"/>
      <c r="X11" s="171"/>
      <c r="Y11" s="171"/>
      <c r="Z11" s="171"/>
      <c r="AA11" s="765"/>
      <c r="AB11" s="765"/>
      <c r="AC11" s="765"/>
      <c r="AD11" s="791"/>
      <c r="AE11" s="791"/>
      <c r="AF11" s="765"/>
      <c r="AG11" s="776" t="s">
        <v>7</v>
      </c>
      <c r="AH11" s="776"/>
      <c r="AI11" s="777" t="s">
        <v>8</v>
      </c>
    </row>
    <row r="12" spans="1:36" s="277" customFormat="1" ht="19.399999999999999" customHeight="1">
      <c r="A12" s="98"/>
      <c r="B12" s="562" t="s">
        <v>122</v>
      </c>
      <c r="C12" s="171"/>
      <c r="D12" s="607" t="s">
        <v>123</v>
      </c>
      <c r="E12" s="171"/>
      <c r="F12" s="607" t="s">
        <v>124</v>
      </c>
      <c r="G12" s="171"/>
      <c r="H12" s="607" t="s">
        <v>125</v>
      </c>
      <c r="I12" s="171"/>
      <c r="J12" s="608" t="s">
        <v>221</v>
      </c>
      <c r="K12" s="171"/>
      <c r="L12" s="608" t="s">
        <v>141</v>
      </c>
      <c r="M12" s="171"/>
      <c r="N12" s="608" t="s">
        <v>142</v>
      </c>
      <c r="O12" s="171"/>
      <c r="P12" s="607" t="s">
        <v>129</v>
      </c>
      <c r="Q12" s="171"/>
      <c r="R12" s="607" t="s">
        <v>130</v>
      </c>
      <c r="S12" s="171"/>
      <c r="T12" s="608" t="s">
        <v>131</v>
      </c>
      <c r="U12" s="171"/>
      <c r="V12" s="607" t="s">
        <v>132</v>
      </c>
      <c r="W12" s="171"/>
      <c r="X12" s="608" t="s">
        <v>182</v>
      </c>
      <c r="Y12" s="171"/>
      <c r="Z12" s="171"/>
      <c r="AA12" s="787">
        <f>'Cashflow Governmental'!AB14</f>
        <v>2023</v>
      </c>
      <c r="AB12" s="787"/>
      <c r="AC12" s="787"/>
      <c r="AD12" s="1877">
        <f>'Cashflow Governmental'!AE14</f>
        <v>2022</v>
      </c>
      <c r="AE12" s="787"/>
      <c r="AF12" s="787"/>
      <c r="AG12" s="778" t="s">
        <v>11</v>
      </c>
      <c r="AH12" s="776"/>
      <c r="AI12" s="778" t="s">
        <v>12</v>
      </c>
    </row>
    <row r="13" spans="1:36" s="277" customFormat="1" ht="19.399999999999999" customHeight="1">
      <c r="A13" s="171" t="s">
        <v>134</v>
      </c>
      <c r="B13" s="1077">
        <v>45.9</v>
      </c>
      <c r="C13" s="267"/>
      <c r="D13" s="1077">
        <f>B38</f>
        <v>47.4</v>
      </c>
      <c r="E13" s="267"/>
      <c r="F13" s="1077">
        <f>D38</f>
        <v>47.9</v>
      </c>
      <c r="G13" s="267"/>
      <c r="H13" s="1077">
        <f>F38</f>
        <v>48.4</v>
      </c>
      <c r="I13" s="632"/>
      <c r="J13" s="1077">
        <f>H38</f>
        <v>48.8</v>
      </c>
      <c r="K13" s="267"/>
      <c r="L13" s="1077">
        <f>J38</f>
        <v>49.3</v>
      </c>
      <c r="M13" s="632"/>
      <c r="N13" s="1077">
        <f>L38</f>
        <v>49.4</v>
      </c>
      <c r="O13" s="632"/>
      <c r="P13" s="1077">
        <f>N38</f>
        <v>50.2</v>
      </c>
      <c r="Q13" s="1799"/>
      <c r="R13" s="1077">
        <f t="shared" ref="R13" si="0">P38</f>
        <v>50.7</v>
      </c>
      <c r="S13" s="1799"/>
      <c r="T13" s="1077">
        <f t="shared" ref="T13" si="1">R38</f>
        <v>50.9</v>
      </c>
      <c r="U13" s="1077"/>
      <c r="V13" s="1077">
        <f t="shared" ref="V13" si="2">T38</f>
        <v>51.9</v>
      </c>
      <c r="W13" s="1077"/>
      <c r="X13" s="1077">
        <f t="shared" ref="X13" si="3">V38</f>
        <v>52.5</v>
      </c>
      <c r="Y13" s="609"/>
      <c r="Z13" s="610"/>
      <c r="AA13" s="1815">
        <f>+B13</f>
        <v>45.9</v>
      </c>
      <c r="AB13" s="1816"/>
      <c r="AC13" s="1817"/>
      <c r="AD13" s="1077">
        <v>40.200000000000003</v>
      </c>
      <c r="AE13" s="1078"/>
      <c r="AF13" s="1079"/>
      <c r="AG13" s="779">
        <f>ROUND(SUM(AA13-AD13),1)</f>
        <v>5.7</v>
      </c>
      <c r="AH13" s="773"/>
      <c r="AI13" s="1080">
        <f>ROUND(IF(AG13=0,0,AG13/(AD13)),3)</f>
        <v>0.14199999999999999</v>
      </c>
    </row>
    <row r="14" spans="1:36" s="277" customFormat="1" ht="19.399999999999999" customHeight="1">
      <c r="A14" s="98"/>
      <c r="B14" s="98"/>
      <c r="C14" s="98"/>
      <c r="D14" s="98"/>
      <c r="E14" s="98"/>
      <c r="F14" s="98"/>
      <c r="G14" s="98"/>
      <c r="H14" s="615"/>
      <c r="I14" s="615"/>
      <c r="J14" s="615"/>
      <c r="K14" s="98"/>
      <c r="L14" s="615"/>
      <c r="M14" s="615"/>
      <c r="N14" s="615"/>
      <c r="O14" s="615"/>
      <c r="P14" s="615"/>
      <c r="Q14" s="615"/>
      <c r="R14" s="612"/>
      <c r="S14" s="615"/>
      <c r="T14" s="615"/>
      <c r="U14" s="615"/>
      <c r="V14" s="615"/>
      <c r="W14" s="615"/>
      <c r="X14" s="615"/>
      <c r="Y14" s="613"/>
      <c r="Z14" s="614"/>
      <c r="AA14" s="773"/>
      <c r="AB14" s="1818"/>
      <c r="AC14" s="1801"/>
      <c r="AD14" s="773"/>
      <c r="AE14" s="773"/>
      <c r="AF14" s="789"/>
      <c r="AG14" s="773"/>
      <c r="AH14" s="773"/>
      <c r="AI14" s="773"/>
    </row>
    <row r="15" spans="1:36" s="277" customFormat="1" ht="19.399999999999999" customHeight="1">
      <c r="A15" s="171" t="s">
        <v>13</v>
      </c>
      <c r="B15" s="98"/>
      <c r="C15" s="98"/>
      <c r="D15" s="98"/>
      <c r="E15" s="98"/>
      <c r="F15" s="98"/>
      <c r="G15" s="98"/>
      <c r="H15" s="615"/>
      <c r="I15" s="615"/>
      <c r="J15" s="615"/>
      <c r="K15" s="98"/>
      <c r="L15" s="615"/>
      <c r="M15" s="615"/>
      <c r="N15" s="615"/>
      <c r="O15" s="615"/>
      <c r="P15" s="615"/>
      <c r="Q15" s="615"/>
      <c r="R15" s="612"/>
      <c r="S15" s="615"/>
      <c r="T15" s="615"/>
      <c r="U15" s="615"/>
      <c r="V15" s="615"/>
      <c r="W15" s="615"/>
      <c r="X15" s="615"/>
      <c r="Y15" s="613"/>
      <c r="Z15" s="614"/>
      <c r="AA15" s="773"/>
      <c r="AB15" s="1818"/>
      <c r="AC15" s="1801"/>
      <c r="AD15" s="773"/>
      <c r="AE15" s="773"/>
      <c r="AF15" s="789"/>
      <c r="AG15" s="773"/>
      <c r="AH15" s="773"/>
      <c r="AI15" s="773"/>
    </row>
    <row r="16" spans="1:36" s="277" customFormat="1" ht="19.399999999999999" customHeight="1">
      <c r="A16" s="616" t="s">
        <v>175</v>
      </c>
      <c r="B16" s="1081">
        <v>1.5</v>
      </c>
      <c r="C16" s="163"/>
      <c r="D16" s="1081">
        <v>0.60000000000000009</v>
      </c>
      <c r="E16" s="163"/>
      <c r="F16" s="1081">
        <v>0.5</v>
      </c>
      <c r="G16" s="625"/>
      <c r="H16" s="1081">
        <v>0.5</v>
      </c>
      <c r="I16" s="617"/>
      <c r="J16" s="1081">
        <v>0.6</v>
      </c>
      <c r="K16" s="163"/>
      <c r="L16" s="1081">
        <v>0.19999999999999984</v>
      </c>
      <c r="M16" s="617"/>
      <c r="N16" s="1081">
        <v>0.8999999999999998</v>
      </c>
      <c r="O16" s="617"/>
      <c r="P16" s="1081">
        <v>0.60000000000000064</v>
      </c>
      <c r="Q16" s="625"/>
      <c r="R16" s="1081">
        <v>0.29999999999999982</v>
      </c>
      <c r="S16" s="625"/>
      <c r="T16" s="1081">
        <v>0.99999999999999956</v>
      </c>
      <c r="U16" s="625"/>
      <c r="V16" s="1081">
        <v>0.70000000000000107</v>
      </c>
      <c r="W16" s="625"/>
      <c r="X16" s="1081">
        <f>$AA16-$B16-$D16-$F16-$H16-$J16-$L16-$N16-$P16-$R16-$T16-$V16</f>
        <v>0.69999999999999929</v>
      </c>
      <c r="Y16" s="618"/>
      <c r="Z16" s="619"/>
      <c r="AA16" s="1081">
        <v>8.1</v>
      </c>
      <c r="AB16" s="2016"/>
      <c r="AC16" s="2017"/>
      <c r="AD16" s="1081">
        <v>6.5</v>
      </c>
      <c r="AE16" s="792"/>
      <c r="AF16" s="766"/>
      <c r="AG16" s="163">
        <f>ROUND(SUM(AA16-AD16),1)</f>
        <v>1.6</v>
      </c>
      <c r="AH16" s="773"/>
      <c r="AI16" s="1216">
        <f>ROUND(IF(AD16=0,1,AG16/ABS(AD16)),3)</f>
        <v>0.246</v>
      </c>
      <c r="AJ16" s="2134"/>
    </row>
    <row r="17" spans="1:35" s="277" customFormat="1" ht="24" customHeight="1">
      <c r="A17" s="171" t="s">
        <v>147</v>
      </c>
      <c r="B17" s="626">
        <f>ROUND(SUM(B16),1)</f>
        <v>1.5</v>
      </c>
      <c r="C17" s="269"/>
      <c r="D17" s="626">
        <f>ROUND(SUM(D16),1)</f>
        <v>0.6</v>
      </c>
      <c r="E17" s="269"/>
      <c r="F17" s="626">
        <f>ROUND(SUM(F16),1)</f>
        <v>0.5</v>
      </c>
      <c r="G17" s="269"/>
      <c r="H17" s="626">
        <f>ROUND(SUM(H16),1)</f>
        <v>0.5</v>
      </c>
      <c r="I17" s="270"/>
      <c r="J17" s="1725">
        <f>ROUND(SUM(J16),1)</f>
        <v>0.6</v>
      </c>
      <c r="K17" s="269"/>
      <c r="L17" s="626">
        <f>ROUND(SUM(L16),1)</f>
        <v>0.2</v>
      </c>
      <c r="M17" s="621"/>
      <c r="N17" s="626">
        <f>ROUND(SUM(N16),1)</f>
        <v>0.9</v>
      </c>
      <c r="O17" s="621"/>
      <c r="P17" s="626">
        <f>ROUND(SUM(P16),1)</f>
        <v>0.6</v>
      </c>
      <c r="Q17" s="626">
        <f t="shared" ref="Q17:R17" si="4">ROUND(SUM(Q16),1)</f>
        <v>0</v>
      </c>
      <c r="R17" s="626">
        <f t="shared" si="4"/>
        <v>0.3</v>
      </c>
      <c r="S17" s="621"/>
      <c r="T17" s="626">
        <f>ROUND(SUM(T16),1)</f>
        <v>1</v>
      </c>
      <c r="U17" s="621"/>
      <c r="V17" s="1303">
        <f>ROUND(SUM(V16),1)</f>
        <v>0.7</v>
      </c>
      <c r="W17" s="621"/>
      <c r="X17" s="1300">
        <f>ROUND(SUM(X16),1)</f>
        <v>0.7</v>
      </c>
      <c r="Y17" s="622"/>
      <c r="Z17" s="623"/>
      <c r="AA17" s="793">
        <f>ROUND(SUM(AA16),1)</f>
        <v>8.1</v>
      </c>
      <c r="AB17" s="2018"/>
      <c r="AC17" s="2019"/>
      <c r="AD17" s="626">
        <f>ROUND(SUM(AD16),1)</f>
        <v>6.5</v>
      </c>
      <c r="AE17" s="793"/>
      <c r="AF17" s="766"/>
      <c r="AG17" s="797">
        <f>ROUND(SUM(AG16),1)</f>
        <v>1.6</v>
      </c>
      <c r="AH17" s="798"/>
      <c r="AI17" s="1217">
        <f>ROUND(IF(AD17=0,1,AG17/ABS(AD17)),3)</f>
        <v>0.246</v>
      </c>
    </row>
    <row r="18" spans="1:35" s="277" customFormat="1" ht="19.399999999999999" customHeight="1">
      <c r="A18" s="98"/>
      <c r="B18" s="268"/>
      <c r="C18" s="163"/>
      <c r="D18" s="268" t="s">
        <v>14</v>
      </c>
      <c r="E18" s="163"/>
      <c r="F18" s="268"/>
      <c r="G18" s="163"/>
      <c r="H18" s="624"/>
      <c r="I18" s="617"/>
      <c r="J18" s="624"/>
      <c r="K18" s="163"/>
      <c r="L18" s="624"/>
      <c r="M18" s="617"/>
      <c r="N18" s="624"/>
      <c r="O18" s="617"/>
      <c r="P18" s="624"/>
      <c r="Q18" s="617"/>
      <c r="R18" s="624"/>
      <c r="S18" s="617"/>
      <c r="T18" s="624"/>
      <c r="U18" s="617"/>
      <c r="V18" s="624"/>
      <c r="W18" s="617"/>
      <c r="X18" s="624"/>
      <c r="Y18" s="618"/>
      <c r="Z18" s="619"/>
      <c r="AA18" s="2020"/>
      <c r="AB18" s="2016"/>
      <c r="AC18" s="2017"/>
      <c r="AD18" s="624"/>
      <c r="AE18" s="780"/>
      <c r="AF18" s="766"/>
      <c r="AG18" s="780"/>
      <c r="AH18" s="773"/>
      <c r="AI18" s="773"/>
    </row>
    <row r="19" spans="1:35" s="277" customFormat="1" ht="19.399999999999999" customHeight="1">
      <c r="A19" s="98"/>
      <c r="B19" s="163"/>
      <c r="C19" s="163"/>
      <c r="D19" s="163" t="s">
        <v>14</v>
      </c>
      <c r="E19" s="163"/>
      <c r="F19" s="163"/>
      <c r="G19" s="163"/>
      <c r="H19" s="617"/>
      <c r="I19" s="617"/>
      <c r="J19" s="617"/>
      <c r="K19" s="163"/>
      <c r="L19" s="617"/>
      <c r="M19" s="617"/>
      <c r="N19" s="617"/>
      <c r="O19" s="617"/>
      <c r="P19" s="617"/>
      <c r="Q19" s="617"/>
      <c r="R19" s="617"/>
      <c r="S19" s="617"/>
      <c r="T19" s="617"/>
      <c r="U19" s="617"/>
      <c r="V19" s="617"/>
      <c r="W19" s="617"/>
      <c r="X19" s="617"/>
      <c r="Y19" s="618"/>
      <c r="Z19" s="619"/>
      <c r="AA19" s="780"/>
      <c r="AB19" s="2016"/>
      <c r="AC19" s="2017"/>
      <c r="AD19" s="617"/>
      <c r="AE19" s="780"/>
      <c r="AF19" s="766"/>
      <c r="AG19" s="780"/>
      <c r="AH19" s="773"/>
      <c r="AI19" s="773"/>
    </row>
    <row r="20" spans="1:35" s="277" customFormat="1" ht="19.399999999999999" customHeight="1">
      <c r="A20" s="171" t="s">
        <v>22</v>
      </c>
      <c r="B20" s="163"/>
      <c r="C20" s="163"/>
      <c r="D20" s="163" t="s">
        <v>14</v>
      </c>
      <c r="E20" s="163"/>
      <c r="F20" s="163"/>
      <c r="G20" s="163"/>
      <c r="H20" s="617"/>
      <c r="I20" s="617"/>
      <c r="J20" s="617"/>
      <c r="K20" s="163"/>
      <c r="L20" s="617"/>
      <c r="M20" s="617"/>
      <c r="N20" s="617"/>
      <c r="O20" s="617"/>
      <c r="P20" s="617"/>
      <c r="Q20" s="617"/>
      <c r="R20" s="617"/>
      <c r="S20" s="617"/>
      <c r="T20" s="617"/>
      <c r="U20" s="617"/>
      <c r="V20" s="617"/>
      <c r="W20" s="617"/>
      <c r="X20" s="617"/>
      <c r="Y20" s="618"/>
      <c r="Z20" s="619"/>
      <c r="AA20" s="780"/>
      <c r="AB20" s="2016"/>
      <c r="AC20" s="2017"/>
      <c r="AD20" s="617"/>
      <c r="AE20" s="780"/>
      <c r="AF20" s="766"/>
      <c r="AG20" s="780"/>
      <c r="AH20" s="773"/>
      <c r="AI20" s="773"/>
    </row>
    <row r="21" spans="1:35" s="277" customFormat="1" ht="19.399999999999999" customHeight="1">
      <c r="A21" s="98" t="s">
        <v>149</v>
      </c>
      <c r="B21" s="164"/>
      <c r="C21" s="163"/>
      <c r="D21" s="163"/>
      <c r="E21" s="163"/>
      <c r="F21" s="163"/>
      <c r="G21" s="163"/>
      <c r="H21" s="617"/>
      <c r="I21" s="617"/>
      <c r="J21" s="617"/>
      <c r="K21" s="163"/>
      <c r="L21" s="617"/>
      <c r="M21" s="617"/>
      <c r="N21" s="617"/>
      <c r="O21" s="617"/>
      <c r="P21" s="617"/>
      <c r="Q21" s="617"/>
      <c r="R21" s="617"/>
      <c r="S21" s="617"/>
      <c r="T21" s="617"/>
      <c r="U21" s="617"/>
      <c r="V21" s="617"/>
      <c r="W21" s="617"/>
      <c r="X21" s="617"/>
      <c r="Y21" s="618"/>
      <c r="Z21" s="619"/>
      <c r="AA21" s="794"/>
      <c r="AB21" s="2021"/>
      <c r="AC21" s="2022"/>
      <c r="AD21" s="617"/>
      <c r="AE21" s="794"/>
      <c r="AF21" s="767"/>
      <c r="AG21" s="780"/>
      <c r="AH21" s="773"/>
      <c r="AI21" s="773"/>
    </row>
    <row r="22" spans="1:35" s="277" customFormat="1" ht="19.399999999999999" customHeight="1">
      <c r="A22" s="98" t="s">
        <v>215</v>
      </c>
      <c r="B22" s="625">
        <v>0</v>
      </c>
      <c r="C22" s="163"/>
      <c r="D22" s="625">
        <v>0.1</v>
      </c>
      <c r="E22" s="163"/>
      <c r="F22" s="625">
        <v>0</v>
      </c>
      <c r="G22" s="163"/>
      <c r="H22" s="625">
        <v>0</v>
      </c>
      <c r="I22" s="617"/>
      <c r="J22" s="625">
        <v>0.1</v>
      </c>
      <c r="K22" s="163"/>
      <c r="L22" s="625">
        <v>0.10000000000000003</v>
      </c>
      <c r="M22" s="617"/>
      <c r="N22" s="625">
        <v>0</v>
      </c>
      <c r="O22" s="617"/>
      <c r="P22" s="625">
        <v>0</v>
      </c>
      <c r="Q22" s="625">
        <v>0</v>
      </c>
      <c r="R22" s="625">
        <v>0.1</v>
      </c>
      <c r="S22" s="625"/>
      <c r="T22" s="625">
        <v>0</v>
      </c>
      <c r="U22" s="625"/>
      <c r="V22" s="625">
        <v>0</v>
      </c>
      <c r="W22" s="625"/>
      <c r="X22" s="625">
        <f>$AA22-$B22-$D22-$F22-$H22-$J22-$L22-$N22-$P22-$R22-$T22-$V22</f>
        <v>0.1</v>
      </c>
      <c r="Y22" s="618"/>
      <c r="Z22" s="619"/>
      <c r="AA22" s="164">
        <v>0.5</v>
      </c>
      <c r="AB22" s="2016"/>
      <c r="AC22" s="2017"/>
      <c r="AD22" s="164">
        <v>0.4</v>
      </c>
      <c r="AE22" s="1083"/>
      <c r="AF22" s="767"/>
      <c r="AG22" s="163">
        <f>ROUND(SUM(AA22-AD22),1)</f>
        <v>0.1</v>
      </c>
      <c r="AH22" s="773"/>
      <c r="AI22" s="485">
        <f>ROUND(IF(AD22=0,1,AG22/ABS(AD22)),3)</f>
        <v>0.25</v>
      </c>
    </row>
    <row r="23" spans="1:35" s="277" customFormat="1" ht="19.399999999999999" customHeight="1">
      <c r="A23" s="616" t="s">
        <v>167</v>
      </c>
      <c r="B23" s="625">
        <v>0</v>
      </c>
      <c r="C23" s="163"/>
      <c r="D23" s="625">
        <v>0</v>
      </c>
      <c r="E23" s="163"/>
      <c r="F23" s="625">
        <v>0</v>
      </c>
      <c r="G23" s="163"/>
      <c r="H23" s="625">
        <v>0</v>
      </c>
      <c r="I23" s="617"/>
      <c r="J23" s="625">
        <v>0</v>
      </c>
      <c r="K23" s="163"/>
      <c r="L23" s="625">
        <v>0</v>
      </c>
      <c r="M23" s="617"/>
      <c r="N23" s="625">
        <v>0.1</v>
      </c>
      <c r="O23" s="164"/>
      <c r="P23" s="625">
        <v>0</v>
      </c>
      <c r="Q23" s="625"/>
      <c r="R23" s="625">
        <v>0</v>
      </c>
      <c r="S23" s="617"/>
      <c r="T23" s="625">
        <v>0</v>
      </c>
      <c r="U23" s="617"/>
      <c r="V23" s="625">
        <v>0</v>
      </c>
      <c r="W23" s="617"/>
      <c r="X23" s="625">
        <f>$AA23-$B23-$D23-$F23-$H23-$J23-$L23-$N23-$P23-$R23-$T23-$V23</f>
        <v>0</v>
      </c>
      <c r="Y23" s="618"/>
      <c r="Z23" s="619"/>
      <c r="AA23" s="164">
        <v>0.1</v>
      </c>
      <c r="AB23" s="2016"/>
      <c r="AC23" s="2017"/>
      <c r="AD23" s="164">
        <v>0.1</v>
      </c>
      <c r="AE23" s="794"/>
      <c r="AF23" s="767"/>
      <c r="AG23" s="163">
        <f>ROUND(SUM(AA23-AD23),1)</f>
        <v>0</v>
      </c>
      <c r="AH23" s="784"/>
      <c r="AI23" s="485">
        <f>ROUND(IF(AD23=0,0,AG23/ABS(AD23)),3)</f>
        <v>0</v>
      </c>
    </row>
    <row r="24" spans="1:35" s="277" customFormat="1" ht="19.399999999999999" customHeight="1">
      <c r="A24" s="98" t="s">
        <v>152</v>
      </c>
      <c r="B24" s="625">
        <v>0</v>
      </c>
      <c r="C24" s="163"/>
      <c r="D24" s="1081">
        <v>0</v>
      </c>
      <c r="E24" s="163"/>
      <c r="F24" s="1081">
        <v>0</v>
      </c>
      <c r="G24" s="163"/>
      <c r="H24" s="1081">
        <v>0.1</v>
      </c>
      <c r="I24" s="617"/>
      <c r="J24" s="1081">
        <v>0</v>
      </c>
      <c r="K24" s="163"/>
      <c r="L24" s="625">
        <v>0</v>
      </c>
      <c r="M24" s="617"/>
      <c r="N24" s="625">
        <v>0</v>
      </c>
      <c r="O24" s="617"/>
      <c r="P24" s="625">
        <v>0.1</v>
      </c>
      <c r="Q24" s="617"/>
      <c r="R24" s="625">
        <v>0</v>
      </c>
      <c r="S24" s="617"/>
      <c r="T24" s="625">
        <v>0</v>
      </c>
      <c r="U24" s="617"/>
      <c r="V24" s="1081">
        <v>9.9999999999999978E-2</v>
      </c>
      <c r="W24" s="617"/>
      <c r="X24" s="625">
        <f>$AA24-$B24-$D24-$F24-$H24-$J24-$L24-$N24-$P24-$R24-$T24-$V24</f>
        <v>0</v>
      </c>
      <c r="Y24" s="618"/>
      <c r="Z24" s="619"/>
      <c r="AA24" s="2023">
        <v>0.3</v>
      </c>
      <c r="AB24" s="2016"/>
      <c r="AC24" s="2017"/>
      <c r="AD24" s="2023">
        <v>0.3</v>
      </c>
      <c r="AE24" s="1083"/>
      <c r="AF24" s="767"/>
      <c r="AG24" s="163">
        <f>ROUND(SUM(AA24-AD24),1)</f>
        <v>0</v>
      </c>
      <c r="AH24" s="773"/>
      <c r="AI24" s="1082">
        <f>ROUND(IF(AG24=0,0,AG24/ABS(AD24)),3)</f>
        <v>0</v>
      </c>
    </row>
    <row r="25" spans="1:35" s="277" customFormat="1" ht="22.5" customHeight="1">
      <c r="A25" s="171" t="s">
        <v>153</v>
      </c>
      <c r="B25" s="1304">
        <f>ROUND(SUM(B22:B24),1)</f>
        <v>0</v>
      </c>
      <c r="C25" s="269"/>
      <c r="D25" s="1314">
        <f>ROUND(SUM(D22:D24),1)</f>
        <v>0.1</v>
      </c>
      <c r="E25" s="269"/>
      <c r="F25" s="1314">
        <f>ROUND(SUM(F22:F24),1)</f>
        <v>0</v>
      </c>
      <c r="G25" s="269"/>
      <c r="H25" s="635">
        <f>ROUND(SUM(H22:H24),1)</f>
        <v>0.1</v>
      </c>
      <c r="I25" s="621"/>
      <c r="J25" s="1304">
        <f>ROUND(SUM(J22:J24),1)</f>
        <v>0.1</v>
      </c>
      <c r="K25" s="269"/>
      <c r="L25" s="1304">
        <f>ROUND(SUM(L22:L24),1)</f>
        <v>0.1</v>
      </c>
      <c r="M25" s="621"/>
      <c r="N25" s="1237">
        <f>ROUND(SUM(N22:N24),1)</f>
        <v>0.1</v>
      </c>
      <c r="O25" s="630"/>
      <c r="P25" s="1314">
        <f>ROUND(SUM(P22:P24),1)</f>
        <v>0.1</v>
      </c>
      <c r="Q25" s="635"/>
      <c r="R25" s="1314">
        <f t="shared" ref="R25" si="5">ROUND(SUM(R22:R24),1)</f>
        <v>0.1</v>
      </c>
      <c r="S25" s="621"/>
      <c r="T25" s="1314">
        <f>ROUND(SUM(T22:T24),1)</f>
        <v>0</v>
      </c>
      <c r="U25" s="630"/>
      <c r="V25" s="2171">
        <f>ROUND(SUM(V22:V24),1)</f>
        <v>0.1</v>
      </c>
      <c r="W25" s="630"/>
      <c r="X25" s="1304">
        <f>ROUND(SUM(X22:X24),1)</f>
        <v>0.1</v>
      </c>
      <c r="Y25" s="622"/>
      <c r="Z25" s="623"/>
      <c r="AA25" s="795">
        <f>ROUND(SUM(AA22:AA24),1)</f>
        <v>0.9</v>
      </c>
      <c r="AB25" s="2018"/>
      <c r="AC25" s="2019"/>
      <c r="AD25" s="635">
        <f>ROUND(SUM(AD22:AD24),1)</f>
        <v>0.8</v>
      </c>
      <c r="AE25" s="795"/>
      <c r="AF25" s="767"/>
      <c r="AG25" s="797">
        <f>ROUND(SUM(AG22:AG24),1)</f>
        <v>0.1</v>
      </c>
      <c r="AH25" s="781"/>
      <c r="AI25" s="799">
        <f>ROUND(IF(AD25=0,0,AG25/ABS(AD25)),3)</f>
        <v>0.125</v>
      </c>
    </row>
    <row r="26" spans="1:35" s="277" customFormat="1" ht="19.399999999999999" customHeight="1">
      <c r="A26" s="98"/>
      <c r="B26" s="268"/>
      <c r="C26" s="163"/>
      <c r="D26" s="268" t="s">
        <v>14</v>
      </c>
      <c r="E26" s="163"/>
      <c r="F26" s="268"/>
      <c r="G26" s="163"/>
      <c r="H26" s="624"/>
      <c r="I26" s="617"/>
      <c r="J26" s="624"/>
      <c r="K26" s="163"/>
      <c r="L26" s="624"/>
      <c r="M26" s="617"/>
      <c r="N26" s="624"/>
      <c r="O26" s="617"/>
      <c r="P26" s="624"/>
      <c r="Q26" s="617"/>
      <c r="R26" s="624"/>
      <c r="S26" s="617"/>
      <c r="T26" s="624"/>
      <c r="U26" s="617"/>
      <c r="V26" s="624"/>
      <c r="W26" s="617"/>
      <c r="X26" s="624"/>
      <c r="Y26" s="618"/>
      <c r="Z26" s="619"/>
      <c r="AA26" s="2020"/>
      <c r="AB26" s="2016"/>
      <c r="AC26" s="2017"/>
      <c r="AD26" s="624"/>
      <c r="AE26" s="780"/>
      <c r="AF26" s="766"/>
      <c r="AG26" s="780"/>
      <c r="AH26" s="773"/>
      <c r="AI26" s="773"/>
    </row>
    <row r="27" spans="1:35" s="277" customFormat="1" ht="19.399999999999999" customHeight="1">
      <c r="A27" s="171" t="s">
        <v>154</v>
      </c>
      <c r="B27" s="163"/>
      <c r="C27" s="163"/>
      <c r="D27" s="163" t="s">
        <v>14</v>
      </c>
      <c r="E27" s="163"/>
      <c r="F27" s="163"/>
      <c r="G27" s="163"/>
      <c r="H27" s="617"/>
      <c r="I27" s="617"/>
      <c r="J27" s="617"/>
      <c r="K27" s="163"/>
      <c r="L27" s="617"/>
      <c r="M27" s="617"/>
      <c r="N27" s="617"/>
      <c r="O27" s="617"/>
      <c r="P27" s="617"/>
      <c r="Q27" s="617"/>
      <c r="R27" s="617"/>
      <c r="S27" s="617"/>
      <c r="T27" s="617"/>
      <c r="U27" s="617"/>
      <c r="V27" s="617"/>
      <c r="W27" s="617"/>
      <c r="X27" s="617"/>
      <c r="Y27" s="618"/>
      <c r="Z27" s="619"/>
      <c r="AA27" s="780"/>
      <c r="AB27" s="2016"/>
      <c r="AC27" s="2017"/>
      <c r="AD27" s="617"/>
      <c r="AE27" s="780"/>
      <c r="AF27" s="766"/>
      <c r="AG27" s="780"/>
      <c r="AH27" s="773"/>
      <c r="AI27" s="773"/>
    </row>
    <row r="28" spans="1:35" s="277" customFormat="1" ht="18.75" customHeight="1">
      <c r="A28" s="171" t="s">
        <v>44</v>
      </c>
      <c r="B28" s="628">
        <f>ROUND(B17-B25,1)</f>
        <v>1.5</v>
      </c>
      <c r="C28" s="269"/>
      <c r="D28" s="628">
        <f>ROUND(D17-D25,1)</f>
        <v>0.5</v>
      </c>
      <c r="E28" s="636"/>
      <c r="F28" s="628">
        <f>ROUND(F17-F25,1)</f>
        <v>0.5</v>
      </c>
      <c r="G28" s="636"/>
      <c r="H28" s="628">
        <f>ROUND(H17-H25,1)</f>
        <v>0.4</v>
      </c>
      <c r="I28" s="636"/>
      <c r="J28" s="628">
        <f>ROUND(J17-J25,1)</f>
        <v>0.5</v>
      </c>
      <c r="K28" s="636"/>
      <c r="L28" s="628">
        <f>ROUND(L17-L25,1)</f>
        <v>0.1</v>
      </c>
      <c r="M28" s="637"/>
      <c r="N28" s="628">
        <f>ROUND(N17-N25,1)</f>
        <v>0.8</v>
      </c>
      <c r="O28" s="637"/>
      <c r="P28" s="628">
        <f>ROUND(P17-P25,1)</f>
        <v>0.5</v>
      </c>
      <c r="Q28" s="626"/>
      <c r="R28" s="628">
        <f t="shared" ref="R28" si="6">ROUND(R17-R25,1)</f>
        <v>0.2</v>
      </c>
      <c r="S28" s="637"/>
      <c r="T28" s="628">
        <f>ROUND(T17-T25,1)</f>
        <v>1</v>
      </c>
      <c r="U28" s="637"/>
      <c r="V28" s="628">
        <f>ROUND(V17-V25,1)</f>
        <v>0.6</v>
      </c>
      <c r="W28" s="637"/>
      <c r="X28" s="628">
        <f>ROUND(X17-X25,1)</f>
        <v>0.6</v>
      </c>
      <c r="Y28" s="622"/>
      <c r="Z28" s="623"/>
      <c r="AA28" s="2024">
        <f>ROUND(AA17-AA25,1)</f>
        <v>7.2</v>
      </c>
      <c r="AB28" s="2018"/>
      <c r="AC28" s="2025"/>
      <c r="AD28" s="628">
        <f>ROUND(AD17-AD25,1)</f>
        <v>5.7</v>
      </c>
      <c r="AE28" s="793"/>
      <c r="AF28" s="767"/>
      <c r="AG28" s="1804">
        <f>ROUND(SUM(AG17-AG25),1)</f>
        <v>1.5</v>
      </c>
      <c r="AH28" s="781"/>
      <c r="AI28" s="1306">
        <f>ROUND(IF(AD28=0,1,AG28/ABS(AD28)),3)</f>
        <v>0.26300000000000001</v>
      </c>
    </row>
    <row r="29" spans="1:35" s="277" customFormat="1" ht="19.399999999999999" customHeight="1">
      <c r="A29" s="98"/>
      <c r="B29" s="163"/>
      <c r="C29" s="163"/>
      <c r="D29" s="163" t="s">
        <v>14</v>
      </c>
      <c r="E29" s="163"/>
      <c r="F29" s="163"/>
      <c r="G29" s="163"/>
      <c r="H29" s="617"/>
      <c r="I29" s="617"/>
      <c r="J29" s="617"/>
      <c r="K29" s="163"/>
      <c r="L29" s="617"/>
      <c r="M29" s="617"/>
      <c r="N29" s="624"/>
      <c r="O29" s="617"/>
      <c r="P29" s="617"/>
      <c r="Q29" s="617"/>
      <c r="R29" s="617"/>
      <c r="S29" s="617"/>
      <c r="T29" s="617"/>
      <c r="U29" s="617"/>
      <c r="V29" s="617"/>
      <c r="W29" s="617"/>
      <c r="X29" s="624"/>
      <c r="Y29" s="618"/>
      <c r="Z29" s="619"/>
      <c r="AA29" s="780"/>
      <c r="AB29" s="2016"/>
      <c r="AC29" s="2017"/>
      <c r="AD29" s="617"/>
      <c r="AE29" s="780"/>
      <c r="AF29" s="768"/>
      <c r="AG29" s="780"/>
      <c r="AH29" s="773"/>
      <c r="AI29" s="773"/>
    </row>
    <row r="30" spans="1:35" s="277" customFormat="1" ht="19.399999999999999" customHeight="1">
      <c r="A30" s="171" t="s">
        <v>45</v>
      </c>
      <c r="B30" s="163"/>
      <c r="C30" s="163"/>
      <c r="D30" s="163"/>
      <c r="E30" s="163"/>
      <c r="F30" s="163"/>
      <c r="G30" s="163"/>
      <c r="H30" s="617"/>
      <c r="I30" s="617"/>
      <c r="J30" s="617"/>
      <c r="K30" s="163"/>
      <c r="L30" s="617"/>
      <c r="M30" s="617"/>
      <c r="N30" s="617"/>
      <c r="O30" s="617"/>
      <c r="P30" s="617"/>
      <c r="Q30" s="617"/>
      <c r="R30" s="617"/>
      <c r="S30" s="617"/>
      <c r="T30" s="617"/>
      <c r="U30" s="617"/>
      <c r="V30" s="617"/>
      <c r="W30" s="617"/>
      <c r="X30" s="617"/>
      <c r="Y30" s="618"/>
      <c r="Z30" s="619"/>
      <c r="AA30" s="780"/>
      <c r="AB30" s="2016"/>
      <c r="AC30" s="2017"/>
      <c r="AD30" s="617"/>
      <c r="AE30" s="780"/>
      <c r="AF30" s="768"/>
      <c r="AG30" s="780"/>
      <c r="AH30" s="773"/>
      <c r="AI30" s="773"/>
    </row>
    <row r="31" spans="1:35" s="277" customFormat="1" ht="19.399999999999999" customHeight="1">
      <c r="A31" s="98" t="s">
        <v>178</v>
      </c>
      <c r="B31" s="625">
        <v>0</v>
      </c>
      <c r="C31" s="163"/>
      <c r="D31" s="625">
        <v>0</v>
      </c>
      <c r="E31" s="163"/>
      <c r="F31" s="625">
        <v>0</v>
      </c>
      <c r="G31" s="163"/>
      <c r="H31" s="625">
        <v>0</v>
      </c>
      <c r="I31" s="617"/>
      <c r="J31" s="625">
        <v>0</v>
      </c>
      <c r="K31" s="163"/>
      <c r="L31" s="625">
        <v>0</v>
      </c>
      <c r="M31" s="617"/>
      <c r="N31" s="625">
        <v>0</v>
      </c>
      <c r="O31" s="617"/>
      <c r="P31" s="625">
        <v>0</v>
      </c>
      <c r="Q31" s="617"/>
      <c r="R31" s="625">
        <v>0</v>
      </c>
      <c r="S31" s="617"/>
      <c r="T31" s="625">
        <v>0</v>
      </c>
      <c r="U31" s="617"/>
      <c r="V31" s="625">
        <v>0</v>
      </c>
      <c r="W31" s="617"/>
      <c r="X31" s="625">
        <f>$AA31-$B31-$D31-$F31-$H31-$J31-$L31-$N31-$P31-$R31-$T31-$V31</f>
        <v>0</v>
      </c>
      <c r="Y31" s="618"/>
      <c r="Z31" s="619"/>
      <c r="AA31" s="164">
        <v>0</v>
      </c>
      <c r="AB31" s="2016"/>
      <c r="AC31" s="2017"/>
      <c r="AD31" s="164">
        <v>0</v>
      </c>
      <c r="AE31" s="794"/>
      <c r="AF31" s="769"/>
      <c r="AG31" s="163">
        <f>ROUND(SUM(AA31-AD31),1)</f>
        <v>0</v>
      </c>
      <c r="AH31" s="784"/>
      <c r="AI31" s="1082">
        <f>ROUND(IF(AG31=0,0,AG31/ABS(AD31)),3)</f>
        <v>0</v>
      </c>
    </row>
    <row r="32" spans="1:35" s="277" customFormat="1" ht="19.399999999999999" customHeight="1">
      <c r="A32" s="98" t="s">
        <v>179</v>
      </c>
      <c r="B32" s="625">
        <v>0</v>
      </c>
      <c r="C32" s="163"/>
      <c r="D32" s="625">
        <v>0</v>
      </c>
      <c r="E32" s="163"/>
      <c r="F32" s="625">
        <v>0</v>
      </c>
      <c r="G32" s="163"/>
      <c r="H32" s="1081">
        <v>0</v>
      </c>
      <c r="I32" s="617"/>
      <c r="J32" s="1081">
        <v>0</v>
      </c>
      <c r="K32" s="163"/>
      <c r="L32" s="625">
        <v>0</v>
      </c>
      <c r="M32" s="617"/>
      <c r="N32" s="625">
        <v>0</v>
      </c>
      <c r="O32" s="625"/>
      <c r="P32" s="625">
        <v>0</v>
      </c>
      <c r="Q32" s="617"/>
      <c r="R32" s="625">
        <v>0</v>
      </c>
      <c r="S32" s="617"/>
      <c r="T32" s="625">
        <v>0</v>
      </c>
      <c r="U32" s="617"/>
      <c r="V32" s="1081">
        <v>0</v>
      </c>
      <c r="W32" s="617"/>
      <c r="X32" s="625">
        <f>$AA32-$B32-$D32-$F32-$H32-$J32-$L32-$N32-$P32-$R32-$T32-$V32</f>
        <v>0</v>
      </c>
      <c r="Y32" s="618"/>
      <c r="Z32" s="619"/>
      <c r="AA32" s="164">
        <v>0</v>
      </c>
      <c r="AB32" s="2026"/>
      <c r="AC32" s="2027"/>
      <c r="AD32" s="164">
        <v>0</v>
      </c>
      <c r="AE32" s="794"/>
      <c r="AF32" s="768"/>
      <c r="AG32" s="163">
        <f>ROUND(SUM(AA32-AD32),1)</f>
        <v>0</v>
      </c>
      <c r="AH32" s="784"/>
      <c r="AI32" s="1082">
        <f>ROUND(IF(AG32=0,0,AG32/ABS(AD32)),3)</f>
        <v>0</v>
      </c>
    </row>
    <row r="33" spans="1:35" s="277" customFormat="1" ht="22.5" customHeight="1">
      <c r="A33" s="171" t="s">
        <v>204</v>
      </c>
      <c r="B33" s="638">
        <f>ROUND(SUM(B31:B32),1)</f>
        <v>0</v>
      </c>
      <c r="C33" s="269"/>
      <c r="D33" s="638">
        <f>ROUND(SUM(D31:D32),1)</f>
        <v>0</v>
      </c>
      <c r="E33" s="269"/>
      <c r="F33" s="638">
        <f>ROUND(SUM(F31:F32),1)</f>
        <v>0</v>
      </c>
      <c r="G33" s="269"/>
      <c r="H33" s="638">
        <f>ROUND(SUM(H31:H32),1)</f>
        <v>0</v>
      </c>
      <c r="I33" s="621"/>
      <c r="J33" s="638">
        <f>ROUND(SUM(J31:J32),1)</f>
        <v>0</v>
      </c>
      <c r="K33" s="269"/>
      <c r="L33" s="638">
        <f>ROUND(SUM(L31:L32),1)</f>
        <v>0</v>
      </c>
      <c r="M33" s="621"/>
      <c r="N33" s="638">
        <f>ROUND(SUM(N31:N32),1)</f>
        <v>0</v>
      </c>
      <c r="O33" s="621"/>
      <c r="P33" s="638">
        <f>ROUND(SUM(P31:P32),1)</f>
        <v>0</v>
      </c>
      <c r="Q33" s="635"/>
      <c r="R33" s="638">
        <f>ROUND(SUM(R31:R32),1)</f>
        <v>0</v>
      </c>
      <c r="S33" s="621"/>
      <c r="T33" s="638">
        <f>ROUND(SUM(T31:T32),1)</f>
        <v>0</v>
      </c>
      <c r="U33" s="621"/>
      <c r="V33" s="635">
        <f>ROUND(SUM(V31:V32),1)</f>
        <v>0</v>
      </c>
      <c r="W33" s="621"/>
      <c r="X33" s="638">
        <f>ROUND(SUM(X31:X32),1)</f>
        <v>0</v>
      </c>
      <c r="Y33" s="622"/>
      <c r="Z33" s="623"/>
      <c r="AA33" s="2028">
        <f>ROUND(SUM(AA31:AA32),1)</f>
        <v>0</v>
      </c>
      <c r="AB33" s="2029"/>
      <c r="AC33" s="2030"/>
      <c r="AD33" s="638">
        <f>ROUND(SUM(AD31:AD32),1)</f>
        <v>0</v>
      </c>
      <c r="AE33" s="795"/>
      <c r="AF33" s="769"/>
      <c r="AG33" s="797">
        <f>ROUND(SUM(AG31-AG32),1)</f>
        <v>0</v>
      </c>
      <c r="AH33" s="787"/>
      <c r="AI33" s="799">
        <f>ROUND(IF(AG33=0,0,AG33/ABS(AD33)),3)</f>
        <v>0</v>
      </c>
    </row>
    <row r="34" spans="1:35" s="277" customFormat="1" ht="19.399999999999999" customHeight="1">
      <c r="A34" s="98"/>
      <c r="B34" s="268"/>
      <c r="C34" s="163"/>
      <c r="D34" s="268" t="s">
        <v>14</v>
      </c>
      <c r="E34" s="163"/>
      <c r="F34" s="268"/>
      <c r="G34" s="163"/>
      <c r="H34" s="624"/>
      <c r="I34" s="617"/>
      <c r="J34" s="624"/>
      <c r="K34" s="163"/>
      <c r="L34" s="624"/>
      <c r="M34" s="617"/>
      <c r="N34" s="624"/>
      <c r="O34" s="617"/>
      <c r="P34" s="624"/>
      <c r="Q34" s="617"/>
      <c r="R34" s="624"/>
      <c r="S34" s="617"/>
      <c r="T34" s="624"/>
      <c r="U34" s="617"/>
      <c r="V34" s="624"/>
      <c r="W34" s="617"/>
      <c r="X34" s="624"/>
      <c r="Y34" s="618"/>
      <c r="Z34" s="619"/>
      <c r="AA34" s="2020"/>
      <c r="AB34" s="2016"/>
      <c r="AC34" s="2017"/>
      <c r="AD34" s="624"/>
      <c r="AE34" s="780"/>
      <c r="AF34" s="766"/>
      <c r="AG34" s="780"/>
      <c r="AH34" s="773"/>
      <c r="AI34" s="773"/>
    </row>
    <row r="35" spans="1:35" s="277" customFormat="1" ht="19.399999999999999" customHeight="1">
      <c r="A35" s="171" t="s">
        <v>162</v>
      </c>
      <c r="B35" s="163"/>
      <c r="C35" s="163"/>
      <c r="D35" s="163" t="s">
        <v>14</v>
      </c>
      <c r="E35" s="163"/>
      <c r="F35" s="163"/>
      <c r="G35" s="163"/>
      <c r="H35" s="617"/>
      <c r="I35" s="617"/>
      <c r="J35" s="617"/>
      <c r="K35" s="163"/>
      <c r="L35" s="617"/>
      <c r="M35" s="617"/>
      <c r="N35" s="617"/>
      <c r="O35" s="617"/>
      <c r="P35" s="617"/>
      <c r="Q35" s="617"/>
      <c r="R35" s="617"/>
      <c r="S35" s="617"/>
      <c r="T35" s="617"/>
      <c r="U35" s="617"/>
      <c r="V35" s="617"/>
      <c r="W35" s="617"/>
      <c r="X35" s="617"/>
      <c r="Y35" s="618"/>
      <c r="Z35" s="619"/>
      <c r="AA35" s="780"/>
      <c r="AB35" s="2016"/>
      <c r="AC35" s="2017"/>
      <c r="AD35" s="617"/>
      <c r="AE35" s="780"/>
      <c r="AF35" s="766"/>
      <c r="AG35" s="780"/>
      <c r="AH35" s="773"/>
      <c r="AI35" s="773"/>
    </row>
    <row r="36" spans="1:35" s="277" customFormat="1" ht="19.399999999999999" customHeight="1">
      <c r="A36" s="171" t="s">
        <v>222</v>
      </c>
      <c r="B36" s="163"/>
      <c r="C36" s="163"/>
      <c r="D36" s="163"/>
      <c r="E36" s="163"/>
      <c r="F36" s="163"/>
      <c r="G36" s="163"/>
      <c r="H36" s="617"/>
      <c r="I36" s="617"/>
      <c r="J36" s="617"/>
      <c r="K36" s="163"/>
      <c r="L36" s="617"/>
      <c r="M36" s="617"/>
      <c r="N36" s="617"/>
      <c r="O36" s="617"/>
      <c r="P36" s="617"/>
      <c r="Q36" s="617"/>
      <c r="R36" s="617"/>
      <c r="S36" s="617"/>
      <c r="T36" s="617"/>
      <c r="U36" s="617"/>
      <c r="V36" s="617"/>
      <c r="W36" s="617"/>
      <c r="X36" s="617"/>
      <c r="Y36" s="618"/>
      <c r="Z36" s="619"/>
      <c r="AA36" s="780"/>
      <c r="AB36" s="2016"/>
      <c r="AC36" s="2017"/>
      <c r="AD36" s="617"/>
      <c r="AE36" s="796"/>
      <c r="AF36" s="770"/>
      <c r="AG36" s="780"/>
      <c r="AH36" s="773"/>
      <c r="AI36" s="773"/>
    </row>
    <row r="37" spans="1:35" s="278" customFormat="1" ht="19.399999999999999" customHeight="1">
      <c r="A37" s="171" t="s">
        <v>164</v>
      </c>
      <c r="B37" s="626">
        <f>ROUND(B28+B33,1)</f>
        <v>1.5</v>
      </c>
      <c r="C37" s="269"/>
      <c r="D37" s="626">
        <f>ROUND(D28+D33,1)</f>
        <v>0.5</v>
      </c>
      <c r="E37" s="270"/>
      <c r="F37" s="626">
        <f>ROUND(F28+F33,1)</f>
        <v>0.5</v>
      </c>
      <c r="G37" s="270"/>
      <c r="H37" s="626">
        <f>ROUND(H28+H33,1)</f>
        <v>0.4</v>
      </c>
      <c r="I37" s="630"/>
      <c r="J37" s="626">
        <f>ROUND(J28+J33,1)</f>
        <v>0.5</v>
      </c>
      <c r="K37" s="270"/>
      <c r="L37" s="626">
        <f>ROUND(L28+L33,1)</f>
        <v>0.1</v>
      </c>
      <c r="M37" s="626"/>
      <c r="N37" s="626">
        <f>ROUND(N28+N33,1)</f>
        <v>0.8</v>
      </c>
      <c r="O37" s="626"/>
      <c r="P37" s="626">
        <f>ROUND(P28+P33,1)</f>
        <v>0.5</v>
      </c>
      <c r="Q37" s="626"/>
      <c r="R37" s="626">
        <f>ROUND(R28+R33,1)</f>
        <v>0.2</v>
      </c>
      <c r="S37" s="630"/>
      <c r="T37" s="626">
        <f>ROUND(T28+T33,1)</f>
        <v>1</v>
      </c>
      <c r="U37" s="630"/>
      <c r="V37" s="626">
        <f>ROUND(V28+V33,1)</f>
        <v>0.6</v>
      </c>
      <c r="W37" s="630"/>
      <c r="X37" s="626">
        <f>ROUND(X28+X33,1)</f>
        <v>0.6</v>
      </c>
      <c r="Y37" s="622"/>
      <c r="Z37" s="623"/>
      <c r="AA37" s="793">
        <f>ROUND(AA28+AA33,1)</f>
        <v>7.2</v>
      </c>
      <c r="AB37" s="1819"/>
      <c r="AC37" s="2031"/>
      <c r="AD37" s="626">
        <f>ROUND(AD28+AD33,1)</f>
        <v>5.7</v>
      </c>
      <c r="AE37" s="793"/>
      <c r="AF37" s="771"/>
      <c r="AG37" s="1819">
        <f>ROUND(SUM(AG28+AG33),1)</f>
        <v>1.5</v>
      </c>
      <c r="AH37" s="765"/>
      <c r="AI37" s="1306">
        <f>ROUND(IF(AD37=0,1,AG37/ABS(AD37)),3)</f>
        <v>0.26300000000000001</v>
      </c>
    </row>
    <row r="38" spans="1:35" s="277" customFormat="1" ht="22.5" customHeight="1" thickBot="1">
      <c r="A38" s="171" t="s">
        <v>139</v>
      </c>
      <c r="B38" s="631">
        <f>ROUND(SUM(B13,B37),1)</f>
        <v>47.4</v>
      </c>
      <c r="C38" s="267"/>
      <c r="D38" s="631">
        <f>ROUND(SUM(D13,D37),1)</f>
        <v>47.9</v>
      </c>
      <c r="E38" s="267"/>
      <c r="F38" s="631">
        <f>ROUND(SUM(F13,F37),1)</f>
        <v>48.4</v>
      </c>
      <c r="G38" s="267"/>
      <c r="H38" s="631">
        <f>ROUND(SUM(H13,H37),1)</f>
        <v>48.8</v>
      </c>
      <c r="I38" s="632"/>
      <c r="J38" s="631">
        <f>ROUND(SUM(J13,J37),1)</f>
        <v>49.3</v>
      </c>
      <c r="K38" s="267"/>
      <c r="L38" s="631">
        <f>ROUND(SUM(L13,L37),1)</f>
        <v>49.4</v>
      </c>
      <c r="M38" s="267"/>
      <c r="N38" s="631">
        <f>ROUND(SUM(N13,N37),1)</f>
        <v>50.2</v>
      </c>
      <c r="O38" s="267"/>
      <c r="P38" s="631">
        <f>ROUND(SUM(P13,P37),1)</f>
        <v>50.7</v>
      </c>
      <c r="Q38" s="267"/>
      <c r="R38" s="631">
        <f>ROUND(SUM(R13,R37),1)</f>
        <v>50.9</v>
      </c>
      <c r="S38" s="632"/>
      <c r="T38" s="631">
        <f>ROUND(SUM(T13,T37),1)</f>
        <v>51.9</v>
      </c>
      <c r="U38" s="632"/>
      <c r="V38" s="631">
        <f>ROUND(SUM(V13,V37),1)</f>
        <v>52.5</v>
      </c>
      <c r="W38" s="632"/>
      <c r="X38" s="631">
        <f>ROUND(SUM(X13,X37),1)</f>
        <v>53.1</v>
      </c>
      <c r="Y38" s="609"/>
      <c r="Z38" s="610"/>
      <c r="AA38" s="2232">
        <f>ROUND(SUM(AA13,AA37),1)</f>
        <v>53.1</v>
      </c>
      <c r="AB38" s="779"/>
      <c r="AC38" s="2032"/>
      <c r="AD38" s="800">
        <f>ROUND(SUM(AD13,AD37),1)</f>
        <v>45.9</v>
      </c>
      <c r="AE38" s="779"/>
      <c r="AF38" s="772"/>
      <c r="AG38" s="800">
        <f>ROUND(SUM(AA38-AD38),1)</f>
        <v>7.2</v>
      </c>
      <c r="AH38" s="786"/>
      <c r="AI38" s="801">
        <f>ROUND(IF(AG38=0,0,AG38/ABS(AD38)),3)</f>
        <v>0.157</v>
      </c>
    </row>
    <row r="39" spans="1:35" s="277" customFormat="1" ht="19.399999999999999" customHeight="1" thickTop="1">
      <c r="A39" s="98" t="s">
        <v>14</v>
      </c>
      <c r="B39" s="633"/>
      <c r="C39" s="634"/>
      <c r="D39" s="633"/>
      <c r="E39" s="634"/>
      <c r="F39" s="633"/>
      <c r="G39" s="634"/>
      <c r="H39" s="633"/>
      <c r="I39" s="634"/>
      <c r="J39" s="633"/>
      <c r="K39" s="634"/>
      <c r="L39" s="633"/>
      <c r="M39" s="634"/>
      <c r="N39" s="633"/>
      <c r="O39" s="634"/>
      <c r="P39" s="633"/>
      <c r="Q39" s="634"/>
      <c r="R39" s="633"/>
      <c r="S39" s="634"/>
      <c r="T39" s="633"/>
      <c r="U39" s="634"/>
      <c r="V39" s="633"/>
      <c r="W39" s="634"/>
      <c r="X39" s="633"/>
      <c r="Y39" s="634"/>
      <c r="Z39" s="634"/>
      <c r="AA39" s="2233"/>
      <c r="AB39" s="775"/>
      <c r="AC39" s="775"/>
      <c r="AD39" s="775"/>
      <c r="AE39" s="775"/>
      <c r="AF39" s="775"/>
      <c r="AG39" s="773"/>
      <c r="AH39" s="773"/>
      <c r="AI39" s="773"/>
    </row>
    <row r="40" spans="1:35" s="277" customFormat="1" ht="19.399999999999999" customHeight="1">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6"/>
      <c r="AB40" s="39"/>
      <c r="AC40" s="39"/>
      <c r="AD40" s="39"/>
      <c r="AE40" s="39"/>
      <c r="AF40" s="39"/>
    </row>
    <row r="41" spans="1:35" ht="15.75" customHeight="1">
      <c r="A41" s="27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6"/>
      <c r="AB41" s="39"/>
      <c r="AC41" s="39"/>
      <c r="AD41" s="39"/>
      <c r="AE41" s="39"/>
      <c r="AF41" s="39"/>
    </row>
    <row r="42" spans="1:35" ht="15.5">
      <c r="A42" s="277"/>
    </row>
    <row r="43" spans="1:35" ht="13.5" customHeight="1">
      <c r="A43" s="49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row>
    <row r="44" spans="1:35" ht="15.5">
      <c r="A44" s="21"/>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row>
    <row r="45" spans="1:35" ht="15.5">
      <c r="A45" s="21"/>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row>
    <row r="46" spans="1:35" ht="15.5">
      <c r="A46" s="21"/>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row>
    <row r="47" spans="1:35" ht="15.5">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row>
  </sheetData>
  <mergeCells count="2">
    <mergeCell ref="AC9:AI9"/>
    <mergeCell ref="AA10:AI10"/>
  </mergeCells>
  <printOptions horizontalCentered="1"/>
  <pageMargins left="0.25" right="0.25" top="0.5" bottom="0.25" header="0" footer="0.25"/>
  <pageSetup firstPageNumber="38" fitToHeight="0" orientation="landscape" useFirstPageNumber="1" r:id="rId1"/>
  <headerFooter scaleWithDoc="0" alignWithMargins="0">
    <oddFooter>&amp;C&amp;8&amp;P</oddFooter>
  </headerFooter>
  <ignoredErrors>
    <ignoredError sqref="AI2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workbookViewId="0"/>
  </sheetViews>
  <sheetFormatPr defaultColWidth="8.84375" defaultRowHeight="10"/>
  <cols>
    <col min="1" max="1" width="38.4609375" style="1362" customWidth="1"/>
    <col min="2" max="2" width="6.84375" style="1362" customWidth="1"/>
    <col min="3" max="3" width="4.07421875" style="1362" customWidth="1"/>
    <col min="4" max="4" width="14" style="1362" customWidth="1"/>
    <col min="5" max="5" width="1.07421875" style="1362" customWidth="1"/>
    <col min="6" max="6" width="13.4609375" style="1362" customWidth="1"/>
    <col min="7" max="7" width="1.07421875" style="1362" customWidth="1"/>
    <col min="8" max="8" width="13.4609375" style="1363" customWidth="1"/>
    <col min="9" max="9" width="1.84375" style="1362" customWidth="1"/>
    <col min="10" max="10" width="13.4609375" style="1362" customWidth="1"/>
    <col min="11" max="11" width="1.07421875" style="1362" customWidth="1"/>
    <col min="12" max="12" width="11.84375" style="1362" customWidth="1"/>
    <col min="13" max="13" width="1.07421875" style="1362" customWidth="1"/>
    <col min="14" max="14" width="13.53515625" style="1362" customWidth="1"/>
    <col min="15" max="15" width="1.07421875" style="1362" customWidth="1"/>
    <col min="16" max="16" width="0.84375" style="1362" customWidth="1"/>
    <col min="17" max="17" width="1.07421875" style="1362" customWidth="1"/>
    <col min="18" max="18" width="14.4609375" style="1362" customWidth="1"/>
    <col min="19" max="19" width="1.07421875" style="1362" customWidth="1"/>
    <col min="20" max="20" width="14.4609375" style="1362" customWidth="1"/>
    <col min="21" max="21" width="1.07421875" style="1362" customWidth="1"/>
    <col min="22" max="22" width="0.84375" style="1362" customWidth="1"/>
    <col min="23" max="24" width="1.07421875" style="1362" customWidth="1"/>
    <col min="25" max="25" width="12.84375" style="1362" customWidth="1"/>
    <col min="26" max="26" width="1.07421875" style="1362" customWidth="1"/>
    <col min="27" max="27" width="14.4609375" style="1362" customWidth="1"/>
    <col min="28" max="28" width="1.84375" style="1362" customWidth="1"/>
    <col min="29" max="29" width="1.07421875" style="1362" customWidth="1"/>
    <col min="30" max="30" width="13.07421875" style="1362" customWidth="1"/>
    <col min="31" max="31" width="3" style="1362" customWidth="1"/>
    <col min="32" max="32" width="12" style="1362" customWidth="1"/>
    <col min="33" max="16384" width="8.84375" style="1362"/>
  </cols>
  <sheetData>
    <row r="1" spans="1:32" ht="15.5">
      <c r="A1" s="489" t="s">
        <v>868</v>
      </c>
    </row>
    <row r="2" spans="1:32" ht="15" customHeight="1">
      <c r="A2" s="489"/>
    </row>
    <row r="3" spans="1:32" ht="21" customHeight="1">
      <c r="A3" s="2302" t="s">
        <v>0</v>
      </c>
      <c r="B3" s="2296"/>
      <c r="C3" s="2296"/>
      <c r="D3" s="2296"/>
      <c r="E3" s="2296"/>
      <c r="F3" s="2296"/>
      <c r="G3" s="2296"/>
      <c r="H3" s="2296"/>
      <c r="I3" s="2296"/>
      <c r="J3" s="2296"/>
      <c r="K3" s="2296"/>
      <c r="L3" s="2296"/>
      <c r="M3" s="2296"/>
      <c r="N3" s="2296"/>
      <c r="O3" s="2296"/>
      <c r="P3" s="2296"/>
      <c r="Q3" s="2296"/>
      <c r="R3" s="2296"/>
      <c r="S3" s="2296"/>
      <c r="T3" s="2296"/>
      <c r="U3" s="2296"/>
      <c r="V3" s="2296"/>
      <c r="W3" s="2296"/>
      <c r="X3" s="2296"/>
      <c r="Y3" s="2296"/>
      <c r="Z3" s="2296"/>
      <c r="AA3" s="2296"/>
      <c r="AB3" s="2296"/>
      <c r="AC3" s="955"/>
      <c r="AF3" s="1367" t="s">
        <v>53</v>
      </c>
    </row>
    <row r="4" spans="1:32" ht="20">
      <c r="A4" s="2294" t="s">
        <v>1060</v>
      </c>
      <c r="B4" s="2296"/>
      <c r="C4" s="2296"/>
      <c r="D4" s="2296"/>
      <c r="E4" s="2296"/>
      <c r="F4" s="2296"/>
      <c r="G4" s="2296"/>
      <c r="H4" s="2296"/>
      <c r="I4" s="2296"/>
      <c r="J4" s="2296"/>
      <c r="K4" s="2296"/>
      <c r="L4" s="2296"/>
      <c r="M4" s="2296"/>
      <c r="N4" s="2296"/>
      <c r="O4" s="2296"/>
      <c r="P4" s="2296"/>
      <c r="Q4" s="2296"/>
      <c r="R4" s="2296"/>
      <c r="S4" s="2296"/>
      <c r="T4" s="2296"/>
      <c r="U4" s="2296"/>
      <c r="V4" s="2296"/>
      <c r="W4" s="2296"/>
      <c r="X4" s="2296"/>
      <c r="Y4" s="2296"/>
      <c r="Z4" s="2296"/>
      <c r="AA4" s="2296"/>
      <c r="AB4" s="2296"/>
      <c r="AC4" s="955"/>
      <c r="AF4" s="1367" t="s">
        <v>54</v>
      </c>
    </row>
    <row r="5" spans="1:32" ht="21" customHeight="1">
      <c r="A5" s="2294" t="s">
        <v>780</v>
      </c>
      <c r="B5" s="2296"/>
      <c r="C5" s="2296"/>
      <c r="D5" s="2296"/>
      <c r="E5" s="2296"/>
      <c r="F5" s="2296"/>
      <c r="G5" s="2296"/>
      <c r="H5" s="2296"/>
      <c r="I5" s="2296"/>
      <c r="J5" s="2296"/>
      <c r="K5" s="2296"/>
      <c r="L5" s="2296"/>
      <c r="M5" s="2296"/>
      <c r="N5" s="2296"/>
      <c r="O5" s="2296"/>
      <c r="P5" s="2296"/>
      <c r="Q5" s="2296"/>
      <c r="R5" s="2296"/>
      <c r="S5" s="2296"/>
      <c r="T5" s="2296"/>
      <c r="U5" s="2296"/>
      <c r="V5" s="2296"/>
      <c r="W5" s="2296"/>
      <c r="X5" s="2296"/>
      <c r="Y5" s="2296"/>
      <c r="Z5" s="2296"/>
      <c r="AA5" s="2296"/>
      <c r="AB5" s="2296"/>
      <c r="AC5" s="955"/>
    </row>
    <row r="6" spans="1:32" ht="21" customHeight="1">
      <c r="A6" s="1406" t="s">
        <v>1247</v>
      </c>
      <c r="B6" s="1407"/>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955"/>
    </row>
    <row r="7" spans="1:32" ht="15.75" customHeight="1">
      <c r="A7" s="2294"/>
      <c r="B7" s="2296"/>
      <c r="C7" s="2296"/>
      <c r="D7" s="2296"/>
      <c r="E7" s="2296"/>
      <c r="F7" s="2296"/>
      <c r="G7" s="2296"/>
      <c r="H7" s="2296"/>
      <c r="I7" s="2296"/>
      <c r="J7" s="2296"/>
      <c r="K7" s="2296"/>
      <c r="L7" s="2296"/>
      <c r="M7" s="2296"/>
      <c r="N7" s="2296"/>
      <c r="O7" s="2296"/>
      <c r="P7" s="2296"/>
      <c r="Q7" s="2296"/>
      <c r="R7" s="2296"/>
      <c r="S7" s="2296"/>
      <c r="T7" s="2296"/>
      <c r="U7" s="2296"/>
      <c r="V7" s="2296"/>
      <c r="W7" s="2296"/>
      <c r="X7" s="2296"/>
      <c r="Y7" s="2296"/>
      <c r="Z7" s="2296"/>
      <c r="AA7" s="2296"/>
      <c r="AB7" s="2296"/>
      <c r="AC7" s="955"/>
    </row>
    <row r="8" spans="1:32" ht="15.75" customHeight="1">
      <c r="A8" s="1"/>
      <c r="B8" s="1"/>
      <c r="C8" s="1"/>
      <c r="D8" s="1"/>
      <c r="E8" s="1"/>
      <c r="F8" s="1"/>
      <c r="G8" s="1"/>
      <c r="H8" s="1368"/>
      <c r="I8" s="2"/>
      <c r="J8" s="2"/>
      <c r="K8" s="2"/>
      <c r="L8" s="2"/>
      <c r="M8" s="1"/>
      <c r="N8" s="2"/>
      <c r="O8" s="2"/>
      <c r="P8" s="2"/>
      <c r="Q8" s="2"/>
      <c r="R8" s="2"/>
      <c r="S8" s="2"/>
      <c r="T8" s="2"/>
      <c r="U8" s="2"/>
      <c r="V8" s="2"/>
      <c r="W8" s="2"/>
      <c r="X8" s="2"/>
      <c r="Y8" s="1408"/>
      <c r="Z8" s="1408"/>
      <c r="AA8" s="1367"/>
      <c r="AB8" s="1408"/>
      <c r="AC8" s="1409"/>
    </row>
    <row r="9" spans="1:32" ht="15.75" customHeight="1">
      <c r="A9" s="1"/>
      <c r="B9" s="1"/>
      <c r="C9" s="1"/>
      <c r="D9" s="1"/>
      <c r="E9" s="1"/>
      <c r="F9" s="1"/>
      <c r="G9" s="1"/>
      <c r="H9" s="1368"/>
      <c r="I9" s="2"/>
      <c r="J9" s="2"/>
      <c r="K9" s="2"/>
      <c r="L9" s="2"/>
      <c r="M9" s="1"/>
      <c r="N9" s="2"/>
      <c r="O9" s="2"/>
      <c r="P9" s="2"/>
      <c r="Q9" s="2"/>
      <c r="R9" s="2"/>
      <c r="X9" s="2"/>
      <c r="Y9" s="1408"/>
      <c r="Z9" s="1408"/>
      <c r="AA9" s="1367"/>
      <c r="AB9" s="1408"/>
      <c r="AC9" s="1409"/>
    </row>
    <row r="10" spans="1:32" ht="16.399999999999999" customHeight="1">
      <c r="A10" s="1"/>
      <c r="B10" s="1"/>
      <c r="C10" s="1"/>
      <c r="D10" s="2299"/>
      <c r="E10" s="2300"/>
      <c r="F10" s="2300"/>
      <c r="G10" s="2300"/>
      <c r="H10" s="2300"/>
      <c r="I10" s="2300"/>
      <c r="J10" s="2300"/>
      <c r="K10" s="2300"/>
      <c r="L10" s="2300"/>
      <c r="M10" s="2300"/>
      <c r="N10" s="2300"/>
      <c r="O10" s="2"/>
      <c r="P10" s="1410"/>
      <c r="Q10" s="2"/>
      <c r="R10" s="2299"/>
      <c r="S10" s="2299"/>
      <c r="T10" s="2299"/>
      <c r="U10" s="2299"/>
      <c r="V10" s="2299"/>
      <c r="W10" s="2299"/>
      <c r="X10" s="2299"/>
      <c r="Y10" s="2299"/>
      <c r="Z10" s="2299"/>
      <c r="AA10" s="2299"/>
      <c r="AB10" s="2299"/>
      <c r="AC10" s="1411"/>
    </row>
    <row r="11" spans="1:32" ht="16.399999999999999" customHeight="1">
      <c r="A11" s="450"/>
      <c r="B11" s="450"/>
      <c r="C11" s="450"/>
      <c r="D11" s="3" t="s">
        <v>2</v>
      </c>
      <c r="E11" s="3"/>
      <c r="F11" s="3"/>
      <c r="G11" s="1371"/>
      <c r="H11" s="1412" t="s">
        <v>1042</v>
      </c>
      <c r="I11" s="3"/>
      <c r="J11" s="3"/>
      <c r="L11" s="2301" t="s">
        <v>4</v>
      </c>
      <c r="M11" s="2301"/>
      <c r="N11" s="2301"/>
      <c r="O11" s="5"/>
      <c r="P11" s="5"/>
      <c r="Q11" s="5"/>
      <c r="R11" s="1413" t="s">
        <v>1348</v>
      </c>
      <c r="S11" s="1413"/>
      <c r="T11" s="1413"/>
      <c r="U11" s="1413"/>
      <c r="V11" s="1413"/>
      <c r="W11" s="1413"/>
      <c r="X11" s="1413"/>
      <c r="Y11" s="1413"/>
      <c r="Z11" s="1413"/>
      <c r="AA11" s="1413"/>
      <c r="AB11" s="1413"/>
      <c r="AC11" s="1414"/>
      <c r="AD11" s="1415"/>
      <c r="AE11" s="1415"/>
      <c r="AF11" s="1415"/>
    </row>
    <row r="12" spans="1:32" ht="15.75" customHeight="1">
      <c r="A12" s="7"/>
      <c r="B12" s="7"/>
      <c r="C12" s="7"/>
      <c r="D12" s="5" t="s">
        <v>6</v>
      </c>
      <c r="E12" s="5"/>
      <c r="F12" s="4" t="str">
        <f>'Exhibit A'!F11</f>
        <v>12 MOS. ENDED</v>
      </c>
      <c r="G12" s="5"/>
      <c r="H12" s="5" t="s">
        <v>6</v>
      </c>
      <c r="I12" s="5"/>
      <c r="J12" s="5" t="str">
        <f>F12</f>
        <v>12 MOS. ENDED</v>
      </c>
      <c r="K12" s="5"/>
      <c r="L12" s="5" t="s">
        <v>6</v>
      </c>
      <c r="M12" s="5"/>
      <c r="N12" s="5" t="str">
        <f>F12</f>
        <v>12 MOS. ENDED</v>
      </c>
      <c r="O12" s="5"/>
      <c r="P12" s="1416"/>
      <c r="Q12" s="5"/>
      <c r="R12" s="5" t="s">
        <v>6</v>
      </c>
      <c r="S12" s="5"/>
      <c r="T12" s="5" t="str">
        <f>F12</f>
        <v>12 MOS. ENDED</v>
      </c>
      <c r="U12" s="5"/>
      <c r="V12" s="5"/>
      <c r="W12" s="5"/>
      <c r="X12" s="5"/>
      <c r="Y12" s="5" t="s">
        <v>6</v>
      </c>
      <c r="Z12" s="5"/>
      <c r="AA12" s="5" t="str">
        <f>'Exhibit A'!AD11</f>
        <v>12 MOS. ENDED</v>
      </c>
      <c r="AB12" s="5"/>
      <c r="AC12" s="1417"/>
      <c r="AD12" s="5" t="s">
        <v>7</v>
      </c>
      <c r="AE12" s="489"/>
      <c r="AF12" s="5" t="s">
        <v>8</v>
      </c>
    </row>
    <row r="13" spans="1:32" ht="16.399999999999999" customHeight="1">
      <c r="A13" s="7"/>
      <c r="B13" s="7"/>
      <c r="C13" s="7"/>
      <c r="D13" s="657" t="str">
        <f>'Exhibit A'!D12</f>
        <v>MAR. 2023</v>
      </c>
      <c r="E13" s="5"/>
      <c r="F13" s="657" t="str">
        <f>'Exhibit A'!F12</f>
        <v>MAR. 31, 2023</v>
      </c>
      <c r="G13" s="5"/>
      <c r="H13" s="6" t="str">
        <f>D13</f>
        <v>MAR. 2023</v>
      </c>
      <c r="I13" s="5"/>
      <c r="J13" s="6" t="str">
        <f>F13</f>
        <v>MAR. 31, 2023</v>
      </c>
      <c r="K13" s="5"/>
      <c r="L13" s="6" t="str">
        <f>D13</f>
        <v>MAR. 2023</v>
      </c>
      <c r="M13" s="5"/>
      <c r="N13" s="6" t="str">
        <f>F13</f>
        <v>MAR. 31, 2023</v>
      </c>
      <c r="O13" s="5"/>
      <c r="P13" s="1416"/>
      <c r="Q13" s="5"/>
      <c r="R13" s="6" t="str">
        <f>D13</f>
        <v>MAR. 2023</v>
      </c>
      <c r="S13" s="5"/>
      <c r="T13" s="6" t="str">
        <f>F13</f>
        <v>MAR. 31, 2023</v>
      </c>
      <c r="U13" s="5"/>
      <c r="V13" s="5"/>
      <c r="W13" s="5"/>
      <c r="X13" s="5"/>
      <c r="Y13" s="657" t="str">
        <f>'Exhibit A'!AB12</f>
        <v>MAR. 2022</v>
      </c>
      <c r="Z13" s="5"/>
      <c r="AA13" s="657" t="str">
        <f>'Exhibit A'!AD12</f>
        <v>MAR. 31, 2022</v>
      </c>
      <c r="AB13" s="5"/>
      <c r="AC13" s="1417"/>
      <c r="AD13" s="6" t="s">
        <v>11</v>
      </c>
      <c r="AE13" s="489"/>
      <c r="AF13" s="657" t="s">
        <v>12</v>
      </c>
    </row>
    <row r="14" spans="1:32" ht="16.399999999999999" customHeight="1">
      <c r="A14" s="1371" t="s">
        <v>13</v>
      </c>
      <c r="B14" s="7"/>
      <c r="C14" s="7"/>
      <c r="D14" s="1418" t="s">
        <v>14</v>
      </c>
      <c r="E14" s="7"/>
      <c r="F14" s="7"/>
      <c r="G14" s="7"/>
      <c r="H14" s="450" t="s">
        <v>14</v>
      </c>
      <c r="I14" s="7"/>
      <c r="J14" s="7"/>
      <c r="K14" s="7"/>
      <c r="L14" s="450" t="s">
        <v>14</v>
      </c>
      <c r="M14" s="7"/>
      <c r="N14" s="7"/>
      <c r="O14" s="7"/>
      <c r="P14" s="1419"/>
      <c r="Q14" s="1420"/>
      <c r="R14" s="7"/>
      <c r="S14" s="7"/>
      <c r="T14" s="7"/>
      <c r="U14" s="7"/>
      <c r="V14" s="7"/>
      <c r="W14" s="1421"/>
      <c r="X14" s="7"/>
      <c r="Y14" s="7"/>
      <c r="Z14" s="7"/>
      <c r="AA14" s="7"/>
      <c r="AB14" s="7"/>
      <c r="AC14" s="1422"/>
      <c r="AD14" s="7"/>
      <c r="AF14" s="958"/>
    </row>
    <row r="15" spans="1:32" ht="18" customHeight="1">
      <c r="A15" s="7" t="s">
        <v>15</v>
      </c>
      <c r="B15" s="1378" t="s">
        <v>1526</v>
      </c>
      <c r="C15" s="7"/>
      <c r="D15" s="918">
        <f>+'Exhibit A'!D14</f>
        <v>2067.1999999999998</v>
      </c>
      <c r="E15" s="478" t="s">
        <v>14</v>
      </c>
      <c r="F15" s="478">
        <f>+'Exhibit A'!F14</f>
        <v>27606.6</v>
      </c>
      <c r="G15" s="478"/>
      <c r="H15" s="2155">
        <f>+'Exhibit G State'!Z17</f>
        <v>51.600000000000136</v>
      </c>
      <c r="I15" s="478"/>
      <c r="J15" s="2156">
        <f>'Exhibit G State'!AD17</f>
        <v>1781.2</v>
      </c>
      <c r="K15" s="478"/>
      <c r="L15" s="2157">
        <f>+'Exhibit A'!L14</f>
        <v>2118.7999999999993</v>
      </c>
      <c r="M15" s="478"/>
      <c r="N15" s="478">
        <f>+'Exhibit A'!N14</f>
        <v>29387.8</v>
      </c>
      <c r="O15" s="478"/>
      <c r="P15" s="1423"/>
      <c r="Q15" s="2158"/>
      <c r="R15" s="478">
        <f t="shared" ref="R15:R20" si="0">ROUND(SUM(D15+H15+L15),1)</f>
        <v>4237.6000000000004</v>
      </c>
      <c r="S15" s="478"/>
      <c r="T15" s="2291">
        <f t="shared" ref="T15:T20" si="1">ROUND(SUM(F15+J15+N15),1)</f>
        <v>58775.6</v>
      </c>
      <c r="U15" s="478"/>
      <c r="V15" s="478"/>
      <c r="W15" s="1424"/>
      <c r="X15" s="478"/>
      <c r="Y15" s="478">
        <v>5172.7</v>
      </c>
      <c r="Z15" s="478" t="s">
        <v>14</v>
      </c>
      <c r="AA15" s="478">
        <f>'Exhibit F'!AF26+'Exhibit G State'!AG17+'Exhibit H'!AD16</f>
        <v>70737.299999999988</v>
      </c>
      <c r="AB15" s="1425"/>
      <c r="AC15" s="1426"/>
      <c r="AD15" s="478">
        <f t="shared" ref="AD15:AD20" si="2">ROUND(SUM(T15-AA15),1)</f>
        <v>-11961.7</v>
      </c>
      <c r="AE15" s="1373"/>
      <c r="AF15" s="955">
        <f>ROUND(+AD15/AA15,3)</f>
        <v>-0.16900000000000001</v>
      </c>
    </row>
    <row r="16" spans="1:32" ht="18" customHeight="1">
      <c r="A16" s="7" t="s">
        <v>16</v>
      </c>
      <c r="B16" s="1375" t="s">
        <v>14</v>
      </c>
      <c r="C16" s="7"/>
      <c r="D16" s="448">
        <f>+'Exhibit A'!D15</f>
        <v>832.9</v>
      </c>
      <c r="E16" s="9"/>
      <c r="F16" s="9">
        <f>+'Exhibit A'!F15</f>
        <v>7239.5</v>
      </c>
      <c r="G16" s="9"/>
      <c r="H16" s="1487">
        <f>+'Exhibit G State'!Z29</f>
        <v>98.3</v>
      </c>
      <c r="I16" s="9"/>
      <c r="J16" s="2159">
        <f>'Exhibit G State'!AD29</f>
        <v>1915.5</v>
      </c>
      <c r="K16" s="9"/>
      <c r="L16" s="448">
        <f>+'Exhibit A'!L15</f>
        <v>806.1</v>
      </c>
      <c r="M16" s="9"/>
      <c r="N16" s="9">
        <f>+'Exhibit A'!N15</f>
        <v>11053.4</v>
      </c>
      <c r="O16" s="9"/>
      <c r="P16" s="1427"/>
      <c r="Q16" s="1437"/>
      <c r="R16" s="9">
        <f t="shared" si="0"/>
        <v>1737.3</v>
      </c>
      <c r="S16" s="9"/>
      <c r="T16" s="1844">
        <f t="shared" si="1"/>
        <v>20208.400000000001</v>
      </c>
      <c r="U16" s="9"/>
      <c r="V16" s="9"/>
      <c r="W16" s="1386"/>
      <c r="X16" s="9"/>
      <c r="Y16" s="9">
        <v>1749</v>
      </c>
      <c r="Z16" s="9" t="s">
        <v>14</v>
      </c>
      <c r="AA16" s="9">
        <f>'Exhibit F'!AF37+'Exhibit G State'!AG29+'Exhibit H'!AD20</f>
        <v>19014.599999999999</v>
      </c>
      <c r="AB16" s="7"/>
      <c r="AC16" s="1422"/>
      <c r="AD16" s="9">
        <f t="shared" si="2"/>
        <v>1193.8</v>
      </c>
      <c r="AF16" s="955">
        <f t="shared" ref="AF16:AF21" si="3">ROUND(+AD16/AA16,3)</f>
        <v>6.3E-2</v>
      </c>
    </row>
    <row r="17" spans="1:32" ht="18" customHeight="1">
      <c r="A17" s="7" t="s">
        <v>17</v>
      </c>
      <c r="B17" s="1376"/>
      <c r="C17" s="7"/>
      <c r="D17" s="448">
        <f>+'Exhibit A'!D16</f>
        <v>5065</v>
      </c>
      <c r="E17" s="9"/>
      <c r="F17" s="9">
        <f>+'Exhibit A'!F16</f>
        <v>17855.8</v>
      </c>
      <c r="G17" s="9"/>
      <c r="H17" s="1487">
        <f>+'Exhibit G State'!Z36</f>
        <v>526.20000000000005</v>
      </c>
      <c r="I17" s="9"/>
      <c r="J17" s="2159">
        <f>'Exhibit G State'!AD36</f>
        <v>2663.8</v>
      </c>
      <c r="K17" s="9"/>
      <c r="L17" s="448">
        <f>+'Exhibit A'!L16</f>
        <v>2272.9</v>
      </c>
      <c r="M17" s="9"/>
      <c r="N17" s="9">
        <f>+'Exhibit A'!N16</f>
        <v>7472.2</v>
      </c>
      <c r="O17" s="10"/>
      <c r="P17" s="1428"/>
      <c r="Q17" s="2160"/>
      <c r="R17" s="9">
        <f t="shared" si="0"/>
        <v>7864.1</v>
      </c>
      <c r="S17" s="9"/>
      <c r="T17" s="1844">
        <f t="shared" si="1"/>
        <v>27991.8</v>
      </c>
      <c r="U17" s="9"/>
      <c r="V17" s="9"/>
      <c r="W17" s="1429"/>
      <c r="X17" s="10"/>
      <c r="Y17" s="9">
        <v>7835.3</v>
      </c>
      <c r="Z17" s="9" t="s">
        <v>14</v>
      </c>
      <c r="AA17" s="9">
        <f>'Exhibit F'!AF45+'Exhibit G State'!AG36+'Exhibit H'!AD22</f>
        <v>27137.599999999999</v>
      </c>
      <c r="AB17" s="7"/>
      <c r="AC17" s="1422"/>
      <c r="AD17" s="9">
        <f t="shared" si="2"/>
        <v>854.2</v>
      </c>
      <c r="AF17" s="955">
        <f t="shared" si="3"/>
        <v>3.1E-2</v>
      </c>
    </row>
    <row r="18" spans="1:32" ht="18" customHeight="1">
      <c r="A18" s="7" t="s">
        <v>18</v>
      </c>
      <c r="B18" s="1375" t="s">
        <v>14</v>
      </c>
      <c r="C18" s="7"/>
      <c r="D18" s="448">
        <f>+'Exhibit A'!D17</f>
        <v>162.1</v>
      </c>
      <c r="E18" s="9"/>
      <c r="F18" s="9">
        <f>+'Exhibit A'!F17</f>
        <v>2203.6</v>
      </c>
      <c r="G18" s="9"/>
      <c r="H18" s="1487">
        <v>0</v>
      </c>
      <c r="I18" s="9"/>
      <c r="J18" s="2159">
        <v>0</v>
      </c>
      <c r="K18" s="9"/>
      <c r="L18" s="448">
        <f>+'Exhibit A'!L17</f>
        <v>41.8</v>
      </c>
      <c r="M18" s="9"/>
      <c r="N18" s="9">
        <f>+'Exhibit A'!N17</f>
        <v>1217.9999999999998</v>
      </c>
      <c r="O18" s="9"/>
      <c r="P18" s="1427"/>
      <c r="Q18" s="1437"/>
      <c r="R18" s="9">
        <f t="shared" si="0"/>
        <v>203.9</v>
      </c>
      <c r="S18" s="9"/>
      <c r="T18" s="1844">
        <f t="shared" si="1"/>
        <v>3421.6</v>
      </c>
      <c r="U18" s="9"/>
      <c r="V18" s="9"/>
      <c r="W18" s="1386"/>
      <c r="X18" s="9"/>
      <c r="Y18" s="9">
        <v>191.5</v>
      </c>
      <c r="Z18" s="9" t="s">
        <v>14</v>
      </c>
      <c r="AA18" s="9">
        <f>'Exhibit F'!AF53+'Exhibit H'!AD27</f>
        <v>2933.7000000000003</v>
      </c>
      <c r="AB18" s="7"/>
      <c r="AC18" s="1422"/>
      <c r="AD18" s="9">
        <f t="shared" si="2"/>
        <v>487.9</v>
      </c>
      <c r="AF18" s="955">
        <f t="shared" si="3"/>
        <v>0.16600000000000001</v>
      </c>
    </row>
    <row r="19" spans="1:32" ht="18" customHeight="1">
      <c r="A19" s="7" t="s">
        <v>19</v>
      </c>
      <c r="B19" s="1375" t="s">
        <v>14</v>
      </c>
      <c r="C19" s="7"/>
      <c r="D19" s="448">
        <f>+'Exhibit A'!D18</f>
        <v>828.6</v>
      </c>
      <c r="E19" s="448"/>
      <c r="F19" s="9">
        <f>+'Exhibit A'!F18</f>
        <v>3609.3</v>
      </c>
      <c r="G19" s="9"/>
      <c r="H19" s="1487">
        <f>+'Exhibit G State'!Z82</f>
        <v>2175</v>
      </c>
      <c r="I19" s="9"/>
      <c r="J19" s="2159">
        <f>'Exhibit G State'!AD82</f>
        <v>20836.7</v>
      </c>
      <c r="K19" s="9"/>
      <c r="L19" s="448">
        <f>+'Exhibit A'!L18</f>
        <v>23.9</v>
      </c>
      <c r="M19" s="9"/>
      <c r="N19" s="9">
        <f>+'Exhibit A'!N18</f>
        <v>455.6</v>
      </c>
      <c r="O19" s="9"/>
      <c r="P19" s="1427"/>
      <c r="Q19" s="1437"/>
      <c r="R19" s="9">
        <f t="shared" si="0"/>
        <v>3027.5</v>
      </c>
      <c r="S19" s="9"/>
      <c r="T19" s="1844">
        <f t="shared" si="1"/>
        <v>24901.599999999999</v>
      </c>
      <c r="U19" s="9"/>
      <c r="V19" s="9"/>
      <c r="W19" s="1386"/>
      <c r="X19" s="9"/>
      <c r="Y19" s="9">
        <v>3077.7000000000003</v>
      </c>
      <c r="Z19" s="9" t="s">
        <v>14</v>
      </c>
      <c r="AA19" s="9">
        <f>+'Exhibit F'!AF96+'Exhibit G State'!AG82+'Exhibit H'!AD50</f>
        <v>22742.6</v>
      </c>
      <c r="AB19" s="7"/>
      <c r="AC19" s="1422"/>
      <c r="AD19" s="9">
        <f t="shared" si="2"/>
        <v>2159</v>
      </c>
      <c r="AF19" s="955">
        <f t="shared" si="3"/>
        <v>9.5000000000000001E-2</v>
      </c>
    </row>
    <row r="20" spans="1:32" ht="18" customHeight="1">
      <c r="A20" s="7" t="s">
        <v>20</v>
      </c>
      <c r="B20" s="1378" t="s">
        <v>1581</v>
      </c>
      <c r="C20" s="7"/>
      <c r="D20" s="448">
        <f>+'Exhibit A'!D19</f>
        <v>2350.0000000000005</v>
      </c>
      <c r="E20" s="9"/>
      <c r="F20" s="9">
        <f>+'Exhibit A'!F19</f>
        <v>2350.6</v>
      </c>
      <c r="G20" s="9"/>
      <c r="H20" s="1487">
        <f>+'Exhibit G State'!Z84</f>
        <v>0</v>
      </c>
      <c r="I20" s="9"/>
      <c r="J20" s="2159">
        <f>'Exhibit G State'!AD84</f>
        <v>-1.7</v>
      </c>
      <c r="K20" s="9"/>
      <c r="L20" s="448">
        <f>+'Exhibit A'!L19</f>
        <v>0</v>
      </c>
      <c r="M20" s="10"/>
      <c r="N20" s="9">
        <f>+'Exhibit A'!N19</f>
        <v>71</v>
      </c>
      <c r="O20" s="10"/>
      <c r="P20" s="1428"/>
      <c r="Q20" s="2160"/>
      <c r="R20" s="10">
        <f t="shared" si="0"/>
        <v>2350</v>
      </c>
      <c r="S20" s="10"/>
      <c r="T20" s="1844">
        <f t="shared" si="1"/>
        <v>2419.9</v>
      </c>
      <c r="U20" s="9"/>
      <c r="V20" s="9"/>
      <c r="W20" s="1429"/>
      <c r="X20" s="10"/>
      <c r="Y20" s="9">
        <v>4509</v>
      </c>
      <c r="Z20" s="9" t="s">
        <v>14</v>
      </c>
      <c r="AA20" s="9">
        <f>+'Exhibit F'!AF98+'Exhibit G State'!AG84+'Exhibit H'!AD52</f>
        <v>4605.9000000000005</v>
      </c>
      <c r="AB20" s="7"/>
      <c r="AC20" s="1422"/>
      <c r="AD20" s="9">
        <f t="shared" si="2"/>
        <v>-2186</v>
      </c>
      <c r="AF20" s="971">
        <f>ROUND(IF(AA20=0,1,AD20/ABS(AA20)),3)</f>
        <v>-0.47499999999999998</v>
      </c>
    </row>
    <row r="21" spans="1:32" ht="18" customHeight="1">
      <c r="A21" s="1371" t="s">
        <v>21</v>
      </c>
      <c r="B21" s="7"/>
      <c r="C21" s="7"/>
      <c r="D21" s="12">
        <f>ROUND(SUM(D15:D20),1)</f>
        <v>11305.8</v>
      </c>
      <c r="E21" s="16"/>
      <c r="F21" s="11">
        <f>ROUND(SUM(F15:F20),1)</f>
        <v>60865.4</v>
      </c>
      <c r="G21" s="16"/>
      <c r="H21" s="12">
        <f>ROUND(SUM(H15:H20),1)</f>
        <v>2851.1</v>
      </c>
      <c r="I21" s="16"/>
      <c r="J21" s="12">
        <f>ROUND(SUM(J15:J20),1)</f>
        <v>27195.5</v>
      </c>
      <c r="K21" s="16"/>
      <c r="L21" s="12">
        <f>ROUND(SUM(L15:L20),1)</f>
        <v>5263.5</v>
      </c>
      <c r="M21" s="16"/>
      <c r="N21" s="12">
        <f>ROUND(SUM(N15:N20),1)</f>
        <v>49658</v>
      </c>
      <c r="O21" s="16"/>
      <c r="P21" s="1430"/>
      <c r="Q21" s="2052"/>
      <c r="R21" s="12">
        <f>ROUND(SUM(R15:R20),1)</f>
        <v>19420.400000000001</v>
      </c>
      <c r="S21" s="16"/>
      <c r="T21" s="12">
        <f>ROUND(SUM(T15:T20),1)</f>
        <v>137718.9</v>
      </c>
      <c r="U21" s="16"/>
      <c r="V21" s="16"/>
      <c r="W21" s="1389"/>
      <c r="X21" s="16"/>
      <c r="Y21" s="12">
        <f>ROUND(SUM(Y15:Y20),1)</f>
        <v>22535.200000000001</v>
      </c>
      <c r="Z21" s="16"/>
      <c r="AA21" s="12">
        <f>ROUND(SUM(AA15:AA20),1)</f>
        <v>147171.70000000001</v>
      </c>
      <c r="AB21" s="1371"/>
      <c r="AC21" s="1431"/>
      <c r="AD21" s="12">
        <f>ROUND(SUM(AD15:AD20),1)</f>
        <v>-9452.7999999999993</v>
      </c>
      <c r="AE21" s="1377"/>
      <c r="AF21" s="962">
        <f t="shared" si="3"/>
        <v>-6.4000000000000001E-2</v>
      </c>
    </row>
    <row r="22" spans="1:32" ht="16.399999999999999" customHeight="1">
      <c r="A22" s="1371"/>
      <c r="B22" s="7"/>
      <c r="C22" s="7"/>
      <c r="D22" s="448"/>
      <c r="E22" s="9"/>
      <c r="F22" s="9"/>
      <c r="G22" s="9"/>
      <c r="H22" s="448"/>
      <c r="I22" s="9"/>
      <c r="J22" s="9"/>
      <c r="K22" s="9"/>
      <c r="L22" s="448"/>
      <c r="M22" s="9"/>
      <c r="N22" s="9"/>
      <c r="O22" s="9"/>
      <c r="P22" s="1427"/>
      <c r="Q22" s="1437"/>
      <c r="R22" s="9"/>
      <c r="S22" s="9"/>
      <c r="T22" s="9"/>
      <c r="U22" s="9"/>
      <c r="V22" s="9"/>
      <c r="W22" s="1386"/>
      <c r="X22" s="9"/>
      <c r="Y22" s="9"/>
      <c r="Z22" s="9"/>
      <c r="AA22" s="9"/>
      <c r="AB22" s="7"/>
      <c r="AC22" s="1422"/>
      <c r="AD22" s="9"/>
      <c r="AF22" s="958"/>
    </row>
    <row r="23" spans="1:32" ht="16.399999999999999" customHeight="1">
      <c r="A23" s="1371" t="s">
        <v>22</v>
      </c>
      <c r="B23" s="7"/>
      <c r="C23" s="7"/>
      <c r="D23" s="448"/>
      <c r="E23" s="9"/>
      <c r="F23" s="9"/>
      <c r="G23" s="9"/>
      <c r="H23" s="448"/>
      <c r="I23" s="9"/>
      <c r="J23" s="9"/>
      <c r="K23" s="9"/>
      <c r="L23" s="448"/>
      <c r="M23" s="9"/>
      <c r="N23" s="9"/>
      <c r="O23" s="9"/>
      <c r="P23" s="1427"/>
      <c r="Q23" s="1437"/>
      <c r="R23" s="9"/>
      <c r="S23" s="9"/>
      <c r="T23" s="9"/>
      <c r="U23" s="9"/>
      <c r="V23" s="9"/>
      <c r="W23" s="1386"/>
      <c r="X23" s="9"/>
      <c r="Y23" s="9"/>
      <c r="Z23" s="9"/>
      <c r="AA23" s="9"/>
      <c r="AB23" s="7"/>
      <c r="AC23" s="1422"/>
      <c r="AD23" s="9"/>
      <c r="AF23" s="958"/>
    </row>
    <row r="24" spans="1:32" ht="16.399999999999999" customHeight="1">
      <c r="A24" s="7" t="s">
        <v>23</v>
      </c>
      <c r="B24" s="1418" t="s">
        <v>14</v>
      </c>
      <c r="C24" s="7"/>
      <c r="D24" s="452"/>
      <c r="E24" s="10"/>
      <c r="F24" s="14"/>
      <c r="G24" s="9"/>
      <c r="H24" s="452"/>
      <c r="I24" s="10"/>
      <c r="J24" s="14"/>
      <c r="K24" s="9"/>
      <c r="L24" s="452"/>
      <c r="M24" s="9"/>
      <c r="N24" s="10"/>
      <c r="O24" s="9"/>
      <c r="P24" s="1427"/>
      <c r="Q24" s="1437"/>
      <c r="R24" s="10"/>
      <c r="S24" s="10"/>
      <c r="T24" s="10"/>
      <c r="U24" s="9"/>
      <c r="V24" s="9"/>
      <c r="W24" s="1386"/>
      <c r="X24" s="10"/>
      <c r="Y24" s="9"/>
      <c r="Z24" s="9"/>
      <c r="AA24" s="9"/>
      <c r="AB24" s="7"/>
      <c r="AC24" s="1422"/>
      <c r="AD24" s="14"/>
      <c r="AF24" s="1379"/>
    </row>
    <row r="25" spans="1:32" ht="18" customHeight="1">
      <c r="A25" s="1380" t="s">
        <v>24</v>
      </c>
      <c r="B25" s="7"/>
      <c r="C25" s="7"/>
      <c r="D25" s="919">
        <f>+'Exhibit A'!D24</f>
        <v>10402.9</v>
      </c>
      <c r="E25" s="9"/>
      <c r="F25" s="1432">
        <f>+'Exhibit A'!F24</f>
        <v>30729</v>
      </c>
      <c r="G25" s="9"/>
      <c r="H25" s="919">
        <f>+'Exhibit G State'!Z90</f>
        <v>379.80000000000018</v>
      </c>
      <c r="I25" s="9"/>
      <c r="J25" s="1432">
        <f>+'Exhibit G State'!AD90</f>
        <v>6435.3</v>
      </c>
      <c r="K25" s="9"/>
      <c r="L25" s="452">
        <f>+'Exhibit A'!L24</f>
        <v>0</v>
      </c>
      <c r="M25" s="9"/>
      <c r="N25" s="10">
        <f>+'Exhibit A'!N24</f>
        <v>0</v>
      </c>
      <c r="O25" s="10"/>
      <c r="P25" s="1428"/>
      <c r="Q25" s="2160"/>
      <c r="R25" s="1844">
        <f>ROUND(SUM(D25+H25+L25),1)</f>
        <v>10782.7</v>
      </c>
      <c r="S25" s="1844"/>
      <c r="T25" s="1844">
        <f>ROUND(SUM(F25+J25+N25),1)</f>
        <v>37164.300000000003</v>
      </c>
      <c r="U25" s="9"/>
      <c r="V25" s="9"/>
      <c r="W25" s="1429"/>
      <c r="X25" s="10"/>
      <c r="Y25" s="9">
        <v>10822.2</v>
      </c>
      <c r="Z25" s="9" t="s">
        <v>14</v>
      </c>
      <c r="AA25" s="9">
        <f>+'Exhibit F'!AF104+'Exhibit G State'!AG90</f>
        <v>35088.5</v>
      </c>
      <c r="AB25" s="7"/>
      <c r="AC25" s="1422"/>
      <c r="AD25" s="9">
        <f>ROUND(SUM(T25-AA25),1)</f>
        <v>2075.8000000000002</v>
      </c>
      <c r="AF25" s="955">
        <f>ROUND(+AD25/AA25,3)</f>
        <v>5.8999999999999997E-2</v>
      </c>
    </row>
    <row r="26" spans="1:32" ht="18" customHeight="1">
      <c r="A26" s="1380" t="s">
        <v>25</v>
      </c>
      <c r="B26" s="1381"/>
      <c r="C26" s="7"/>
      <c r="D26" s="919">
        <f>+'Exhibit A'!D25</f>
        <v>0.59999999999999987</v>
      </c>
      <c r="E26" s="9"/>
      <c r="F26" s="1432">
        <f>+'Exhibit A'!F25</f>
        <v>2.2999999999999998</v>
      </c>
      <c r="G26" s="9"/>
      <c r="H26" s="919">
        <f>+'Exhibit G State'!Z91</f>
        <v>0</v>
      </c>
      <c r="I26" s="1844"/>
      <c r="J26" s="1432">
        <f>+'Exhibit G State'!AD91</f>
        <v>5.2</v>
      </c>
      <c r="K26" s="9"/>
      <c r="L26" s="452">
        <f>+'Exhibit A'!L25</f>
        <v>0</v>
      </c>
      <c r="M26" s="9"/>
      <c r="N26" s="10">
        <f>+'Exhibit A'!N25</f>
        <v>0</v>
      </c>
      <c r="O26" s="10"/>
      <c r="P26" s="1428"/>
      <c r="Q26" s="2160"/>
      <c r="R26" s="1844">
        <f t="shared" ref="R26:R33" si="4">ROUND(SUM(D26+H26+L26),1)</f>
        <v>0.6</v>
      </c>
      <c r="S26" s="1844"/>
      <c r="T26" s="1844">
        <f t="shared" ref="T26:T33" si="5">ROUND(SUM(F26+J26+N26),1)</f>
        <v>7.5</v>
      </c>
      <c r="U26" s="9"/>
      <c r="V26" s="9"/>
      <c r="W26" s="1429"/>
      <c r="X26" s="10"/>
      <c r="Y26" s="9">
        <v>0.4</v>
      </c>
      <c r="Z26" s="9" t="s">
        <v>14</v>
      </c>
      <c r="AA26" s="9">
        <f>+'Exhibit F'!AF105+'Exhibit G State'!AG91</f>
        <v>11.3</v>
      </c>
      <c r="AB26" s="7"/>
      <c r="AC26" s="1422"/>
      <c r="AD26" s="9">
        <f>ROUND(SUM(T26-AA26),1)</f>
        <v>-3.8</v>
      </c>
      <c r="AF26" s="971">
        <f>ROUND(IF(AA26=0,1,AD26/ABS(AA26)),3)</f>
        <v>-0.33600000000000002</v>
      </c>
    </row>
    <row r="27" spans="1:32" ht="18" customHeight="1">
      <c r="A27" s="1380" t="s">
        <v>26</v>
      </c>
      <c r="B27" s="1382"/>
      <c r="C27" s="7"/>
      <c r="D27" s="919">
        <f>+'Exhibit A'!D26</f>
        <v>88.999999999999716</v>
      </c>
      <c r="E27" s="9"/>
      <c r="F27" s="1432">
        <f>+'Exhibit A'!F26</f>
        <v>1063.0999999999999</v>
      </c>
      <c r="G27" s="9"/>
      <c r="H27" s="919">
        <f>+'Exhibit G State'!Z92</f>
        <v>26.5</v>
      </c>
      <c r="I27" s="9"/>
      <c r="J27" s="1432">
        <f>+'Exhibit G State'!AD92</f>
        <v>360.6</v>
      </c>
      <c r="K27" s="9"/>
      <c r="L27" s="452">
        <f>+'Exhibit A'!L26</f>
        <v>0</v>
      </c>
      <c r="M27" s="9"/>
      <c r="N27" s="10">
        <f>+'Exhibit A'!N26</f>
        <v>0</v>
      </c>
      <c r="O27" s="10"/>
      <c r="P27" s="1428"/>
      <c r="Q27" s="2160"/>
      <c r="R27" s="1844">
        <f t="shared" si="4"/>
        <v>115.5</v>
      </c>
      <c r="S27" s="1844"/>
      <c r="T27" s="1844">
        <f t="shared" si="5"/>
        <v>1423.7</v>
      </c>
      <c r="U27" s="9"/>
      <c r="V27" s="9"/>
      <c r="W27" s="1429"/>
      <c r="X27" s="10"/>
      <c r="Y27" s="9">
        <v>105.6</v>
      </c>
      <c r="Z27" s="9" t="s">
        <v>14</v>
      </c>
      <c r="AA27" s="9">
        <f>+'Exhibit F'!AF106+'Exhibit G State'!AG92</f>
        <v>1257</v>
      </c>
      <c r="AB27" s="7"/>
      <c r="AC27" s="1422"/>
      <c r="AD27" s="9">
        <f>ROUND(SUM(T27-AA27),1)</f>
        <v>166.7</v>
      </c>
      <c r="AF27" s="955">
        <f>ROUND(+AD27/AA27,3)</f>
        <v>0.13300000000000001</v>
      </c>
    </row>
    <row r="28" spans="1:32" ht="18" customHeight="1">
      <c r="A28" s="1380" t="s">
        <v>27</v>
      </c>
      <c r="B28" s="1382"/>
      <c r="C28" s="7"/>
      <c r="D28" s="919"/>
      <c r="E28" s="9"/>
      <c r="F28" s="1432"/>
      <c r="G28" s="9"/>
      <c r="H28" s="919"/>
      <c r="I28" s="9"/>
      <c r="J28" s="1432"/>
      <c r="K28" s="9"/>
      <c r="L28" s="452"/>
      <c r="M28" s="9"/>
      <c r="N28" s="10"/>
      <c r="O28" s="10"/>
      <c r="P28" s="1428"/>
      <c r="Q28" s="2160"/>
      <c r="R28" s="954" t="s">
        <v>14</v>
      </c>
      <c r="S28" s="1844"/>
      <c r="T28" s="954" t="s">
        <v>14</v>
      </c>
      <c r="U28" s="9"/>
      <c r="V28" s="9"/>
      <c r="W28" s="1429"/>
      <c r="X28" s="10"/>
      <c r="Y28" s="448"/>
      <c r="Z28" s="9" t="s">
        <v>14</v>
      </c>
      <c r="AA28" s="448" t="s">
        <v>14</v>
      </c>
      <c r="AB28" s="7"/>
      <c r="AC28" s="1422"/>
      <c r="AD28" s="9"/>
      <c r="AF28" s="955"/>
    </row>
    <row r="29" spans="1:32" ht="18" customHeight="1">
      <c r="A29" s="1433" t="s">
        <v>28</v>
      </c>
      <c r="B29" s="1383"/>
      <c r="C29" s="7"/>
      <c r="D29" s="919">
        <f>+'Exhibit A'!D28</f>
        <v>1489.0000000000036</v>
      </c>
      <c r="E29" s="9"/>
      <c r="F29" s="1432">
        <f>+'Exhibit A'!F28</f>
        <v>21685.599999999999</v>
      </c>
      <c r="G29" s="9"/>
      <c r="H29" s="919">
        <f>+'Exhibit G State'!Z94</f>
        <v>371.59999999999945</v>
      </c>
      <c r="I29" s="9"/>
      <c r="J29" s="1432">
        <f>+'Exhibit G State'!AD94</f>
        <v>6082.9</v>
      </c>
      <c r="K29" s="9"/>
      <c r="L29" s="452">
        <f>+'Exhibit A'!L28</f>
        <v>0</v>
      </c>
      <c r="M29" s="9"/>
      <c r="N29" s="10">
        <f>+'Exhibit A'!N28</f>
        <v>0</v>
      </c>
      <c r="O29" s="10"/>
      <c r="P29" s="1428"/>
      <c r="Q29" s="2160"/>
      <c r="R29" s="1844">
        <f t="shared" si="4"/>
        <v>1860.6</v>
      </c>
      <c r="S29" s="1844"/>
      <c r="T29" s="1844">
        <f t="shared" si="5"/>
        <v>27768.5</v>
      </c>
      <c r="U29" s="9"/>
      <c r="V29" s="9"/>
      <c r="W29" s="1429"/>
      <c r="X29" s="10"/>
      <c r="Y29" s="9">
        <v>1922.3</v>
      </c>
      <c r="Z29" s="9" t="s">
        <v>14</v>
      </c>
      <c r="AA29" s="9">
        <f>+'Exhibit F'!AF108+'Exhibit G State'!AG94</f>
        <v>24598.799999999999</v>
      </c>
      <c r="AB29" s="7"/>
      <c r="AC29" s="1422"/>
      <c r="AD29" s="9">
        <f t="shared" ref="AD29:AD34" si="6">ROUND(SUM(T29-AA29),1)</f>
        <v>3169.7</v>
      </c>
      <c r="AF29" s="955">
        <f t="shared" ref="AF29:AF34" si="7">ROUND(+AD29/AA29,3)</f>
        <v>0.129</v>
      </c>
    </row>
    <row r="30" spans="1:32" ht="18" customHeight="1">
      <c r="A30" s="1380" t="s">
        <v>29</v>
      </c>
      <c r="B30" s="1382"/>
      <c r="C30" s="7"/>
      <c r="D30" s="919">
        <f>+'Exhibit A'!D29</f>
        <v>907.70000000000073</v>
      </c>
      <c r="E30" s="9"/>
      <c r="F30" s="1432">
        <f>+'Exhibit A'!F29</f>
        <v>3132.3</v>
      </c>
      <c r="G30" s="9"/>
      <c r="H30" s="919">
        <f>+'Exhibit G State'!Z95</f>
        <v>347.89999999999981</v>
      </c>
      <c r="I30" s="9"/>
      <c r="J30" s="1432">
        <f>+'Exhibit G State'!AD95</f>
        <v>1370.4</v>
      </c>
      <c r="K30" s="9"/>
      <c r="L30" s="452">
        <f>+'Exhibit A'!L29</f>
        <v>0</v>
      </c>
      <c r="M30" s="9"/>
      <c r="N30" s="10">
        <f>+'Exhibit A'!N29</f>
        <v>0</v>
      </c>
      <c r="O30" s="10"/>
      <c r="P30" s="1428"/>
      <c r="Q30" s="2160"/>
      <c r="R30" s="1844">
        <f t="shared" si="4"/>
        <v>1255.5999999999999</v>
      </c>
      <c r="S30" s="1844"/>
      <c r="T30" s="1844">
        <f t="shared" si="5"/>
        <v>4502.7</v>
      </c>
      <c r="U30" s="9"/>
      <c r="V30" s="9"/>
      <c r="W30" s="1429"/>
      <c r="X30" s="10"/>
      <c r="Y30" s="9">
        <v>828.1</v>
      </c>
      <c r="Z30" s="9" t="s">
        <v>14</v>
      </c>
      <c r="AA30" s="9">
        <f>+'Exhibit F'!AF109+'Exhibit G State'!AG95</f>
        <v>3843.8</v>
      </c>
      <c r="AB30" s="7"/>
      <c r="AC30" s="1422"/>
      <c r="AD30" s="9">
        <f t="shared" si="6"/>
        <v>658.9</v>
      </c>
      <c r="AF30" s="955">
        <f t="shared" si="7"/>
        <v>0.17100000000000001</v>
      </c>
    </row>
    <row r="31" spans="1:32" ht="18" customHeight="1">
      <c r="A31" s="1380" t="s">
        <v>30</v>
      </c>
      <c r="B31" s="7"/>
      <c r="C31" s="7"/>
      <c r="D31" s="919">
        <f>+'Exhibit A'!D30</f>
        <v>69.499999999999943</v>
      </c>
      <c r="E31" s="9"/>
      <c r="F31" s="1432">
        <f>+'Exhibit A'!F30</f>
        <v>264.7</v>
      </c>
      <c r="G31" s="9"/>
      <c r="H31" s="919">
        <f>+'Exhibit G State'!Z96</f>
        <v>61.699999999999996</v>
      </c>
      <c r="I31" s="9"/>
      <c r="J31" s="1432">
        <f>+'Exhibit G State'!AD96</f>
        <v>241</v>
      </c>
      <c r="K31" s="9"/>
      <c r="L31" s="452">
        <f>+'Exhibit A'!L30</f>
        <v>0</v>
      </c>
      <c r="M31" s="9"/>
      <c r="N31" s="10">
        <f>+'Exhibit A'!N30</f>
        <v>0</v>
      </c>
      <c r="O31" s="10"/>
      <c r="P31" s="1428"/>
      <c r="Q31" s="2160"/>
      <c r="R31" s="1844">
        <f t="shared" si="4"/>
        <v>131.19999999999999</v>
      </c>
      <c r="S31" s="1844"/>
      <c r="T31" s="1844">
        <f t="shared" si="5"/>
        <v>505.7</v>
      </c>
      <c r="U31" s="9"/>
      <c r="V31" s="9"/>
      <c r="W31" s="1429"/>
      <c r="X31" s="10"/>
      <c r="Y31" s="9">
        <v>76.399999999999991</v>
      </c>
      <c r="Z31" s="9" t="s">
        <v>14</v>
      </c>
      <c r="AA31" s="9">
        <f>+'Exhibit F'!AF110+'Exhibit G State'!AG96</f>
        <v>496.9</v>
      </c>
      <c r="AB31" s="7"/>
      <c r="AC31" s="1422"/>
      <c r="AD31" s="9">
        <f t="shared" si="6"/>
        <v>8.8000000000000007</v>
      </c>
      <c r="AF31" s="955">
        <f t="shared" si="7"/>
        <v>1.7999999999999999E-2</v>
      </c>
    </row>
    <row r="32" spans="1:32" ht="18" customHeight="1">
      <c r="A32" s="1380" t="s">
        <v>31</v>
      </c>
      <c r="B32" s="7"/>
      <c r="C32" s="7"/>
      <c r="D32" s="919">
        <f>+'Exhibit A'!D31</f>
        <v>1783.4999999999986</v>
      </c>
      <c r="E32" s="9"/>
      <c r="F32" s="1432">
        <f>+'Exhibit A'!F31</f>
        <v>5017.3999999999996</v>
      </c>
      <c r="G32" s="9"/>
      <c r="H32" s="919">
        <f>+'Exhibit G State'!Z97</f>
        <v>0.70000000000000018</v>
      </c>
      <c r="I32" s="9"/>
      <c r="J32" s="1432">
        <f>+'Exhibit G State'!AD97</f>
        <v>3.5</v>
      </c>
      <c r="K32" s="9"/>
      <c r="L32" s="452">
        <f>+'Exhibit A'!L31</f>
        <v>0</v>
      </c>
      <c r="M32" s="9"/>
      <c r="N32" s="10">
        <f>+'Exhibit A'!N31</f>
        <v>0</v>
      </c>
      <c r="O32" s="10"/>
      <c r="P32" s="1428"/>
      <c r="Q32" s="2160"/>
      <c r="R32" s="1844">
        <f t="shared" si="4"/>
        <v>1784.2</v>
      </c>
      <c r="S32" s="1844"/>
      <c r="T32" s="1844">
        <f t="shared" si="5"/>
        <v>5020.8999999999996</v>
      </c>
      <c r="U32" s="9"/>
      <c r="V32" s="9"/>
      <c r="W32" s="1429"/>
      <c r="X32" s="10"/>
      <c r="Y32" s="9">
        <v>540.80000000000007</v>
      </c>
      <c r="Z32" s="9" t="s">
        <v>14</v>
      </c>
      <c r="AA32" s="448">
        <f>+'Exhibit F'!AF111+'Exhibit G State'!AG97</f>
        <v>5065.7999999999993</v>
      </c>
      <c r="AB32" s="7"/>
      <c r="AC32" s="1422"/>
      <c r="AD32" s="9">
        <f t="shared" si="6"/>
        <v>-44.9</v>
      </c>
      <c r="AF32" s="955">
        <f t="shared" si="7"/>
        <v>-8.9999999999999993E-3</v>
      </c>
    </row>
    <row r="33" spans="1:32" ht="18" customHeight="1">
      <c r="A33" s="1380" t="s">
        <v>32</v>
      </c>
      <c r="B33" s="7"/>
      <c r="C33" s="7"/>
      <c r="D33" s="919">
        <f>+'Exhibit A'!D32</f>
        <v>45.899999999999977</v>
      </c>
      <c r="E33" s="9"/>
      <c r="F33" s="1432">
        <f>+'Exhibit A'!F32</f>
        <v>807.6</v>
      </c>
      <c r="G33" s="9"/>
      <c r="H33" s="919">
        <f>+'Exhibit G State'!Z98</f>
        <v>10.400000000000006</v>
      </c>
      <c r="I33" s="9"/>
      <c r="J33" s="1432">
        <f>+'Exhibit G State'!AD98</f>
        <v>106.9</v>
      </c>
      <c r="K33" s="9"/>
      <c r="L33" s="452">
        <f>+'Exhibit A'!L32</f>
        <v>0</v>
      </c>
      <c r="M33" s="9"/>
      <c r="N33" s="10">
        <f>+'Exhibit A'!N32</f>
        <v>0</v>
      </c>
      <c r="O33" s="10"/>
      <c r="P33" s="1428"/>
      <c r="Q33" s="2160"/>
      <c r="R33" s="1844">
        <f t="shared" si="4"/>
        <v>56.3</v>
      </c>
      <c r="S33" s="1844"/>
      <c r="T33" s="1844">
        <f t="shared" si="5"/>
        <v>914.5</v>
      </c>
      <c r="U33" s="9"/>
      <c r="V33" s="9"/>
      <c r="W33" s="1429"/>
      <c r="X33" s="10"/>
      <c r="Y33" s="9">
        <v>47</v>
      </c>
      <c r="Z33" s="9" t="s">
        <v>14</v>
      </c>
      <c r="AA33" s="448">
        <f>+'Exhibit F'!AF112+'Exhibit G State'!AG98</f>
        <v>849.9</v>
      </c>
      <c r="AB33" s="7"/>
      <c r="AC33" s="1422"/>
      <c r="AD33" s="9">
        <f t="shared" si="6"/>
        <v>64.599999999999994</v>
      </c>
      <c r="AF33" s="955">
        <f t="shared" si="7"/>
        <v>7.5999999999999998E-2</v>
      </c>
    </row>
    <row r="34" spans="1:32" ht="18" customHeight="1">
      <c r="A34" s="1380" t="s">
        <v>33</v>
      </c>
      <c r="B34" s="7"/>
      <c r="C34" s="7"/>
      <c r="D34" s="919">
        <f>+'Exhibit A'!D33</f>
        <v>0.20000000000001705</v>
      </c>
      <c r="E34" s="9"/>
      <c r="F34" s="1432">
        <f>+'Exhibit A'!F33</f>
        <v>150.20000000000002</v>
      </c>
      <c r="G34" s="9"/>
      <c r="H34" s="919">
        <f>+'Exhibit G State'!Z99</f>
        <v>58.199999999999818</v>
      </c>
      <c r="I34" s="9"/>
      <c r="J34" s="1432">
        <f>+'Exhibit G State'!AD99</f>
        <v>4419</v>
      </c>
      <c r="K34" s="9"/>
      <c r="L34" s="452">
        <f>+'Exhibit A'!L33</f>
        <v>0</v>
      </c>
      <c r="M34" s="9"/>
      <c r="N34" s="10">
        <f>+'Exhibit A'!N33</f>
        <v>0</v>
      </c>
      <c r="O34" s="10"/>
      <c r="P34" s="1428"/>
      <c r="Q34" s="2160"/>
      <c r="R34" s="2161">
        <f>ROUND(SUM(D34+H34+L34),1)</f>
        <v>58.4</v>
      </c>
      <c r="S34" s="1844"/>
      <c r="T34" s="2161">
        <f>ROUND(SUM(F34+J34+N34),1)</f>
        <v>4569.2</v>
      </c>
      <c r="U34" s="9"/>
      <c r="V34" s="9"/>
      <c r="W34" s="1429"/>
      <c r="X34" s="10"/>
      <c r="Y34" s="9">
        <v>78.400000000000006</v>
      </c>
      <c r="Z34" s="9" t="s">
        <v>14</v>
      </c>
      <c r="AA34" s="9">
        <f>+'Exhibit F'!AF113+'Exhibit G State'!AG99</f>
        <v>3786.1</v>
      </c>
      <c r="AB34" s="7"/>
      <c r="AC34" s="1422"/>
      <c r="AD34" s="9">
        <f t="shared" si="6"/>
        <v>783.1</v>
      </c>
      <c r="AF34" s="955">
        <f t="shared" si="7"/>
        <v>0.20699999999999999</v>
      </c>
    </row>
    <row r="35" spans="1:32" ht="18" customHeight="1">
      <c r="A35" s="1371" t="s">
        <v>34</v>
      </c>
      <c r="B35" s="7"/>
      <c r="C35" s="7"/>
      <c r="D35" s="12">
        <f>ROUND(SUM(D25:D34),1)</f>
        <v>14788.3</v>
      </c>
      <c r="E35" s="16"/>
      <c r="F35" s="12">
        <f>ROUND(SUM(F25:F34),1)</f>
        <v>62852.2</v>
      </c>
      <c r="G35" s="16"/>
      <c r="H35" s="12">
        <f>ROUND(SUM(H25:H34),1)</f>
        <v>1256.8</v>
      </c>
      <c r="I35" s="16"/>
      <c r="J35" s="12">
        <f>ROUND(SUM(J25:J34),1)</f>
        <v>19024.8</v>
      </c>
      <c r="K35" s="16"/>
      <c r="L35" s="1859">
        <f>ROUND(SUM(L25:L34),1)</f>
        <v>0</v>
      </c>
      <c r="M35" s="16"/>
      <c r="N35" s="2129">
        <f>ROUND(SUM(N25:N34),1)</f>
        <v>0</v>
      </c>
      <c r="O35" s="1436"/>
      <c r="P35" s="1434"/>
      <c r="Q35" s="2162"/>
      <c r="R35" s="12">
        <f>ROUND(SUM(R25:R34),1)</f>
        <v>16045.1</v>
      </c>
      <c r="S35" s="1436"/>
      <c r="T35" s="12">
        <f>ROUND(SUM(T25:T34),1)</f>
        <v>81877</v>
      </c>
      <c r="U35" s="16"/>
      <c r="V35" s="16"/>
      <c r="W35" s="1435"/>
      <c r="X35" s="1436"/>
      <c r="Y35" s="12">
        <f>ROUND(SUM(Y25:Y34),1)</f>
        <v>14421.2</v>
      </c>
      <c r="Z35" s="16"/>
      <c r="AA35" s="12">
        <f>ROUND(SUM(AA25:AA34),1)</f>
        <v>74998.100000000006</v>
      </c>
      <c r="AB35" s="1371"/>
      <c r="AC35" s="1431"/>
      <c r="AD35" s="12">
        <f>ROUND(SUM(AD25:AD34),1)</f>
        <v>6878.9</v>
      </c>
      <c r="AE35" s="1377"/>
      <c r="AF35" s="962">
        <f>ROUND(+AD35/AA35,3)</f>
        <v>9.1999999999999998E-2</v>
      </c>
    </row>
    <row r="36" spans="1:32" ht="18" customHeight="1">
      <c r="A36" s="7" t="s">
        <v>35</v>
      </c>
      <c r="B36" s="1382"/>
      <c r="C36" s="7"/>
      <c r="D36" s="448"/>
      <c r="E36" s="9"/>
      <c r="F36" s="9"/>
      <c r="G36" s="9"/>
      <c r="H36" s="448"/>
      <c r="I36" s="9"/>
      <c r="J36" s="9"/>
      <c r="K36" s="9"/>
      <c r="L36" s="448"/>
      <c r="M36" s="9"/>
      <c r="N36" s="9"/>
      <c r="O36" s="9"/>
      <c r="P36" s="1427"/>
      <c r="Q36" s="1437"/>
      <c r="R36" s="9"/>
      <c r="S36" s="9"/>
      <c r="T36" s="9"/>
      <c r="U36" s="9"/>
      <c r="V36" s="9"/>
      <c r="W36" s="1386"/>
      <c r="X36" s="9"/>
      <c r="Y36" s="9"/>
      <c r="Z36" s="9"/>
      <c r="AA36" s="9"/>
      <c r="AB36" s="7"/>
      <c r="AC36" s="1422"/>
      <c r="AD36" s="9"/>
      <c r="AF36" s="958"/>
    </row>
    <row r="37" spans="1:32" ht="18" customHeight="1">
      <c r="A37" s="7" t="s">
        <v>36</v>
      </c>
      <c r="B37" s="1381"/>
      <c r="C37" s="7"/>
      <c r="D37" s="448">
        <f>+'Exhibit A'!D36</f>
        <v>971.30000000000109</v>
      </c>
      <c r="E37" s="9"/>
      <c r="F37" s="1432">
        <f>+'Exhibit A'!F36</f>
        <v>9463.7000000000007</v>
      </c>
      <c r="G37" s="9"/>
      <c r="H37" s="448">
        <f>+'Exhibit G State'!Z102</f>
        <v>616.30000000000018</v>
      </c>
      <c r="I37" s="9"/>
      <c r="J37" s="1432">
        <f>+'Exhibit G State'!AD102</f>
        <v>5376.3</v>
      </c>
      <c r="K37" s="9"/>
      <c r="L37" s="453">
        <f>+'Exhibit A'!L36</f>
        <v>0</v>
      </c>
      <c r="M37" s="1844"/>
      <c r="N37" s="10">
        <f>+'Exhibit A'!N36</f>
        <v>0</v>
      </c>
      <c r="O37" s="10"/>
      <c r="P37" s="1428"/>
      <c r="Q37" s="2160"/>
      <c r="R37" s="1844">
        <f>ROUND(SUM(D37+H37+L37),1)</f>
        <v>1587.6</v>
      </c>
      <c r="S37" s="10"/>
      <c r="T37" s="9">
        <f>ROUND(SUM(F37+J37+N37),1)</f>
        <v>14840</v>
      </c>
      <c r="U37" s="9"/>
      <c r="V37" s="9"/>
      <c r="W37" s="1429"/>
      <c r="X37" s="10"/>
      <c r="Y37" s="9">
        <v>1346.9</v>
      </c>
      <c r="Z37" s="9" t="s">
        <v>14</v>
      </c>
      <c r="AA37" s="9">
        <f>+'Exhibit F'!AF116+'Exhibit G State'!AG102</f>
        <v>13243.3</v>
      </c>
      <c r="AB37" s="7"/>
      <c r="AC37" s="1422"/>
      <c r="AD37" s="9">
        <f t="shared" ref="AD37:AD41" si="8">ROUND(SUM(T37-AA37),1)</f>
        <v>1596.7</v>
      </c>
      <c r="AF37" s="955">
        <f>ROUND(+AD37/AA37,3)</f>
        <v>0.121</v>
      </c>
    </row>
    <row r="38" spans="1:32" ht="18" customHeight="1">
      <c r="A38" s="7" t="s">
        <v>37</v>
      </c>
      <c r="B38" s="1382"/>
      <c r="C38" s="7"/>
      <c r="D38" s="448">
        <f>+'Exhibit A'!D37</f>
        <v>486.69999999999982</v>
      </c>
      <c r="E38" s="9"/>
      <c r="F38" s="1432">
        <f>+'Exhibit A'!F37</f>
        <v>3042.9</v>
      </c>
      <c r="G38" s="9"/>
      <c r="H38" s="448">
        <f>+'Exhibit G State'!Z103</f>
        <v>292.09999999999991</v>
      </c>
      <c r="I38" s="9"/>
      <c r="J38" s="1432">
        <f>+'Exhibit G State'!AD103</f>
        <v>3258.6</v>
      </c>
      <c r="K38" s="9"/>
      <c r="L38" s="453">
        <f>+'Exhibit A'!L37</f>
        <v>17.000000000000004</v>
      </c>
      <c r="M38" s="1844"/>
      <c r="N38" s="10">
        <f>+'Exhibit A'!N37</f>
        <v>47.6</v>
      </c>
      <c r="O38" s="9"/>
      <c r="P38" s="1427"/>
      <c r="Q38" s="1437"/>
      <c r="R38" s="1844">
        <f>ROUND(SUM(D38+H38+L38),1)</f>
        <v>795.8</v>
      </c>
      <c r="S38" s="10"/>
      <c r="T38" s="9">
        <f>ROUND(SUM(F38+J38+N38),1)</f>
        <v>6349.1</v>
      </c>
      <c r="U38" s="9"/>
      <c r="V38" s="9"/>
      <c r="W38" s="1386"/>
      <c r="X38" s="9"/>
      <c r="Y38" s="9">
        <v>1198</v>
      </c>
      <c r="Z38" s="9" t="s">
        <v>14</v>
      </c>
      <c r="AA38" s="9">
        <f>+'Exhibit F'!AF117+'Exhibit G State'!AG103+'Exhibit H'!AD58</f>
        <v>6592.5999999999995</v>
      </c>
      <c r="AB38" s="7"/>
      <c r="AC38" s="1422"/>
      <c r="AD38" s="9">
        <f t="shared" si="8"/>
        <v>-243.5</v>
      </c>
      <c r="AF38" s="955">
        <f>ROUND(+AD38/AA38,3)</f>
        <v>-3.6999999999999998E-2</v>
      </c>
    </row>
    <row r="39" spans="1:32" ht="18" customHeight="1">
      <c r="A39" s="7" t="s">
        <v>38</v>
      </c>
      <c r="B39" s="1375"/>
      <c r="C39" s="7"/>
      <c r="D39" s="448">
        <f>+'Exhibit A'!D38</f>
        <v>1931.0999999999983</v>
      </c>
      <c r="E39" s="9"/>
      <c r="F39" s="1432">
        <f>+'Exhibit A'!F38</f>
        <v>9115.2999999999993</v>
      </c>
      <c r="G39" s="9"/>
      <c r="H39" s="448">
        <f>+'Exhibit G State'!Z104</f>
        <v>82.199999999999875</v>
      </c>
      <c r="I39" s="9"/>
      <c r="J39" s="1432">
        <f>+'Exhibit G State'!AD104</f>
        <v>1087.5999999999999</v>
      </c>
      <c r="K39" s="9"/>
      <c r="L39" s="453">
        <f>+'Exhibit A'!L38</f>
        <v>0</v>
      </c>
      <c r="M39" s="9"/>
      <c r="N39" s="10">
        <f>+'Exhibit A'!N38</f>
        <v>0</v>
      </c>
      <c r="O39" s="10"/>
      <c r="P39" s="1428"/>
      <c r="Q39" s="2160"/>
      <c r="R39" s="1844">
        <f>ROUND(SUM(D39+H39+L39),1)</f>
        <v>2013.3</v>
      </c>
      <c r="S39" s="10"/>
      <c r="T39" s="9">
        <f>ROUND(SUM(F39+J39+N39),1)</f>
        <v>10202.9</v>
      </c>
      <c r="U39" s="9"/>
      <c r="V39" s="9"/>
      <c r="W39" s="1429"/>
      <c r="X39" s="10"/>
      <c r="Y39" s="9">
        <v>1930.4</v>
      </c>
      <c r="Z39" s="9" t="s">
        <v>14</v>
      </c>
      <c r="AA39" s="9">
        <f>+'Exhibit F'!AF118+'Exhibit G State'!AG104</f>
        <v>10024.699999999999</v>
      </c>
      <c r="AB39" s="7"/>
      <c r="AC39" s="1422"/>
      <c r="AD39" s="9">
        <f t="shared" si="8"/>
        <v>178.2</v>
      </c>
      <c r="AF39" s="955">
        <f>ROUND(+AD39/AA39,3)</f>
        <v>1.7999999999999999E-2</v>
      </c>
    </row>
    <row r="40" spans="1:32" ht="18" customHeight="1">
      <c r="A40" s="7" t="s">
        <v>39</v>
      </c>
      <c r="B40" s="7"/>
      <c r="C40" s="7"/>
      <c r="D40" s="448"/>
      <c r="E40" s="9"/>
      <c r="F40" s="9"/>
      <c r="G40" s="9"/>
      <c r="H40" s="448"/>
      <c r="I40" s="9"/>
      <c r="J40" s="9"/>
      <c r="K40" s="9"/>
      <c r="L40" s="448"/>
      <c r="M40" s="9"/>
      <c r="N40" s="9"/>
      <c r="O40" s="9"/>
      <c r="P40" s="1427"/>
      <c r="Q40" s="1437"/>
      <c r="R40" s="954" t="s">
        <v>14</v>
      </c>
      <c r="S40" s="9"/>
      <c r="T40" s="448" t="s">
        <v>14</v>
      </c>
      <c r="U40" s="9"/>
      <c r="V40" s="9"/>
      <c r="W40" s="1386"/>
      <c r="X40" s="9"/>
      <c r="Y40" s="448" t="s">
        <v>14</v>
      </c>
      <c r="Z40" s="9"/>
      <c r="AA40" s="448" t="s">
        <v>14</v>
      </c>
      <c r="AB40" s="7"/>
      <c r="AC40" s="1422"/>
      <c r="AD40" s="9"/>
      <c r="AF40" s="955"/>
    </row>
    <row r="41" spans="1:32" ht="18" customHeight="1">
      <c r="A41" s="7" t="s">
        <v>40</v>
      </c>
      <c r="B41" s="1418"/>
      <c r="C41" s="7"/>
      <c r="D41" s="453">
        <v>0</v>
      </c>
      <c r="E41" s="9"/>
      <c r="F41" s="10">
        <v>0</v>
      </c>
      <c r="G41" s="9"/>
      <c r="H41" s="453">
        <v>0</v>
      </c>
      <c r="I41" s="9"/>
      <c r="J41" s="10">
        <v>0</v>
      </c>
      <c r="K41" s="9"/>
      <c r="L41" s="453">
        <f>+'Exhibit A'!L40</f>
        <v>8567.2000000000007</v>
      </c>
      <c r="M41" s="1844"/>
      <c r="N41" s="10">
        <f>+'Exhibit A'!N40</f>
        <v>10480.9</v>
      </c>
      <c r="O41" s="9"/>
      <c r="P41" s="1427"/>
      <c r="Q41" s="1437"/>
      <c r="R41" s="1844">
        <f>ROUND(SUM(D41+H41+L41),1)</f>
        <v>8567.2000000000007</v>
      </c>
      <c r="S41" s="9"/>
      <c r="T41" s="9">
        <f>ROUND(SUM(F41+J41+N41),1)</f>
        <v>10480.9</v>
      </c>
      <c r="U41" s="9"/>
      <c r="V41" s="9"/>
      <c r="W41" s="1386"/>
      <c r="X41" s="9"/>
      <c r="Y41" s="9">
        <v>10321.4</v>
      </c>
      <c r="Z41" s="9" t="s">
        <v>14</v>
      </c>
      <c r="AA41" s="9">
        <f>+'Exhibit H'!AD60</f>
        <v>12544.9</v>
      </c>
      <c r="AB41" s="7"/>
      <c r="AC41" s="1422"/>
      <c r="AD41" s="9">
        <f t="shared" si="8"/>
        <v>-2064</v>
      </c>
      <c r="AF41" s="955">
        <f>ROUND(+AD41/AA41,3)</f>
        <v>-0.16500000000000001</v>
      </c>
    </row>
    <row r="42" spans="1:32" ht="18" customHeight="1">
      <c r="A42" s="7" t="s">
        <v>41</v>
      </c>
      <c r="B42" s="1381"/>
      <c r="C42" s="7"/>
      <c r="D42" s="453">
        <v>0</v>
      </c>
      <c r="E42" s="9"/>
      <c r="F42" s="10">
        <v>0</v>
      </c>
      <c r="G42" s="9"/>
      <c r="H42" s="453">
        <f>'Exhibit G State'!Z105</f>
        <v>0</v>
      </c>
      <c r="I42" s="9"/>
      <c r="J42" s="453">
        <f>'Exhibit G State'!AD105</f>
        <v>0</v>
      </c>
      <c r="K42" s="9"/>
      <c r="L42" s="453">
        <v>0</v>
      </c>
      <c r="M42" s="1844"/>
      <c r="N42" s="10">
        <v>0</v>
      </c>
      <c r="O42" s="9"/>
      <c r="P42" s="1427"/>
      <c r="Q42" s="2163"/>
      <c r="R42" s="1844">
        <f>ROUND(SUM(D42+H42+L42),1)</f>
        <v>0</v>
      </c>
      <c r="S42" s="9"/>
      <c r="T42" s="9">
        <f>ROUND(SUM(F42+J42+N42),1)</f>
        <v>0</v>
      </c>
      <c r="U42" s="9"/>
      <c r="V42" s="9"/>
      <c r="W42" s="1929"/>
      <c r="X42" s="9"/>
      <c r="Y42" s="9">
        <v>0</v>
      </c>
      <c r="Z42" s="9"/>
      <c r="AA42" s="9">
        <f>'Exhibit G State'!AG105</f>
        <v>0</v>
      </c>
      <c r="AB42" s="7"/>
      <c r="AC42" s="1422"/>
      <c r="AD42" s="9">
        <f>ROUND(SUM(T42-AA42),1)</f>
        <v>0</v>
      </c>
      <c r="AF42" s="955">
        <f>IF(AA42=0,0,AD42/AA42)</f>
        <v>0</v>
      </c>
    </row>
    <row r="43" spans="1:32" ht="18" customHeight="1">
      <c r="A43" s="1371" t="s">
        <v>56</v>
      </c>
      <c r="B43" s="7"/>
      <c r="C43" s="7"/>
      <c r="D43" s="12">
        <f>SUM(D35:D42)</f>
        <v>18177.399999999998</v>
      </c>
      <c r="E43" s="16"/>
      <c r="F43" s="12">
        <f>SUM(F35:F42)</f>
        <v>84474.099999999991</v>
      </c>
      <c r="G43" s="16"/>
      <c r="H43" s="12">
        <f>SUM(H35:H42)</f>
        <v>2247.3999999999996</v>
      </c>
      <c r="I43" s="16"/>
      <c r="J43" s="12">
        <f>SUM(J35:J42)</f>
        <v>28747.299999999996</v>
      </c>
      <c r="K43" s="16"/>
      <c r="L43" s="12">
        <f>SUM(L35:L42)</f>
        <v>8584.2000000000007</v>
      </c>
      <c r="M43" s="16"/>
      <c r="N43" s="12">
        <f>SUM(N35:N42)</f>
        <v>10528.5</v>
      </c>
      <c r="O43" s="16"/>
      <c r="P43" s="1430"/>
      <c r="Q43" s="2052"/>
      <c r="R43" s="12">
        <f>ROUND(SUM(R35:R42),1)</f>
        <v>29009</v>
      </c>
      <c r="S43" s="16"/>
      <c r="T43" s="12">
        <f>ROUND(SUM(T35:T42),1)</f>
        <v>123749.9</v>
      </c>
      <c r="U43" s="16"/>
      <c r="V43" s="16"/>
      <c r="W43" s="1389"/>
      <c r="X43" s="16"/>
      <c r="Y43" s="12">
        <f>ROUND(SUM(Y35:Y42),1)</f>
        <v>29217.9</v>
      </c>
      <c r="Z43" s="16"/>
      <c r="AA43" s="12">
        <f>ROUND(SUM(AA35:AA42),1)</f>
        <v>117403.6</v>
      </c>
      <c r="AB43" s="1371"/>
      <c r="AC43" s="1431"/>
      <c r="AD43" s="12">
        <f>ROUND(SUM(AD35:AD42),1)</f>
        <v>6346.3</v>
      </c>
      <c r="AE43" s="1377"/>
      <c r="AF43" s="962">
        <f>ROUND(+AD43/AA43,3)</f>
        <v>5.3999999999999999E-2</v>
      </c>
    </row>
    <row r="44" spans="1:32" ht="16.399999999999999" customHeight="1">
      <c r="A44" s="1371"/>
      <c r="B44" s="7"/>
      <c r="C44" s="7"/>
      <c r="D44" s="448"/>
      <c r="E44" s="9"/>
      <c r="F44" s="9"/>
      <c r="G44" s="9"/>
      <c r="H44" s="448"/>
      <c r="I44" s="9"/>
      <c r="J44" s="9"/>
      <c r="K44" s="9"/>
      <c r="L44" s="448"/>
      <c r="M44" s="9"/>
      <c r="N44" s="9"/>
      <c r="O44" s="9"/>
      <c r="P44" s="1427"/>
      <c r="Q44" s="1437"/>
      <c r="R44" s="9"/>
      <c r="S44" s="9"/>
      <c r="T44" s="9"/>
      <c r="U44" s="9"/>
      <c r="V44" s="9"/>
      <c r="W44" s="1386"/>
      <c r="X44" s="9"/>
      <c r="Y44" s="9"/>
      <c r="Z44" s="9"/>
      <c r="AA44" s="9"/>
      <c r="AB44" s="7"/>
      <c r="AC44" s="1422"/>
      <c r="AD44" s="9"/>
      <c r="AF44" s="958"/>
    </row>
    <row r="45" spans="1:32" ht="16.399999999999999" customHeight="1">
      <c r="A45" s="1371" t="s">
        <v>43</v>
      </c>
      <c r="B45" s="1371"/>
      <c r="C45" s="7"/>
      <c r="D45" s="448"/>
      <c r="E45" s="9"/>
      <c r="F45" s="9"/>
      <c r="G45" s="9"/>
      <c r="H45" s="448"/>
      <c r="I45" s="9"/>
      <c r="J45" s="9"/>
      <c r="K45" s="9"/>
      <c r="L45" s="448"/>
      <c r="M45" s="9"/>
      <c r="N45" s="9"/>
      <c r="O45" s="9"/>
      <c r="P45" s="1427"/>
      <c r="Q45" s="1437"/>
      <c r="R45" s="9"/>
      <c r="S45" s="9"/>
      <c r="T45" s="9"/>
      <c r="U45" s="9"/>
      <c r="V45" s="9"/>
      <c r="W45" s="1386"/>
      <c r="X45" s="9"/>
      <c r="Y45" s="9"/>
      <c r="Z45" s="9"/>
      <c r="AA45" s="9"/>
      <c r="AB45" s="7"/>
      <c r="AC45" s="1422"/>
      <c r="AD45" s="9"/>
      <c r="AF45" s="958"/>
    </row>
    <row r="46" spans="1:32" ht="16.399999999999999" customHeight="1">
      <c r="A46" s="1371" t="s">
        <v>44</v>
      </c>
      <c r="B46" s="1371"/>
      <c r="C46" s="7"/>
      <c r="D46" s="15">
        <f>ROUND(SUM(D21-D43),1)</f>
        <v>-6871.6</v>
      </c>
      <c r="E46" s="16"/>
      <c r="F46" s="15">
        <f>ROUND(SUM(F21-F43),1)</f>
        <v>-23608.7</v>
      </c>
      <c r="G46" s="16"/>
      <c r="H46" s="15">
        <f>ROUND(SUM(H21-H43),1)</f>
        <v>603.70000000000005</v>
      </c>
      <c r="I46" s="16"/>
      <c r="J46" s="15">
        <f>ROUND(SUM(J21-J43),1)</f>
        <v>-1551.8</v>
      </c>
      <c r="K46" s="16"/>
      <c r="L46" s="15">
        <f>ROUND(SUM(L21-L43),1)</f>
        <v>-3320.7</v>
      </c>
      <c r="M46" s="16" t="s">
        <v>14</v>
      </c>
      <c r="N46" s="15">
        <f>ROUND(SUM(N21-N43),1)</f>
        <v>39129.5</v>
      </c>
      <c r="O46" s="16"/>
      <c r="P46" s="1430"/>
      <c r="Q46" s="2052"/>
      <c r="R46" s="15">
        <f>ROUND(SUM(+R21-R43),1)</f>
        <v>-9588.6</v>
      </c>
      <c r="S46" s="16"/>
      <c r="T46" s="15">
        <f>ROUND(SUM(+T21-T43),1)</f>
        <v>13969</v>
      </c>
      <c r="U46" s="16"/>
      <c r="V46" s="16"/>
      <c r="W46" s="1389"/>
      <c r="X46" s="16"/>
      <c r="Y46" s="15">
        <f>ROUND(SUM(Y21-Y43),1)</f>
        <v>-6682.7</v>
      </c>
      <c r="Z46" s="16" t="s">
        <v>14</v>
      </c>
      <c r="AA46" s="15">
        <f>ROUND(SUM(AA21-AA43),1)</f>
        <v>29768.1</v>
      </c>
      <c r="AB46" s="1371"/>
      <c r="AC46" s="1431"/>
      <c r="AD46" s="15">
        <f>ROUND(SUM(AD21-AD43),1)</f>
        <v>-15799.1</v>
      </c>
      <c r="AE46" s="1377"/>
      <c r="AF46" s="972">
        <f>ROUND(AD46/ABS(AA46),3)</f>
        <v>-0.53100000000000003</v>
      </c>
    </row>
    <row r="47" spans="1:32" ht="16.399999999999999" customHeight="1">
      <c r="A47" s="7"/>
      <c r="B47" s="7"/>
      <c r="C47" s="7"/>
      <c r="D47" s="448"/>
      <c r="E47" s="9"/>
      <c r="F47" s="9"/>
      <c r="G47" s="9"/>
      <c r="H47" s="448"/>
      <c r="I47" s="9"/>
      <c r="J47" s="9"/>
      <c r="K47" s="9"/>
      <c r="L47" s="448"/>
      <c r="M47" s="9"/>
      <c r="N47" s="9"/>
      <c r="O47" s="9"/>
      <c r="P47" s="1427"/>
      <c r="Q47" s="1437"/>
      <c r="R47" s="9"/>
      <c r="S47" s="9"/>
      <c r="T47" s="9"/>
      <c r="U47" s="9"/>
      <c r="V47" s="9"/>
      <c r="W47" s="1386"/>
      <c r="X47" s="9"/>
      <c r="Y47" s="9"/>
      <c r="Z47" s="9"/>
      <c r="AA47" s="9"/>
      <c r="AB47" s="7"/>
      <c r="AC47" s="1422"/>
      <c r="AD47" s="9"/>
      <c r="AF47" s="958"/>
    </row>
    <row r="48" spans="1:32" ht="16.399999999999999" customHeight="1">
      <c r="A48" s="1371" t="s">
        <v>45</v>
      </c>
      <c r="B48" s="1371"/>
      <c r="C48" s="7"/>
      <c r="D48" s="448"/>
      <c r="E48" s="9"/>
      <c r="F48" s="9"/>
      <c r="G48" s="9"/>
      <c r="H48" s="448"/>
      <c r="I48" s="9"/>
      <c r="J48" s="9"/>
      <c r="K48" s="9"/>
      <c r="L48" s="448"/>
      <c r="M48" s="9"/>
      <c r="N48" s="9"/>
      <c r="O48" s="9"/>
      <c r="P48" s="1427"/>
      <c r="Q48" s="1437"/>
      <c r="R48" s="9"/>
      <c r="S48" s="9"/>
      <c r="T48" s="9"/>
      <c r="U48" s="9"/>
      <c r="V48" s="9"/>
      <c r="W48" s="1386"/>
      <c r="X48" s="9"/>
      <c r="Y48" s="9"/>
      <c r="Z48" s="9"/>
      <c r="AA48" s="9"/>
      <c r="AB48" s="7"/>
      <c r="AC48" s="1422"/>
      <c r="AD48" s="9"/>
      <c r="AF48" s="958"/>
    </row>
    <row r="49" spans="1:33" ht="18" customHeight="1">
      <c r="A49" s="7" t="s">
        <v>46</v>
      </c>
      <c r="B49" s="1418" t="s">
        <v>1137</v>
      </c>
      <c r="C49" s="7"/>
      <c r="D49" s="448">
        <f>+'Exhibit A'!D49</f>
        <v>3161.1999999999939</v>
      </c>
      <c r="E49" s="9"/>
      <c r="F49" s="9">
        <f>+'Exhibit A'!F49</f>
        <v>42331.7</v>
      </c>
      <c r="G49" s="9"/>
      <c r="H49" s="448">
        <f>+'Exhibit G State'!Z113</f>
        <v>751.49999999999955</v>
      </c>
      <c r="I49" s="9"/>
      <c r="J49" s="9">
        <f>+'Exhibit G State'!AD113</f>
        <v>3781.4</v>
      </c>
      <c r="K49" s="9"/>
      <c r="L49" s="448">
        <f>+'Exhibit A'!L49</f>
        <v>145.89999999999986</v>
      </c>
      <c r="M49" s="9"/>
      <c r="N49" s="10">
        <f>+'Exhibit A'!N49</f>
        <v>1641.6</v>
      </c>
      <c r="O49" s="9"/>
      <c r="P49" s="1427"/>
      <c r="Q49" s="1437"/>
      <c r="R49" s="10">
        <f>ROUND(SUM(L49+H49+D49),1)</f>
        <v>4058.6</v>
      </c>
      <c r="S49" s="9"/>
      <c r="T49" s="10">
        <f>ROUND(SUM(F49+J49+N49),1)</f>
        <v>47754.7</v>
      </c>
      <c r="U49" s="9"/>
      <c r="V49" s="9"/>
      <c r="W49" s="1386"/>
      <c r="X49" s="9"/>
      <c r="Y49" s="9">
        <v>5285</v>
      </c>
      <c r="Z49" s="9" t="s">
        <v>14</v>
      </c>
      <c r="AA49" s="9">
        <f>'Exhibit F'!AF127+'Exhibit F'!AF128+'Exhibit F'!AF129+'Exhibit F'!AF130+'Exhibit G State'!AG113+'Exhibit H'!AD68</f>
        <v>54681.599999999991</v>
      </c>
      <c r="AB49" s="7"/>
      <c r="AC49" s="1422"/>
      <c r="AD49" s="9">
        <f>ROUND(SUM(T49-AA49),1)</f>
        <v>-6926.9</v>
      </c>
      <c r="AF49" s="955">
        <f>ROUND(SUM(+AD49/AA49),3)</f>
        <v>-0.127</v>
      </c>
      <c r="AG49" s="1362" t="s">
        <v>14</v>
      </c>
    </row>
    <row r="50" spans="1:33" ht="18" customHeight="1">
      <c r="A50" s="7" t="s">
        <v>47</v>
      </c>
      <c r="B50" s="1418" t="s">
        <v>1137</v>
      </c>
      <c r="C50" s="7"/>
      <c r="D50" s="448">
        <f>+'Exhibit A'!D50</f>
        <v>-3259.8999999999996</v>
      </c>
      <c r="E50" s="9"/>
      <c r="F50" s="9">
        <f>+'Exhibit A'!F50</f>
        <v>-8325.1</v>
      </c>
      <c r="G50" s="9"/>
      <c r="H50" s="448">
        <f>+'Exhibit G State'!Z114</f>
        <v>-477.69999999999993</v>
      </c>
      <c r="I50" s="9"/>
      <c r="J50" s="1844">
        <f>'Exhibit G State'!AD114</f>
        <v>-728.3</v>
      </c>
      <c r="K50" s="9"/>
      <c r="L50" s="448">
        <f>+'Exhibit A'!L50</f>
        <v>-1994.8999999999942</v>
      </c>
      <c r="M50" s="9"/>
      <c r="N50" s="10">
        <f>+'Exhibit A'!N50</f>
        <v>-40713.699999999997</v>
      </c>
      <c r="O50" s="9"/>
      <c r="P50" s="1427"/>
      <c r="Q50" s="1437"/>
      <c r="R50" s="1844">
        <f>ROUND(SUM(D50+H50+L50),1)</f>
        <v>-5732.5</v>
      </c>
      <c r="S50" s="9"/>
      <c r="T50" s="9">
        <f>ROUND(SUM(F50+J50+N50),1)</f>
        <v>-49767.1</v>
      </c>
      <c r="U50" s="9"/>
      <c r="V50" s="9"/>
      <c r="W50" s="1386"/>
      <c r="X50" s="9"/>
      <c r="Y50" s="9">
        <v>-6418.9</v>
      </c>
      <c r="Z50" s="9" t="s">
        <v>14</v>
      </c>
      <c r="AA50" s="9">
        <f>'Exhibit F'!AF131+'Exhibit F'!AF132+'Exhibit F'!AF133+'Exhibit F'!AF134+'Exhibit G State'!AG114+'Exhibit H'!AD69</f>
        <v>-58616.899999999994</v>
      </c>
      <c r="AB50" s="7"/>
      <c r="AC50" s="1422"/>
      <c r="AD50" s="9">
        <f>-ROUND(SUM(T50-AA50),1)</f>
        <v>-8849.7999999999993</v>
      </c>
      <c r="AF50" s="1438">
        <f>ROUND(SUM(-AD50/AA50),3)</f>
        <v>-0.151</v>
      </c>
      <c r="AG50" s="1362" t="s">
        <v>14</v>
      </c>
    </row>
    <row r="51" spans="1:33" ht="18" customHeight="1">
      <c r="A51" s="1371" t="s">
        <v>48</v>
      </c>
      <c r="B51" s="1371"/>
      <c r="C51" s="7"/>
      <c r="D51" s="12">
        <f>ROUND(SUM(D49:D50),1)</f>
        <v>-98.7</v>
      </c>
      <c r="E51" s="16"/>
      <c r="F51" s="12">
        <f>ROUND(SUM(F49:F50),1)</f>
        <v>34006.6</v>
      </c>
      <c r="G51" s="16"/>
      <c r="H51" s="12">
        <f>ROUND(SUM(H49:H50),1)</f>
        <v>273.8</v>
      </c>
      <c r="I51" s="16"/>
      <c r="J51" s="12">
        <f>ROUND(SUM(J49:J50),1)</f>
        <v>3053.1</v>
      </c>
      <c r="K51" s="16"/>
      <c r="L51" s="12">
        <f>ROUND(SUM(L49:L50),1)</f>
        <v>-1849</v>
      </c>
      <c r="M51" s="16"/>
      <c r="N51" s="12">
        <f>ROUND(SUM(N49:N50),1)</f>
        <v>-39072.1</v>
      </c>
      <c r="O51" s="16"/>
      <c r="P51" s="1430"/>
      <c r="Q51" s="2052"/>
      <c r="R51" s="12">
        <f>ROUND(SUM(R49:R50),1)</f>
        <v>-1673.9</v>
      </c>
      <c r="S51" s="16"/>
      <c r="T51" s="12">
        <f>ROUND(SUM(T49:T50),1)</f>
        <v>-2012.4</v>
      </c>
      <c r="U51" s="16"/>
      <c r="V51" s="16"/>
      <c r="W51" s="1389"/>
      <c r="X51" s="16"/>
      <c r="Y51" s="1859">
        <f>ROUND(SUM(+Y49+Y50),1)</f>
        <v>-1133.9000000000001</v>
      </c>
      <c r="Z51" s="16"/>
      <c r="AA51" s="1387">
        <f>ROUND(SUM(+AA49+AA50),1)</f>
        <v>-3935.3</v>
      </c>
      <c r="AB51" s="1371"/>
      <c r="AC51" s="1431"/>
      <c r="AD51" s="1387">
        <f>ROUND(SUM(AD49-AD50),1)</f>
        <v>1922.9</v>
      </c>
      <c r="AE51" s="1377"/>
      <c r="AF51" s="957">
        <f>ROUND(SUM(AD51/ABS(AA51)),3)</f>
        <v>0.48899999999999999</v>
      </c>
      <c r="AG51" s="1362" t="s">
        <v>14</v>
      </c>
    </row>
    <row r="52" spans="1:33" ht="16.399999999999999" customHeight="1">
      <c r="A52" s="7"/>
      <c r="B52" s="7"/>
      <c r="C52" s="7"/>
      <c r="D52" s="448"/>
      <c r="E52" s="9"/>
      <c r="F52" s="9"/>
      <c r="G52" s="9"/>
      <c r="H52" s="448"/>
      <c r="I52" s="9"/>
      <c r="J52" s="9"/>
      <c r="K52" s="9"/>
      <c r="L52" s="448"/>
      <c r="M52" s="9"/>
      <c r="N52" s="9"/>
      <c r="O52" s="9"/>
      <c r="P52" s="1427"/>
      <c r="Q52" s="1437"/>
      <c r="R52" s="9"/>
      <c r="S52" s="9"/>
      <c r="T52" s="9"/>
      <c r="U52" s="9"/>
      <c r="V52" s="9"/>
      <c r="W52" s="1386"/>
      <c r="X52" s="9"/>
      <c r="Y52" s="9"/>
      <c r="Z52" s="9"/>
      <c r="AA52" s="9"/>
      <c r="AB52" s="7"/>
      <c r="AC52" s="1422"/>
      <c r="AD52" s="9"/>
      <c r="AF52" s="958"/>
    </row>
    <row r="53" spans="1:33" ht="18" customHeight="1">
      <c r="A53" s="1371" t="s">
        <v>43</v>
      </c>
      <c r="B53" s="1371"/>
      <c r="C53" s="7"/>
      <c r="D53" s="448"/>
      <c r="E53" s="9"/>
      <c r="F53" s="9"/>
      <c r="G53" s="9"/>
      <c r="H53" s="448"/>
      <c r="I53" s="9"/>
      <c r="J53" s="9"/>
      <c r="K53" s="9"/>
      <c r="L53" s="448"/>
      <c r="M53" s="9"/>
      <c r="N53" s="9"/>
      <c r="O53" s="9"/>
      <c r="P53" s="1427"/>
      <c r="Q53" s="1437"/>
      <c r="R53" s="9"/>
      <c r="S53" s="9"/>
      <c r="T53" s="9"/>
      <c r="U53" s="9"/>
      <c r="V53" s="9"/>
      <c r="W53" s="1386"/>
      <c r="X53" s="9"/>
      <c r="Y53" s="9"/>
      <c r="Z53" s="9"/>
      <c r="AA53" s="9"/>
      <c r="AB53" s="7"/>
      <c r="AC53" s="1422"/>
      <c r="AD53" s="9"/>
      <c r="AF53" s="959"/>
    </row>
    <row r="54" spans="1:33" ht="18" customHeight="1">
      <c r="A54" s="1371" t="s">
        <v>57</v>
      </c>
      <c r="B54" s="1371"/>
      <c r="C54" s="7"/>
      <c r="D54" s="448"/>
      <c r="E54" s="9"/>
      <c r="F54" s="9"/>
      <c r="G54" s="9"/>
      <c r="H54" s="448"/>
      <c r="I54" s="9"/>
      <c r="J54" s="9"/>
      <c r="K54" s="9"/>
      <c r="L54" s="448"/>
      <c r="M54" s="9"/>
      <c r="N54" s="9"/>
      <c r="O54" s="9"/>
      <c r="P54" s="1427"/>
      <c r="Q54" s="1437"/>
      <c r="R54" s="9"/>
      <c r="S54" s="9"/>
      <c r="T54" s="9"/>
      <c r="U54" s="9"/>
      <c r="V54" s="9"/>
      <c r="W54" s="1386"/>
      <c r="X54" s="9"/>
      <c r="Y54" s="9" t="s">
        <v>14</v>
      </c>
      <c r="Z54" s="9"/>
      <c r="AA54" s="9"/>
      <c r="AB54" s="7"/>
      <c r="AC54" s="1422"/>
      <c r="AD54" s="9"/>
      <c r="AF54" s="958"/>
    </row>
    <row r="55" spans="1:33" ht="18" customHeight="1">
      <c r="A55" s="1371" t="s">
        <v>58</v>
      </c>
      <c r="B55" s="1371"/>
      <c r="C55" s="7"/>
      <c r="D55" s="16">
        <f>ROUND(SUM(D46+D51),1)</f>
        <v>-6970.3</v>
      </c>
      <c r="E55" s="16"/>
      <c r="F55" s="16">
        <f>ROUND(SUM(F46)+SUM(F51),1)</f>
        <v>10397.9</v>
      </c>
      <c r="G55" s="16"/>
      <c r="H55" s="16">
        <f>ROUND(SUM(H46+H51),1)</f>
        <v>877.5</v>
      </c>
      <c r="I55" s="16"/>
      <c r="J55" s="16">
        <f>ROUND(SUM(J46)+SUM(J51),1)</f>
        <v>1501.3</v>
      </c>
      <c r="K55" s="16"/>
      <c r="L55" s="16">
        <f>ROUND(SUM(L46+L51),1)</f>
        <v>-5169.7</v>
      </c>
      <c r="M55" s="1430"/>
      <c r="N55" s="1430">
        <f>ROUND(SUM(N46+N51),1)</f>
        <v>57.4</v>
      </c>
      <c r="O55" s="1430"/>
      <c r="P55" s="1430"/>
      <c r="Q55" s="1439"/>
      <c r="R55" s="1430">
        <f>ROUND(SUM(+R46+R51),1)</f>
        <v>-11262.5</v>
      </c>
      <c r="S55" s="1430"/>
      <c r="T55" s="1430">
        <f>ROUND(SUM(T46+T51),1)</f>
        <v>11956.6</v>
      </c>
      <c r="U55" s="1430"/>
      <c r="V55" s="1430"/>
      <c r="W55" s="1440"/>
      <c r="X55" s="1430"/>
      <c r="Y55" s="16">
        <f>ROUND(SUM(Y46)+SUM(Y51),1)</f>
        <v>-7816.6</v>
      </c>
      <c r="Z55" s="16"/>
      <c r="AA55" s="16">
        <f>ROUND(SUM(AA46)+SUM(AA51),1)</f>
        <v>25832.799999999999</v>
      </c>
      <c r="AB55" s="1371"/>
      <c r="AC55" s="1431"/>
      <c r="AD55" s="16">
        <f>ROUND(SUM(+AD46+AD51),1)</f>
        <v>-13876.2</v>
      </c>
      <c r="AE55" s="1377"/>
      <c r="AF55" s="981">
        <f>ROUND(SUM(AD55/AA55),3)</f>
        <v>-0.53700000000000003</v>
      </c>
    </row>
    <row r="56" spans="1:33" ht="16.399999999999999" customHeight="1">
      <c r="A56" s="1371"/>
      <c r="B56" s="1371"/>
      <c r="C56" s="7"/>
      <c r="D56" s="448"/>
      <c r="E56" s="9"/>
      <c r="F56" s="9"/>
      <c r="G56" s="9"/>
      <c r="H56" s="448"/>
      <c r="I56" s="9"/>
      <c r="J56" s="9"/>
      <c r="K56" s="9"/>
      <c r="L56" s="448"/>
      <c r="M56" s="9"/>
      <c r="N56" s="9"/>
      <c r="O56" s="9"/>
      <c r="P56" s="1427"/>
      <c r="Q56" s="1437"/>
      <c r="R56" s="9"/>
      <c r="S56" s="9"/>
      <c r="T56" s="9"/>
      <c r="U56" s="9"/>
      <c r="V56" s="9"/>
      <c r="W56" s="1386"/>
      <c r="X56" s="9"/>
      <c r="Y56" s="9"/>
      <c r="Z56" s="9"/>
      <c r="AA56" s="9"/>
      <c r="AB56" s="7"/>
      <c r="AC56" s="1422"/>
      <c r="AD56" s="9"/>
      <c r="AF56" s="958"/>
    </row>
    <row r="57" spans="1:33" ht="18" customHeight="1">
      <c r="A57" s="1441" t="s">
        <v>51</v>
      </c>
      <c r="B57" s="1381"/>
      <c r="C57" s="7"/>
      <c r="D57" s="15">
        <f>+'Exhibit A'!D57</f>
        <v>50420.9</v>
      </c>
      <c r="E57" s="16"/>
      <c r="F57" s="15">
        <f>'Exhibit A'!F57</f>
        <v>33052.699999999997</v>
      </c>
      <c r="G57" s="16"/>
      <c r="H57" s="15">
        <f>+'Exhibit G State'!Z13</f>
        <v>8236.2999999999993</v>
      </c>
      <c r="I57" s="16"/>
      <c r="J57" s="15">
        <f>'Exhibit G State'!D13</f>
        <v>7612.5</v>
      </c>
      <c r="K57" s="16"/>
      <c r="L57" s="15">
        <f>+'Exhibit A'!L57</f>
        <v>5329.1</v>
      </c>
      <c r="M57" s="16"/>
      <c r="N57" s="2051">
        <f>+'Exhibit A'!N57</f>
        <v>102</v>
      </c>
      <c r="O57" s="16"/>
      <c r="P57" s="1430"/>
      <c r="Q57" s="2052"/>
      <c r="R57" s="15">
        <f>ROUND(SUM(D57+H57+L57),1)</f>
        <v>63986.3</v>
      </c>
      <c r="S57" s="16"/>
      <c r="T57" s="15">
        <f>ROUND(SUM(F57+J57+N57),1)</f>
        <v>40767.199999999997</v>
      </c>
      <c r="U57" s="16"/>
      <c r="V57" s="16"/>
      <c r="W57" s="1389"/>
      <c r="X57" s="16"/>
      <c r="Y57" s="15">
        <v>48583.799999999996</v>
      </c>
      <c r="Z57" s="16" t="s">
        <v>14</v>
      </c>
      <c r="AA57" s="15">
        <f>'Exhibit F'!AF12+'Exhibit G State'!AG13+'Exhibit H'!AD12</f>
        <v>14934.4</v>
      </c>
      <c r="AB57" s="1371"/>
      <c r="AC57" s="1431"/>
      <c r="AD57" s="15">
        <f>ROUND(SUM(T57-AA57),1)</f>
        <v>25832.799999999999</v>
      </c>
      <c r="AE57" s="1377"/>
      <c r="AF57" s="1390">
        <f>ROUND(+AD57/AA57,3)</f>
        <v>1.73</v>
      </c>
    </row>
    <row r="58" spans="1:33" ht="16.399999999999999" customHeight="1">
      <c r="A58" s="7"/>
      <c r="B58" s="7"/>
      <c r="C58" s="7"/>
      <c r="D58" s="450"/>
      <c r="E58" s="7"/>
      <c r="F58" s="7"/>
      <c r="G58" s="7"/>
      <c r="H58" s="450"/>
      <c r="I58" s="7"/>
      <c r="J58" s="7"/>
      <c r="K58" s="7"/>
      <c r="L58" s="450"/>
      <c r="M58" s="7"/>
      <c r="N58" s="7"/>
      <c r="O58" s="7"/>
      <c r="P58" s="1419"/>
      <c r="Q58" s="1420"/>
      <c r="R58" s="7"/>
      <c r="S58" s="7"/>
      <c r="T58" s="7"/>
      <c r="U58" s="7"/>
      <c r="V58" s="7"/>
      <c r="W58" s="1421"/>
      <c r="X58" s="7"/>
      <c r="Y58" s="7"/>
      <c r="Z58" s="7"/>
      <c r="AA58" s="7"/>
      <c r="AB58" s="7"/>
      <c r="AC58" s="1422"/>
      <c r="AD58" s="9"/>
      <c r="AF58" s="958"/>
    </row>
    <row r="59" spans="1:33" ht="18" customHeight="1" thickBot="1">
      <c r="A59" s="1441" t="s">
        <v>59</v>
      </c>
      <c r="B59" s="1375" t="s">
        <v>14</v>
      </c>
      <c r="C59" s="7"/>
      <c r="D59" s="18">
        <f>ROUND(SUM(D55+D57),1)</f>
        <v>43450.6</v>
      </c>
      <c r="E59" s="1392"/>
      <c r="F59" s="18">
        <f>ROUND(SUM(F55+F57),1)</f>
        <v>43450.6</v>
      </c>
      <c r="G59" s="1392"/>
      <c r="H59" s="18">
        <f>ROUND(SUM(H55+H57),1)</f>
        <v>9113.7999999999993</v>
      </c>
      <c r="I59" s="1392"/>
      <c r="J59" s="18">
        <f>ROUND(SUM(J55)+SUM(J57),1)</f>
        <v>9113.7999999999993</v>
      </c>
      <c r="K59" s="1392"/>
      <c r="L59" s="18">
        <f>ROUND(SUM(L55+L57),1)</f>
        <v>159.4</v>
      </c>
      <c r="M59" s="1442"/>
      <c r="N59" s="1443">
        <f>ROUND(SUM(N55+N57),1)</f>
        <v>159.4</v>
      </c>
      <c r="O59" s="1442"/>
      <c r="P59" s="1442"/>
      <c r="Q59" s="1444"/>
      <c r="R59" s="1443">
        <f>ROUND(SUM(R55+R57),1)</f>
        <v>52723.8</v>
      </c>
      <c r="S59" s="1442"/>
      <c r="T59" s="1443">
        <f>ROUND(SUM(T55+T57),1)</f>
        <v>52723.8</v>
      </c>
      <c r="U59" s="1442"/>
      <c r="V59" s="1442"/>
      <c r="W59" s="1445"/>
      <c r="X59" s="1442"/>
      <c r="Y59" s="18">
        <f>ROUND(SUM(Y55+Y57),1)</f>
        <v>40767.199999999997</v>
      </c>
      <c r="Z59" s="1392"/>
      <c r="AA59" s="18">
        <f>ROUND(SUM(AA55+AA57),1)</f>
        <v>40767.199999999997</v>
      </c>
      <c r="AB59" s="1396"/>
      <c r="AC59" s="1446"/>
      <c r="AD59" s="18">
        <f>ROUND(SUM(AD55+AD57),1)</f>
        <v>11956.6</v>
      </c>
      <c r="AE59" s="1377"/>
      <c r="AF59" s="1395">
        <f>ROUND(+AD59/AA59,3)</f>
        <v>0.29299999999999998</v>
      </c>
      <c r="AG59" s="1362" t="s">
        <v>14</v>
      </c>
    </row>
    <row r="60" spans="1:33" ht="16" thickTop="1">
      <c r="A60" s="1397"/>
      <c r="B60" s="1397"/>
      <c r="C60" s="1397"/>
      <c r="D60" s="1398"/>
      <c r="E60" s="1398"/>
      <c r="F60" s="1398"/>
      <c r="G60" s="1398"/>
      <c r="H60" s="1399"/>
      <c r="I60" s="1398"/>
      <c r="J60" s="1398"/>
      <c r="K60" s="1398"/>
      <c r="L60" s="1398"/>
      <c r="M60" s="1398"/>
      <c r="N60" s="1398"/>
      <c r="O60" s="1398"/>
      <c r="P60" s="1447"/>
      <c r="Q60" s="1398"/>
      <c r="R60" s="1398"/>
      <c r="S60" s="1398"/>
      <c r="T60" s="1398"/>
      <c r="U60" s="1398"/>
      <c r="V60" s="1398"/>
      <c r="W60" s="1398"/>
      <c r="X60" s="1398"/>
      <c r="Y60" s="1398"/>
      <c r="Z60" s="1398"/>
      <c r="AA60" s="1398"/>
      <c r="AB60" s="1398"/>
      <c r="AC60" s="1398"/>
      <c r="AD60" s="1398"/>
      <c r="AF60" s="1400"/>
    </row>
    <row r="61" spans="1:33">
      <c r="H61" s="1363" t="s">
        <v>14</v>
      </c>
      <c r="Q61" s="1362" t="s">
        <v>14</v>
      </c>
      <c r="R61" s="1362" t="s">
        <v>14</v>
      </c>
    </row>
    <row r="62" spans="1:33" ht="18" customHeight="1">
      <c r="A62" s="489" t="s">
        <v>1087</v>
      </c>
      <c r="AA62" s="1362" t="s">
        <v>14</v>
      </c>
    </row>
    <row r="63" spans="1:33" ht="18" customHeight="1">
      <c r="A63" s="1448" t="s">
        <v>1086</v>
      </c>
    </row>
    <row r="64" spans="1:33" ht="15.5">
      <c r="A64" s="1418"/>
      <c r="Y64" s="448" t="s">
        <v>14</v>
      </c>
      <c r="AA64" s="1362" t="s">
        <v>14</v>
      </c>
    </row>
    <row r="65" spans="1:25" ht="15.5">
      <c r="A65" s="1401"/>
      <c r="B65" s="1402"/>
      <c r="C65" s="490"/>
      <c r="D65" s="1404"/>
      <c r="E65" s="1404"/>
      <c r="F65" s="1404"/>
      <c r="G65" s="1404"/>
      <c r="H65" s="1403"/>
      <c r="I65" s="1404"/>
      <c r="J65" s="1404"/>
      <c r="K65" s="1404"/>
      <c r="L65" s="1404"/>
      <c r="Y65" s="448" t="s">
        <v>14</v>
      </c>
    </row>
    <row r="66" spans="1:25" ht="15.5">
      <c r="A66" s="958"/>
      <c r="B66" s="958"/>
      <c r="C66" s="958"/>
      <c r="D66" s="489"/>
      <c r="E66" s="958"/>
      <c r="F66" s="958"/>
      <c r="G66" s="958"/>
      <c r="H66" s="1405"/>
      <c r="I66" s="958"/>
      <c r="J66" s="958"/>
      <c r="K66" s="958"/>
      <c r="L66" s="489"/>
    </row>
    <row r="67" spans="1:25" ht="15.5">
      <c r="A67" s="958"/>
      <c r="B67" s="958"/>
      <c r="C67" s="958"/>
      <c r="D67" s="489"/>
      <c r="E67" s="958"/>
      <c r="F67" s="958"/>
      <c r="G67" s="958"/>
      <c r="H67" s="1405"/>
      <c r="I67" s="958"/>
      <c r="J67" s="958"/>
      <c r="K67" s="958"/>
      <c r="L67" s="489"/>
    </row>
    <row r="68" spans="1:25" ht="15.5">
      <c r="A68" s="958"/>
      <c r="B68" s="958"/>
      <c r="C68" s="958"/>
      <c r="D68" s="489"/>
      <c r="E68" s="958"/>
      <c r="F68" s="958"/>
      <c r="G68" s="958"/>
      <c r="H68" s="1405"/>
      <c r="I68" s="958"/>
      <c r="J68" s="958"/>
      <c r="K68" s="958"/>
      <c r="L68" s="489"/>
    </row>
    <row r="69" spans="1:25" ht="19.5" customHeight="1">
      <c r="A69" s="958"/>
      <c r="I69" s="958"/>
    </row>
    <row r="73" spans="1:25">
      <c r="F73" s="1362" t="s">
        <v>14</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5:B20"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69"/>
  <sheetViews>
    <sheetView showGridLines="0" zoomScale="90" workbookViewId="0"/>
  </sheetViews>
  <sheetFormatPr defaultColWidth="8.84375" defaultRowHeight="15.5"/>
  <cols>
    <col min="1" max="1" width="56.84375" style="533" customWidth="1"/>
    <col min="2" max="2" width="2.07421875" style="533" customWidth="1"/>
    <col min="3" max="3" width="19" style="532" customWidth="1"/>
    <col min="4" max="4" width="1.84375" style="533" customWidth="1"/>
    <col min="5" max="5" width="16.4609375" style="533" customWidth="1"/>
    <col min="6" max="6" width="1.53515625" style="533" customWidth="1"/>
    <col min="7" max="7" width="16.53515625" style="533" customWidth="1"/>
    <col min="8" max="8" width="1.53515625" style="533" customWidth="1"/>
    <col min="9" max="9" width="17.84375" style="533" customWidth="1"/>
    <col min="10" max="10" width="1.53515625" style="533" customWidth="1"/>
    <col min="11" max="11" width="20.07421875" style="533" customWidth="1"/>
    <col min="12" max="12" width="6.07421875" style="533" customWidth="1"/>
    <col min="13" max="16384" width="8.84375" style="533"/>
  </cols>
  <sheetData>
    <row r="1" spans="1:12">
      <c r="A1" s="468" t="s">
        <v>868</v>
      </c>
    </row>
    <row r="2" spans="1:12">
      <c r="A2" s="1705"/>
    </row>
    <row r="3" spans="1:12" ht="17.899999999999999" customHeight="1">
      <c r="A3" s="1706" t="s">
        <v>0</v>
      </c>
      <c r="B3" s="564"/>
      <c r="C3" s="564"/>
      <c r="D3" s="564"/>
      <c r="E3" s="564"/>
      <c r="F3" s="564"/>
      <c r="G3" s="564"/>
      <c r="H3" s="564"/>
      <c r="I3" s="564"/>
      <c r="J3" s="564"/>
      <c r="K3" s="1707" t="s">
        <v>226</v>
      </c>
      <c r="L3" s="564"/>
    </row>
    <row r="4" spans="1:12" ht="17.899999999999999" customHeight="1">
      <c r="A4" s="1706" t="s">
        <v>225</v>
      </c>
      <c r="B4" s="564"/>
      <c r="C4" s="564" t="s">
        <v>14</v>
      </c>
      <c r="D4" s="564"/>
      <c r="E4" s="564"/>
      <c r="F4" s="564"/>
      <c r="G4" s="564"/>
      <c r="H4" s="564"/>
      <c r="I4" s="564"/>
      <c r="J4" s="564"/>
      <c r="L4" s="1708"/>
    </row>
    <row r="5" spans="1:12" ht="17.899999999999999" customHeight="1">
      <c r="A5" s="1706" t="s">
        <v>1160</v>
      </c>
      <c r="B5" s="564"/>
      <c r="C5" s="564"/>
      <c r="D5" s="564"/>
      <c r="E5" s="564"/>
      <c r="F5" s="564"/>
      <c r="G5" s="564"/>
      <c r="H5" s="564"/>
      <c r="I5" s="564"/>
      <c r="J5" s="564"/>
      <c r="K5" s="1709"/>
      <c r="L5" s="1709"/>
    </row>
    <row r="6" spans="1:12" ht="17.899999999999999" customHeight="1">
      <c r="A6" s="1710" t="s">
        <v>227</v>
      </c>
      <c r="B6" s="564"/>
      <c r="C6" s="564"/>
      <c r="D6" s="564"/>
      <c r="E6" s="2185"/>
      <c r="F6" s="564"/>
      <c r="G6" s="564"/>
      <c r="H6" s="564"/>
      <c r="I6" s="564"/>
      <c r="J6" s="564"/>
      <c r="K6" s="308"/>
      <c r="L6" s="308"/>
    </row>
    <row r="7" spans="1:12" ht="17.899999999999999" customHeight="1">
      <c r="A7" s="1710" t="s">
        <v>1463</v>
      </c>
      <c r="B7" s="564"/>
      <c r="C7" s="564"/>
      <c r="D7" s="564"/>
      <c r="E7" s="564"/>
      <c r="F7" s="564"/>
      <c r="G7" s="564"/>
      <c r="H7" s="564"/>
      <c r="I7" s="564"/>
      <c r="J7" s="564"/>
      <c r="K7" s="308"/>
      <c r="L7" s="308"/>
    </row>
    <row r="8" spans="1:12" ht="17.899999999999999" customHeight="1">
      <c r="A8" s="1710" t="s">
        <v>1560</v>
      </c>
      <c r="B8" s="564"/>
      <c r="C8" s="564"/>
      <c r="D8" s="564"/>
      <c r="E8" s="564" t="s">
        <v>14</v>
      </c>
      <c r="F8" s="564"/>
      <c r="G8" s="564"/>
      <c r="H8" s="564"/>
      <c r="I8" s="564"/>
      <c r="J8" s="564"/>
      <c r="K8" s="564"/>
      <c r="L8" s="564"/>
    </row>
    <row r="9" spans="1:12" ht="17.899999999999999" customHeight="1">
      <c r="A9" s="1706" t="s">
        <v>1251</v>
      </c>
      <c r="B9" s="1711" t="s">
        <v>228</v>
      </c>
      <c r="C9" s="530"/>
      <c r="D9" s="530"/>
      <c r="E9" s="530"/>
      <c r="F9" s="530"/>
      <c r="G9" s="530"/>
      <c r="H9" s="530"/>
      <c r="I9" s="530"/>
      <c r="J9" s="530"/>
      <c r="K9" s="530"/>
      <c r="L9" s="530"/>
    </row>
    <row r="10" spans="1:12">
      <c r="A10" s="530"/>
      <c r="B10" s="530"/>
      <c r="C10" s="305" t="s">
        <v>229</v>
      </c>
      <c r="D10" s="309"/>
      <c r="E10" s="309"/>
      <c r="F10" s="309"/>
      <c r="G10" s="309"/>
      <c r="H10" s="309"/>
      <c r="I10" s="305" t="s">
        <v>230</v>
      </c>
      <c r="J10" s="309"/>
      <c r="K10" s="305" t="s">
        <v>229</v>
      </c>
      <c r="L10" s="305"/>
    </row>
    <row r="11" spans="1:12">
      <c r="A11" s="530"/>
      <c r="B11" s="530"/>
      <c r="C11" s="1870" t="s">
        <v>1561</v>
      </c>
      <c r="D11" s="309"/>
      <c r="E11" s="1345" t="s">
        <v>231</v>
      </c>
      <c r="F11" s="309"/>
      <c r="G11" s="1346" t="s">
        <v>232</v>
      </c>
      <c r="H11" s="309"/>
      <c r="I11" s="1346" t="s">
        <v>233</v>
      </c>
      <c r="J11" s="309"/>
      <c r="K11" s="1712" t="s">
        <v>1562</v>
      </c>
      <c r="L11" s="1347"/>
    </row>
    <row r="12" spans="1:12">
      <c r="A12" s="530"/>
      <c r="B12" s="530"/>
      <c r="C12" s="1347"/>
      <c r="D12" s="309"/>
      <c r="E12" s="305"/>
      <c r="F12" s="309"/>
      <c r="G12" s="305"/>
      <c r="H12" s="309"/>
      <c r="I12" s="305"/>
      <c r="J12" s="309"/>
      <c r="K12" s="1713"/>
      <c r="L12" s="1347"/>
    </row>
    <row r="13" spans="1:12">
      <c r="A13" s="306" t="s">
        <v>143</v>
      </c>
      <c r="B13" s="530"/>
      <c r="C13" s="530"/>
      <c r="D13" s="530"/>
      <c r="E13" s="529"/>
      <c r="F13" s="530"/>
      <c r="G13" s="529"/>
      <c r="H13" s="530"/>
      <c r="I13" s="529"/>
      <c r="J13" s="530"/>
      <c r="K13" s="530"/>
      <c r="L13" s="530"/>
    </row>
    <row r="14" spans="1:12">
      <c r="A14" s="530" t="s">
        <v>234</v>
      </c>
      <c r="B14" s="529"/>
      <c r="C14" s="1086">
        <v>0</v>
      </c>
      <c r="D14" s="1087"/>
      <c r="E14" s="1086">
        <v>-5.0999999999999997E-2</v>
      </c>
      <c r="F14" s="1087"/>
      <c r="G14" s="1086">
        <v>14788.191999999999</v>
      </c>
      <c r="H14" s="1087"/>
      <c r="I14" s="1086">
        <v>14788.243</v>
      </c>
      <c r="J14" s="529"/>
      <c r="K14" s="572">
        <f>ROUND(SUM(C14)+SUM(E14)-SUM(G14)+SUM(I14),3)</f>
        <v>0</v>
      </c>
      <c r="L14" s="1310"/>
    </row>
    <row r="15" spans="1:12">
      <c r="A15" s="530" t="s">
        <v>235</v>
      </c>
      <c r="B15" s="530"/>
      <c r="C15" s="1088">
        <v>50395.156999999999</v>
      </c>
      <c r="D15" s="1087"/>
      <c r="E15" s="1088">
        <v>11305.928</v>
      </c>
      <c r="F15" s="1087"/>
      <c r="G15" s="1088">
        <v>3389.1080000000002</v>
      </c>
      <c r="H15" s="1087"/>
      <c r="I15" s="1088">
        <v>-58311.976999999999</v>
      </c>
      <c r="J15" s="529"/>
      <c r="K15" s="466">
        <f t="shared" ref="K15:K23" si="0">ROUND(SUM(C15)+SUM(E15)-SUM(G15)+SUM(I15),3)</f>
        <v>0</v>
      </c>
      <c r="L15" s="1313"/>
    </row>
    <row r="16" spans="1:12">
      <c r="A16" s="531" t="s">
        <v>236</v>
      </c>
      <c r="B16" s="530"/>
      <c r="C16" s="1088">
        <v>0</v>
      </c>
      <c r="D16" s="1087"/>
      <c r="E16" s="1088">
        <v>0</v>
      </c>
      <c r="F16" s="1087"/>
      <c r="G16" s="1088">
        <v>0</v>
      </c>
      <c r="H16" s="1087"/>
      <c r="I16" s="1088">
        <v>1617.7629999999999</v>
      </c>
      <c r="J16" s="529"/>
      <c r="K16" s="466">
        <f t="shared" si="0"/>
        <v>1617.7629999999999</v>
      </c>
      <c r="L16" s="1313"/>
    </row>
    <row r="17" spans="1:12">
      <c r="A17" s="530" t="s">
        <v>237</v>
      </c>
      <c r="B17" s="530"/>
      <c r="C17" s="1088">
        <v>0</v>
      </c>
      <c r="D17" s="1087"/>
      <c r="E17" s="1088">
        <v>0</v>
      </c>
      <c r="F17" s="1087"/>
      <c r="G17" s="1088">
        <v>0</v>
      </c>
      <c r="H17" s="1087"/>
      <c r="I17" s="1088">
        <v>20.623999999999999</v>
      </c>
      <c r="J17" s="529"/>
      <c r="K17" s="466">
        <f t="shared" si="0"/>
        <v>20.623999999999999</v>
      </c>
      <c r="L17" s="1313"/>
    </row>
    <row r="18" spans="1:12">
      <c r="A18" s="530" t="s">
        <v>238</v>
      </c>
      <c r="B18" s="530"/>
      <c r="C18" s="1088">
        <v>0</v>
      </c>
      <c r="D18" s="1087"/>
      <c r="E18" s="1088">
        <v>0</v>
      </c>
      <c r="F18" s="1087"/>
      <c r="G18" s="1088">
        <v>0</v>
      </c>
      <c r="H18" s="1087"/>
      <c r="I18" s="1088">
        <v>0</v>
      </c>
      <c r="J18" s="529"/>
      <c r="K18" s="466">
        <f t="shared" si="0"/>
        <v>0</v>
      </c>
      <c r="L18" s="1313"/>
    </row>
    <row r="19" spans="1:12">
      <c r="A19" s="530" t="s">
        <v>239</v>
      </c>
      <c r="B19" s="530"/>
      <c r="C19" s="1088">
        <v>25.703999999999997</v>
      </c>
      <c r="D19" s="1087"/>
      <c r="E19" s="1088">
        <v>0</v>
      </c>
      <c r="F19" s="1087"/>
      <c r="G19" s="1088">
        <v>6.3E-2</v>
      </c>
      <c r="H19" s="1087"/>
      <c r="I19" s="1088">
        <v>0</v>
      </c>
      <c r="J19" s="529"/>
      <c r="K19" s="466">
        <f t="shared" si="0"/>
        <v>25.640999999999998</v>
      </c>
      <c r="L19" s="466"/>
    </row>
    <row r="20" spans="1:12">
      <c r="A20" s="530" t="s">
        <v>240</v>
      </c>
      <c r="B20" s="530"/>
      <c r="C20" s="1088">
        <v>0</v>
      </c>
      <c r="D20" s="1087"/>
      <c r="E20" s="1088">
        <v>0</v>
      </c>
      <c r="F20" s="1087"/>
      <c r="G20" s="1088">
        <v>0</v>
      </c>
      <c r="H20" s="1087"/>
      <c r="I20" s="1088">
        <v>4637.5439999999999</v>
      </c>
      <c r="J20" s="529"/>
      <c r="K20" s="466">
        <f t="shared" si="0"/>
        <v>4637.5439999999999</v>
      </c>
      <c r="L20" s="1313"/>
    </row>
    <row r="21" spans="1:12">
      <c r="A21" s="531" t="s">
        <v>241</v>
      </c>
      <c r="B21" s="530"/>
      <c r="C21" s="1088">
        <v>0</v>
      </c>
      <c r="D21" s="1087"/>
      <c r="E21" s="1088">
        <v>0</v>
      </c>
      <c r="F21" s="1087"/>
      <c r="G21" s="1088">
        <v>0</v>
      </c>
      <c r="H21" s="1087"/>
      <c r="I21" s="1088">
        <v>37149.044000000002</v>
      </c>
      <c r="J21" s="529"/>
      <c r="K21" s="466">
        <f t="shared" si="0"/>
        <v>37149.044000000002</v>
      </c>
      <c r="L21" s="1313"/>
    </row>
    <row r="22" spans="1:12">
      <c r="A22" s="531" t="s">
        <v>242</v>
      </c>
      <c r="B22" s="530"/>
      <c r="C22" s="1088">
        <v>0</v>
      </c>
      <c r="D22" s="1087"/>
      <c r="E22" s="1088">
        <v>0</v>
      </c>
      <c r="F22" s="1087"/>
      <c r="G22" s="1088">
        <v>0</v>
      </c>
      <c r="H22" s="1087"/>
      <c r="I22" s="1088">
        <v>0</v>
      </c>
      <c r="J22" s="529"/>
      <c r="K22" s="466">
        <f t="shared" si="0"/>
        <v>0</v>
      </c>
      <c r="L22" s="1313"/>
    </row>
    <row r="23" spans="1:12">
      <c r="A23" s="531" t="s">
        <v>243</v>
      </c>
      <c r="B23" s="530"/>
      <c r="C23" s="1088">
        <v>0</v>
      </c>
      <c r="D23" s="1087"/>
      <c r="E23" s="1088">
        <v>0</v>
      </c>
      <c r="F23" s="1087"/>
      <c r="G23" s="1088">
        <v>0</v>
      </c>
      <c r="H23" s="1087"/>
      <c r="I23" s="1088">
        <v>0</v>
      </c>
      <c r="J23" s="529"/>
      <c r="K23" s="466">
        <f t="shared" si="0"/>
        <v>0</v>
      </c>
      <c r="L23" s="1313"/>
    </row>
    <row r="24" spans="1:12">
      <c r="A24" s="303" t="s">
        <v>244</v>
      </c>
      <c r="B24" s="530"/>
      <c r="C24" s="304">
        <f>ROUND(SUM(C14:C23),3)</f>
        <v>50420.860999999997</v>
      </c>
      <c r="D24" s="305"/>
      <c r="E24" s="304">
        <f>ROUND(SUM(E14:E23),3)</f>
        <v>11305.877</v>
      </c>
      <c r="F24" s="305"/>
      <c r="G24" s="304">
        <f>ROUND(SUM(G14:G23),3)</f>
        <v>18177.363000000001</v>
      </c>
      <c r="H24" s="305"/>
      <c r="I24" s="304">
        <f>ROUND(SUM(I14:I23),3)</f>
        <v>-98.759</v>
      </c>
      <c r="J24" s="305"/>
      <c r="K24" s="304">
        <f>ROUND(SUM(K14:K23),3)</f>
        <v>43450.616000000002</v>
      </c>
      <c r="L24" s="311"/>
    </row>
    <row r="25" spans="1:12" ht="8.25" customHeight="1">
      <c r="A25" s="303"/>
      <c r="B25" s="530"/>
      <c r="C25" s="529"/>
      <c r="D25" s="466"/>
      <c r="E25" s="529"/>
      <c r="F25" s="466"/>
      <c r="G25" s="529"/>
      <c r="H25" s="466"/>
      <c r="I25" s="529"/>
      <c r="J25" s="466"/>
      <c r="K25" s="529"/>
      <c r="L25" s="529"/>
    </row>
    <row r="26" spans="1:12" ht="16">
      <c r="A26" s="531"/>
      <c r="B26" s="530"/>
      <c r="C26" s="530"/>
      <c r="D26" s="530"/>
      <c r="E26" s="530"/>
      <c r="F26" s="494"/>
      <c r="G26" s="530"/>
      <c r="H26" s="494"/>
      <c r="I26" s="530"/>
      <c r="J26" s="530"/>
      <c r="K26" s="466"/>
      <c r="L26" s="466"/>
    </row>
    <row r="27" spans="1:12" ht="16">
      <c r="A27" s="306" t="s">
        <v>784</v>
      </c>
      <c r="B27" s="530"/>
      <c r="C27" s="530"/>
      <c r="D27" s="530"/>
      <c r="E27" s="530"/>
      <c r="F27" s="494"/>
      <c r="G27" s="530"/>
      <c r="H27" s="494"/>
      <c r="I27" s="530"/>
      <c r="J27" s="530"/>
      <c r="K27" s="530"/>
      <c r="L27" s="530"/>
    </row>
    <row r="28" spans="1:12">
      <c r="A28" s="531" t="s">
        <v>245</v>
      </c>
      <c r="B28" s="530"/>
      <c r="C28" s="1088">
        <v>0.81899999999999995</v>
      </c>
      <c r="D28" s="1087"/>
      <c r="E28" s="1088">
        <v>3.0000000000000001E-3</v>
      </c>
      <c r="F28" s="1087"/>
      <c r="G28" s="1088">
        <v>0</v>
      </c>
      <c r="H28" s="1087"/>
      <c r="I28" s="1088">
        <v>0</v>
      </c>
      <c r="J28" s="529"/>
      <c r="K28" s="466">
        <f t="shared" ref="K28:K33" si="1">ROUND(SUM(C28)+SUM(E28)-SUM(G28)+SUM(I28),3)</f>
        <v>0.82199999999999995</v>
      </c>
      <c r="L28" s="1756"/>
    </row>
    <row r="29" spans="1:12">
      <c r="A29" s="531" t="s">
        <v>246</v>
      </c>
      <c r="B29" s="530"/>
      <c r="C29" s="1088">
        <v>62.002000000000002</v>
      </c>
      <c r="D29" s="1087"/>
      <c r="E29" s="1088">
        <v>1.4330000000000001</v>
      </c>
      <c r="F29" s="1087"/>
      <c r="G29" s="1088">
        <v>1.724</v>
      </c>
      <c r="H29" s="1087"/>
      <c r="I29" s="1088">
        <v>1.2969999999999999</v>
      </c>
      <c r="J29" s="529"/>
      <c r="K29" s="466">
        <f t="shared" si="1"/>
        <v>63.008000000000003</v>
      </c>
      <c r="L29" s="1756"/>
    </row>
    <row r="30" spans="1:12">
      <c r="A30" s="530" t="s">
        <v>247</v>
      </c>
      <c r="B30" s="1711" t="s">
        <v>228</v>
      </c>
      <c r="C30" s="1088">
        <v>184.911</v>
      </c>
      <c r="D30" s="1087"/>
      <c r="E30" s="1088">
        <v>15.832000000000001</v>
      </c>
      <c r="F30" s="1087"/>
      <c r="G30" s="1088">
        <v>0.20799999999999999</v>
      </c>
      <c r="H30" s="1087"/>
      <c r="I30" s="1088">
        <v>0</v>
      </c>
      <c r="J30" s="529"/>
      <c r="K30" s="466">
        <f t="shared" si="1"/>
        <v>200.535</v>
      </c>
      <c r="L30" s="1756"/>
    </row>
    <row r="31" spans="1:12">
      <c r="A31" s="531" t="s">
        <v>248</v>
      </c>
      <c r="B31" s="1711"/>
      <c r="C31" s="1088">
        <v>1.3000000000000001E-2</v>
      </c>
      <c r="D31" s="1087"/>
      <c r="E31" s="1088">
        <v>0</v>
      </c>
      <c r="F31" s="1087"/>
      <c r="G31" s="1088">
        <v>0.02</v>
      </c>
      <c r="H31" s="1087"/>
      <c r="I31" s="1088">
        <v>0</v>
      </c>
      <c r="J31" s="529"/>
      <c r="K31" s="466">
        <f t="shared" si="1"/>
        <v>-7.0000000000000001E-3</v>
      </c>
      <c r="L31" s="1756"/>
    </row>
    <row r="32" spans="1:12">
      <c r="A32" s="531" t="s">
        <v>249</v>
      </c>
      <c r="B32" s="1711"/>
      <c r="C32" s="1088">
        <v>0.25900000000000001</v>
      </c>
      <c r="D32" s="1087"/>
      <c r="E32" s="1088">
        <v>7.0000000000000001E-3</v>
      </c>
      <c r="F32" s="1087"/>
      <c r="G32" s="1088">
        <v>5.1999999999999998E-2</v>
      </c>
      <c r="H32" s="1087"/>
      <c r="I32" s="1088">
        <v>0</v>
      </c>
      <c r="J32" s="529"/>
      <c r="K32" s="466">
        <f t="shared" si="1"/>
        <v>0.214</v>
      </c>
      <c r="L32" s="1756"/>
    </row>
    <row r="33" spans="1:12">
      <c r="A33" s="530" t="s">
        <v>250</v>
      </c>
      <c r="B33" s="530"/>
      <c r="C33" s="1088">
        <v>9.7509999999999994</v>
      </c>
      <c r="D33" s="1087"/>
      <c r="E33" s="1088">
        <v>0.70199999999999996</v>
      </c>
      <c r="F33" s="1087"/>
      <c r="G33" s="1088">
        <v>0.38400000000000001</v>
      </c>
      <c r="H33" s="1087"/>
      <c r="I33" s="1088">
        <v>-1.9E-2</v>
      </c>
      <c r="J33" s="529"/>
      <c r="K33" s="466">
        <f t="shared" si="1"/>
        <v>10.050000000000001</v>
      </c>
      <c r="L33" s="1756"/>
    </row>
    <row r="34" spans="1:12">
      <c r="A34" s="530" t="s">
        <v>251</v>
      </c>
      <c r="B34" s="530"/>
      <c r="C34" s="1871"/>
      <c r="D34"/>
      <c r="E34" s="1105"/>
      <c r="F34" s="1105"/>
      <c r="G34" s="1105"/>
      <c r="H34" s="1105"/>
      <c r="I34" s="1105"/>
      <c r="J34" s="307"/>
      <c r="K34" s="986"/>
      <c r="L34" s="1311"/>
    </row>
    <row r="35" spans="1:12">
      <c r="A35" s="530" t="s">
        <v>252</v>
      </c>
      <c r="B35" s="530"/>
      <c r="C35" s="1088">
        <v>10.593</v>
      </c>
      <c r="D35" s="1087"/>
      <c r="E35" s="1088">
        <v>0.56399999999999995</v>
      </c>
      <c r="F35" s="1087"/>
      <c r="G35" s="1088">
        <v>1.1439999999999999</v>
      </c>
      <c r="H35" s="1087"/>
      <c r="I35" s="1088">
        <v>-7.1999999999999995E-2</v>
      </c>
      <c r="J35" s="529"/>
      <c r="K35" s="466">
        <f t="shared" ref="K35:K60" si="2">ROUND(SUM(C35)+SUM(E35)-SUM(G35)+SUM(I35),3)</f>
        <v>9.9410000000000007</v>
      </c>
      <c r="L35" s="1108"/>
    </row>
    <row r="36" spans="1:12">
      <c r="A36" s="530" t="s">
        <v>253</v>
      </c>
      <c r="B36" s="530"/>
      <c r="C36" s="1088">
        <v>1.2290000000000001</v>
      </c>
      <c r="D36" s="1087"/>
      <c r="E36" s="1088">
        <v>51.631</v>
      </c>
      <c r="F36" s="1087"/>
      <c r="G36" s="1088">
        <v>52.86</v>
      </c>
      <c r="H36" s="1087"/>
      <c r="I36" s="1088">
        <v>0</v>
      </c>
      <c r="J36" s="529"/>
      <c r="K36" s="466">
        <f t="shared" si="2"/>
        <v>0</v>
      </c>
      <c r="L36" s="1756"/>
    </row>
    <row r="37" spans="1:12">
      <c r="A37" s="530" t="s">
        <v>254</v>
      </c>
      <c r="B37" s="530"/>
      <c r="C37" s="1088">
        <v>9.7439999999999998</v>
      </c>
      <c r="D37" s="1087"/>
      <c r="E37" s="1088">
        <v>1.7999999999999999E-2</v>
      </c>
      <c r="F37" s="1087"/>
      <c r="G37" s="1088">
        <v>0</v>
      </c>
      <c r="H37" s="1087"/>
      <c r="I37" s="1088">
        <v>0</v>
      </c>
      <c r="J37" s="529"/>
      <c r="K37" s="466">
        <f t="shared" si="2"/>
        <v>9.7620000000000005</v>
      </c>
      <c r="L37" s="1756"/>
    </row>
    <row r="38" spans="1:12">
      <c r="A38" s="1256" t="s">
        <v>255</v>
      </c>
      <c r="B38" s="1714"/>
      <c r="C38" s="1088">
        <v>0</v>
      </c>
      <c r="D38" s="1087"/>
      <c r="E38" s="1088">
        <v>0</v>
      </c>
      <c r="F38" s="1087"/>
      <c r="G38" s="1088">
        <v>0</v>
      </c>
      <c r="H38" s="1087"/>
      <c r="I38" s="1088">
        <v>0</v>
      </c>
      <c r="J38" s="529"/>
      <c r="K38" s="466">
        <f t="shared" si="2"/>
        <v>0</v>
      </c>
      <c r="L38" s="1756"/>
    </row>
    <row r="39" spans="1:12">
      <c r="A39" s="531" t="s">
        <v>256</v>
      </c>
      <c r="B39" s="530"/>
      <c r="C39" s="1088">
        <v>257.62299999999999</v>
      </c>
      <c r="D39" s="1087"/>
      <c r="E39" s="1088">
        <v>569.178</v>
      </c>
      <c r="F39" s="1087"/>
      <c r="G39" s="1088">
        <v>637.91099999999994</v>
      </c>
      <c r="H39" s="1087"/>
      <c r="I39" s="1088">
        <v>-98.069000000000003</v>
      </c>
      <c r="J39" s="529"/>
      <c r="K39" s="466">
        <f t="shared" si="2"/>
        <v>90.820999999999998</v>
      </c>
      <c r="L39" s="1108"/>
    </row>
    <row r="40" spans="1:12">
      <c r="A40" s="530" t="s">
        <v>257</v>
      </c>
      <c r="B40" s="530"/>
      <c r="C40" s="1088">
        <v>55.723999999999997</v>
      </c>
      <c r="D40" s="1087"/>
      <c r="E40" s="1106">
        <v>46.301000000000002</v>
      </c>
      <c r="F40" s="1087"/>
      <c r="G40" s="1088">
        <v>33.813000000000002</v>
      </c>
      <c r="H40" s="1087"/>
      <c r="I40" s="1088">
        <v>19.026</v>
      </c>
      <c r="J40" s="529"/>
      <c r="K40" s="466">
        <f t="shared" si="2"/>
        <v>87.238</v>
      </c>
      <c r="L40" s="1756"/>
    </row>
    <row r="41" spans="1:12">
      <c r="A41" s="531" t="s">
        <v>258</v>
      </c>
      <c r="B41" s="530"/>
      <c r="C41" s="1088">
        <v>39.183999999999997</v>
      </c>
      <c r="D41" s="1087"/>
      <c r="E41" s="1088">
        <v>503.42700000000002</v>
      </c>
      <c r="F41" s="1087"/>
      <c r="G41" s="1088">
        <v>189.3</v>
      </c>
      <c r="H41" s="1087"/>
      <c r="I41" s="1088">
        <v>0</v>
      </c>
      <c r="J41" s="529"/>
      <c r="K41" s="466">
        <f t="shared" si="2"/>
        <v>353.31099999999998</v>
      </c>
      <c r="L41" s="1756"/>
    </row>
    <row r="42" spans="1:12">
      <c r="A42" s="531" t="s">
        <v>259</v>
      </c>
      <c r="B42" s="530"/>
      <c r="C42" s="1088">
        <v>7.9649999999999999</v>
      </c>
      <c r="D42" s="1087"/>
      <c r="E42" s="1088">
        <v>1.6080000000000001</v>
      </c>
      <c r="F42" s="1087"/>
      <c r="G42" s="1088">
        <v>-0.61599999999999999</v>
      </c>
      <c r="H42" s="1087"/>
      <c r="I42" s="1088">
        <v>0</v>
      </c>
      <c r="J42" s="529"/>
      <c r="K42" s="466">
        <f t="shared" si="2"/>
        <v>10.189</v>
      </c>
      <c r="L42" s="1756"/>
    </row>
    <row r="43" spans="1:12">
      <c r="A43" s="530" t="s">
        <v>260</v>
      </c>
      <c r="B43" s="530"/>
      <c r="C43" s="1088">
        <v>-0.59499999999999997</v>
      </c>
      <c r="D43" s="1087"/>
      <c r="E43" s="1088">
        <v>0.82699999999999996</v>
      </c>
      <c r="F43" s="1087"/>
      <c r="G43" s="1088">
        <v>7.2999999999999995E-2</v>
      </c>
      <c r="H43" s="1087"/>
      <c r="I43" s="1088">
        <v>0</v>
      </c>
      <c r="J43" s="529"/>
      <c r="K43" s="466">
        <f t="shared" si="2"/>
        <v>0.159</v>
      </c>
      <c r="L43" s="1756"/>
    </row>
    <row r="44" spans="1:12">
      <c r="A44" s="530" t="s">
        <v>1090</v>
      </c>
      <c r="B44" s="530"/>
      <c r="C44" s="1088">
        <v>21.611000000000001</v>
      </c>
      <c r="D44" s="1087"/>
      <c r="E44" s="1088">
        <v>14.077999999999999</v>
      </c>
      <c r="F44" s="1087"/>
      <c r="G44" s="1088">
        <v>10.965</v>
      </c>
      <c r="H44" s="1087"/>
      <c r="I44" s="1088">
        <v>-4.4400000000000004</v>
      </c>
      <c r="J44" s="529"/>
      <c r="K44" s="466">
        <f t="shared" si="2"/>
        <v>20.283999999999999</v>
      </c>
      <c r="L44" s="1108"/>
    </row>
    <row r="45" spans="1:12">
      <c r="A45" s="530" t="s">
        <v>261</v>
      </c>
      <c r="B45" s="530"/>
      <c r="C45" s="1088">
        <v>114.589</v>
      </c>
      <c r="D45" s="1087"/>
      <c r="E45" s="1088">
        <v>0.92500000000000004</v>
      </c>
      <c r="F45" s="1087"/>
      <c r="G45" s="1088">
        <v>3.7549999999999999</v>
      </c>
      <c r="H45" s="1087"/>
      <c r="I45" s="1088">
        <v>0</v>
      </c>
      <c r="J45" s="529"/>
      <c r="K45" s="466">
        <f t="shared" si="2"/>
        <v>111.759</v>
      </c>
      <c r="L45" s="1756"/>
    </row>
    <row r="46" spans="1:12">
      <c r="A46" s="530" t="s">
        <v>262</v>
      </c>
      <c r="B46" s="530"/>
      <c r="C46" s="1088">
        <v>12.893000000000001</v>
      </c>
      <c r="D46" s="1087"/>
      <c r="E46" s="1088">
        <v>4.6790000000000003</v>
      </c>
      <c r="F46" s="1087"/>
      <c r="G46" s="1088">
        <v>2.33</v>
      </c>
      <c r="H46" s="1087"/>
      <c r="I46" s="1088">
        <v>-3.819</v>
      </c>
      <c r="J46" s="529"/>
      <c r="K46" s="466">
        <f t="shared" si="2"/>
        <v>11.423</v>
      </c>
      <c r="L46" s="1756" t="s">
        <v>14</v>
      </c>
    </row>
    <row r="47" spans="1:12">
      <c r="A47" s="530" t="s">
        <v>263</v>
      </c>
      <c r="B47" s="530"/>
      <c r="C47" s="1088">
        <v>13.362</v>
      </c>
      <c r="D47" s="1087"/>
      <c r="E47" s="1088">
        <v>3.4000000000000002E-2</v>
      </c>
      <c r="F47" s="1087"/>
      <c r="G47" s="1088">
        <v>9.5429999999999993</v>
      </c>
      <c r="H47" s="1087"/>
      <c r="I47" s="1088">
        <v>0</v>
      </c>
      <c r="J47" s="529"/>
      <c r="K47" s="466">
        <f t="shared" si="2"/>
        <v>3.8530000000000002</v>
      </c>
      <c r="L47" s="1756"/>
    </row>
    <row r="48" spans="1:12">
      <c r="A48" s="530" t="s">
        <v>264</v>
      </c>
      <c r="B48" s="530"/>
      <c r="C48" s="1088">
        <v>11.932</v>
      </c>
      <c r="D48" s="1087"/>
      <c r="E48" s="1088">
        <v>0.92200000000000004</v>
      </c>
      <c r="F48" s="1087"/>
      <c r="G48" s="1088">
        <v>0.13500000000000001</v>
      </c>
      <c r="H48" s="1087"/>
      <c r="I48" s="1088">
        <v>0</v>
      </c>
      <c r="J48" s="529"/>
      <c r="K48" s="466">
        <f t="shared" si="2"/>
        <v>12.718999999999999</v>
      </c>
      <c r="L48" s="1756"/>
    </row>
    <row r="49" spans="1:12">
      <c r="A49" s="531" t="s">
        <v>265</v>
      </c>
      <c r="B49" s="530"/>
      <c r="C49" s="1088">
        <v>0.52600000000000002</v>
      </c>
      <c r="D49" s="1087"/>
      <c r="E49" s="1088">
        <v>3.0000000000000001E-3</v>
      </c>
      <c r="F49" s="1087"/>
      <c r="G49" s="1088">
        <v>0</v>
      </c>
      <c r="H49" s="1087"/>
      <c r="I49" s="1088">
        <v>0</v>
      </c>
      <c r="J49" s="529"/>
      <c r="K49" s="466">
        <f t="shared" si="2"/>
        <v>0.52900000000000003</v>
      </c>
      <c r="L49" s="1756"/>
    </row>
    <row r="50" spans="1:12">
      <c r="A50" s="530" t="s">
        <v>266</v>
      </c>
      <c r="B50" s="530"/>
      <c r="C50" s="1088">
        <v>478.32499999999999</v>
      </c>
      <c r="D50" s="1087"/>
      <c r="E50" s="1088">
        <v>554.52199999999993</v>
      </c>
      <c r="F50" s="1087"/>
      <c r="G50" s="1088">
        <v>12.16</v>
      </c>
      <c r="H50" s="1087"/>
      <c r="I50" s="1088">
        <v>2.149</v>
      </c>
      <c r="J50" s="529"/>
      <c r="K50" s="466">
        <f t="shared" si="2"/>
        <v>1022.836</v>
      </c>
      <c r="L50" s="1756"/>
    </row>
    <row r="51" spans="1:12">
      <c r="A51" s="530" t="s">
        <v>267</v>
      </c>
      <c r="B51" s="530"/>
      <c r="C51" s="1088">
        <v>-33.234000000000002</v>
      </c>
      <c r="D51" s="1087"/>
      <c r="E51" s="1088">
        <v>2.524</v>
      </c>
      <c r="F51" s="1087"/>
      <c r="G51" s="1088">
        <v>4.1660000000000004</v>
      </c>
      <c r="H51" s="1087"/>
      <c r="I51" s="1088">
        <v>0</v>
      </c>
      <c r="J51" s="529"/>
      <c r="K51" s="466">
        <f t="shared" si="2"/>
        <v>-34.875999999999998</v>
      </c>
      <c r="L51" s="1756"/>
    </row>
    <row r="52" spans="1:12">
      <c r="A52" s="530" t="s">
        <v>268</v>
      </c>
      <c r="B52" s="530"/>
      <c r="C52" s="1088">
        <v>7.2999999999999995E-2</v>
      </c>
      <c r="D52" s="1087"/>
      <c r="E52" s="1088">
        <v>0</v>
      </c>
      <c r="F52" s="1087"/>
      <c r="G52" s="1088">
        <v>0</v>
      </c>
      <c r="H52" s="1087"/>
      <c r="I52" s="1088">
        <v>0</v>
      </c>
      <c r="J52" s="529"/>
      <c r="K52" s="466">
        <f t="shared" si="2"/>
        <v>7.2999999999999995E-2</v>
      </c>
      <c r="L52" s="1756"/>
    </row>
    <row r="53" spans="1:12">
      <c r="A53" s="530" t="s">
        <v>888</v>
      </c>
      <c r="B53" s="530"/>
      <c r="C53" s="1088">
        <v>12.853999999999999</v>
      </c>
      <c r="D53" s="1087"/>
      <c r="E53" s="1088">
        <v>0.16500000000000001</v>
      </c>
      <c r="F53" s="1087"/>
      <c r="G53" s="1088">
        <v>9.5000000000000001E-2</v>
      </c>
      <c r="H53" s="1087"/>
      <c r="I53" s="1088">
        <v>0</v>
      </c>
      <c r="J53" s="529"/>
      <c r="K53" s="466">
        <f t="shared" si="2"/>
        <v>12.923999999999999</v>
      </c>
      <c r="L53" s="1756"/>
    </row>
    <row r="54" spans="1:12">
      <c r="A54" s="530" t="s">
        <v>269</v>
      </c>
      <c r="B54" s="530"/>
      <c r="C54" s="1088">
        <v>0</v>
      </c>
      <c r="D54" s="1087"/>
      <c r="E54" s="1088">
        <v>0</v>
      </c>
      <c r="F54" s="1087"/>
      <c r="G54" s="1088">
        <v>0</v>
      </c>
      <c r="H54" s="1087"/>
      <c r="I54" s="1088">
        <v>0</v>
      </c>
      <c r="J54" s="529"/>
      <c r="K54" s="466">
        <f t="shared" si="2"/>
        <v>0</v>
      </c>
      <c r="L54" s="1756"/>
    </row>
    <row r="55" spans="1:12">
      <c r="A55" s="531" t="s">
        <v>270</v>
      </c>
      <c r="B55" s="530"/>
      <c r="C55" s="1088">
        <v>0.47699999999999998</v>
      </c>
      <c r="D55" s="1087"/>
      <c r="E55" s="1088">
        <v>1E-3</v>
      </c>
      <c r="F55" s="1087"/>
      <c r="G55" s="1088">
        <v>1E-3</v>
      </c>
      <c r="H55" s="1087"/>
      <c r="I55" s="1088">
        <v>0</v>
      </c>
      <c r="J55" s="529"/>
      <c r="K55" s="466">
        <f t="shared" si="2"/>
        <v>0.47699999999999998</v>
      </c>
      <c r="L55" s="1108"/>
    </row>
    <row r="56" spans="1:12">
      <c r="A56" s="531" t="s">
        <v>271</v>
      </c>
      <c r="B56" s="530"/>
      <c r="C56" s="1088">
        <v>0</v>
      </c>
      <c r="D56" s="1087"/>
      <c r="E56" s="1088">
        <v>0</v>
      </c>
      <c r="F56" s="1087"/>
      <c r="G56" s="1088">
        <v>0</v>
      </c>
      <c r="H56" s="1087"/>
      <c r="I56" s="1088">
        <v>0</v>
      </c>
      <c r="J56" s="529"/>
      <c r="K56" s="466">
        <f t="shared" si="2"/>
        <v>0</v>
      </c>
      <c r="L56" s="1756"/>
    </row>
    <row r="57" spans="1:12">
      <c r="A57" s="531" t="s">
        <v>272</v>
      </c>
      <c r="B57" s="530"/>
      <c r="C57" s="1088">
        <v>0</v>
      </c>
      <c r="D57" s="1087"/>
      <c r="E57" s="1088">
        <v>0</v>
      </c>
      <c r="F57" s="1087"/>
      <c r="G57" s="1088">
        <v>0</v>
      </c>
      <c r="H57" s="1087"/>
      <c r="I57" s="1088">
        <v>0</v>
      </c>
      <c r="J57" s="529"/>
      <c r="K57" s="466">
        <f t="shared" si="2"/>
        <v>0</v>
      </c>
      <c r="L57" s="1756"/>
    </row>
    <row r="58" spans="1:12">
      <c r="A58" s="531" t="s">
        <v>1244</v>
      </c>
      <c r="B58" s="530"/>
      <c r="C58" s="1088">
        <v>0.63700000000000001</v>
      </c>
      <c r="D58" s="1087"/>
      <c r="E58" s="1088">
        <v>3.0000000000000001E-3</v>
      </c>
      <c r="F58" s="1087"/>
      <c r="G58" s="1088">
        <v>0</v>
      </c>
      <c r="H58" s="1087"/>
      <c r="I58" s="1088">
        <v>0</v>
      </c>
      <c r="J58" s="529"/>
      <c r="K58" s="466">
        <f t="shared" si="2"/>
        <v>0.64</v>
      </c>
      <c r="L58" s="1756"/>
    </row>
    <row r="59" spans="1:12">
      <c r="A59" s="531" t="s">
        <v>273</v>
      </c>
      <c r="B59" s="530"/>
      <c r="C59" s="1088">
        <v>2320.6210000000001</v>
      </c>
      <c r="D59" s="1087"/>
      <c r="E59" s="1088">
        <v>480.25700000000001</v>
      </c>
      <c r="F59" s="1087"/>
      <c r="G59" s="1088">
        <v>306.065</v>
      </c>
      <c r="H59" s="1087"/>
      <c r="I59" s="1088">
        <v>41.871000000000002</v>
      </c>
      <c r="J59" s="529"/>
      <c r="K59" s="466">
        <f t="shared" si="2"/>
        <v>2536.6840000000002</v>
      </c>
      <c r="L59" s="1756"/>
    </row>
    <row r="60" spans="1:12">
      <c r="A60" s="530" t="s">
        <v>274</v>
      </c>
      <c r="B60" s="530"/>
      <c r="C60" s="1088">
        <v>38.377000000000002</v>
      </c>
      <c r="D60" s="1087"/>
      <c r="E60" s="1088">
        <v>0.17199999999999999</v>
      </c>
      <c r="F60" s="1087"/>
      <c r="G60" s="1088">
        <v>26.745000000000001</v>
      </c>
      <c r="H60" s="1087"/>
      <c r="I60" s="1088">
        <v>0</v>
      </c>
      <c r="J60" s="529"/>
      <c r="K60" s="466">
        <f t="shared" si="2"/>
        <v>11.804</v>
      </c>
      <c r="L60" s="1756"/>
    </row>
    <row r="61" spans="1:12">
      <c r="A61" s="530"/>
      <c r="B61" s="530"/>
      <c r="C61" s="1088"/>
      <c r="D61" s="1087"/>
      <c r="E61" s="1088"/>
      <c r="F61" s="1087"/>
      <c r="G61" s="1088"/>
      <c r="H61" s="1087"/>
      <c r="I61" s="1088"/>
      <c r="J61" s="529"/>
      <c r="K61" s="466"/>
      <c r="L61" s="1108"/>
    </row>
    <row r="62" spans="1:12">
      <c r="A62" s="306" t="s">
        <v>827</v>
      </c>
      <c r="B62" s="530"/>
      <c r="C62" s="1088"/>
      <c r="D62" s="1087"/>
      <c r="E62" s="1088"/>
      <c r="F62" s="1087"/>
      <c r="G62" s="1088"/>
      <c r="H62" s="1087"/>
      <c r="I62" s="1088"/>
      <c r="J62" s="529"/>
      <c r="K62" s="466"/>
      <c r="L62" s="1108"/>
    </row>
    <row r="63" spans="1:12">
      <c r="A63" s="530" t="s">
        <v>275</v>
      </c>
      <c r="B63" s="529"/>
      <c r="C63" s="1088">
        <v>5.3999999999999999E-2</v>
      </c>
      <c r="D63" s="1087"/>
      <c r="E63" s="1088">
        <v>0</v>
      </c>
      <c r="F63" s="1087"/>
      <c r="G63" s="1088">
        <v>0</v>
      </c>
      <c r="H63" s="1087"/>
      <c r="I63" s="1088">
        <v>0</v>
      </c>
      <c r="J63" s="529"/>
      <c r="K63" s="466">
        <f>ROUND(SUM(C63)+SUM(E63)-SUM(G63)+SUM(I63),3)</f>
        <v>5.3999999999999999E-2</v>
      </c>
      <c r="L63" s="1108"/>
    </row>
    <row r="64" spans="1:12">
      <c r="A64" s="530" t="s">
        <v>276</v>
      </c>
      <c r="B64" s="530"/>
      <c r="C64" s="1088">
        <v>2124.931</v>
      </c>
      <c r="D64" s="1087"/>
      <c r="E64" s="1088">
        <v>342.07400000000001</v>
      </c>
      <c r="F64" s="1087"/>
      <c r="G64" s="1088">
        <v>655.67899999999997</v>
      </c>
      <c r="H64" s="1087"/>
      <c r="I64" s="1088">
        <v>47.695</v>
      </c>
      <c r="J64" s="529"/>
      <c r="K64" s="466">
        <f>ROUND(SUM(C64)+SUM(E64)-SUM(G64)+SUM(I64),3)</f>
        <v>1859.021</v>
      </c>
      <c r="L64" s="1756"/>
    </row>
    <row r="65" spans="1:12">
      <c r="A65" s="531" t="s">
        <v>277</v>
      </c>
      <c r="B65" s="530"/>
      <c r="C65" s="1088">
        <v>3.2759999999999998</v>
      </c>
      <c r="D65" s="1087"/>
      <c r="E65" s="1088">
        <v>0.16500000000000001</v>
      </c>
      <c r="F65" s="1087"/>
      <c r="G65" s="1088">
        <v>0.56899999999999995</v>
      </c>
      <c r="H65" s="1087"/>
      <c r="I65" s="1088">
        <v>0</v>
      </c>
      <c r="J65" s="529"/>
      <c r="K65" s="466">
        <f>ROUND(SUM(C65)+SUM(E65)-SUM(G65)+SUM(I65),3)</f>
        <v>2.8719999999999999</v>
      </c>
      <c r="L65" s="1756"/>
    </row>
    <row r="66" spans="1:12">
      <c r="A66" s="530" t="s">
        <v>278</v>
      </c>
      <c r="B66" s="530"/>
      <c r="C66" s="1088">
        <v>0.59699999999999998</v>
      </c>
      <c r="D66" s="1087"/>
      <c r="E66" s="1088">
        <v>2E-3</v>
      </c>
      <c r="F66" s="1087"/>
      <c r="G66" s="1088">
        <v>0.128</v>
      </c>
      <c r="H66" s="1087"/>
      <c r="I66" s="1088">
        <v>0</v>
      </c>
      <c r="J66" s="529"/>
      <c r="K66" s="466">
        <f>ROUND(SUM(C66)+SUM(E66)-SUM(G66)+SUM(I66),3)</f>
        <v>0.47099999999999997</v>
      </c>
      <c r="L66" s="1756"/>
    </row>
    <row r="67" spans="1:12">
      <c r="A67" s="530" t="s">
        <v>279</v>
      </c>
      <c r="B67" s="530"/>
      <c r="C67" s="1871"/>
      <c r="D67"/>
      <c r="E67" s="1106"/>
      <c r="F67" s="1107"/>
      <c r="G67" s="1106"/>
      <c r="H67" s="1107"/>
      <c r="I67" s="1108"/>
      <c r="J67" s="530"/>
      <c r="K67" s="466" t="s">
        <v>14</v>
      </c>
      <c r="L67" s="1756"/>
    </row>
    <row r="68" spans="1:12">
      <c r="A68" s="530" t="s">
        <v>280</v>
      </c>
      <c r="B68" s="530"/>
      <c r="C68" s="1088">
        <v>24.864999999999998</v>
      </c>
      <c r="D68" s="1087"/>
      <c r="E68" s="1088">
        <v>16.719000000000001</v>
      </c>
      <c r="F68" s="1087"/>
      <c r="G68" s="1088">
        <v>0.59199999999999997</v>
      </c>
      <c r="H68" s="1087"/>
      <c r="I68" s="1088">
        <v>-9.9760000000000009</v>
      </c>
      <c r="J68" s="529"/>
      <c r="K68" s="466">
        <f t="shared" ref="K68:K73" si="3">ROUND(SUM(C68)+SUM(E68)-SUM(G68)+SUM(I68),3)</f>
        <v>31.015999999999998</v>
      </c>
      <c r="L68" s="1756"/>
    </row>
    <row r="69" spans="1:12">
      <c r="A69" s="530" t="s">
        <v>281</v>
      </c>
      <c r="B69" s="308"/>
      <c r="C69" s="1088">
        <v>0.45300000000000001</v>
      </c>
      <c r="D69" s="1087"/>
      <c r="E69" s="1088">
        <v>2E-3</v>
      </c>
      <c r="F69" s="1087"/>
      <c r="G69" s="1088">
        <v>0.02</v>
      </c>
      <c r="H69" s="1087"/>
      <c r="I69" s="1088">
        <v>0</v>
      </c>
      <c r="J69" s="529"/>
      <c r="K69" s="466">
        <f t="shared" si="3"/>
        <v>0.435</v>
      </c>
      <c r="L69" s="1756"/>
    </row>
    <row r="70" spans="1:12">
      <c r="A70" s="530" t="s">
        <v>282</v>
      </c>
      <c r="B70" s="530"/>
      <c r="C70" s="1088">
        <v>2.5000000000000001E-2</v>
      </c>
      <c r="D70" s="1087"/>
      <c r="E70" s="1088">
        <v>0</v>
      </c>
      <c r="F70" s="1087"/>
      <c r="G70" s="1088">
        <v>0</v>
      </c>
      <c r="H70" s="1087"/>
      <c r="I70" s="1088">
        <v>0</v>
      </c>
      <c r="J70" s="529"/>
      <c r="K70" s="466">
        <f t="shared" si="3"/>
        <v>2.5000000000000001E-2</v>
      </c>
      <c r="L70" s="1756"/>
    </row>
    <row r="71" spans="1:12">
      <c r="A71" s="531" t="s">
        <v>283</v>
      </c>
      <c r="B71" s="530"/>
      <c r="C71" s="1088">
        <v>8.4600000000000009</v>
      </c>
      <c r="D71" s="1087"/>
      <c r="E71" s="1088">
        <v>2.9000000000000001E-2</v>
      </c>
      <c r="F71" s="1087"/>
      <c r="G71" s="1088">
        <v>0.495</v>
      </c>
      <c r="H71" s="1087"/>
      <c r="I71" s="1088">
        <v>0</v>
      </c>
      <c r="J71" s="529"/>
      <c r="K71" s="466">
        <f t="shared" si="3"/>
        <v>7.9939999999999998</v>
      </c>
      <c r="L71" s="1756"/>
    </row>
    <row r="72" spans="1:12">
      <c r="A72" s="530" t="s">
        <v>284</v>
      </c>
      <c r="B72" s="530"/>
      <c r="C72" s="1088">
        <v>-21.707000000000001</v>
      </c>
      <c r="D72" s="1087"/>
      <c r="E72" s="1088">
        <v>6.6000000000000003E-2</v>
      </c>
      <c r="F72" s="1087"/>
      <c r="G72" s="1088">
        <v>0.57699999999999996</v>
      </c>
      <c r="H72" s="1087"/>
      <c r="I72" s="1088">
        <v>0</v>
      </c>
      <c r="J72" s="529"/>
      <c r="K72" s="466">
        <f t="shared" si="3"/>
        <v>-22.218</v>
      </c>
      <c r="L72" s="1756"/>
    </row>
    <row r="73" spans="1:12">
      <c r="A73" s="530" t="s">
        <v>285</v>
      </c>
      <c r="B73" s="530"/>
      <c r="C73" s="1088">
        <v>6.5000000000000002E-2</v>
      </c>
      <c r="D73" s="1087"/>
      <c r="E73" s="1088">
        <v>8.0000000000000002E-3</v>
      </c>
      <c r="F73" s="1087"/>
      <c r="G73" s="1088">
        <v>0</v>
      </c>
      <c r="H73" s="1087"/>
      <c r="I73" s="1088">
        <v>0</v>
      </c>
      <c r="J73" s="529"/>
      <c r="K73" s="466">
        <f t="shared" si="3"/>
        <v>7.2999999999999995E-2</v>
      </c>
      <c r="L73" s="1108"/>
    </row>
    <row r="74" spans="1:12">
      <c r="A74" s="530" t="s">
        <v>286</v>
      </c>
      <c r="B74" s="530"/>
      <c r="C74" s="1871"/>
      <c r="D74"/>
      <c r="E74" s="1106"/>
      <c r="F74" s="1107"/>
      <c r="G74" s="1106"/>
      <c r="H74" s="1107"/>
      <c r="I74" s="1106"/>
      <c r="J74" s="530"/>
      <c r="K74" s="466"/>
      <c r="L74" s="1106"/>
    </row>
    <row r="75" spans="1:12">
      <c r="A75" s="530" t="s">
        <v>287</v>
      </c>
      <c r="B75" s="530"/>
      <c r="C75" s="1088">
        <v>1E-3</v>
      </c>
      <c r="D75" s="1087"/>
      <c r="E75" s="1088">
        <v>0</v>
      </c>
      <c r="F75" s="1087"/>
      <c r="G75" s="1088">
        <v>0</v>
      </c>
      <c r="H75" s="1087"/>
      <c r="I75" s="1088">
        <v>0</v>
      </c>
      <c r="J75" s="529"/>
      <c r="K75" s="466">
        <f t="shared" ref="K75:K90" si="4">ROUND(SUM(C75)+SUM(E75)-SUM(G75)+SUM(I75),3)</f>
        <v>1E-3</v>
      </c>
      <c r="L75" s="1756"/>
    </row>
    <row r="76" spans="1:12">
      <c r="A76" s="530" t="s">
        <v>288</v>
      </c>
      <c r="B76" s="530"/>
      <c r="C76" s="1088">
        <v>-23.693999999999999</v>
      </c>
      <c r="D76" s="1087"/>
      <c r="E76" s="1088">
        <v>0</v>
      </c>
      <c r="F76" s="1087"/>
      <c r="G76" s="1106">
        <v>6.077</v>
      </c>
      <c r="H76" s="1087"/>
      <c r="I76" s="1088">
        <v>0</v>
      </c>
      <c r="J76" s="529"/>
      <c r="K76" s="466">
        <f t="shared" si="4"/>
        <v>-29.771000000000001</v>
      </c>
      <c r="L76" s="1756"/>
    </row>
    <row r="77" spans="1:12">
      <c r="A77" s="530" t="s">
        <v>289</v>
      </c>
      <c r="B77" s="530"/>
      <c r="C77" s="1088">
        <v>90.33</v>
      </c>
      <c r="D77" s="1087"/>
      <c r="E77" s="1088">
        <v>7.9279999999999999</v>
      </c>
      <c r="F77" s="1087"/>
      <c r="G77" s="1088">
        <v>25.920999999999999</v>
      </c>
      <c r="H77" s="1087"/>
      <c r="I77" s="1088">
        <v>0</v>
      </c>
      <c r="J77" s="529"/>
      <c r="K77" s="466">
        <f t="shared" si="4"/>
        <v>72.337000000000003</v>
      </c>
      <c r="L77" s="1108"/>
    </row>
    <row r="78" spans="1:12">
      <c r="A78" s="530" t="s">
        <v>290</v>
      </c>
      <c r="B78" s="530"/>
      <c r="C78" s="1088">
        <v>0.28799999999999998</v>
      </c>
      <c r="D78" s="1087"/>
      <c r="E78" s="1088">
        <v>4.0000000000000001E-3</v>
      </c>
      <c r="F78" s="1087"/>
      <c r="G78" s="1088">
        <v>0</v>
      </c>
      <c r="H78" s="1087"/>
      <c r="I78" s="1088">
        <v>0</v>
      </c>
      <c r="J78" s="529"/>
      <c r="K78" s="466">
        <f t="shared" si="4"/>
        <v>0.29199999999999998</v>
      </c>
      <c r="L78" s="1108"/>
    </row>
    <row r="79" spans="1:12">
      <c r="A79" s="531" t="s">
        <v>291</v>
      </c>
      <c r="B79" s="530"/>
      <c r="C79" s="1088">
        <v>890.21900000000005</v>
      </c>
      <c r="D79" s="1087"/>
      <c r="E79" s="1088">
        <v>36.441000000000003</v>
      </c>
      <c r="F79" s="1087"/>
      <c r="G79" s="1088">
        <v>51.442</v>
      </c>
      <c r="H79" s="1087"/>
      <c r="I79" s="1088">
        <v>0</v>
      </c>
      <c r="J79" s="529"/>
      <c r="K79" s="466">
        <f t="shared" si="4"/>
        <v>875.21799999999996</v>
      </c>
      <c r="L79" s="1756"/>
    </row>
    <row r="80" spans="1:12">
      <c r="A80" s="530" t="s">
        <v>292</v>
      </c>
      <c r="B80" s="530"/>
      <c r="C80" s="1088">
        <v>21.524999999999999</v>
      </c>
      <c r="D80" s="1087"/>
      <c r="E80" s="1088">
        <v>0.98099999999999998</v>
      </c>
      <c r="F80" s="1087"/>
      <c r="G80" s="1088">
        <v>-1.4E-2</v>
      </c>
      <c r="H80" s="1087"/>
      <c r="I80" s="1088">
        <v>-0.36399999999999999</v>
      </c>
      <c r="J80" s="529"/>
      <c r="K80" s="466">
        <f t="shared" si="4"/>
        <v>22.155999999999999</v>
      </c>
      <c r="L80" s="1108"/>
    </row>
    <row r="81" spans="1:12">
      <c r="A81" s="531" t="s">
        <v>293</v>
      </c>
      <c r="B81" s="530"/>
      <c r="C81" s="1088">
        <v>118</v>
      </c>
      <c r="D81" s="1087"/>
      <c r="E81" s="1088">
        <v>0.4</v>
      </c>
      <c r="F81" s="1087"/>
      <c r="G81" s="1088">
        <v>12.750999999999999</v>
      </c>
      <c r="H81" s="1087"/>
      <c r="I81" s="1088">
        <v>12.750999999999999</v>
      </c>
      <c r="J81" s="529"/>
      <c r="K81" s="466">
        <f t="shared" si="4"/>
        <v>118.4</v>
      </c>
      <c r="L81" s="1756"/>
    </row>
    <row r="82" spans="1:12">
      <c r="A82" s="531" t="s">
        <v>1089</v>
      </c>
      <c r="B82" s="530"/>
      <c r="C82" s="1088">
        <v>140.65199999999999</v>
      </c>
      <c r="D82" s="1087"/>
      <c r="E82" s="1088">
        <v>17.413</v>
      </c>
      <c r="F82" s="1087"/>
      <c r="G82" s="1088">
        <v>142.40100000000001</v>
      </c>
      <c r="H82" s="1087"/>
      <c r="I82" s="1088">
        <v>0</v>
      </c>
      <c r="J82" s="529"/>
      <c r="K82" s="466">
        <f t="shared" si="4"/>
        <v>15.664</v>
      </c>
      <c r="L82" s="1756"/>
    </row>
    <row r="83" spans="1:12">
      <c r="A83" s="531" t="s">
        <v>1443</v>
      </c>
      <c r="B83" s="530"/>
      <c r="C83" s="1088">
        <v>13.961</v>
      </c>
      <c r="D83" s="1087"/>
      <c r="E83" s="1088">
        <v>0.69099999999999995</v>
      </c>
      <c r="F83" s="1087"/>
      <c r="G83" s="1088">
        <v>1.224</v>
      </c>
      <c r="H83" s="1087"/>
      <c r="I83" s="1088">
        <v>-6.6000000000000003E-2</v>
      </c>
      <c r="J83" s="529"/>
      <c r="K83" s="466">
        <f t="shared" si="4"/>
        <v>13.362</v>
      </c>
      <c r="L83" s="1108"/>
    </row>
    <row r="84" spans="1:12">
      <c r="A84" s="531" t="s">
        <v>1145</v>
      </c>
      <c r="B84" s="530"/>
      <c r="C84" s="1088">
        <v>257.64699999999999</v>
      </c>
      <c r="D84" s="1087"/>
      <c r="E84" s="1088">
        <v>1.3160000000000001</v>
      </c>
      <c r="F84" s="1087"/>
      <c r="G84" s="1088">
        <v>49.655000000000001</v>
      </c>
      <c r="H84" s="1087"/>
      <c r="I84" s="1088">
        <v>-1.7000000000000001E-2</v>
      </c>
      <c r="J84" s="529"/>
      <c r="K84" s="466">
        <f t="shared" si="4"/>
        <v>209.291</v>
      </c>
      <c r="L84" s="1756"/>
    </row>
    <row r="85" spans="1:12">
      <c r="A85" s="531" t="s">
        <v>1438</v>
      </c>
      <c r="B85" s="530"/>
      <c r="C85" s="1088">
        <v>5.2830000000000004</v>
      </c>
      <c r="D85" s="1087"/>
      <c r="E85" s="1088">
        <v>1.381</v>
      </c>
      <c r="F85" s="1087"/>
      <c r="G85" s="1088">
        <v>7.1109999999999998</v>
      </c>
      <c r="H85" s="1087"/>
      <c r="I85" s="1088">
        <v>0</v>
      </c>
      <c r="J85" s="529"/>
      <c r="K85" s="466">
        <f>ROUND(SUM(C85)+SUM(E85)-SUM(G85)+SUM(I85),3)</f>
        <v>-0.44700000000000001</v>
      </c>
      <c r="L85" s="1756"/>
    </row>
    <row r="86" spans="1:12">
      <c r="A86" s="531" t="s">
        <v>1196</v>
      </c>
      <c r="B86" s="530"/>
      <c r="C86" s="1088">
        <v>224.14500000000001</v>
      </c>
      <c r="D86" s="1087"/>
      <c r="E86" s="1088">
        <v>0.77100000000000002</v>
      </c>
      <c r="F86" s="1087"/>
      <c r="G86" s="1088">
        <v>0</v>
      </c>
      <c r="H86" s="1087"/>
      <c r="I86" s="1088">
        <v>338</v>
      </c>
      <c r="J86" s="529"/>
      <c r="K86" s="466">
        <f t="shared" si="4"/>
        <v>562.91600000000005</v>
      </c>
      <c r="L86" s="1756"/>
    </row>
    <row r="87" spans="1:12">
      <c r="A87" s="531" t="s">
        <v>1234</v>
      </c>
      <c r="B87" s="530"/>
      <c r="C87" s="1088">
        <v>8.5000000000000006E-2</v>
      </c>
      <c r="D87" s="1087"/>
      <c r="E87" s="1088">
        <v>3.0000000000000001E-3</v>
      </c>
      <c r="F87" s="1087"/>
      <c r="G87" s="1088">
        <v>0</v>
      </c>
      <c r="H87" s="1087"/>
      <c r="I87" s="1088">
        <v>0</v>
      </c>
      <c r="J87" s="529"/>
      <c r="K87" s="466">
        <f t="shared" si="4"/>
        <v>8.7999999999999995E-2</v>
      </c>
      <c r="L87" s="1756"/>
    </row>
    <row r="88" spans="1:12">
      <c r="A88" s="531" t="s">
        <v>1444</v>
      </c>
      <c r="B88" s="530"/>
      <c r="C88" s="1088">
        <v>27.276</v>
      </c>
      <c r="D88" s="1087"/>
      <c r="E88" s="1088">
        <v>0.41399999999999998</v>
      </c>
      <c r="F88" s="1087"/>
      <c r="G88" s="1088">
        <v>2.1000000000000001E-2</v>
      </c>
      <c r="H88" s="1087"/>
      <c r="I88" s="1088">
        <v>0</v>
      </c>
      <c r="J88" s="529"/>
      <c r="K88" s="466">
        <f>ROUND(SUM(C88)+SUM(E88)-SUM(G88)+SUM(I88),3)</f>
        <v>27.669</v>
      </c>
      <c r="L88" s="1756"/>
    </row>
    <row r="89" spans="1:12">
      <c r="A89" s="531" t="s">
        <v>1445</v>
      </c>
      <c r="B89" s="530"/>
      <c r="C89" s="1088">
        <v>294.75900000000001</v>
      </c>
      <c r="D89" s="1087"/>
      <c r="E89" s="1088">
        <v>79.289000000000001</v>
      </c>
      <c r="F89" s="1087"/>
      <c r="G89" s="1088">
        <v>0</v>
      </c>
      <c r="H89" s="1087"/>
      <c r="I89" s="1088">
        <v>0</v>
      </c>
      <c r="J89" s="529"/>
      <c r="K89" s="466">
        <f>ROUND(SUM(C89)+SUM(E89)-SUM(G89)+SUM(I89),3)</f>
        <v>374.048</v>
      </c>
      <c r="L89" s="1756"/>
    </row>
    <row r="90" spans="1:12">
      <c r="A90" s="1107" t="s">
        <v>798</v>
      </c>
      <c r="B90" s="530"/>
      <c r="C90" s="1088">
        <v>402.58</v>
      </c>
      <c r="D90" s="1087"/>
      <c r="E90" s="1088">
        <v>95.126000000000005</v>
      </c>
      <c r="F90" s="1087"/>
      <c r="G90" s="1088">
        <v>0</v>
      </c>
      <c r="H90" s="1087"/>
      <c r="I90" s="1088">
        <v>-72.055999999999997</v>
      </c>
      <c r="J90" s="529"/>
      <c r="K90" s="466">
        <f t="shared" si="4"/>
        <v>425.65</v>
      </c>
      <c r="L90" s="1756"/>
    </row>
    <row r="91" spans="1:12">
      <c r="A91" s="305" t="s">
        <v>294</v>
      </c>
      <c r="B91" s="530"/>
      <c r="C91" s="310">
        <f>ROUND(SUM(C28:C90),3)</f>
        <v>8236.3410000000003</v>
      </c>
      <c r="D91" s="309"/>
      <c r="E91" s="310">
        <f>ROUND(SUM(E28:E90),3)</f>
        <v>2851.0390000000002</v>
      </c>
      <c r="F91" s="309"/>
      <c r="G91" s="310">
        <f>ROUND(SUM(G28:G90),3)</f>
        <v>2247.482</v>
      </c>
      <c r="H91" s="309"/>
      <c r="I91" s="310">
        <f>ROUND(SUM(I28:I90),3)</f>
        <v>273.89100000000002</v>
      </c>
      <c r="J91" s="309"/>
      <c r="K91" s="310">
        <f>ROUND(SUM(K28:K90),3)</f>
        <v>9113.7890000000007</v>
      </c>
      <c r="L91" s="1312"/>
    </row>
    <row r="92" spans="1:12" ht="11.25" customHeight="1">
      <c r="A92" s="530"/>
      <c r="B92" s="530"/>
      <c r="C92" s="530"/>
      <c r="D92" s="530"/>
      <c r="E92" s="530"/>
      <c r="F92" s="530"/>
      <c r="G92" s="530"/>
      <c r="H92" s="530"/>
      <c r="I92" s="530"/>
      <c r="J92" s="530"/>
      <c r="K92" s="530"/>
      <c r="L92" s="530"/>
    </row>
    <row r="93" spans="1:12">
      <c r="A93" s="306" t="s">
        <v>295</v>
      </c>
      <c r="B93" s="530"/>
      <c r="C93" s="530"/>
      <c r="D93" s="530"/>
      <c r="E93" s="530"/>
      <c r="F93" s="530"/>
      <c r="G93" s="530"/>
      <c r="H93" s="530"/>
      <c r="I93" s="530"/>
      <c r="J93" s="530"/>
      <c r="K93" s="530"/>
      <c r="L93" s="530"/>
    </row>
    <row r="94" spans="1:12">
      <c r="A94" s="530" t="s">
        <v>857</v>
      </c>
      <c r="B94" s="530"/>
      <c r="C94" s="1088">
        <v>-52.329000000000001</v>
      </c>
      <c r="D94" s="1087"/>
      <c r="E94" s="1088">
        <v>423.88099999999997</v>
      </c>
      <c r="F94" s="1087"/>
      <c r="G94" s="1088">
        <v>398.60500000000002</v>
      </c>
      <c r="H94" s="1087"/>
      <c r="I94" s="1088">
        <v>-13.112</v>
      </c>
      <c r="J94" s="529"/>
      <c r="K94" s="466">
        <f t="shared" ref="K94:K100" si="5">ROUND(SUM(C94)+SUM(E94)-SUM(G94)+SUM(I94),3)</f>
        <v>-40.164999999999999</v>
      </c>
      <c r="L94" s="466"/>
    </row>
    <row r="95" spans="1:12">
      <c r="A95" s="530" t="s">
        <v>296</v>
      </c>
      <c r="B95" s="530"/>
      <c r="C95" s="1088">
        <v>8946.3729999999996</v>
      </c>
      <c r="D95" s="1087"/>
      <c r="E95" s="1088">
        <v>8671.0460000000003</v>
      </c>
      <c r="F95" s="1087"/>
      <c r="G95" s="1088">
        <v>8798.3829999999998</v>
      </c>
      <c r="H95" s="1087"/>
      <c r="I95" s="1088">
        <v>-223.501</v>
      </c>
      <c r="J95" s="529"/>
      <c r="K95" s="466">
        <f t="shared" si="5"/>
        <v>8595.5349999999999</v>
      </c>
      <c r="L95" s="466"/>
    </row>
    <row r="96" spans="1:12">
      <c r="A96" s="530" t="s">
        <v>297</v>
      </c>
      <c r="B96" s="307"/>
      <c r="C96" s="1088">
        <v>-79.637</v>
      </c>
      <c r="D96" s="1087"/>
      <c r="E96" s="1088">
        <v>584.30600000000004</v>
      </c>
      <c r="F96" s="1087"/>
      <c r="G96" s="1088">
        <v>549.45600000000002</v>
      </c>
      <c r="H96" s="1087"/>
      <c r="I96" s="1088">
        <v>-3.2320000000000002</v>
      </c>
      <c r="J96" s="529"/>
      <c r="K96" s="466">
        <f t="shared" si="5"/>
        <v>-48.018999999999998</v>
      </c>
      <c r="L96" s="466"/>
    </row>
    <row r="97" spans="1:12">
      <c r="A97" s="530" t="s">
        <v>1437</v>
      </c>
      <c r="B97" s="530"/>
      <c r="C97" s="1088">
        <v>8370.7060000000001</v>
      </c>
      <c r="D97" s="1087"/>
      <c r="E97" s="1088">
        <v>-1315.3330000000001</v>
      </c>
      <c r="F97" s="1087"/>
      <c r="G97" s="1088">
        <v>846.82899999999995</v>
      </c>
      <c r="H97" s="1087"/>
      <c r="I97" s="1088">
        <v>-16.318000000000001</v>
      </c>
      <c r="J97" s="529"/>
      <c r="K97" s="466">
        <f t="shared" si="5"/>
        <v>6192.2259999999997</v>
      </c>
      <c r="L97" s="466"/>
    </row>
    <row r="98" spans="1:12">
      <c r="A98" s="530" t="s">
        <v>298</v>
      </c>
      <c r="B98" s="530"/>
      <c r="C98" s="1088">
        <v>142.072</v>
      </c>
      <c r="D98" s="1087"/>
      <c r="E98" s="1088">
        <v>32.56</v>
      </c>
      <c r="F98" s="1087"/>
      <c r="G98" s="1088">
        <v>45.37</v>
      </c>
      <c r="H98" s="1087"/>
      <c r="I98" s="1088">
        <v>0</v>
      </c>
      <c r="J98" s="529"/>
      <c r="K98" s="466">
        <f t="shared" si="5"/>
        <v>129.262</v>
      </c>
      <c r="L98" s="466"/>
    </row>
    <row r="99" spans="1:12">
      <c r="A99" s="530" t="s">
        <v>1436</v>
      </c>
      <c r="B99" s="530"/>
      <c r="C99" s="1088">
        <v>-0.439</v>
      </c>
      <c r="D99" s="1087"/>
      <c r="E99" s="1088">
        <v>0.221</v>
      </c>
      <c r="F99" s="1087"/>
      <c r="G99" s="1088">
        <v>0.29299999999999998</v>
      </c>
      <c r="H99" s="1087"/>
      <c r="I99" s="1088">
        <v>0</v>
      </c>
      <c r="J99" s="529"/>
      <c r="K99" s="466">
        <f t="shared" si="5"/>
        <v>-0.51100000000000001</v>
      </c>
      <c r="L99" s="466"/>
    </row>
    <row r="100" spans="1:12">
      <c r="A100" s="531" t="s">
        <v>299</v>
      </c>
      <c r="B100" s="530"/>
      <c r="C100" s="1088">
        <v>-7.4379999999999997</v>
      </c>
      <c r="D100" s="1087"/>
      <c r="E100" s="1088">
        <v>22.678999999999998</v>
      </c>
      <c r="F100" s="1087"/>
      <c r="G100" s="1088">
        <v>17.166</v>
      </c>
      <c r="H100" s="1087"/>
      <c r="I100" s="1088">
        <v>0</v>
      </c>
      <c r="J100" s="529"/>
      <c r="K100" s="466">
        <f t="shared" si="5"/>
        <v>-1.925</v>
      </c>
      <c r="L100" s="466"/>
    </row>
    <row r="101" spans="1:12">
      <c r="A101" s="305" t="s">
        <v>300</v>
      </c>
      <c r="B101" s="530"/>
      <c r="C101" s="310">
        <f>ROUND(SUM(C94:C100),3)</f>
        <v>17319.308000000001</v>
      </c>
      <c r="D101" s="309"/>
      <c r="E101" s="310">
        <f>ROUND(SUM(E94:E100),3)</f>
        <v>8419.36</v>
      </c>
      <c r="F101" s="309"/>
      <c r="G101" s="310">
        <f>ROUND(SUM(G94:G100),3)</f>
        <v>10656.102000000001</v>
      </c>
      <c r="H101" s="309"/>
      <c r="I101" s="310">
        <f>ROUND(SUM(I94:I100),3)</f>
        <v>-256.16300000000001</v>
      </c>
      <c r="J101" s="309"/>
      <c r="K101" s="310">
        <f>ROUND(SUM(K94:K100),3)</f>
        <v>14826.403</v>
      </c>
      <c r="L101" s="309"/>
    </row>
    <row r="102" spans="1:12" ht="12" customHeight="1">
      <c r="A102" s="309"/>
      <c r="B102" s="530"/>
      <c r="C102" s="530"/>
      <c r="D102" s="530"/>
      <c r="E102" s="530"/>
      <c r="F102" s="530"/>
      <c r="G102" s="530"/>
      <c r="H102" s="530"/>
      <c r="I102" s="530"/>
      <c r="J102" s="530"/>
      <c r="K102" s="530"/>
      <c r="L102" s="530"/>
    </row>
    <row r="103" spans="1:12">
      <c r="A103" s="1716" t="s">
        <v>301</v>
      </c>
      <c r="B103" s="530"/>
      <c r="C103" s="1348">
        <f>C101+C91</f>
        <v>25555.649000000001</v>
      </c>
      <c r="D103" s="309"/>
      <c r="E103" s="1348">
        <f>E91+E101</f>
        <v>11270.399000000001</v>
      </c>
      <c r="F103" s="309"/>
      <c r="G103" s="1348">
        <f>G91+G101</f>
        <v>12903.584000000001</v>
      </c>
      <c r="H103" s="309"/>
      <c r="I103" s="1348">
        <f>I91+I101</f>
        <v>17.728000000000009</v>
      </c>
      <c r="J103" s="309"/>
      <c r="K103" s="1348">
        <f>K91+K101</f>
        <v>23940.192000000003</v>
      </c>
      <c r="L103" s="309"/>
    </row>
    <row r="104" spans="1:12" ht="10.5" customHeight="1">
      <c r="A104" s="1717"/>
      <c r="B104" s="530"/>
      <c r="C104" s="530"/>
      <c r="D104" s="530"/>
      <c r="E104" s="530"/>
      <c r="F104" s="530"/>
      <c r="G104" s="530"/>
      <c r="H104" s="530"/>
      <c r="I104" s="530"/>
      <c r="J104" s="530"/>
      <c r="K104" s="530"/>
      <c r="L104" s="530"/>
    </row>
    <row r="105" spans="1:12" ht="16">
      <c r="A105" s="306" t="s">
        <v>181</v>
      </c>
      <c r="B105" s="530"/>
      <c r="C105" s="530"/>
      <c r="D105" s="530"/>
      <c r="E105" s="494"/>
      <c r="F105" s="494"/>
      <c r="G105" s="494"/>
      <c r="H105" s="494"/>
      <c r="I105" s="494"/>
      <c r="J105" s="307"/>
      <c r="K105" s="494"/>
      <c r="L105" s="530"/>
    </row>
    <row r="106" spans="1:12">
      <c r="A106" s="530" t="s">
        <v>302</v>
      </c>
      <c r="B106" s="530"/>
      <c r="C106" s="1088">
        <v>0</v>
      </c>
      <c r="D106" s="1087"/>
      <c r="E106" s="1088">
        <v>0</v>
      </c>
      <c r="F106" s="1087"/>
      <c r="G106" s="1088">
        <v>0</v>
      </c>
      <c r="H106" s="1087"/>
      <c r="I106" s="1088">
        <v>0</v>
      </c>
      <c r="J106" s="529"/>
      <c r="K106" s="466">
        <f t="shared" ref="K106:K112" si="6">ROUND(SUM(C106)+SUM(E106)-SUM(G106)+SUM(I106),3)</f>
        <v>0</v>
      </c>
      <c r="L106" s="1313"/>
    </row>
    <row r="107" spans="1:12">
      <c r="A107" s="530" t="s">
        <v>303</v>
      </c>
      <c r="B107" s="530"/>
      <c r="C107" s="1088">
        <v>13.227</v>
      </c>
      <c r="D107" s="1087"/>
      <c r="E107" s="1088">
        <v>13.430999999999999</v>
      </c>
      <c r="F107" s="1087"/>
      <c r="G107" s="1088">
        <v>0</v>
      </c>
      <c r="H107" s="1087"/>
      <c r="I107" s="1088">
        <v>93.516999999999996</v>
      </c>
      <c r="J107" s="529"/>
      <c r="K107" s="466">
        <f>ROUND(SUM(C107)+SUM(E107)-SUM(G107)+SUM(I107),3)</f>
        <v>120.175</v>
      </c>
      <c r="L107" s="466"/>
    </row>
    <row r="108" spans="1:12">
      <c r="A108" s="530" t="s">
        <v>304</v>
      </c>
      <c r="B108" s="530"/>
      <c r="C108" s="1088">
        <v>5283.3280000000004</v>
      </c>
      <c r="D108" s="1087"/>
      <c r="E108" s="1088">
        <v>5197.8249999999998</v>
      </c>
      <c r="F108" s="1087"/>
      <c r="G108" s="1088">
        <v>8581.1659999999993</v>
      </c>
      <c r="H108" s="1087"/>
      <c r="I108" s="1088">
        <v>-1899.9870000000001</v>
      </c>
      <c r="J108" s="529"/>
      <c r="K108" s="466">
        <f t="shared" si="6"/>
        <v>0</v>
      </c>
      <c r="L108" s="466"/>
    </row>
    <row r="109" spans="1:12">
      <c r="A109" s="530" t="s">
        <v>305</v>
      </c>
      <c r="B109" s="530"/>
      <c r="C109" s="1088">
        <v>0</v>
      </c>
      <c r="D109" s="1087"/>
      <c r="E109" s="1088">
        <v>0</v>
      </c>
      <c r="F109" s="1087"/>
      <c r="G109" s="1088">
        <v>3.0169999999999999</v>
      </c>
      <c r="H109" s="1087"/>
      <c r="I109" s="1088">
        <v>3.0169999999999999</v>
      </c>
      <c r="J109" s="529"/>
      <c r="K109" s="466">
        <f t="shared" si="6"/>
        <v>0</v>
      </c>
      <c r="L109" s="1313"/>
    </row>
    <row r="110" spans="1:12">
      <c r="A110" s="530" t="s">
        <v>306</v>
      </c>
      <c r="B110" s="530"/>
      <c r="C110" s="1088">
        <v>24.664999999999999</v>
      </c>
      <c r="D110" s="1087"/>
      <c r="E110" s="1088">
        <v>10.458</v>
      </c>
      <c r="F110" s="1087"/>
      <c r="G110" s="1088">
        <v>0</v>
      </c>
      <c r="H110" s="1087"/>
      <c r="I110" s="1088">
        <v>4.1589999999999998</v>
      </c>
      <c r="J110" s="529"/>
      <c r="K110" s="466">
        <f t="shared" si="6"/>
        <v>39.281999999999996</v>
      </c>
      <c r="L110" s="466"/>
    </row>
    <row r="111" spans="1:12">
      <c r="A111" s="530" t="s">
        <v>307</v>
      </c>
      <c r="B111" s="530"/>
      <c r="C111" s="1088">
        <v>7.8609999999999998</v>
      </c>
      <c r="D111" s="1087"/>
      <c r="E111" s="1088">
        <v>41.81</v>
      </c>
      <c r="F111" s="1087"/>
      <c r="G111" s="1088">
        <v>0</v>
      </c>
      <c r="H111" s="1087"/>
      <c r="I111" s="1088">
        <v>-49.670999999999999</v>
      </c>
      <c r="J111" s="529"/>
      <c r="K111" s="466">
        <f t="shared" si="6"/>
        <v>0</v>
      </c>
      <c r="L111" s="466" t="s">
        <v>14</v>
      </c>
    </row>
    <row r="112" spans="1:12">
      <c r="A112" s="531" t="s">
        <v>308</v>
      </c>
      <c r="B112" s="530"/>
      <c r="C112" s="1088">
        <v>0</v>
      </c>
      <c r="D112" s="1087"/>
      <c r="E112" s="1088">
        <v>0</v>
      </c>
      <c r="F112" s="1087"/>
      <c r="G112" s="1088">
        <v>0</v>
      </c>
      <c r="H112" s="1087"/>
      <c r="I112" s="1088">
        <v>0</v>
      </c>
      <c r="J112" s="529"/>
      <c r="K112" s="466">
        <f t="shared" si="6"/>
        <v>0</v>
      </c>
      <c r="L112" s="466" t="s">
        <v>14</v>
      </c>
    </row>
    <row r="113" spans="1:12">
      <c r="A113" s="309" t="s">
        <v>309</v>
      </c>
      <c r="B113" s="1718"/>
      <c r="C113" s="310">
        <f>ROUND(SUM(C106:C112),3)</f>
        <v>5329.0810000000001</v>
      </c>
      <c r="D113" s="311"/>
      <c r="E113" s="310">
        <f>ROUND(SUM(E106:E112),3)</f>
        <v>5263.5240000000003</v>
      </c>
      <c r="F113" s="311"/>
      <c r="G113" s="310">
        <f>ROUND(SUM(G106:G112),3)</f>
        <v>8584.1830000000009</v>
      </c>
      <c r="H113" s="311"/>
      <c r="I113" s="310">
        <f>ROUND(SUM(I106:I112),3)</f>
        <v>-1848.9649999999999</v>
      </c>
      <c r="J113" s="311"/>
      <c r="K113" s="310">
        <f>ROUND(SUM(K106:K112),3)</f>
        <v>159.45699999999999</v>
      </c>
      <c r="L113" s="309" t="s">
        <v>14</v>
      </c>
    </row>
    <row r="114" spans="1:12">
      <c r="A114" s="530"/>
      <c r="B114" s="530"/>
      <c r="C114" s="530"/>
      <c r="D114" s="530"/>
      <c r="E114" s="530"/>
      <c r="F114" s="530"/>
      <c r="G114" s="530"/>
      <c r="H114" s="530"/>
      <c r="I114" s="530"/>
      <c r="J114" s="530"/>
      <c r="K114" s="530" t="s">
        <v>14</v>
      </c>
      <c r="L114" s="530"/>
    </row>
    <row r="115" spans="1:12">
      <c r="A115" s="1719" t="s">
        <v>828</v>
      </c>
      <c r="B115" s="530"/>
      <c r="K115" s="532"/>
      <c r="L115" s="466"/>
    </row>
    <row r="116" spans="1:12">
      <c r="A116" s="530" t="s">
        <v>310</v>
      </c>
      <c r="B116" s="529"/>
      <c r="C116" s="1088">
        <v>0</v>
      </c>
      <c r="D116" s="1087"/>
      <c r="E116" s="1088">
        <v>4.8449999999999998</v>
      </c>
      <c r="F116" s="1087"/>
      <c r="G116" s="2195">
        <v>2082.0790000000002</v>
      </c>
      <c r="H116" s="1087"/>
      <c r="I116" s="1088">
        <v>2077.2339999999999</v>
      </c>
      <c r="J116" s="529"/>
      <c r="K116" s="466">
        <f>ROUND(SUM(C116)+SUM(E116)-SUM(G116)+SUM(I116),3)</f>
        <v>0</v>
      </c>
      <c r="L116" s="1313"/>
    </row>
    <row r="117" spans="1:12">
      <c r="A117" s="530" t="s">
        <v>311</v>
      </c>
      <c r="B117" s="531"/>
      <c r="C117" s="1088">
        <v>56.517000000000003</v>
      </c>
      <c r="D117" s="1087"/>
      <c r="E117" s="2195">
        <v>662.18700000000001</v>
      </c>
      <c r="F117" s="1087"/>
      <c r="G117" s="1088">
        <v>193.32300000000001</v>
      </c>
      <c r="H117" s="1087"/>
      <c r="I117" s="2195">
        <v>-498.428</v>
      </c>
      <c r="J117" s="2196"/>
      <c r="K117" s="2194">
        <f t="shared" ref="K117:K131" si="7">ROUND(SUM(C117)+SUM(E117)-SUM(G117)+SUM(I117),3)</f>
        <v>26.952999999999999</v>
      </c>
      <c r="L117" s="466"/>
    </row>
    <row r="118" spans="1:12">
      <c r="A118" s="530" t="s">
        <v>312</v>
      </c>
      <c r="B118" s="530"/>
      <c r="C118" s="1088">
        <v>131.58699999999999</v>
      </c>
      <c r="D118" s="1087"/>
      <c r="E118" s="1088">
        <v>0.45500000000000002</v>
      </c>
      <c r="F118" s="1087"/>
      <c r="G118" s="1088">
        <v>5.3599999999999994</v>
      </c>
      <c r="H118" s="1087"/>
      <c r="I118" s="1088">
        <v>28.12</v>
      </c>
      <c r="J118" s="529"/>
      <c r="K118" s="466">
        <f t="shared" si="7"/>
        <v>154.80199999999999</v>
      </c>
      <c r="L118" s="466"/>
    </row>
    <row r="119" spans="1:12">
      <c r="A119" s="530" t="s">
        <v>313</v>
      </c>
      <c r="B119" s="530"/>
      <c r="C119" s="1088">
        <v>17.61</v>
      </c>
      <c r="D119" s="1087"/>
      <c r="E119" s="1088">
        <v>0.06</v>
      </c>
      <c r="F119" s="1087"/>
      <c r="G119" s="1088">
        <v>0</v>
      </c>
      <c r="H119" s="1087"/>
      <c r="I119" s="1088">
        <v>0</v>
      </c>
      <c r="J119" s="529"/>
      <c r="K119" s="466">
        <f t="shared" si="7"/>
        <v>17.670000000000002</v>
      </c>
      <c r="L119" s="466"/>
    </row>
    <row r="120" spans="1:12">
      <c r="A120" s="530" t="s">
        <v>314</v>
      </c>
      <c r="B120" s="530"/>
      <c r="C120" s="1088">
        <v>-146.45599999999999</v>
      </c>
      <c r="D120" s="1087"/>
      <c r="E120" s="1088">
        <v>7.1639999999999997</v>
      </c>
      <c r="F120" s="1087"/>
      <c r="G120" s="1088">
        <v>18.405999999999999</v>
      </c>
      <c r="H120" s="1087"/>
      <c r="I120" s="1088">
        <v>0</v>
      </c>
      <c r="J120" s="529"/>
      <c r="K120" s="466">
        <f t="shared" si="7"/>
        <v>-157.69800000000001</v>
      </c>
      <c r="L120" s="466"/>
    </row>
    <row r="121" spans="1:12">
      <c r="A121" s="530" t="s">
        <v>315</v>
      </c>
      <c r="B121" s="530"/>
      <c r="C121" s="1088">
        <v>1.6E-2</v>
      </c>
      <c r="D121" s="1087"/>
      <c r="E121" s="1088">
        <v>0</v>
      </c>
      <c r="F121" s="1087"/>
      <c r="G121" s="1088">
        <v>0</v>
      </c>
      <c r="H121" s="1087"/>
      <c r="I121" s="1088">
        <v>0</v>
      </c>
      <c r="J121" s="529"/>
      <c r="K121" s="466">
        <f t="shared" si="7"/>
        <v>1.6E-2</v>
      </c>
      <c r="L121" s="466"/>
    </row>
    <row r="122" spans="1:12">
      <c r="A122" s="530" t="s">
        <v>316</v>
      </c>
      <c r="B122" s="530"/>
      <c r="C122" s="1088">
        <v>186.58</v>
      </c>
      <c r="D122" s="1087"/>
      <c r="E122" s="1088">
        <v>27.687999999999999</v>
      </c>
      <c r="F122" s="1087"/>
      <c r="G122" s="1088">
        <v>51.892000000000003</v>
      </c>
      <c r="H122" s="1087"/>
      <c r="I122" s="1088">
        <v>54.875</v>
      </c>
      <c r="J122" s="529"/>
      <c r="K122" s="466">
        <f t="shared" si="7"/>
        <v>217.251</v>
      </c>
      <c r="L122" s="466"/>
    </row>
    <row r="123" spans="1:12">
      <c r="A123" s="530" t="s">
        <v>317</v>
      </c>
      <c r="B123" s="530"/>
      <c r="C123" s="1088">
        <v>0</v>
      </c>
      <c r="D123" s="1087"/>
      <c r="E123" s="1088">
        <v>0</v>
      </c>
      <c r="F123" s="1087"/>
      <c r="G123" s="1088">
        <v>0</v>
      </c>
      <c r="H123" s="1087"/>
      <c r="I123" s="1088">
        <v>0</v>
      </c>
      <c r="J123" s="529"/>
      <c r="K123" s="466">
        <f t="shared" si="7"/>
        <v>0</v>
      </c>
      <c r="L123" s="466"/>
    </row>
    <row r="124" spans="1:12">
      <c r="A124" s="530" t="s">
        <v>318</v>
      </c>
      <c r="B124" s="530"/>
      <c r="C124" s="1088">
        <v>0.16400000000000001</v>
      </c>
      <c r="D124" s="1087"/>
      <c r="E124" s="1088">
        <v>0</v>
      </c>
      <c r="F124" s="1087"/>
      <c r="G124" s="1088">
        <v>0</v>
      </c>
      <c r="H124" s="1087"/>
      <c r="I124" s="1088">
        <v>0</v>
      </c>
      <c r="J124" s="529"/>
      <c r="K124" s="466">
        <f t="shared" si="7"/>
        <v>0.16400000000000001</v>
      </c>
      <c r="L124" s="466"/>
    </row>
    <row r="125" spans="1:12">
      <c r="A125" s="530" t="s">
        <v>856</v>
      </c>
      <c r="B125" s="530"/>
      <c r="C125" s="1088">
        <v>0</v>
      </c>
      <c r="D125" s="1087"/>
      <c r="E125" s="1088">
        <v>0</v>
      </c>
      <c r="F125" s="1087"/>
      <c r="G125" s="1088">
        <v>0</v>
      </c>
      <c r="H125" s="1087"/>
      <c r="I125" s="1088">
        <v>0</v>
      </c>
      <c r="J125" s="529"/>
      <c r="K125" s="466">
        <f t="shared" si="7"/>
        <v>0</v>
      </c>
      <c r="L125" s="466"/>
    </row>
    <row r="126" spans="1:12">
      <c r="A126" s="530" t="s">
        <v>319</v>
      </c>
      <c r="B126" s="530"/>
      <c r="C126" s="1088">
        <v>0</v>
      </c>
      <c r="D126" s="1087"/>
      <c r="E126" s="1088">
        <v>0</v>
      </c>
      <c r="F126" s="1087"/>
      <c r="G126" s="1088">
        <v>0</v>
      </c>
      <c r="H126" s="1087"/>
      <c r="I126" s="1088">
        <v>0</v>
      </c>
      <c r="J126" s="529"/>
      <c r="K126" s="466">
        <f t="shared" si="7"/>
        <v>0</v>
      </c>
      <c r="L126" s="466"/>
    </row>
    <row r="127" spans="1:12">
      <c r="A127" s="530" t="s">
        <v>320</v>
      </c>
      <c r="B127" s="530"/>
      <c r="C127" s="1088">
        <v>3.3279999999999998</v>
      </c>
      <c r="D127" s="1087"/>
      <c r="E127" s="1088">
        <v>0</v>
      </c>
      <c r="F127" s="1087"/>
      <c r="G127" s="1088">
        <v>0</v>
      </c>
      <c r="H127" s="1087"/>
      <c r="I127" s="1088">
        <v>0</v>
      </c>
      <c r="J127" s="529"/>
      <c r="K127" s="466">
        <f t="shared" si="7"/>
        <v>3.3279999999999998</v>
      </c>
      <c r="L127" s="466"/>
    </row>
    <row r="128" spans="1:12">
      <c r="A128" s="530" t="s">
        <v>321</v>
      </c>
      <c r="B128" s="530"/>
      <c r="C128" s="1088">
        <v>1.419</v>
      </c>
      <c r="D128" s="1087"/>
      <c r="E128" s="1088">
        <v>0</v>
      </c>
      <c r="F128" s="1087"/>
      <c r="G128" s="1088">
        <v>0</v>
      </c>
      <c r="H128" s="1087"/>
      <c r="I128" s="1088">
        <v>0</v>
      </c>
      <c r="J128" s="529"/>
      <c r="K128" s="466">
        <f t="shared" si="7"/>
        <v>1.419</v>
      </c>
      <c r="L128" s="466"/>
    </row>
    <row r="129" spans="1:12">
      <c r="A129" s="530" t="s">
        <v>322</v>
      </c>
      <c r="B129" s="530"/>
      <c r="C129" s="1088">
        <v>17.21</v>
      </c>
      <c r="D129" s="1087"/>
      <c r="E129" s="1088">
        <v>0</v>
      </c>
      <c r="F129" s="1087"/>
      <c r="G129" s="1088">
        <v>0</v>
      </c>
      <c r="H129" s="1087"/>
      <c r="I129" s="1088">
        <v>0</v>
      </c>
      <c r="J129" s="529"/>
      <c r="K129" s="466">
        <f t="shared" si="7"/>
        <v>17.21</v>
      </c>
      <c r="L129" s="466"/>
    </row>
    <row r="130" spans="1:12">
      <c r="A130" s="530" t="s">
        <v>323</v>
      </c>
      <c r="B130" s="530"/>
      <c r="C130" s="1088">
        <v>4.2549999999999999</v>
      </c>
      <c r="D130" s="1087"/>
      <c r="E130" s="1088">
        <v>0</v>
      </c>
      <c r="F130" s="1087"/>
      <c r="G130" s="1088">
        <v>0</v>
      </c>
      <c r="H130" s="1087"/>
      <c r="I130" s="1088">
        <v>0</v>
      </c>
      <c r="J130" s="529"/>
      <c r="K130" s="466">
        <f t="shared" si="7"/>
        <v>4.2549999999999999</v>
      </c>
      <c r="L130" s="466"/>
    </row>
    <row r="131" spans="1:12">
      <c r="A131" s="530" t="s">
        <v>324</v>
      </c>
      <c r="B131" s="530"/>
      <c r="C131" s="1088">
        <v>5.55</v>
      </c>
      <c r="D131" s="1087"/>
      <c r="E131" s="1088">
        <v>0</v>
      </c>
      <c r="F131" s="1087"/>
      <c r="G131" s="1088">
        <v>0</v>
      </c>
      <c r="H131" s="1087"/>
      <c r="I131" s="1088">
        <v>0</v>
      </c>
      <c r="J131" s="529"/>
      <c r="K131" s="466">
        <f t="shared" si="7"/>
        <v>5.55</v>
      </c>
      <c r="L131" s="466"/>
    </row>
    <row r="132" spans="1:12">
      <c r="A132" s="530" t="s">
        <v>325</v>
      </c>
      <c r="B132" s="530"/>
      <c r="C132" s="2226"/>
      <c r="D132"/>
      <c r="E132" s="1106"/>
      <c r="F132" s="1087"/>
      <c r="G132" s="1106" t="s">
        <v>14</v>
      </c>
      <c r="H132" s="1087"/>
      <c r="I132" s="1106"/>
      <c r="J132" s="530"/>
      <c r="K132" s="1313"/>
      <c r="L132" s="466"/>
    </row>
    <row r="133" spans="1:12">
      <c r="A133" s="530" t="s">
        <v>326</v>
      </c>
      <c r="B133" s="530"/>
      <c r="C133" s="1088">
        <v>2.778</v>
      </c>
      <c r="D133" s="1087"/>
      <c r="E133" s="1088">
        <v>0</v>
      </c>
      <c r="F133" s="1087"/>
      <c r="G133" s="1088">
        <v>0</v>
      </c>
      <c r="H133" s="1087"/>
      <c r="I133" s="1088">
        <v>0</v>
      </c>
      <c r="J133" s="529"/>
      <c r="K133" s="466">
        <f t="shared" ref="K133:K155" si="8">ROUND(SUM(C133)+SUM(E133)-SUM(G133)+SUM(I133),3)</f>
        <v>2.778</v>
      </c>
      <c r="L133" s="466"/>
    </row>
    <row r="134" spans="1:12">
      <c r="A134" s="530" t="s">
        <v>327</v>
      </c>
      <c r="B134" s="530"/>
      <c r="C134" s="1088">
        <v>1.4279999999999999</v>
      </c>
      <c r="D134" s="1087"/>
      <c r="E134" s="1088">
        <v>0</v>
      </c>
      <c r="F134" s="1087"/>
      <c r="G134" s="1088">
        <v>0</v>
      </c>
      <c r="H134" s="1087"/>
      <c r="I134" s="1088">
        <v>0</v>
      </c>
      <c r="J134" s="529"/>
      <c r="K134" s="466">
        <f t="shared" si="8"/>
        <v>1.4279999999999999</v>
      </c>
      <c r="L134" s="466"/>
    </row>
    <row r="135" spans="1:12">
      <c r="A135" s="530" t="s">
        <v>1092</v>
      </c>
      <c r="B135" s="530"/>
      <c r="C135" s="1088">
        <v>0</v>
      </c>
      <c r="D135" s="1087"/>
      <c r="E135" s="1088">
        <v>0</v>
      </c>
      <c r="F135" s="1087"/>
      <c r="G135" s="1088">
        <v>0</v>
      </c>
      <c r="H135" s="1087"/>
      <c r="I135" s="1088">
        <v>0</v>
      </c>
      <c r="J135" s="529"/>
      <c r="K135" s="466">
        <f t="shared" si="8"/>
        <v>0</v>
      </c>
      <c r="L135" s="466"/>
    </row>
    <row r="136" spans="1:12">
      <c r="A136" s="530" t="s">
        <v>1161</v>
      </c>
      <c r="B136" s="530"/>
      <c r="C136" s="1088">
        <v>0</v>
      </c>
      <c r="D136" s="1087"/>
      <c r="E136" s="1088">
        <v>0</v>
      </c>
      <c r="F136" s="1087"/>
      <c r="G136" s="1088">
        <v>0</v>
      </c>
      <c r="H136" s="1087"/>
      <c r="I136" s="1088">
        <v>0</v>
      </c>
      <c r="J136" s="529"/>
      <c r="K136" s="466">
        <f t="shared" si="8"/>
        <v>0</v>
      </c>
      <c r="L136" s="466"/>
    </row>
    <row r="137" spans="1:12">
      <c r="A137" s="530" t="s">
        <v>1532</v>
      </c>
      <c r="B137" s="530"/>
      <c r="C137" s="1088">
        <v>0</v>
      </c>
      <c r="D137" s="1087"/>
      <c r="E137" s="1088">
        <v>0</v>
      </c>
      <c r="F137" s="1087"/>
      <c r="G137" s="1088">
        <v>0</v>
      </c>
      <c r="H137" s="1087"/>
      <c r="I137" s="1088">
        <v>0</v>
      </c>
      <c r="J137" s="529"/>
      <c r="K137" s="466">
        <f>ROUND(SUM(C137)+SUM(E137)-SUM(G137)+SUM(I137),3)</f>
        <v>0</v>
      </c>
      <c r="L137" s="466"/>
    </row>
    <row r="138" spans="1:12">
      <c r="A138" s="530" t="s">
        <v>328</v>
      </c>
      <c r="B138" s="530"/>
      <c r="C138" s="1088">
        <v>0</v>
      </c>
      <c r="D138" s="1087"/>
      <c r="E138" s="1088">
        <v>0</v>
      </c>
      <c r="F138" s="1087"/>
      <c r="G138" s="1088">
        <v>0</v>
      </c>
      <c r="H138" s="1087"/>
      <c r="I138" s="1088">
        <v>0</v>
      </c>
      <c r="J138" s="529"/>
      <c r="K138" s="466">
        <f t="shared" si="8"/>
        <v>0</v>
      </c>
      <c r="L138" s="466"/>
    </row>
    <row r="139" spans="1:12">
      <c r="A139" s="530" t="s">
        <v>329</v>
      </c>
      <c r="B139" s="530"/>
      <c r="C139" s="1088">
        <v>0</v>
      </c>
      <c r="D139" s="1087"/>
      <c r="E139" s="1088">
        <v>0</v>
      </c>
      <c r="F139" s="1087"/>
      <c r="G139" s="1088">
        <v>0</v>
      </c>
      <c r="H139" s="1087"/>
      <c r="I139" s="1088">
        <v>0</v>
      </c>
      <c r="J139" s="529"/>
      <c r="K139" s="466">
        <f t="shared" si="8"/>
        <v>0</v>
      </c>
      <c r="L139" s="466"/>
    </row>
    <row r="140" spans="1:12">
      <c r="A140" s="530" t="s">
        <v>330</v>
      </c>
      <c r="B140" s="530"/>
      <c r="C140" s="1088">
        <v>-453.47</v>
      </c>
      <c r="D140" s="1087"/>
      <c r="E140" s="2195">
        <v>229.35300000000001</v>
      </c>
      <c r="F140" s="1087"/>
      <c r="G140" s="1088">
        <v>268.51100000000002</v>
      </c>
      <c r="H140" s="1087"/>
      <c r="I140" s="1088">
        <v>12.805999999999999</v>
      </c>
      <c r="J140" s="529"/>
      <c r="K140" s="2194">
        <f t="shared" si="8"/>
        <v>-479.822</v>
      </c>
      <c r="L140" s="466"/>
    </row>
    <row r="141" spans="1:12">
      <c r="A141" s="530" t="s">
        <v>331</v>
      </c>
      <c r="B141" s="530"/>
      <c r="C141" s="1088">
        <v>1.1040000000000001</v>
      </c>
      <c r="D141" s="1087"/>
      <c r="E141" s="1088">
        <v>4.0000000000000001E-3</v>
      </c>
      <c r="F141" s="1087"/>
      <c r="G141" s="1088">
        <v>0</v>
      </c>
      <c r="H141" s="1087"/>
      <c r="I141" s="1088">
        <v>0</v>
      </c>
      <c r="J141" s="529"/>
      <c r="K141" s="466">
        <f t="shared" si="8"/>
        <v>1.1080000000000001</v>
      </c>
      <c r="L141" s="1313"/>
    </row>
    <row r="142" spans="1:12">
      <c r="A142" s="531" t="s">
        <v>332</v>
      </c>
      <c r="B142" s="530"/>
      <c r="C142" s="1088">
        <v>-176.68600000000001</v>
      </c>
      <c r="D142" s="1087"/>
      <c r="E142" s="1088">
        <v>3.25</v>
      </c>
      <c r="F142" s="1087"/>
      <c r="G142" s="1088">
        <v>13.565</v>
      </c>
      <c r="H142" s="1087"/>
      <c r="I142" s="1088">
        <v>2.4430000000000001</v>
      </c>
      <c r="J142" s="529"/>
      <c r="K142" s="466">
        <f t="shared" si="8"/>
        <v>-184.55799999999999</v>
      </c>
      <c r="L142" s="466"/>
    </row>
    <row r="143" spans="1:12">
      <c r="A143" s="530" t="s">
        <v>333</v>
      </c>
      <c r="B143" s="530"/>
      <c r="C143" s="1088">
        <v>0.55100000000000005</v>
      </c>
      <c r="D143" s="1087"/>
      <c r="E143" s="1088">
        <v>1E-3</v>
      </c>
      <c r="F143" s="1087"/>
      <c r="G143" s="1088">
        <v>0</v>
      </c>
      <c r="H143" s="1087"/>
      <c r="I143" s="1088">
        <v>0</v>
      </c>
      <c r="J143" s="529"/>
      <c r="K143" s="466">
        <f t="shared" si="8"/>
        <v>0.55200000000000005</v>
      </c>
      <c r="L143" s="466"/>
    </row>
    <row r="144" spans="1:12">
      <c r="A144" s="530" t="s">
        <v>334</v>
      </c>
      <c r="B144" s="530"/>
      <c r="C144" s="1088">
        <v>-17.259</v>
      </c>
      <c r="D144" s="1087"/>
      <c r="E144" s="1088">
        <v>0</v>
      </c>
      <c r="F144" s="1087"/>
      <c r="G144" s="1088">
        <v>1.62</v>
      </c>
      <c r="H144" s="1087"/>
      <c r="I144" s="1088">
        <v>0</v>
      </c>
      <c r="J144" s="529"/>
      <c r="K144" s="466">
        <f t="shared" si="8"/>
        <v>-18.879000000000001</v>
      </c>
      <c r="L144" s="466"/>
    </row>
    <row r="145" spans="1:12">
      <c r="A145" s="530" t="s">
        <v>335</v>
      </c>
      <c r="B145" s="530"/>
      <c r="C145" s="1088">
        <v>-12.942</v>
      </c>
      <c r="D145" s="1087"/>
      <c r="E145" s="1088">
        <v>0</v>
      </c>
      <c r="F145" s="1087"/>
      <c r="G145" s="1088">
        <v>0</v>
      </c>
      <c r="H145" s="1087"/>
      <c r="I145" s="1088">
        <v>0</v>
      </c>
      <c r="J145" s="529"/>
      <c r="K145" s="466">
        <f t="shared" si="8"/>
        <v>-12.942</v>
      </c>
      <c r="L145" s="466"/>
    </row>
    <row r="146" spans="1:12">
      <c r="A146" s="530" t="s">
        <v>336</v>
      </c>
      <c r="B146" s="530"/>
      <c r="C146" s="1088">
        <v>-398.565</v>
      </c>
      <c r="D146" s="1087"/>
      <c r="E146" s="1088">
        <v>0</v>
      </c>
      <c r="F146" s="1087"/>
      <c r="G146" s="1088">
        <v>90.826999999999998</v>
      </c>
      <c r="H146" s="1087"/>
      <c r="I146" s="1088">
        <v>0</v>
      </c>
      <c r="J146" s="529"/>
      <c r="K146" s="466">
        <f t="shared" si="8"/>
        <v>-489.392</v>
      </c>
      <c r="L146" s="466"/>
    </row>
    <row r="147" spans="1:12">
      <c r="A147" s="530" t="s">
        <v>337</v>
      </c>
      <c r="B147" s="530"/>
      <c r="C147" s="1088">
        <v>18.332999999999998</v>
      </c>
      <c r="D147" s="1087"/>
      <c r="E147" s="1088">
        <v>0.13600000000000001</v>
      </c>
      <c r="F147" s="1087"/>
      <c r="G147" s="1088">
        <v>1.6999999999999998E-2</v>
      </c>
      <c r="H147" s="1087"/>
      <c r="I147" s="1088">
        <v>0</v>
      </c>
      <c r="J147" s="529"/>
      <c r="K147" s="466">
        <f t="shared" si="8"/>
        <v>18.452000000000002</v>
      </c>
      <c r="L147" s="466"/>
    </row>
    <row r="148" spans="1:12">
      <c r="A148" s="530" t="s">
        <v>863</v>
      </c>
      <c r="B148" s="530"/>
      <c r="C148" s="1088">
        <v>-12.016</v>
      </c>
      <c r="D148" s="1087"/>
      <c r="E148" s="1088">
        <v>0</v>
      </c>
      <c r="F148" s="1087"/>
      <c r="G148" s="1088">
        <v>0</v>
      </c>
      <c r="H148" s="1087"/>
      <c r="I148" s="1088">
        <v>0</v>
      </c>
      <c r="J148" s="529"/>
      <c r="K148" s="466">
        <f t="shared" si="8"/>
        <v>-12.016</v>
      </c>
      <c r="L148" s="466"/>
    </row>
    <row r="149" spans="1:12">
      <c r="A149" s="530" t="s">
        <v>338</v>
      </c>
      <c r="B149" s="530"/>
      <c r="C149" s="1088">
        <v>142.39599999999999</v>
      </c>
      <c r="D149" s="1087"/>
      <c r="E149" s="1088">
        <v>3.1269999999999998</v>
      </c>
      <c r="F149" s="1087"/>
      <c r="G149" s="1088">
        <v>9.8579999999999988</v>
      </c>
      <c r="H149" s="1087"/>
      <c r="I149" s="1088">
        <v>10.750999999999999</v>
      </c>
      <c r="J149" s="529"/>
      <c r="K149" s="466">
        <f t="shared" si="8"/>
        <v>146.416</v>
      </c>
      <c r="L149" s="466"/>
    </row>
    <row r="150" spans="1:12">
      <c r="A150" s="530" t="s">
        <v>339</v>
      </c>
      <c r="B150" s="530"/>
      <c r="C150" s="1088">
        <v>7.9000000000000001E-2</v>
      </c>
      <c r="D150" s="1087"/>
      <c r="E150" s="1088">
        <v>4.0000000000000001E-3</v>
      </c>
      <c r="F150" s="1087"/>
      <c r="G150" s="1088">
        <v>0</v>
      </c>
      <c r="H150" s="1087"/>
      <c r="I150" s="1088">
        <v>0</v>
      </c>
      <c r="J150" s="529"/>
      <c r="K150" s="466">
        <f t="shared" si="8"/>
        <v>8.3000000000000004E-2</v>
      </c>
      <c r="L150" s="466"/>
    </row>
    <row r="151" spans="1:12">
      <c r="A151" s="530" t="s">
        <v>340</v>
      </c>
      <c r="B151" s="530"/>
      <c r="C151" s="1088">
        <v>-655.60900000000004</v>
      </c>
      <c r="D151" s="1087"/>
      <c r="E151" s="1088">
        <v>1E-3</v>
      </c>
      <c r="F151" s="1087"/>
      <c r="G151" s="1088">
        <v>38.308</v>
      </c>
      <c r="H151" s="1087"/>
      <c r="I151" s="1088">
        <v>2</v>
      </c>
      <c r="J151" s="529"/>
      <c r="K151" s="466">
        <f t="shared" si="8"/>
        <v>-691.91600000000005</v>
      </c>
      <c r="L151" s="1313"/>
    </row>
    <row r="152" spans="1:12">
      <c r="A152" s="530" t="s">
        <v>341</v>
      </c>
      <c r="B152" s="530"/>
      <c r="C152" s="1088">
        <v>-270.38900000000001</v>
      </c>
      <c r="D152" s="1087"/>
      <c r="E152" s="1088">
        <v>0</v>
      </c>
      <c r="F152" s="1087"/>
      <c r="G152" s="1088">
        <v>73.771000000000001</v>
      </c>
      <c r="H152" s="1087"/>
      <c r="I152" s="1088">
        <v>105.304</v>
      </c>
      <c r="J152" s="529"/>
      <c r="K152" s="466">
        <f t="shared" si="8"/>
        <v>-238.85599999999999</v>
      </c>
      <c r="L152" s="466"/>
    </row>
    <row r="153" spans="1:12">
      <c r="A153" s="530" t="s">
        <v>342</v>
      </c>
      <c r="B153" s="530"/>
      <c r="C153" s="1088">
        <v>60.46</v>
      </c>
      <c r="D153" s="1087"/>
      <c r="E153" s="1088">
        <v>0.20499999999999999</v>
      </c>
      <c r="F153" s="1087"/>
      <c r="G153" s="1088">
        <v>2.7389999999999999</v>
      </c>
      <c r="H153" s="1087"/>
      <c r="I153" s="1088">
        <v>28.847000000000001</v>
      </c>
      <c r="J153" s="529"/>
      <c r="K153" s="466">
        <f t="shared" si="8"/>
        <v>86.772999999999996</v>
      </c>
      <c r="L153" s="466"/>
    </row>
    <row r="154" spans="1:12">
      <c r="A154" s="530" t="s">
        <v>343</v>
      </c>
      <c r="B154" s="530"/>
      <c r="C154" s="1088">
        <v>-70.703999999999994</v>
      </c>
      <c r="D154" s="1087"/>
      <c r="E154" s="1088">
        <v>0.379</v>
      </c>
      <c r="F154" s="1087"/>
      <c r="G154" s="1088">
        <v>-16.699000000000002</v>
      </c>
      <c r="H154" s="1087"/>
      <c r="I154" s="1088">
        <v>0</v>
      </c>
      <c r="J154" s="529"/>
      <c r="K154" s="466">
        <f t="shared" si="8"/>
        <v>-53.625999999999998</v>
      </c>
      <c r="L154" s="466"/>
    </row>
    <row r="155" spans="1:12">
      <c r="A155" s="530" t="s">
        <v>1099</v>
      </c>
      <c r="B155" s="530"/>
      <c r="C155" s="1088">
        <v>73.308999999999997</v>
      </c>
      <c r="D155" s="1087"/>
      <c r="E155" s="1088">
        <v>0</v>
      </c>
      <c r="F155" s="1087"/>
      <c r="G155" s="1088">
        <v>34.340000000000003</v>
      </c>
      <c r="H155" s="1087"/>
      <c r="I155" s="1088">
        <v>0</v>
      </c>
      <c r="J155" s="529"/>
      <c r="K155" s="466">
        <f t="shared" si="8"/>
        <v>38.969000000000001</v>
      </c>
      <c r="L155" s="466"/>
    </row>
    <row r="156" spans="1:12">
      <c r="A156" s="309" t="s">
        <v>1342</v>
      </c>
      <c r="B156" s="530"/>
      <c r="C156" s="310">
        <f>ROUND(SUM(C116:C155),3)</f>
        <v>-1489.422</v>
      </c>
      <c r="D156" s="309"/>
      <c r="E156" s="310">
        <f>ROUND(SUM(E116:E155),3)</f>
        <v>938.85900000000004</v>
      </c>
      <c r="F156" s="309"/>
      <c r="G156" s="310">
        <f>ROUND(SUM(G116:G155),3)</f>
        <v>2867.9169999999999</v>
      </c>
      <c r="H156" s="309"/>
      <c r="I156" s="310">
        <f>ROUND(SUM(I116:I155),3)</f>
        <v>1823.952</v>
      </c>
      <c r="J156" s="309"/>
      <c r="K156" s="310">
        <f>ROUND(SUM(K116:K155),3)</f>
        <v>-1594.528</v>
      </c>
      <c r="L156" s="309"/>
    </row>
    <row r="157" spans="1:12">
      <c r="A157" s="309"/>
      <c r="B157" s="530"/>
      <c r="C157" s="530"/>
      <c r="D157" s="530"/>
      <c r="E157" s="534"/>
      <c r="F157" s="534"/>
      <c r="G157" s="534"/>
      <c r="H157" s="534"/>
      <c r="I157" s="534"/>
      <c r="J157" s="530"/>
      <c r="K157" s="530"/>
      <c r="L157" s="530"/>
    </row>
    <row r="158" spans="1:12" ht="16" thickBot="1">
      <c r="A158" s="309" t="s">
        <v>344</v>
      </c>
      <c r="B158" s="311"/>
      <c r="C158" s="312">
        <f>ROUND(SUM(C24+C103+C113+C156),3)</f>
        <v>79816.168999999994</v>
      </c>
      <c r="D158" s="311"/>
      <c r="E158" s="312">
        <f>ROUND(SUM(E24+E103+E113+E156),3)</f>
        <v>28778.659</v>
      </c>
      <c r="F158" s="313"/>
      <c r="G158" s="312">
        <f>ROUND(SUM(G24+G103+G113+G156),3)</f>
        <v>42533.046999999999</v>
      </c>
      <c r="H158" s="313"/>
      <c r="I158" s="312">
        <f>ROUND(SUM(I24+I103+I113+I156),3)</f>
        <v>-106.044</v>
      </c>
      <c r="J158" s="311"/>
      <c r="K158" s="312">
        <f>ROUND(SUM(K24+K103+K113+K156),3)</f>
        <v>65955.736999999994</v>
      </c>
      <c r="L158" s="314"/>
    </row>
    <row r="159" spans="1:12" ht="16" thickTop="1">
      <c r="A159" s="530"/>
      <c r="B159" s="530"/>
      <c r="C159" s="530" t="s">
        <v>14</v>
      </c>
      <c r="D159" s="530"/>
      <c r="E159" s="530"/>
      <c r="F159" s="530"/>
      <c r="G159" s="530"/>
      <c r="H159" s="530"/>
      <c r="I159" s="530"/>
      <c r="J159" s="530"/>
      <c r="K159" s="530"/>
      <c r="L159" s="530"/>
    </row>
    <row r="160" spans="1:12">
      <c r="A160" s="530"/>
      <c r="B160" s="530"/>
      <c r="C160" s="530" t="s">
        <v>14</v>
      </c>
      <c r="D160" s="530"/>
      <c r="E160" s="530"/>
      <c r="F160" s="530"/>
      <c r="G160" s="530"/>
      <c r="H160" s="530"/>
      <c r="I160" s="530"/>
      <c r="J160" s="530"/>
      <c r="K160" s="530" t="s">
        <v>14</v>
      </c>
      <c r="L160" s="530"/>
    </row>
    <row r="161" spans="1:12">
      <c r="A161" s="308"/>
      <c r="B161" s="530"/>
      <c r="C161" s="530"/>
      <c r="D161" s="530"/>
      <c r="E161" s="1863"/>
      <c r="F161" s="530"/>
      <c r="G161" s="530" t="s">
        <v>14</v>
      </c>
      <c r="H161" s="530"/>
      <c r="I161" s="534" t="s">
        <v>14</v>
      </c>
      <c r="J161" s="530"/>
      <c r="K161" s="1864" t="s">
        <v>14</v>
      </c>
      <c r="L161" s="530"/>
    </row>
    <row r="162" spans="1:12">
      <c r="A162" s="530" t="s">
        <v>14</v>
      </c>
      <c r="B162" s="530"/>
      <c r="C162" s="530"/>
      <c r="D162" s="530"/>
      <c r="E162" s="530"/>
      <c r="F162" s="530"/>
      <c r="G162" s="532" t="s">
        <v>14</v>
      </c>
      <c r="H162" s="530"/>
      <c r="I162" s="530" t="s">
        <v>14</v>
      </c>
      <c r="J162" s="530"/>
      <c r="K162" s="530" t="s">
        <v>14</v>
      </c>
      <c r="L162" s="530"/>
    </row>
    <row r="163" spans="1:12">
      <c r="A163" s="530"/>
      <c r="B163" s="530"/>
      <c r="C163" s="530"/>
      <c r="D163" s="530"/>
      <c r="E163" s="530"/>
      <c r="F163" s="530"/>
      <c r="G163" s="530"/>
      <c r="H163" s="530"/>
      <c r="I163" s="530" t="s">
        <v>14</v>
      </c>
      <c r="J163" s="530"/>
      <c r="K163" s="530" t="s">
        <v>14</v>
      </c>
      <c r="L163" s="530"/>
    </row>
    <row r="164" spans="1:12">
      <c r="A164" s="535"/>
      <c r="B164" s="530"/>
      <c r="C164" s="530"/>
      <c r="D164" s="530"/>
      <c r="E164" s="530"/>
      <c r="F164" s="530"/>
      <c r="G164" s="530"/>
      <c r="H164" s="530"/>
      <c r="I164" s="536" t="s">
        <v>14</v>
      </c>
      <c r="J164" s="530"/>
      <c r="K164" s="530" t="s">
        <v>14</v>
      </c>
      <c r="L164" s="530"/>
    </row>
    <row r="165" spans="1:12">
      <c r="I165" s="2112" t="s">
        <v>14</v>
      </c>
      <c r="K165" s="1715" t="s">
        <v>14</v>
      </c>
    </row>
    <row r="169" spans="1:12">
      <c r="I169" s="314"/>
    </row>
  </sheetData>
  <printOptions horizontalCentered="1"/>
  <pageMargins left="0.5" right="0.25" top="0.32" bottom="0" header="0.27" footer="0.1"/>
  <pageSetup scale="59" firstPageNumber="39" fitToHeight="3" orientation="landscape" useFirstPageNumber="1" r:id="rId1"/>
  <headerFooter scaleWithDoc="0" alignWithMargins="0">
    <oddFooter>&amp;C&amp;8&amp;P</oddFooter>
    <firstFooter>&amp;C28</firstFooter>
  </headerFooter>
  <rowBreaks count="2" manualBreakCount="2">
    <brk id="60" max="11" man="1"/>
    <brk id="11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workbookViewId="0"/>
  </sheetViews>
  <sheetFormatPr defaultColWidth="8.84375" defaultRowHeight="17.5"/>
  <cols>
    <col min="1" max="1" width="55.84375" style="1349" customWidth="1"/>
    <col min="2" max="2" width="6.07421875" style="1349" customWidth="1"/>
    <col min="3" max="3" width="20.07421875" style="1349" customWidth="1"/>
    <col min="4" max="4" width="3.07421875" style="1349" customWidth="1"/>
    <col min="5" max="5" width="17.07421875" style="1349" customWidth="1"/>
    <col min="6" max="6" width="3.53515625" style="1349" customWidth="1"/>
    <col min="7" max="7" width="18.07421875" style="1349" customWidth="1"/>
    <col min="8" max="8" width="3.07421875" style="1349" customWidth="1"/>
    <col min="9" max="9" width="18.53515625" style="1349" customWidth="1"/>
    <col min="10" max="10" width="3.4609375" style="1349" customWidth="1"/>
    <col min="11" max="11" width="22.07421875" style="1349" customWidth="1"/>
    <col min="12" max="12" width="15.53515625" style="1349" customWidth="1"/>
    <col min="13" max="13" width="9.84375" style="1349" bestFit="1" customWidth="1"/>
    <col min="14" max="16384" width="8.84375" style="1349"/>
  </cols>
  <sheetData>
    <row r="1" spans="1:11">
      <c r="A1" s="468" t="s">
        <v>868</v>
      </c>
    </row>
    <row r="2" spans="1:11">
      <c r="A2" s="1733"/>
    </row>
    <row r="3" spans="1:11" s="315" customFormat="1" ht="18" customHeight="1">
      <c r="A3" s="319" t="s">
        <v>0</v>
      </c>
      <c r="B3" s="1734"/>
      <c r="C3" s="1734"/>
      <c r="D3" s="1734"/>
      <c r="E3" s="1350"/>
      <c r="F3" s="1350"/>
      <c r="I3" s="319"/>
      <c r="J3" s="319"/>
      <c r="K3" s="322" t="s">
        <v>345</v>
      </c>
    </row>
    <row r="4" spans="1:11" s="315" customFormat="1" ht="18" customHeight="1">
      <c r="A4" s="319" t="s">
        <v>346</v>
      </c>
      <c r="B4" s="1734"/>
      <c r="C4" s="1734"/>
      <c r="D4" s="1734"/>
      <c r="E4" s="1350"/>
      <c r="F4" s="1350"/>
      <c r="I4" s="319"/>
      <c r="J4" s="319"/>
      <c r="K4" s="319"/>
    </row>
    <row r="5" spans="1:11" s="315" customFormat="1" ht="18" customHeight="1">
      <c r="A5" s="325" t="s">
        <v>1164</v>
      </c>
      <c r="B5" s="1734"/>
      <c r="C5" s="1734"/>
      <c r="D5" s="1734"/>
      <c r="E5" s="1350"/>
      <c r="F5" s="1350"/>
      <c r="I5" s="319"/>
      <c r="J5" s="319"/>
      <c r="K5" s="319"/>
    </row>
    <row r="6" spans="1:11" s="315" customFormat="1" ht="18" customHeight="1">
      <c r="A6" s="325" t="s">
        <v>347</v>
      </c>
      <c r="B6" s="1734"/>
      <c r="C6" s="1734"/>
      <c r="D6" s="1734"/>
      <c r="E6" s="1350"/>
      <c r="F6" s="1350"/>
      <c r="I6" s="319"/>
      <c r="J6" s="319"/>
      <c r="K6" s="319"/>
    </row>
    <row r="7" spans="1:11" s="315" customFormat="1" ht="18" customHeight="1">
      <c r="A7" s="325" t="str">
        <f>'Sch 1 '!A7</f>
        <v>FISCAL YEAR 2022-2023</v>
      </c>
      <c r="B7" s="1734"/>
      <c r="C7" s="1734"/>
      <c r="D7" s="1734"/>
      <c r="E7" s="1350"/>
      <c r="F7" s="1350"/>
      <c r="I7" s="319"/>
      <c r="J7" s="319"/>
      <c r="K7" s="319"/>
    </row>
    <row r="8" spans="1:11" s="315" customFormat="1" ht="18" customHeight="1">
      <c r="A8" s="325" t="str">
        <f>'Sch 1 '!A8</f>
        <v>FOR THE MONTH OF MARCH 2023</v>
      </c>
      <c r="B8" s="1734"/>
      <c r="C8" s="1734"/>
      <c r="D8" s="1734"/>
      <c r="E8" s="1350" t="s">
        <v>14</v>
      </c>
      <c r="G8" s="1350"/>
      <c r="I8" s="319"/>
      <c r="J8" s="319"/>
      <c r="K8" s="319"/>
    </row>
    <row r="9" spans="1:11" s="315" customFormat="1" ht="18" customHeight="1">
      <c r="A9" s="319" t="s">
        <v>1247</v>
      </c>
      <c r="B9" s="1734"/>
      <c r="C9" s="1734"/>
      <c r="D9" s="1734"/>
      <c r="E9" s="1350"/>
      <c r="F9" s="1350"/>
      <c r="I9" s="319"/>
      <c r="J9" s="319"/>
      <c r="K9" s="319"/>
    </row>
    <row r="10" spans="1:11" s="315" customFormat="1" ht="18">
      <c r="A10" s="319"/>
      <c r="B10" s="319"/>
      <c r="D10" s="319"/>
    </row>
    <row r="11" spans="1:11" s="315" customFormat="1" ht="18">
      <c r="A11" s="319"/>
      <c r="B11" s="319"/>
      <c r="C11" s="319"/>
      <c r="D11" s="319"/>
      <c r="E11" s="319"/>
      <c r="F11" s="319"/>
      <c r="G11" s="319"/>
      <c r="H11" s="319"/>
      <c r="I11" s="319"/>
      <c r="J11" s="319"/>
      <c r="K11" s="319"/>
    </row>
    <row r="12" spans="1:11" s="315" customFormat="1" ht="18">
      <c r="A12" s="319"/>
      <c r="B12" s="319"/>
      <c r="C12" s="335"/>
      <c r="D12" s="319"/>
      <c r="E12" s="319"/>
      <c r="F12" s="319"/>
      <c r="G12" s="319"/>
      <c r="H12" s="319"/>
      <c r="I12" s="335" t="s">
        <v>348</v>
      </c>
      <c r="J12" s="319"/>
      <c r="K12" s="335"/>
    </row>
    <row r="13" spans="1:11" s="315" customFormat="1" ht="18">
      <c r="A13" s="319"/>
      <c r="B13" s="319"/>
      <c r="C13" s="335" t="s">
        <v>229</v>
      </c>
      <c r="D13" s="319"/>
      <c r="E13" s="319"/>
      <c r="F13" s="319"/>
      <c r="G13" s="319"/>
      <c r="H13" s="319"/>
      <c r="I13" s="335" t="s">
        <v>349</v>
      </c>
      <c r="J13" s="319"/>
      <c r="K13" s="335" t="s">
        <v>229</v>
      </c>
    </row>
    <row r="14" spans="1:11" s="315" customFormat="1" ht="18">
      <c r="A14" s="334" t="s">
        <v>350</v>
      </c>
      <c r="B14" s="319"/>
      <c r="C14" s="1867" t="str">
        <f>'Sch 1 '!C11</f>
        <v>MARCH 1, 2023</v>
      </c>
      <c r="D14" s="319"/>
      <c r="E14" s="335" t="s">
        <v>231</v>
      </c>
      <c r="F14" s="319"/>
      <c r="G14" s="335" t="s">
        <v>232</v>
      </c>
      <c r="H14" s="319"/>
      <c r="I14" s="335" t="s">
        <v>233</v>
      </c>
      <c r="J14" s="319"/>
      <c r="K14" s="659" t="str">
        <f>'Sch 1 '!K11</f>
        <v>MARCH 31, 2023</v>
      </c>
    </row>
    <row r="15" spans="1:11" s="315" customFormat="1" ht="12" customHeight="1">
      <c r="C15" s="1868"/>
      <c r="E15" s="1351"/>
      <c r="G15" s="1351"/>
      <c r="I15" s="1351"/>
      <c r="K15" s="1351"/>
    </row>
    <row r="16" spans="1:11" s="315" customFormat="1" ht="18">
      <c r="A16" s="326" t="s">
        <v>212</v>
      </c>
      <c r="E16" s="323"/>
    </row>
    <row r="17" spans="1:12" s="315" customFormat="1" ht="12" customHeight="1">
      <c r="E17" s="323"/>
    </row>
    <row r="18" spans="1:12" s="315" customFormat="1" ht="16.5" customHeight="1">
      <c r="A18" s="2108" t="s">
        <v>1435</v>
      </c>
      <c r="C18" s="1089">
        <v>270.24599999999998</v>
      </c>
      <c r="D18" s="1090"/>
      <c r="E18" s="1089">
        <v>11.916</v>
      </c>
      <c r="F18" s="1090"/>
      <c r="G18" s="1089">
        <v>7.75</v>
      </c>
      <c r="H18" s="1090"/>
      <c r="I18" s="1089">
        <v>0</v>
      </c>
      <c r="J18" s="1091"/>
      <c r="K18" s="1092">
        <f t="shared" ref="K18" si="0">ROUND(SUM(C18)+SUM(E18)-SUM(G18)+SUM(I18),3)</f>
        <v>274.41199999999998</v>
      </c>
      <c r="L18" s="513"/>
    </row>
    <row r="19" spans="1:12" s="315" customFormat="1" ht="16.399999999999999" customHeight="1">
      <c r="A19" s="315" t="s">
        <v>351</v>
      </c>
      <c r="B19" s="316"/>
      <c r="C19" s="1093">
        <v>0.14299999999999999</v>
      </c>
      <c r="D19" s="1090"/>
      <c r="E19" s="1093">
        <v>8.0000000000000002E-3</v>
      </c>
      <c r="F19" s="1090"/>
      <c r="G19" s="1093">
        <v>4.0000000000000001E-3</v>
      </c>
      <c r="H19" s="1090"/>
      <c r="I19" s="1093">
        <v>0</v>
      </c>
      <c r="J19" s="1091"/>
      <c r="K19" s="1094">
        <f t="shared" ref="K19:K25" si="1">ROUND(SUM(C19)+SUM(E19)-SUM(G19)+SUM(I19),3)</f>
        <v>0.14699999999999999</v>
      </c>
      <c r="L19" s="513"/>
    </row>
    <row r="20" spans="1:12" s="315" customFormat="1" ht="15.75" customHeight="1">
      <c r="A20" s="315" t="s">
        <v>352</v>
      </c>
      <c r="C20" s="1093">
        <v>5.1050000000000004</v>
      </c>
      <c r="D20" s="1090"/>
      <c r="E20" s="1093">
        <v>0.48299999999999998</v>
      </c>
      <c r="F20" s="1090"/>
      <c r="G20" s="1093">
        <v>3.4969999999999999</v>
      </c>
      <c r="H20" s="1090"/>
      <c r="I20" s="1093">
        <v>2</v>
      </c>
      <c r="J20" s="1091"/>
      <c r="K20" s="1094">
        <f>ROUND(SUM(C20)+SUM(E20)-SUM(G20)+SUM(I20),3)</f>
        <v>4.0910000000000002</v>
      </c>
      <c r="L20" s="513"/>
    </row>
    <row r="21" spans="1:12" s="315" customFormat="1" ht="16.399999999999999" customHeight="1">
      <c r="A21" s="315" t="s">
        <v>353</v>
      </c>
      <c r="C21" s="1093">
        <v>3.1339999999999999</v>
      </c>
      <c r="D21" s="1090"/>
      <c r="E21" s="1093">
        <v>4.3470000000000004</v>
      </c>
      <c r="F21" s="1090"/>
      <c r="G21" s="1093">
        <v>4.2060000000000004</v>
      </c>
      <c r="H21" s="1090"/>
      <c r="I21" s="1093">
        <v>0</v>
      </c>
      <c r="J21" s="1091"/>
      <c r="K21" s="1094">
        <f t="shared" si="1"/>
        <v>3.2749999999999999</v>
      </c>
      <c r="L21" s="513"/>
    </row>
    <row r="22" spans="1:12" s="315" customFormat="1" ht="16.399999999999999" customHeight="1">
      <c r="A22" s="315" t="s">
        <v>900</v>
      </c>
      <c r="C22" s="1093">
        <v>19.655999999999999</v>
      </c>
      <c r="D22" s="1090"/>
      <c r="E22" s="1093">
        <v>0.42499999999999999</v>
      </c>
      <c r="F22" s="1090"/>
      <c r="G22" s="1093">
        <v>2.0329999999999999</v>
      </c>
      <c r="H22" s="1090"/>
      <c r="I22" s="1093">
        <v>0</v>
      </c>
      <c r="J22" s="1091"/>
      <c r="K22" s="1094">
        <f t="shared" si="1"/>
        <v>18.047999999999998</v>
      </c>
      <c r="L22" s="513"/>
    </row>
    <row r="23" spans="1:12" s="315" customFormat="1" ht="16.399999999999999" customHeight="1">
      <c r="A23" s="315" t="s">
        <v>901</v>
      </c>
      <c r="C23" s="1093">
        <v>1.986</v>
      </c>
      <c r="D23" s="1090"/>
      <c r="E23" s="1093">
        <v>7.0000000000000001E-3</v>
      </c>
      <c r="F23" s="1090"/>
      <c r="G23" s="1093">
        <v>1.7999999999999999E-2</v>
      </c>
      <c r="H23" s="1090"/>
      <c r="I23" s="1093">
        <v>0</v>
      </c>
      <c r="J23" s="1091"/>
      <c r="K23" s="1094">
        <f t="shared" si="1"/>
        <v>1.9750000000000001</v>
      </c>
      <c r="L23" s="513"/>
    </row>
    <row r="24" spans="1:12" s="315" customFormat="1" ht="16.399999999999999" customHeight="1">
      <c r="A24" s="315" t="s">
        <v>902</v>
      </c>
      <c r="C24" s="1093">
        <v>2.1949999999999998</v>
      </c>
      <c r="D24" s="1090"/>
      <c r="E24" s="1093">
        <v>8.6999999999999994E-2</v>
      </c>
      <c r="F24" s="1090"/>
      <c r="G24" s="1093">
        <v>4.3999999999999997E-2</v>
      </c>
      <c r="H24" s="1090"/>
      <c r="I24" s="1093">
        <v>0</v>
      </c>
      <c r="J24" s="1091"/>
      <c r="K24" s="1094">
        <f t="shared" si="1"/>
        <v>2.238</v>
      </c>
      <c r="L24" s="513"/>
    </row>
    <row r="25" spans="1:12" s="315" customFormat="1" ht="16.399999999999999" customHeight="1">
      <c r="A25" s="315" t="s">
        <v>354</v>
      </c>
      <c r="C25" s="1093">
        <v>4.9429999999999996</v>
      </c>
      <c r="D25" s="1090"/>
      <c r="E25" s="1093">
        <v>0.108</v>
      </c>
      <c r="F25" s="1090"/>
      <c r="G25" s="1093">
        <v>6.8000000000000005E-2</v>
      </c>
      <c r="H25" s="1090"/>
      <c r="I25" s="1093">
        <v>0</v>
      </c>
      <c r="J25" s="1091"/>
      <c r="K25" s="1094">
        <f t="shared" si="1"/>
        <v>4.9829999999999997</v>
      </c>
      <c r="L25" s="513"/>
    </row>
    <row r="26" spans="1:12" s="315" customFormat="1" ht="16.399999999999999" customHeight="1">
      <c r="A26" s="1849" t="s">
        <v>1263</v>
      </c>
      <c r="C26" s="1093">
        <v>34.161000000000001</v>
      </c>
      <c r="D26" s="1090"/>
      <c r="E26" s="1093">
        <v>235.95500000000001</v>
      </c>
      <c r="F26" s="1090"/>
      <c r="G26" s="1093">
        <v>131.63399999999999</v>
      </c>
      <c r="H26" s="1090"/>
      <c r="I26" s="1093">
        <v>0</v>
      </c>
      <c r="J26" s="1091"/>
      <c r="K26" s="1094">
        <f>ROUND(SUM(C26)+SUM(E26)-SUM(G26)+SUM(I26),3)</f>
        <v>138.482</v>
      </c>
      <c r="L26" s="513"/>
    </row>
    <row r="27" spans="1:12" s="315" customFormat="1" ht="16.399999999999999" customHeight="1">
      <c r="A27" s="323" t="s">
        <v>376</v>
      </c>
      <c r="C27" s="1093">
        <v>79.501999999999995</v>
      </c>
      <c r="D27" s="1090"/>
      <c r="E27" s="1093">
        <v>211.92699999999999</v>
      </c>
      <c r="F27" s="1090"/>
      <c r="G27" s="1093">
        <v>225.785</v>
      </c>
      <c r="H27" s="1090"/>
      <c r="I27" s="1093">
        <v>-2.9430000000000001</v>
      </c>
      <c r="J27" s="1091"/>
      <c r="K27" s="1094">
        <f>ROUND(SUM(C27)+SUM(E27)-SUM(G27)+SUM(I27),3)</f>
        <v>62.701000000000001</v>
      </c>
      <c r="L27" s="513"/>
    </row>
    <row r="28" spans="1:12" s="315" customFormat="1" ht="20.149999999999999" customHeight="1">
      <c r="A28" s="319" t="s">
        <v>355</v>
      </c>
      <c r="C28" s="1023">
        <f>ROUND(SUM(C18:C27),3)</f>
        <v>421.07100000000003</v>
      </c>
      <c r="D28" s="505"/>
      <c r="E28" s="1023">
        <f>ROUND(SUM(E18:E27),3)</f>
        <v>465.26299999999998</v>
      </c>
      <c r="F28" s="505"/>
      <c r="G28" s="1023">
        <f>ROUND(SUM(G18:G27),3)</f>
        <v>375.03899999999999</v>
      </c>
      <c r="H28" s="505"/>
      <c r="I28" s="1023">
        <f>ROUND(SUM(I18:I27),3)</f>
        <v>-0.94299999999999995</v>
      </c>
      <c r="J28" s="505"/>
      <c r="K28" s="1023">
        <f>ROUND(SUM(K18:K27),3)</f>
        <v>510.35199999999998</v>
      </c>
      <c r="L28" s="513"/>
    </row>
    <row r="29" spans="1:12" s="315" customFormat="1" ht="15" customHeight="1">
      <c r="C29" s="507"/>
      <c r="D29" s="317"/>
      <c r="E29" s="507"/>
      <c r="F29" s="317"/>
      <c r="G29" s="507"/>
      <c r="H29" s="317"/>
      <c r="I29" s="317"/>
      <c r="J29" s="317"/>
      <c r="K29" s="507"/>
      <c r="L29" s="513"/>
    </row>
    <row r="30" spans="1:12" s="315" customFormat="1" ht="15" customHeight="1">
      <c r="C30" s="317"/>
      <c r="D30" s="1732" t="s">
        <v>228</v>
      </c>
      <c r="E30" s="317"/>
      <c r="F30" s="317"/>
      <c r="G30" s="317"/>
      <c r="H30" s="317"/>
      <c r="I30" s="317"/>
      <c r="J30" s="317"/>
      <c r="K30" s="317"/>
      <c r="L30" s="513"/>
    </row>
    <row r="31" spans="1:12" s="315" customFormat="1" ht="15" customHeight="1">
      <c r="C31" s="317"/>
      <c r="D31" s="317"/>
      <c r="E31" s="317"/>
      <c r="F31" s="317"/>
      <c r="G31" s="317"/>
      <c r="H31" s="317"/>
      <c r="I31" s="317"/>
      <c r="J31" s="317"/>
      <c r="K31" s="317"/>
      <c r="L31" s="513"/>
    </row>
    <row r="32" spans="1:12" s="315" customFormat="1" ht="18" customHeight="1">
      <c r="A32" s="326" t="s">
        <v>217</v>
      </c>
      <c r="C32" s="317"/>
      <c r="D32" s="317"/>
      <c r="E32" s="317"/>
      <c r="F32" s="317"/>
      <c r="G32" s="317"/>
      <c r="H32" s="317"/>
      <c r="I32" s="317"/>
      <c r="J32" s="317"/>
      <c r="K32" s="317"/>
      <c r="L32" s="513"/>
    </row>
    <row r="33" spans="1:15" s="315" customFormat="1" ht="15" customHeight="1">
      <c r="A33" s="326"/>
      <c r="C33" s="317"/>
      <c r="D33" s="317"/>
      <c r="E33" s="317"/>
      <c r="F33" s="317"/>
      <c r="G33" s="317"/>
      <c r="H33" s="317"/>
      <c r="I33" s="317"/>
      <c r="J33" s="317"/>
      <c r="K33" s="317"/>
      <c r="L33" s="513"/>
    </row>
    <row r="34" spans="1:15" s="315" customFormat="1" ht="16.399999999999999" customHeight="1">
      <c r="A34" s="315" t="s">
        <v>903</v>
      </c>
      <c r="C34" s="1093">
        <v>-32.587000000000003</v>
      </c>
      <c r="D34" s="1090"/>
      <c r="E34" s="1093">
        <v>68.093000000000004</v>
      </c>
      <c r="F34" s="1090"/>
      <c r="G34" s="1093">
        <v>60.811</v>
      </c>
      <c r="H34" s="1090"/>
      <c r="I34" s="1980">
        <v>31.015000000000001</v>
      </c>
      <c r="J34" s="1091"/>
      <c r="K34" s="1094">
        <f t="shared" ref="K34:K41" si="2">ROUND(SUM(C34)+SUM(E34)-SUM(G34)+SUM(I34),3)</f>
        <v>5.71</v>
      </c>
      <c r="L34" s="513"/>
      <c r="M34" s="317"/>
    </row>
    <row r="35" spans="1:15" s="315" customFormat="1" ht="16.399999999999999" customHeight="1">
      <c r="A35" s="315" t="s">
        <v>356</v>
      </c>
      <c r="C35" s="1093">
        <v>-65.77</v>
      </c>
      <c r="D35" s="1090"/>
      <c r="E35" s="1093">
        <v>17.350000000000001</v>
      </c>
      <c r="F35" s="1090"/>
      <c r="G35" s="1093">
        <v>-33.142000000000003</v>
      </c>
      <c r="H35" s="1090"/>
      <c r="I35" s="1093">
        <v>16.280999999999999</v>
      </c>
      <c r="J35" s="1091"/>
      <c r="K35" s="1094">
        <f t="shared" si="2"/>
        <v>1.0029999999999999</v>
      </c>
      <c r="L35" s="513"/>
      <c r="M35" s="317"/>
    </row>
    <row r="36" spans="1:15" s="315" customFormat="1" ht="16.399999999999999" customHeight="1">
      <c r="A36" s="315" t="s">
        <v>357</v>
      </c>
      <c r="C36" s="1093">
        <v>-5.0000000000000001E-3</v>
      </c>
      <c r="D36" s="1090"/>
      <c r="E36" s="1093">
        <v>0.08</v>
      </c>
      <c r="F36" s="1090"/>
      <c r="G36" s="1093">
        <v>5.3999999999999999E-2</v>
      </c>
      <c r="H36" s="1090"/>
      <c r="I36" s="1093">
        <v>0</v>
      </c>
      <c r="J36" s="1091"/>
      <c r="K36" s="1094">
        <f t="shared" si="2"/>
        <v>2.1000000000000001E-2</v>
      </c>
      <c r="L36" s="513"/>
      <c r="M36" s="317"/>
    </row>
    <row r="37" spans="1:15" s="315" customFormat="1" ht="16.399999999999999" customHeight="1">
      <c r="A37" s="315" t="s">
        <v>358</v>
      </c>
      <c r="C37" s="1093">
        <v>4.2999999999999997E-2</v>
      </c>
      <c r="D37" s="1090"/>
      <c r="E37" s="1093">
        <v>1E-3</v>
      </c>
      <c r="F37" s="1090"/>
      <c r="G37" s="1093">
        <v>0</v>
      </c>
      <c r="H37" s="1090"/>
      <c r="I37" s="1093">
        <v>0</v>
      </c>
      <c r="J37" s="1091"/>
      <c r="K37" s="1094">
        <f t="shared" si="2"/>
        <v>4.3999999999999997E-2</v>
      </c>
      <c r="L37" s="513"/>
      <c r="M37" s="317"/>
    </row>
    <row r="38" spans="1:15" s="315" customFormat="1" ht="16.399999999999999" customHeight="1">
      <c r="A38" s="315" t="s">
        <v>904</v>
      </c>
      <c r="C38" s="1093">
        <v>1.284</v>
      </c>
      <c r="D38" s="1090"/>
      <c r="E38" s="1093">
        <v>5.0000000000000001E-3</v>
      </c>
      <c r="F38" s="1090"/>
      <c r="G38" s="1093">
        <v>0.107</v>
      </c>
      <c r="H38" s="1090"/>
      <c r="I38" s="1093">
        <v>-2E-3</v>
      </c>
      <c r="J38" s="1091"/>
      <c r="K38" s="1094">
        <f t="shared" si="2"/>
        <v>1.18</v>
      </c>
      <c r="L38" s="513"/>
      <c r="M38" s="317"/>
    </row>
    <row r="39" spans="1:15" s="315" customFormat="1" ht="16.399999999999999" customHeight="1">
      <c r="A39" s="315" t="s">
        <v>359</v>
      </c>
      <c r="C39" s="1093">
        <v>-59.23</v>
      </c>
      <c r="D39" s="1090"/>
      <c r="E39" s="1093">
        <v>10.574</v>
      </c>
      <c r="F39" s="1090"/>
      <c r="G39" s="1093">
        <v>0.70599999999999996</v>
      </c>
      <c r="H39" s="1090"/>
      <c r="I39" s="1093">
        <v>-9.0000000000000011E-3</v>
      </c>
      <c r="J39" s="1091"/>
      <c r="K39" s="1094">
        <f t="shared" si="2"/>
        <v>-49.371000000000002</v>
      </c>
      <c r="L39" s="513"/>
      <c r="M39" s="317" t="s">
        <v>14</v>
      </c>
    </row>
    <row r="40" spans="1:15" s="315" customFormat="1" ht="16.399999999999999" customHeight="1">
      <c r="A40" s="315" t="s">
        <v>360</v>
      </c>
      <c r="C40" s="1093">
        <v>-17.542999999999999</v>
      </c>
      <c r="D40" s="1090"/>
      <c r="E40" s="1093">
        <v>-2.2149999999999999</v>
      </c>
      <c r="F40" s="1090"/>
      <c r="G40" s="1093">
        <v>1.516</v>
      </c>
      <c r="H40" s="1090"/>
      <c r="I40" s="1093">
        <v>21.04</v>
      </c>
      <c r="J40" s="1091"/>
      <c r="K40" s="1094">
        <f t="shared" si="2"/>
        <v>-0.23400000000000001</v>
      </c>
      <c r="L40" s="513"/>
      <c r="M40" s="317" t="s">
        <v>14</v>
      </c>
    </row>
    <row r="41" spans="1:15" s="315" customFormat="1" ht="16.399999999999999" customHeight="1">
      <c r="A41" s="315" t="s">
        <v>361</v>
      </c>
      <c r="C41" s="1093">
        <v>-36.555</v>
      </c>
      <c r="D41" s="1090"/>
      <c r="E41" s="1093">
        <v>4.3310000000000004</v>
      </c>
      <c r="F41" s="1090"/>
      <c r="G41" s="1093">
        <v>5.8650000000000002</v>
      </c>
      <c r="H41" s="1090"/>
      <c r="I41" s="1093">
        <v>38.088999999999999</v>
      </c>
      <c r="J41" s="1091"/>
      <c r="K41" s="1094">
        <f t="shared" si="2"/>
        <v>0</v>
      </c>
      <c r="L41" s="513"/>
      <c r="M41" s="317"/>
    </row>
    <row r="42" spans="1:15" s="315" customFormat="1" ht="20.149999999999999" customHeight="1">
      <c r="A42" s="319" t="s">
        <v>362</v>
      </c>
      <c r="C42" s="1023">
        <f>ROUND(SUM(C34:C41),3)</f>
        <v>-210.363</v>
      </c>
      <c r="D42" s="506"/>
      <c r="E42" s="1023">
        <f>ROUND(SUM(E34:E41),3)</f>
        <v>98.218999999999994</v>
      </c>
      <c r="F42" s="506"/>
      <c r="G42" s="1023">
        <f>ROUND(SUM(G34:G41),3)</f>
        <v>35.917000000000002</v>
      </c>
      <c r="H42" s="506"/>
      <c r="I42" s="1023">
        <f>ROUND(SUM(I34:I41),3)</f>
        <v>106.414</v>
      </c>
      <c r="J42" s="506"/>
      <c r="K42" s="1023">
        <f>ROUND(SUM(K34:K41),3)</f>
        <v>-41.646999999999998</v>
      </c>
      <c r="L42" s="513"/>
    </row>
    <row r="43" spans="1:15" s="315" customFormat="1" ht="15" customHeight="1">
      <c r="A43" s="319"/>
      <c r="C43" s="1869"/>
      <c r="D43" s="1353"/>
      <c r="E43" s="1352"/>
      <c r="F43" s="1353"/>
      <c r="G43" s="1352"/>
      <c r="H43" s="1353"/>
      <c r="I43" s="1726"/>
      <c r="J43" s="1353"/>
      <c r="K43" s="1352"/>
      <c r="L43" s="513"/>
    </row>
    <row r="44" spans="1:15" s="315" customFormat="1" ht="15" customHeight="1">
      <c r="A44" s="319"/>
      <c r="C44" s="1726"/>
      <c r="D44" s="1353"/>
      <c r="E44" s="1353"/>
      <c r="F44" s="1353"/>
      <c r="G44" s="1353" t="s">
        <v>14</v>
      </c>
      <c r="H44" s="1353"/>
      <c r="I44" s="1726"/>
      <c r="J44" s="1353"/>
      <c r="K44" s="1353"/>
      <c r="L44" s="513"/>
    </row>
    <row r="45" spans="1:15" s="315" customFormat="1" ht="20.149999999999999" customHeight="1" thickBot="1">
      <c r="A45" s="319" t="s">
        <v>63</v>
      </c>
      <c r="B45" s="316"/>
      <c r="C45" s="1354">
        <f>ROUND(SUM(C42)+SUM(C28),3)</f>
        <v>210.708</v>
      </c>
      <c r="D45" s="515"/>
      <c r="E45" s="1354">
        <f>ROUND(SUM(E42)+SUM(E28),3)</f>
        <v>563.48199999999997</v>
      </c>
      <c r="F45" s="515"/>
      <c r="G45" s="1354">
        <f>ROUND(SUM(G42)+SUM(G28),3)</f>
        <v>410.95600000000002</v>
      </c>
      <c r="H45" s="515"/>
      <c r="I45" s="1354">
        <f>ROUND(SUM(I42)+SUM(I28),3)</f>
        <v>105.471</v>
      </c>
      <c r="J45" s="515"/>
      <c r="K45" s="1354">
        <f>ROUND(SUM(K42)+SUM(K28),3)</f>
        <v>468.70499999999998</v>
      </c>
      <c r="L45" s="513"/>
    </row>
    <row r="46" spans="1:15" s="315" customFormat="1" ht="18" thickTop="1">
      <c r="C46" s="1355"/>
      <c r="D46" s="1353"/>
      <c r="E46" s="1355" t="s">
        <v>14</v>
      </c>
      <c r="F46" s="1353"/>
      <c r="G46" s="1355"/>
      <c r="H46" s="1353"/>
      <c r="I46" s="501"/>
      <c r="J46" s="1353"/>
      <c r="K46" s="1355"/>
    </row>
    <row r="47" spans="1:15" s="315" customFormat="1">
      <c r="A47" s="1735"/>
      <c r="B47" s="1349"/>
      <c r="C47" s="1357"/>
      <c r="D47" s="1357"/>
      <c r="E47" s="1356" t="s">
        <v>14</v>
      </c>
      <c r="F47" s="1356"/>
      <c r="G47" s="1736"/>
      <c r="H47" s="1356" t="s">
        <v>14</v>
      </c>
      <c r="I47" s="1737" t="s">
        <v>14</v>
      </c>
      <c r="J47" s="1357"/>
      <c r="K47" s="1738"/>
      <c r="L47" s="1349"/>
      <c r="M47" s="1349"/>
      <c r="N47" s="1349"/>
      <c r="O47" s="1349"/>
    </row>
    <row r="48" spans="1:15" s="315" customFormat="1">
      <c r="A48" s="1349"/>
      <c r="B48" s="1349"/>
      <c r="C48" s="1357"/>
      <c r="D48" s="1357"/>
      <c r="E48" s="519" t="s">
        <v>14</v>
      </c>
      <c r="F48" s="519"/>
      <c r="G48" s="519"/>
      <c r="H48" s="519"/>
      <c r="I48" s="519" t="s">
        <v>14</v>
      </c>
      <c r="J48" s="519"/>
      <c r="K48" s="519"/>
      <c r="L48" s="1349"/>
      <c r="M48" s="1349"/>
      <c r="N48" s="1349"/>
      <c r="O48" s="1349"/>
    </row>
    <row r="49" spans="1:15" s="315" customFormat="1">
      <c r="A49" s="1349"/>
      <c r="B49" s="1349"/>
      <c r="C49" s="1357"/>
      <c r="D49" s="1357"/>
      <c r="E49" s="1357" t="s">
        <v>14</v>
      </c>
      <c r="F49" s="1357"/>
      <c r="G49" s="1739"/>
      <c r="H49" s="1349"/>
      <c r="I49" s="1740" t="s">
        <v>14</v>
      </c>
      <c r="J49" s="1357"/>
      <c r="K49" s="1357"/>
      <c r="L49" s="1349"/>
      <c r="M49" s="1349"/>
      <c r="N49" s="1349"/>
      <c r="O49" s="1349"/>
    </row>
    <row r="50" spans="1:15" s="315" customFormat="1">
      <c r="A50" s="1349"/>
      <c r="B50" s="1349"/>
      <c r="C50" s="1357"/>
      <c r="D50" s="1357"/>
      <c r="E50" s="519" t="s">
        <v>14</v>
      </c>
      <c r="F50" s="1357"/>
      <c r="G50" s="1357"/>
      <c r="H50" s="1349"/>
      <c r="I50" s="1740" t="s">
        <v>14</v>
      </c>
      <c r="J50" s="1357"/>
      <c r="K50" s="1357"/>
      <c r="L50" s="1349"/>
      <c r="M50" s="1349"/>
      <c r="N50" s="1349"/>
      <c r="O50" s="1349"/>
    </row>
    <row r="51" spans="1:15" s="315" customFormat="1">
      <c r="A51" s="1349"/>
      <c r="B51" s="1349"/>
      <c r="C51" s="1357"/>
      <c r="D51" s="1357"/>
      <c r="E51" s="519" t="s">
        <v>14</v>
      </c>
      <c r="F51" s="1357"/>
      <c r="G51" s="1357"/>
      <c r="H51" s="1349"/>
      <c r="I51" s="1740" t="s">
        <v>14</v>
      </c>
      <c r="J51" s="1357"/>
      <c r="K51" s="1357"/>
      <c r="L51" s="1349"/>
      <c r="M51" s="1349"/>
      <c r="N51" s="1349"/>
      <c r="O51" s="1349"/>
    </row>
    <row r="52" spans="1:15" s="315" customFormat="1">
      <c r="A52" s="1349"/>
      <c r="B52" s="1349"/>
      <c r="C52" s="1357"/>
      <c r="D52" s="1357"/>
      <c r="E52" s="1357"/>
      <c r="F52" s="1357"/>
      <c r="G52" s="1357"/>
      <c r="H52" s="1349"/>
      <c r="I52" s="1740" t="s">
        <v>14</v>
      </c>
      <c r="J52" s="1357"/>
      <c r="K52" s="1357"/>
      <c r="L52" s="1349"/>
      <c r="M52" s="1349"/>
      <c r="N52" s="1349"/>
      <c r="O52" s="1349"/>
    </row>
    <row r="53" spans="1:15" s="315" customFormat="1">
      <c r="B53" s="1349"/>
      <c r="C53" s="1357"/>
      <c r="D53" s="1357"/>
      <c r="E53" s="1357"/>
      <c r="F53" s="1357"/>
      <c r="G53" s="1357"/>
      <c r="H53" s="1349"/>
      <c r="I53" s="1740" t="s">
        <v>14</v>
      </c>
      <c r="J53" s="1357"/>
      <c r="K53" s="1357"/>
      <c r="L53" s="1349"/>
      <c r="M53" s="1349"/>
      <c r="N53" s="1349"/>
      <c r="O53" s="1349"/>
    </row>
    <row r="54" spans="1:15" s="315" customFormat="1">
      <c r="A54" s="1349"/>
      <c r="B54" s="1349"/>
      <c r="C54" s="1357"/>
      <c r="D54" s="1357"/>
      <c r="E54" s="1357"/>
      <c r="F54" s="1357"/>
      <c r="G54" s="1357"/>
      <c r="H54" s="1349"/>
      <c r="I54" s="1349"/>
      <c r="J54" s="1357"/>
      <c r="K54" s="1357"/>
      <c r="L54" s="1349"/>
      <c r="M54" s="1349"/>
      <c r="N54" s="1349"/>
      <c r="O54" s="1349"/>
    </row>
    <row r="55" spans="1:15" s="315" customFormat="1">
      <c r="A55" s="1349"/>
      <c r="B55" s="1349"/>
      <c r="C55" s="1357"/>
      <c r="D55" s="1357"/>
      <c r="E55" s="1357"/>
      <c r="F55" s="1357"/>
      <c r="G55" s="1357"/>
      <c r="H55" s="1349"/>
      <c r="I55" s="1349"/>
      <c r="J55" s="1357"/>
      <c r="K55" s="1357"/>
      <c r="L55" s="1349"/>
      <c r="M55" s="1349"/>
      <c r="N55" s="1349"/>
      <c r="O55" s="1349"/>
    </row>
    <row r="56" spans="1:15" s="315" customFormat="1">
      <c r="A56" s="1349"/>
      <c r="B56" s="1349"/>
      <c r="C56" s="1357"/>
      <c r="D56" s="1357"/>
      <c r="E56" s="1357"/>
      <c r="F56" s="1357"/>
      <c r="G56" s="1357"/>
      <c r="H56" s="1349"/>
      <c r="I56" s="1349"/>
      <c r="J56" s="1357"/>
      <c r="K56" s="1357"/>
      <c r="L56" s="1349"/>
      <c r="M56" s="1349"/>
      <c r="N56" s="1349"/>
      <c r="O56" s="1349"/>
    </row>
    <row r="57" spans="1:15" s="315" customFormat="1">
      <c r="A57" s="1349"/>
      <c r="B57" s="1349"/>
      <c r="C57" s="1357"/>
      <c r="D57" s="1357"/>
      <c r="E57" s="1357"/>
      <c r="F57" s="1357"/>
      <c r="G57" s="1357"/>
      <c r="H57" s="1349"/>
      <c r="I57" s="1349"/>
      <c r="J57" s="1357"/>
      <c r="K57" s="1357"/>
      <c r="L57" s="1349"/>
      <c r="M57" s="1349"/>
      <c r="N57" s="1349"/>
      <c r="O57" s="1349"/>
    </row>
    <row r="58" spans="1:15" s="315" customFormat="1">
      <c r="A58" s="1349"/>
      <c r="B58" s="1349"/>
      <c r="C58" s="1357"/>
      <c r="D58" s="1357"/>
      <c r="E58" s="1357"/>
      <c r="F58" s="1357"/>
      <c r="G58" s="1357"/>
      <c r="H58" s="1349"/>
      <c r="I58" s="1349"/>
      <c r="J58" s="1357"/>
      <c r="K58" s="1357"/>
      <c r="L58" s="1349"/>
      <c r="M58" s="1349"/>
      <c r="N58" s="1349"/>
      <c r="O58" s="1349"/>
    </row>
    <row r="59" spans="1:15" s="315" customFormat="1">
      <c r="A59" s="1349"/>
      <c r="B59" s="1349"/>
      <c r="C59" s="1357"/>
      <c r="D59" s="1357"/>
      <c r="E59" s="1357"/>
      <c r="F59" s="1357"/>
      <c r="G59" s="1357"/>
      <c r="H59" s="1349"/>
      <c r="I59" s="1349"/>
      <c r="J59" s="1357"/>
      <c r="K59" s="1357"/>
      <c r="L59" s="1349"/>
      <c r="M59" s="1349"/>
      <c r="N59" s="1349"/>
      <c r="O59" s="1349"/>
    </row>
    <row r="60" spans="1:15" s="315" customFormat="1">
      <c r="A60" s="1349"/>
      <c r="B60" s="1349"/>
      <c r="C60" s="1357"/>
      <c r="D60" s="1357"/>
      <c r="E60" s="1357"/>
      <c r="F60" s="1357"/>
      <c r="G60" s="1357"/>
      <c r="H60" s="1349"/>
      <c r="I60" s="1349"/>
      <c r="J60" s="1357"/>
      <c r="K60" s="1357"/>
      <c r="L60" s="1349"/>
      <c r="M60" s="1349"/>
      <c r="N60" s="1349"/>
      <c r="O60" s="1349"/>
    </row>
    <row r="61" spans="1:15" s="315" customFormat="1">
      <c r="A61" s="1349"/>
      <c r="B61" s="1349"/>
      <c r="C61" s="1357"/>
      <c r="D61" s="1357"/>
      <c r="E61" s="1357"/>
      <c r="F61" s="1357"/>
      <c r="G61" s="1357"/>
      <c r="H61" s="1349"/>
      <c r="I61" s="1349"/>
      <c r="J61" s="1357"/>
      <c r="K61" s="1357"/>
      <c r="L61" s="1349"/>
      <c r="M61" s="1349"/>
      <c r="N61" s="1349"/>
      <c r="O61" s="1349"/>
    </row>
    <row r="62" spans="1:15" s="315" customFormat="1">
      <c r="A62" s="1349"/>
      <c r="B62" s="1349"/>
      <c r="C62" s="1357"/>
      <c r="D62" s="1357"/>
      <c r="E62" s="1357"/>
      <c r="F62" s="1357"/>
      <c r="G62" s="1357"/>
      <c r="H62" s="1349"/>
      <c r="I62" s="1349"/>
      <c r="J62" s="1357"/>
      <c r="K62" s="1357"/>
      <c r="L62" s="1349"/>
      <c r="M62" s="1349"/>
      <c r="N62" s="1349"/>
      <c r="O62" s="1349"/>
    </row>
    <row r="63" spans="1:15" s="315" customFormat="1">
      <c r="A63" s="1349"/>
      <c r="B63" s="1349"/>
      <c r="C63" s="1357"/>
      <c r="D63" s="1357"/>
      <c r="E63" s="1357"/>
      <c r="F63" s="1357"/>
      <c r="G63" s="1357"/>
      <c r="H63" s="1349"/>
      <c r="I63" s="1349"/>
      <c r="J63" s="1357"/>
      <c r="K63" s="1357"/>
      <c r="L63" s="1349"/>
      <c r="M63" s="1349"/>
      <c r="N63" s="1349"/>
      <c r="O63" s="1349"/>
    </row>
    <row r="64" spans="1:15" s="315" customFormat="1">
      <c r="A64" s="1349"/>
      <c r="B64" s="1349"/>
      <c r="C64" s="1357"/>
      <c r="D64" s="1357"/>
      <c r="E64" s="1357"/>
      <c r="F64" s="1357"/>
      <c r="G64" s="1357"/>
      <c r="H64" s="1349"/>
      <c r="I64" s="1349"/>
      <c r="J64" s="1357"/>
      <c r="K64" s="1357"/>
      <c r="L64" s="1349"/>
      <c r="M64" s="1349"/>
      <c r="N64" s="1349"/>
      <c r="O64" s="1349"/>
    </row>
    <row r="65" spans="1:15" s="315" customFormat="1">
      <c r="A65" s="1349"/>
      <c r="B65" s="1349"/>
      <c r="C65" s="1357"/>
      <c r="D65" s="1357"/>
      <c r="E65" s="1357"/>
      <c r="F65" s="1357"/>
      <c r="G65" s="1357"/>
      <c r="H65" s="1349"/>
      <c r="I65" s="1349"/>
      <c r="J65" s="1357"/>
      <c r="K65" s="1357"/>
      <c r="L65" s="1349"/>
      <c r="M65" s="1349"/>
      <c r="N65" s="1349"/>
      <c r="O65" s="1349"/>
    </row>
    <row r="66" spans="1:15" s="315" customFormat="1">
      <c r="A66" s="1349"/>
      <c r="B66" s="1349"/>
      <c r="C66" s="1357"/>
      <c r="D66" s="1357"/>
      <c r="E66" s="1357"/>
      <c r="F66" s="1357"/>
      <c r="G66" s="1357"/>
      <c r="H66" s="1349"/>
      <c r="I66" s="1349"/>
      <c r="J66" s="1357"/>
      <c r="K66" s="1357"/>
      <c r="L66" s="1349"/>
      <c r="M66" s="1349"/>
      <c r="N66" s="1349"/>
      <c r="O66" s="1349"/>
    </row>
    <row r="67" spans="1:15" s="315" customFormat="1">
      <c r="A67" s="1349"/>
      <c r="B67" s="1349"/>
      <c r="C67" s="1357"/>
      <c r="D67" s="1357"/>
      <c r="E67" s="1357"/>
      <c r="F67" s="1357"/>
      <c r="G67" s="1357"/>
      <c r="H67" s="1349"/>
      <c r="I67" s="1349"/>
      <c r="J67" s="1357"/>
      <c r="K67" s="1357"/>
      <c r="L67" s="1349"/>
      <c r="M67" s="1349"/>
      <c r="N67" s="1349"/>
      <c r="O67" s="1349"/>
    </row>
    <row r="68" spans="1:15" s="315" customFormat="1">
      <c r="A68" s="1349"/>
      <c r="B68" s="1349"/>
      <c r="C68" s="1357"/>
      <c r="D68" s="1357"/>
      <c r="E68" s="1357"/>
      <c r="F68" s="1357"/>
      <c r="G68" s="1357"/>
      <c r="H68" s="1349"/>
      <c r="I68" s="1349"/>
      <c r="J68" s="1357"/>
      <c r="K68" s="1357"/>
      <c r="L68" s="1349"/>
      <c r="M68" s="1349"/>
      <c r="N68" s="1349"/>
      <c r="O68" s="1349"/>
    </row>
    <row r="69" spans="1:15" s="315" customFormat="1">
      <c r="A69" s="1349"/>
      <c r="B69" s="1349"/>
      <c r="C69" s="1357"/>
      <c r="D69" s="1357"/>
      <c r="E69" s="1357"/>
      <c r="F69" s="1357"/>
      <c r="G69" s="1357"/>
      <c r="H69" s="1349"/>
      <c r="I69" s="1349"/>
      <c r="J69" s="1357"/>
      <c r="K69" s="1357"/>
      <c r="L69" s="1349"/>
      <c r="M69" s="1349"/>
      <c r="N69" s="1349"/>
      <c r="O69" s="1349"/>
    </row>
    <row r="70" spans="1:15" s="315" customFormat="1">
      <c r="A70" s="1349"/>
      <c r="B70" s="1349"/>
      <c r="C70" s="1357"/>
      <c r="D70" s="1357"/>
      <c r="E70" s="1357"/>
      <c r="F70" s="1357"/>
      <c r="G70" s="1357"/>
      <c r="H70" s="1349"/>
      <c r="I70" s="1349"/>
      <c r="J70" s="1357"/>
      <c r="K70" s="1357"/>
      <c r="L70" s="1349"/>
      <c r="M70" s="1349"/>
      <c r="N70" s="1349"/>
      <c r="O70" s="1349"/>
    </row>
    <row r="71" spans="1:15" s="315" customFormat="1">
      <c r="A71" s="1349"/>
      <c r="B71" s="1349"/>
      <c r="C71" s="1357"/>
      <c r="D71" s="1357"/>
      <c r="E71" s="1357"/>
      <c r="F71" s="1357"/>
      <c r="G71" s="1357"/>
      <c r="H71" s="1349"/>
      <c r="I71" s="1349"/>
      <c r="J71" s="1357"/>
      <c r="K71" s="1357"/>
      <c r="L71" s="1349"/>
      <c r="M71" s="1349"/>
      <c r="N71" s="1349"/>
      <c r="O71" s="1349"/>
    </row>
    <row r="72" spans="1:15" s="315" customFormat="1">
      <c r="A72" s="1349"/>
      <c r="B72" s="1349"/>
      <c r="C72" s="1357"/>
      <c r="D72" s="1357"/>
      <c r="E72" s="1357"/>
      <c r="F72" s="1357"/>
      <c r="G72" s="1357"/>
      <c r="H72" s="1349"/>
      <c r="I72" s="1349"/>
      <c r="J72" s="1357"/>
      <c r="K72" s="1357"/>
      <c r="L72" s="1349"/>
      <c r="M72" s="1349"/>
      <c r="N72" s="1349"/>
      <c r="O72" s="1349"/>
    </row>
    <row r="73" spans="1:15" s="315" customFormat="1">
      <c r="A73" s="1349"/>
      <c r="B73" s="1349"/>
      <c r="C73" s="1357"/>
      <c r="D73" s="1357"/>
      <c r="E73" s="1357"/>
      <c r="F73" s="1357"/>
      <c r="G73" s="1357"/>
      <c r="H73" s="1349"/>
      <c r="I73" s="1349"/>
      <c r="J73" s="1357"/>
      <c r="K73" s="1357"/>
      <c r="L73" s="1349"/>
      <c r="M73" s="1349"/>
      <c r="N73" s="1349"/>
      <c r="O73" s="1349"/>
    </row>
    <row r="74" spans="1:15" s="315" customFormat="1">
      <c r="A74" s="1349"/>
      <c r="B74" s="1349"/>
      <c r="C74" s="1357"/>
      <c r="D74" s="1357"/>
      <c r="E74" s="1357"/>
      <c r="F74" s="1357"/>
      <c r="G74" s="1357"/>
      <c r="H74" s="1349"/>
      <c r="I74" s="1349"/>
      <c r="J74" s="1357"/>
      <c r="K74" s="1357"/>
      <c r="L74" s="1349"/>
      <c r="M74" s="1349"/>
      <c r="N74" s="1349"/>
      <c r="O74" s="1349"/>
    </row>
    <row r="75" spans="1:15" s="315" customFormat="1">
      <c r="A75" s="1349"/>
      <c r="B75" s="1349"/>
      <c r="C75" s="1357"/>
      <c r="D75" s="1357"/>
      <c r="E75" s="1357"/>
      <c r="F75" s="1357"/>
      <c r="G75" s="1357"/>
      <c r="H75" s="1349"/>
      <c r="I75" s="1349"/>
      <c r="J75" s="1357"/>
      <c r="K75" s="1357"/>
      <c r="L75" s="1349"/>
      <c r="M75" s="1349"/>
      <c r="N75" s="1349"/>
      <c r="O75" s="1349"/>
    </row>
    <row r="76" spans="1:15" s="315" customFormat="1">
      <c r="A76" s="1349"/>
      <c r="B76" s="1349"/>
      <c r="C76" s="1357"/>
      <c r="D76" s="1357"/>
      <c r="E76" s="1357"/>
      <c r="F76" s="1357"/>
      <c r="G76" s="1357"/>
      <c r="H76" s="1349"/>
      <c r="I76" s="1349"/>
      <c r="J76" s="1357"/>
      <c r="K76" s="1357"/>
      <c r="L76" s="1349"/>
      <c r="M76" s="1349"/>
      <c r="N76" s="1349"/>
      <c r="O76" s="1349"/>
    </row>
    <row r="77" spans="1:15" s="315" customFormat="1">
      <c r="A77" s="1349"/>
      <c r="B77" s="1349"/>
      <c r="C77" s="1357"/>
      <c r="D77" s="1357"/>
      <c r="E77" s="1357"/>
      <c r="F77" s="1357"/>
      <c r="G77" s="1357"/>
      <c r="H77" s="1349"/>
      <c r="I77" s="1349"/>
      <c r="J77" s="1357"/>
      <c r="K77" s="1357"/>
      <c r="L77" s="1349"/>
      <c r="M77" s="1349"/>
      <c r="N77" s="1349"/>
      <c r="O77" s="1349"/>
    </row>
    <row r="78" spans="1:15" s="315" customFormat="1">
      <c r="A78" s="1349"/>
      <c r="B78" s="1349"/>
      <c r="C78" s="1357"/>
      <c r="D78" s="1357"/>
      <c r="E78" s="1357"/>
      <c r="F78" s="1357"/>
      <c r="G78" s="1357"/>
      <c r="H78" s="1349"/>
      <c r="I78" s="1349"/>
      <c r="J78" s="1357"/>
      <c r="K78" s="1357"/>
      <c r="L78" s="1349"/>
      <c r="M78" s="1349"/>
      <c r="N78" s="1349"/>
      <c r="O78" s="1349"/>
    </row>
    <row r="79" spans="1:15" s="315" customFormat="1">
      <c r="A79" s="1349"/>
      <c r="B79" s="1349"/>
      <c r="C79" s="1357"/>
      <c r="D79" s="1357"/>
      <c r="E79" s="1357"/>
      <c r="F79" s="1357"/>
      <c r="G79" s="1357"/>
      <c r="H79" s="1349"/>
      <c r="I79" s="1349"/>
      <c r="J79" s="1357"/>
      <c r="K79" s="1357"/>
      <c r="L79" s="1349"/>
      <c r="M79" s="1349"/>
      <c r="N79" s="1349"/>
      <c r="O79" s="1349"/>
    </row>
    <row r="80" spans="1:15" s="315" customFormat="1">
      <c r="A80" s="1349"/>
      <c r="B80" s="1349"/>
      <c r="C80" s="1357"/>
      <c r="D80" s="1357"/>
      <c r="E80" s="1357"/>
      <c r="F80" s="1357"/>
      <c r="G80" s="1357"/>
      <c r="H80" s="1349"/>
      <c r="I80" s="1349"/>
      <c r="J80" s="1357"/>
      <c r="K80" s="1357"/>
      <c r="L80" s="1349"/>
      <c r="M80" s="1349"/>
      <c r="N80" s="1349"/>
      <c r="O80" s="1349"/>
    </row>
    <row r="81" spans="1:15" s="315" customFormat="1">
      <c r="A81" s="1349"/>
      <c r="B81" s="1349"/>
      <c r="C81" s="1357"/>
      <c r="D81" s="1357"/>
      <c r="E81" s="1357"/>
      <c r="F81" s="1357"/>
      <c r="G81" s="1357"/>
      <c r="H81" s="1349"/>
      <c r="I81" s="1349"/>
      <c r="J81" s="1357"/>
      <c r="K81" s="1357"/>
      <c r="L81" s="1349"/>
      <c r="M81" s="1349"/>
      <c r="N81" s="1349"/>
      <c r="O81" s="1349"/>
    </row>
    <row r="82" spans="1:15" s="315" customFormat="1">
      <c r="A82" s="1349"/>
      <c r="B82" s="1349"/>
      <c r="C82" s="1357"/>
      <c r="D82" s="1357"/>
      <c r="E82" s="1357"/>
      <c r="F82" s="1357"/>
      <c r="G82" s="1357"/>
      <c r="H82" s="1349"/>
      <c r="I82" s="1349"/>
      <c r="J82" s="1357"/>
      <c r="K82" s="1357"/>
      <c r="L82" s="1349"/>
      <c r="M82" s="1349"/>
      <c r="N82" s="1349"/>
      <c r="O82" s="1349"/>
    </row>
    <row r="83" spans="1:15" s="315" customFormat="1">
      <c r="A83" s="1349"/>
      <c r="B83" s="1349"/>
      <c r="C83" s="1357"/>
      <c r="D83" s="1357"/>
      <c r="E83" s="1357"/>
      <c r="F83" s="1357"/>
      <c r="G83" s="1357"/>
      <c r="H83" s="1349"/>
      <c r="I83" s="1349"/>
      <c r="J83" s="1357"/>
      <c r="K83" s="1357"/>
      <c r="L83" s="1349"/>
      <c r="M83" s="1349"/>
      <c r="N83" s="1349"/>
      <c r="O83" s="1349"/>
    </row>
    <row r="84" spans="1:15" s="315" customFormat="1">
      <c r="A84" s="1349"/>
      <c r="B84" s="1349"/>
      <c r="C84" s="1357"/>
      <c r="D84" s="1357"/>
      <c r="E84" s="1357"/>
      <c r="F84" s="1357"/>
      <c r="G84" s="1357"/>
      <c r="H84" s="1349"/>
      <c r="I84" s="1349"/>
      <c r="J84" s="1357"/>
      <c r="K84" s="1357"/>
      <c r="L84" s="1349"/>
      <c r="M84" s="1349"/>
      <c r="N84" s="1349"/>
      <c r="O84" s="1349"/>
    </row>
    <row r="85" spans="1:15" s="315" customFormat="1">
      <c r="A85" s="1349"/>
      <c r="B85" s="1349"/>
      <c r="C85" s="1357"/>
      <c r="D85" s="1357"/>
      <c r="E85" s="1357"/>
      <c r="F85" s="1357"/>
      <c r="G85" s="1357"/>
      <c r="H85" s="1349"/>
      <c r="I85" s="1349"/>
      <c r="J85" s="1357"/>
      <c r="K85" s="1357"/>
      <c r="L85" s="1349"/>
      <c r="M85" s="1349"/>
      <c r="N85" s="1349"/>
      <c r="O85" s="1349"/>
    </row>
    <row r="86" spans="1:15" s="315" customFormat="1">
      <c r="A86" s="1349"/>
      <c r="B86" s="1349"/>
      <c r="C86" s="1357"/>
      <c r="D86" s="1357"/>
      <c r="E86" s="1357"/>
      <c r="F86" s="1357"/>
      <c r="G86" s="1357"/>
      <c r="H86" s="1349"/>
      <c r="I86" s="1349"/>
      <c r="J86" s="1357"/>
      <c r="K86" s="1357"/>
      <c r="L86" s="1349"/>
      <c r="M86" s="1349"/>
      <c r="N86" s="1349"/>
      <c r="O86" s="1349"/>
    </row>
    <row r="87" spans="1:15" s="315" customFormat="1">
      <c r="A87" s="1349"/>
      <c r="B87" s="1349"/>
      <c r="C87" s="1357"/>
      <c r="D87" s="1357"/>
      <c r="E87" s="1357"/>
      <c r="F87" s="1357"/>
      <c r="G87" s="1357"/>
      <c r="H87" s="1349"/>
      <c r="I87" s="1349"/>
      <c r="J87" s="1357"/>
      <c r="K87" s="1357"/>
      <c r="L87" s="1349"/>
      <c r="M87" s="1349"/>
      <c r="N87" s="1349"/>
      <c r="O87" s="1349"/>
    </row>
    <row r="88" spans="1:15" s="315" customFormat="1">
      <c r="A88" s="1349"/>
      <c r="B88" s="1349"/>
      <c r="C88" s="1357"/>
      <c r="D88" s="1357"/>
      <c r="E88" s="1357"/>
      <c r="F88" s="1357"/>
      <c r="G88" s="1357"/>
      <c r="H88" s="1349"/>
      <c r="I88" s="1349"/>
      <c r="J88" s="1357"/>
      <c r="K88" s="1357"/>
      <c r="L88" s="1349"/>
      <c r="M88" s="1349"/>
      <c r="N88" s="1349"/>
      <c r="O88" s="1349"/>
    </row>
    <row r="89" spans="1:15" s="315" customFormat="1">
      <c r="A89" s="1349"/>
      <c r="B89" s="1349"/>
      <c r="C89" s="1357"/>
      <c r="D89" s="1357"/>
      <c r="E89" s="1357"/>
      <c r="F89" s="1357"/>
      <c r="G89" s="1357"/>
      <c r="H89" s="1349"/>
      <c r="I89" s="1349"/>
      <c r="J89" s="1357"/>
      <c r="K89" s="1357"/>
      <c r="L89" s="1349"/>
      <c r="M89" s="1349"/>
      <c r="N89" s="1349"/>
      <c r="O89" s="1349"/>
    </row>
    <row r="90" spans="1:15" s="315" customFormat="1">
      <c r="A90" s="1349"/>
      <c r="B90" s="1349"/>
      <c r="C90" s="1357"/>
      <c r="D90" s="1357"/>
      <c r="E90" s="1357"/>
      <c r="F90" s="1357"/>
      <c r="G90" s="1357"/>
      <c r="H90" s="1349"/>
      <c r="I90" s="1349"/>
      <c r="J90" s="1357"/>
      <c r="K90" s="1357"/>
      <c r="L90" s="1349"/>
      <c r="M90" s="1349"/>
      <c r="N90" s="1349"/>
      <c r="O90" s="1349"/>
    </row>
    <row r="91" spans="1:15" s="315" customFormat="1">
      <c r="A91" s="1349"/>
      <c r="B91" s="1349"/>
      <c r="C91" s="1357"/>
      <c r="D91" s="1357"/>
      <c r="E91" s="1357"/>
      <c r="F91" s="1357"/>
      <c r="G91" s="1357"/>
      <c r="H91" s="1349"/>
      <c r="I91" s="1349"/>
      <c r="J91" s="1357"/>
      <c r="K91" s="1357"/>
      <c r="L91" s="1349"/>
      <c r="M91" s="1349"/>
      <c r="N91" s="1349"/>
      <c r="O91" s="1349"/>
    </row>
    <row r="92" spans="1:15" s="315" customFormat="1">
      <c r="A92" s="1349"/>
      <c r="B92" s="1349"/>
      <c r="C92" s="1357"/>
      <c r="D92" s="1357"/>
      <c r="E92" s="1357"/>
      <c r="F92" s="1357"/>
      <c r="G92" s="1357"/>
      <c r="H92" s="1349"/>
      <c r="I92" s="1349"/>
      <c r="J92" s="1357"/>
      <c r="K92" s="1357"/>
      <c r="L92" s="1349"/>
      <c r="M92" s="1349"/>
      <c r="N92" s="1349"/>
      <c r="O92" s="1349"/>
    </row>
    <row r="93" spans="1:15" s="315" customFormat="1">
      <c r="A93" s="1349"/>
      <c r="B93" s="1349"/>
      <c r="C93" s="1357"/>
      <c r="D93" s="1357"/>
      <c r="E93" s="1357"/>
      <c r="F93" s="1357"/>
      <c r="G93" s="1357"/>
      <c r="H93" s="1349"/>
      <c r="I93" s="1349"/>
      <c r="J93" s="1357"/>
      <c r="K93" s="1357"/>
      <c r="L93" s="1349"/>
      <c r="M93" s="1349"/>
      <c r="N93" s="1349"/>
      <c r="O93" s="1349"/>
    </row>
    <row r="94" spans="1:15" s="315" customFormat="1">
      <c r="A94" s="1349"/>
      <c r="B94" s="1349"/>
      <c r="C94" s="1357"/>
      <c r="D94" s="1357"/>
      <c r="E94" s="1357"/>
      <c r="F94" s="1357"/>
      <c r="G94" s="1357"/>
      <c r="H94" s="1349"/>
      <c r="I94" s="1349"/>
      <c r="J94" s="1357"/>
      <c r="K94" s="1357"/>
      <c r="L94" s="1349"/>
      <c r="M94" s="1349"/>
      <c r="N94" s="1349"/>
      <c r="O94" s="1349"/>
    </row>
    <row r="95" spans="1:15" s="315" customFormat="1">
      <c r="A95" s="1349"/>
      <c r="B95" s="1349"/>
      <c r="C95" s="1357"/>
      <c r="D95" s="1357"/>
      <c r="E95" s="1357"/>
      <c r="F95" s="1357"/>
      <c r="G95" s="1357"/>
      <c r="H95" s="1349"/>
      <c r="I95" s="1349"/>
      <c r="J95" s="1357"/>
      <c r="K95" s="1357"/>
      <c r="L95" s="1349"/>
      <c r="M95" s="1349"/>
      <c r="N95" s="1349"/>
      <c r="O95" s="1349"/>
    </row>
  </sheetData>
  <printOptions horizontalCentered="1"/>
  <pageMargins left="0.75" right="0.5" top="0.5" bottom="0.5" header="0" footer="0.25"/>
  <pageSetup scale="60" firstPageNumber="42"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8"/>
  <sheetViews>
    <sheetView showGridLines="0" zoomScale="80" workbookViewId="0"/>
  </sheetViews>
  <sheetFormatPr defaultColWidth="8.84375" defaultRowHeight="12.5"/>
  <cols>
    <col min="1" max="1" width="56.07421875" style="318" customWidth="1"/>
    <col min="2" max="2" width="5.84375" style="318" customWidth="1"/>
    <col min="3" max="3" width="9.84375" style="318" customWidth="1"/>
    <col min="4" max="4" width="20.84375" style="318" customWidth="1"/>
    <col min="5" max="5" width="1.84375" style="318" customWidth="1"/>
    <col min="6" max="6" width="20.84375" style="318" customWidth="1"/>
    <col min="7" max="7" width="2.07421875" style="318" customWidth="1"/>
    <col min="8" max="8" width="20.84375" style="318" customWidth="1"/>
    <col min="9" max="9" width="1.84375" style="318" customWidth="1"/>
    <col min="10" max="10" width="20.84375" style="318" customWidth="1"/>
    <col min="11" max="11" width="2.07421875" style="318" customWidth="1"/>
    <col min="12" max="12" width="22.84375" style="318" customWidth="1"/>
    <col min="13" max="13" width="2.4609375" style="318" customWidth="1"/>
    <col min="14" max="16384" width="8.84375" style="318"/>
  </cols>
  <sheetData>
    <row r="1" spans="1:13" ht="15.5">
      <c r="A1" s="468" t="s">
        <v>868</v>
      </c>
    </row>
    <row r="2" spans="1:13" ht="18" customHeight="1"/>
    <row r="3" spans="1:13" ht="18">
      <c r="A3" s="319" t="s">
        <v>0</v>
      </c>
      <c r="B3" s="320"/>
      <c r="C3" s="320"/>
      <c r="D3" s="321"/>
      <c r="E3" s="321"/>
      <c r="F3" s="320"/>
      <c r="G3" s="320" t="s">
        <v>14</v>
      </c>
      <c r="H3" s="320"/>
      <c r="I3" s="320"/>
      <c r="J3" s="320"/>
      <c r="K3" s="320"/>
      <c r="L3" s="322" t="s">
        <v>363</v>
      </c>
      <c r="M3" s="321"/>
    </row>
    <row r="4" spans="1:13" ht="18">
      <c r="A4" s="319" t="s">
        <v>364</v>
      </c>
      <c r="B4" s="320"/>
      <c r="C4" s="320"/>
      <c r="D4" s="321"/>
      <c r="E4" s="321"/>
      <c r="F4" s="320"/>
      <c r="G4" s="320"/>
      <c r="H4" s="320"/>
      <c r="I4" s="320"/>
      <c r="J4" s="320"/>
      <c r="K4" s="320"/>
      <c r="L4" s="324"/>
      <c r="M4" s="321"/>
    </row>
    <row r="5" spans="1:13" ht="18">
      <c r="A5" s="325" t="s">
        <v>1163</v>
      </c>
      <c r="B5" s="320"/>
      <c r="C5" s="320"/>
      <c r="D5" s="321"/>
      <c r="E5" s="321"/>
      <c r="F5" s="320"/>
      <c r="G5" s="320"/>
      <c r="H5" s="320"/>
      <c r="I5" s="320"/>
      <c r="J5" s="320"/>
      <c r="K5" s="320"/>
      <c r="L5" s="320"/>
      <c r="M5" s="321"/>
    </row>
    <row r="6" spans="1:13" ht="18">
      <c r="A6" s="325" t="str">
        <f>'Sch 2 '!A7</f>
        <v>FISCAL YEAR 2022-2023</v>
      </c>
      <c r="B6" s="320"/>
      <c r="C6" s="320"/>
      <c r="D6" s="321"/>
      <c r="E6" s="321"/>
      <c r="F6" s="320"/>
      <c r="G6" s="320"/>
      <c r="H6" s="320"/>
      <c r="I6" s="320"/>
      <c r="J6" s="320"/>
      <c r="K6" s="320"/>
      <c r="L6" s="320"/>
      <c r="M6" s="321"/>
    </row>
    <row r="7" spans="1:13" ht="18">
      <c r="A7" s="325" t="str">
        <f>'Sch 2 '!A8</f>
        <v>FOR THE MONTH OF MARCH 2023</v>
      </c>
      <c r="B7" s="320"/>
      <c r="C7" s="320"/>
      <c r="D7" s="321"/>
      <c r="E7" s="321"/>
      <c r="F7" s="320"/>
      <c r="G7" s="320"/>
      <c r="H7" s="320"/>
      <c r="I7" s="320"/>
      <c r="J7" s="320"/>
      <c r="K7" s="320"/>
      <c r="L7" s="320"/>
      <c r="M7" s="321"/>
    </row>
    <row r="8" spans="1:13" ht="18">
      <c r="A8" s="586" t="s">
        <v>1247</v>
      </c>
      <c r="B8" s="320"/>
      <c r="C8" s="320"/>
      <c r="D8" s="321"/>
      <c r="E8" s="321"/>
      <c r="F8" s="320"/>
      <c r="G8" s="320"/>
      <c r="H8" s="320"/>
      <c r="I8" s="320"/>
      <c r="J8" s="320"/>
      <c r="K8" s="320"/>
      <c r="L8" s="320"/>
      <c r="M8" s="321"/>
    </row>
    <row r="9" spans="1:13" ht="18">
      <c r="A9" s="319"/>
      <c r="B9" s="319"/>
      <c r="C9" s="319"/>
      <c r="D9" s="335"/>
      <c r="E9" s="319"/>
      <c r="F9" s="319"/>
      <c r="G9" s="319"/>
      <c r="H9" s="319"/>
      <c r="I9" s="319"/>
      <c r="J9" s="335" t="s">
        <v>348</v>
      </c>
      <c r="K9" s="319"/>
      <c r="L9" s="335"/>
      <c r="M9" s="321"/>
    </row>
    <row r="10" spans="1:13" ht="18">
      <c r="A10" s="319"/>
      <c r="B10" s="319"/>
      <c r="C10" s="319"/>
      <c r="D10" s="335" t="s">
        <v>229</v>
      </c>
      <c r="E10" s="319"/>
      <c r="F10" s="319"/>
      <c r="G10" s="319"/>
      <c r="H10" s="319"/>
      <c r="I10" s="319"/>
      <c r="J10" s="335" t="s">
        <v>349</v>
      </c>
      <c r="K10" s="319"/>
      <c r="L10" s="335" t="s">
        <v>229</v>
      </c>
      <c r="M10" s="321"/>
    </row>
    <row r="11" spans="1:13" ht="18">
      <c r="A11" s="334" t="s">
        <v>350</v>
      </c>
      <c r="B11" s="319"/>
      <c r="C11" s="319"/>
      <c r="D11" s="659" t="str">
        <f>'Sch 1 '!C11</f>
        <v>MARCH 1, 2023</v>
      </c>
      <c r="E11" s="319"/>
      <c r="F11" s="335" t="s">
        <v>231</v>
      </c>
      <c r="G11" s="319"/>
      <c r="H11" s="335" t="s">
        <v>232</v>
      </c>
      <c r="I11" s="319"/>
      <c r="J11" s="335" t="s">
        <v>233</v>
      </c>
      <c r="K11" s="319"/>
      <c r="L11" s="659" t="str">
        <f>'Sch 1 '!K11</f>
        <v>MARCH 31, 2023</v>
      </c>
      <c r="M11" s="321"/>
    </row>
    <row r="12" spans="1:13" ht="9.75" customHeight="1">
      <c r="A12" s="319" t="s">
        <v>14</v>
      </c>
      <c r="B12" s="319"/>
      <c r="C12" s="319"/>
      <c r="D12" s="500" t="s">
        <v>14</v>
      </c>
      <c r="E12" s="319"/>
      <c r="F12" s="500" t="s">
        <v>14</v>
      </c>
      <c r="G12" s="319"/>
      <c r="H12" s="500" t="s">
        <v>14</v>
      </c>
      <c r="I12" s="319"/>
      <c r="J12" s="500" t="s">
        <v>14</v>
      </c>
      <c r="K12" s="319" t="s">
        <v>14</v>
      </c>
      <c r="L12" s="500" t="s">
        <v>14</v>
      </c>
      <c r="M12" s="321"/>
    </row>
    <row r="13" spans="1:13" ht="18" customHeight="1">
      <c r="A13" s="326" t="s">
        <v>781</v>
      </c>
      <c r="B13" s="323"/>
      <c r="C13" s="323"/>
      <c r="D13" s="501"/>
      <c r="E13" s="501"/>
      <c r="F13" s="337"/>
      <c r="G13" s="315"/>
      <c r="H13" s="337"/>
      <c r="I13" s="501"/>
      <c r="J13" s="501"/>
      <c r="K13" s="501"/>
      <c r="L13" s="501"/>
      <c r="M13" s="327"/>
    </row>
    <row r="14" spans="1:13" ht="7.5" customHeight="1">
      <c r="A14" s="319"/>
      <c r="B14" s="323"/>
      <c r="C14" s="323"/>
      <c r="D14" s="501"/>
      <c r="E14" s="501"/>
      <c r="F14" s="501"/>
      <c r="G14" s="501"/>
      <c r="H14" s="501"/>
      <c r="I14" s="501"/>
      <c r="J14" s="501"/>
      <c r="K14" s="501"/>
      <c r="L14" s="501"/>
      <c r="M14" s="327"/>
    </row>
    <row r="15" spans="1:13" ht="15.75" customHeight="1">
      <c r="A15" s="323" t="s">
        <v>905</v>
      </c>
      <c r="B15" s="323"/>
      <c r="C15" s="323"/>
      <c r="D15" s="1089">
        <v>-5.8000000000000003E-2</v>
      </c>
      <c r="E15" s="1090"/>
      <c r="F15" s="1089">
        <v>33.898000000000003</v>
      </c>
      <c r="G15" s="1090"/>
      <c r="H15" s="1089">
        <v>25.366</v>
      </c>
      <c r="I15" s="1090"/>
      <c r="J15" s="1089">
        <v>0</v>
      </c>
      <c r="K15" s="1091"/>
      <c r="L15" s="1092">
        <f>ROUND(SUM(D15)+SUM(F15)-SUM(H15)+SUM(J15),3)</f>
        <v>8.4740000000000002</v>
      </c>
      <c r="M15" s="327"/>
    </row>
    <row r="16" spans="1:13" ht="15.75" customHeight="1">
      <c r="A16" s="323" t="s">
        <v>1456</v>
      </c>
      <c r="B16" s="323"/>
      <c r="C16" s="323"/>
      <c r="D16" s="1095">
        <v>326.13400000000001</v>
      </c>
      <c r="E16" s="1090"/>
      <c r="F16" s="1095">
        <v>921.12199999999996</v>
      </c>
      <c r="G16" s="1090"/>
      <c r="H16" s="1095">
        <v>0</v>
      </c>
      <c r="I16" s="1090"/>
      <c r="J16" s="1095">
        <v>0</v>
      </c>
      <c r="K16" s="1091"/>
      <c r="L16" s="1096">
        <f>ROUND(SUM(D16)+SUM(F16)-SUM(H16)+SUM(J16),3)</f>
        <v>1247.2560000000001</v>
      </c>
      <c r="M16" s="327"/>
    </row>
    <row r="17" spans="1:13" ht="6.75" customHeight="1">
      <c r="A17" s="319"/>
      <c r="B17" s="323"/>
      <c r="C17" s="323"/>
      <c r="D17" s="1866" t="s">
        <v>14</v>
      </c>
      <c r="E17" s="501"/>
      <c r="F17" s="502" t="s">
        <v>14</v>
      </c>
      <c r="G17" s="501"/>
      <c r="H17" s="502" t="s">
        <v>14</v>
      </c>
      <c r="I17" s="501"/>
      <c r="J17" s="503" t="s">
        <v>14</v>
      </c>
      <c r="K17" s="501"/>
      <c r="L17" s="504" t="s">
        <v>14</v>
      </c>
      <c r="M17" s="327"/>
    </row>
    <row r="18" spans="1:13" ht="17.25" customHeight="1">
      <c r="A18" s="319" t="s">
        <v>1457</v>
      </c>
      <c r="B18" s="323"/>
      <c r="C18" s="323"/>
      <c r="D18" s="505">
        <f>ROUND(SUM(D15:D16),3)</f>
        <v>326.07600000000002</v>
      </c>
      <c r="E18" s="506"/>
      <c r="F18" s="505">
        <f>ROUND(SUM(F15:F16),3)</f>
        <v>955.02</v>
      </c>
      <c r="G18" s="506"/>
      <c r="H18" s="505">
        <f>ROUND(SUM(H15:H16),3)</f>
        <v>25.366</v>
      </c>
      <c r="I18" s="506"/>
      <c r="J18" s="651">
        <f>ROUND(SUM(J15:J16),3)</f>
        <v>0</v>
      </c>
      <c r="K18" s="506"/>
      <c r="L18" s="505">
        <f>ROUND(SUM(L15:L16),3)</f>
        <v>1255.73</v>
      </c>
      <c r="M18" s="328"/>
    </row>
    <row r="19" spans="1:13" ht="12" customHeight="1">
      <c r="A19" s="319"/>
      <c r="B19" s="323"/>
      <c r="C19" s="323"/>
      <c r="D19" s="507"/>
      <c r="E19" s="317"/>
      <c r="F19" s="507"/>
      <c r="G19" s="317"/>
      <c r="H19" s="507"/>
      <c r="I19" s="317"/>
      <c r="J19" s="317"/>
      <c r="K19" s="317"/>
      <c r="L19" s="507"/>
      <c r="M19" s="327"/>
    </row>
    <row r="20" spans="1:13" ht="18" customHeight="1">
      <c r="A20" s="326" t="s">
        <v>223</v>
      </c>
      <c r="B20" s="319"/>
      <c r="C20" s="319"/>
      <c r="D20" s="506"/>
      <c r="E20" s="506"/>
      <c r="F20" s="506"/>
      <c r="G20" s="506"/>
      <c r="H20" s="506"/>
      <c r="I20" s="506"/>
      <c r="J20" s="506"/>
      <c r="K20" s="506"/>
      <c r="L20" s="506"/>
      <c r="M20" s="321"/>
    </row>
    <row r="21" spans="1:13" ht="7.5" customHeight="1">
      <c r="A21" s="319"/>
      <c r="B21" s="319"/>
      <c r="C21" s="319"/>
      <c r="D21" s="506"/>
      <c r="E21" s="506"/>
      <c r="F21" s="506"/>
      <c r="G21" s="506"/>
      <c r="H21" s="506"/>
      <c r="I21" s="506"/>
      <c r="J21" s="506"/>
      <c r="K21" s="506"/>
      <c r="L21" s="317"/>
      <c r="M21" s="321"/>
    </row>
    <row r="22" spans="1:13" ht="17.899999999999999" customHeight="1">
      <c r="A22" s="508" t="s">
        <v>1433</v>
      </c>
      <c r="B22" s="319"/>
      <c r="C22" s="319"/>
      <c r="D22" s="1093">
        <v>36.697000000000003</v>
      </c>
      <c r="E22" s="1090"/>
      <c r="F22" s="1093">
        <v>0.53</v>
      </c>
      <c r="G22" s="1090"/>
      <c r="H22" s="1093">
        <v>0.03</v>
      </c>
      <c r="I22" s="1090"/>
      <c r="J22" s="1093">
        <v>0</v>
      </c>
      <c r="K22" s="1091"/>
      <c r="L22" s="1094">
        <f>ROUND(SUM(D22)+SUM(F22)-SUM(H22)+SUM(J22),3)</f>
        <v>37.197000000000003</v>
      </c>
      <c r="M22" s="321"/>
    </row>
    <row r="23" spans="1:13" ht="16.5" customHeight="1">
      <c r="A23" s="508" t="s">
        <v>365</v>
      </c>
      <c r="B23" s="319"/>
      <c r="C23" s="336"/>
      <c r="D23" s="1093">
        <v>3.2919999999999998</v>
      </c>
      <c r="E23" s="1090"/>
      <c r="F23" s="1093">
        <v>6.5000000000000002E-2</v>
      </c>
      <c r="G23" s="1090"/>
      <c r="H23" s="1093">
        <v>1.7000000000000001E-2</v>
      </c>
      <c r="I23" s="1090"/>
      <c r="J23" s="1093">
        <v>0</v>
      </c>
      <c r="K23" s="1091"/>
      <c r="L23" s="1094">
        <f>ROUND(SUM(D23)+SUM(F23)-SUM(H23)+SUM(J23),3)</f>
        <v>3.34</v>
      </c>
      <c r="M23" s="321"/>
    </row>
    <row r="24" spans="1:13" ht="15.75" customHeight="1">
      <c r="A24" s="508" t="s">
        <v>366</v>
      </c>
      <c r="B24" s="319"/>
      <c r="C24" s="319"/>
      <c r="D24" s="1095">
        <v>12.518000000000001</v>
      </c>
      <c r="E24" s="1090"/>
      <c r="F24" s="1095">
        <v>0.10100000000000001</v>
      </c>
      <c r="G24" s="1090"/>
      <c r="H24" s="1095">
        <v>3.6999999999999998E-2</v>
      </c>
      <c r="I24" s="1090"/>
      <c r="J24" s="1095">
        <v>0</v>
      </c>
      <c r="K24" s="1091"/>
      <c r="L24" s="1096">
        <f>ROUND(SUM(D24)+SUM(F24)-SUM(H24)+SUM(J24),3)</f>
        <v>12.582000000000001</v>
      </c>
      <c r="M24" s="321"/>
    </row>
    <row r="25" spans="1:13" ht="6.75" customHeight="1">
      <c r="A25" s="508"/>
      <c r="B25" s="319"/>
      <c r="C25" s="319"/>
      <c r="D25" s="317"/>
      <c r="E25" s="317"/>
      <c r="F25" s="317" t="s">
        <v>14</v>
      </c>
      <c r="G25" s="317"/>
      <c r="H25" s="509"/>
      <c r="I25" s="317"/>
      <c r="J25" s="510"/>
      <c r="K25" s="317"/>
      <c r="L25" s="317"/>
      <c r="M25" s="321"/>
    </row>
    <row r="26" spans="1:13" ht="17.25" customHeight="1">
      <c r="A26" s="325" t="s">
        <v>1096</v>
      </c>
      <c r="B26" s="319"/>
      <c r="C26" s="336"/>
      <c r="D26" s="511">
        <f>ROUND(SUM(D22:D24),3)</f>
        <v>52.506999999999998</v>
      </c>
      <c r="E26" s="506"/>
      <c r="F26" s="511">
        <f>ROUND(SUM(F22:F24),3)</f>
        <v>0.69599999999999995</v>
      </c>
      <c r="G26" s="506"/>
      <c r="H26" s="511">
        <f>ROUND(SUM(H22:H24),3)</f>
        <v>8.4000000000000005E-2</v>
      </c>
      <c r="I26" s="506"/>
      <c r="J26" s="511">
        <f>ROUND(SUM(J22:J24),3)</f>
        <v>0</v>
      </c>
      <c r="K26" s="506"/>
      <c r="L26" s="511">
        <f>ROUND(SUM(L22:L24),3)</f>
        <v>53.119</v>
      </c>
      <c r="M26" s="329"/>
    </row>
    <row r="27" spans="1:13" ht="12" customHeight="1">
      <c r="A27" s="319"/>
      <c r="B27" s="319"/>
      <c r="C27" s="319"/>
      <c r="D27" s="506"/>
      <c r="E27" s="506"/>
      <c r="F27" s="506"/>
      <c r="G27" s="506"/>
      <c r="H27" s="506"/>
      <c r="I27" s="506"/>
      <c r="J27" s="506"/>
      <c r="K27" s="506"/>
      <c r="L27" s="506"/>
      <c r="M27" s="321"/>
    </row>
    <row r="28" spans="1:13" ht="18">
      <c r="A28" s="326" t="s">
        <v>367</v>
      </c>
      <c r="B28" s="319"/>
      <c r="C28" s="319"/>
      <c r="D28" s="506"/>
      <c r="E28" s="506"/>
      <c r="F28" s="506"/>
      <c r="G28" s="506"/>
      <c r="H28" s="506"/>
      <c r="I28" s="506"/>
      <c r="J28" s="506"/>
      <c r="K28" s="506"/>
      <c r="L28" s="506"/>
      <c r="M28" s="321"/>
    </row>
    <row r="29" spans="1:13" ht="7.5" customHeight="1">
      <c r="A29" s="323" t="s">
        <v>14</v>
      </c>
      <c r="B29" s="323"/>
      <c r="C29" s="323"/>
      <c r="D29" s="317"/>
      <c r="E29" s="317"/>
      <c r="F29" s="317"/>
      <c r="G29" s="317"/>
      <c r="H29" s="317"/>
      <c r="I29" s="317"/>
      <c r="J29" s="317"/>
      <c r="K29" s="317"/>
      <c r="L29" s="317"/>
      <c r="M29" s="321"/>
    </row>
    <row r="30" spans="1:13" ht="16.5" customHeight="1">
      <c r="A30" s="323" t="s">
        <v>896</v>
      </c>
      <c r="B30" s="323"/>
      <c r="C30" s="323" t="s">
        <v>14</v>
      </c>
      <c r="D30" s="1093">
        <v>5.399</v>
      </c>
      <c r="E30" s="1090"/>
      <c r="F30" s="1093">
        <v>0.34899999999999998</v>
      </c>
      <c r="G30" s="1090"/>
      <c r="H30" s="1093">
        <v>0</v>
      </c>
      <c r="I30" s="1090"/>
      <c r="J30" s="1093">
        <v>0.57299999999999995</v>
      </c>
      <c r="K30" s="1091"/>
      <c r="L30" s="1094">
        <f t="shared" ref="L30:L45" si="0">ROUND(SUM(D30)+SUM(F30)-SUM(H30)+SUM(J30),3)</f>
        <v>6.3209999999999997</v>
      </c>
      <c r="M30" s="327"/>
    </row>
    <row r="31" spans="1:13" ht="15.75" customHeight="1">
      <c r="A31" s="508" t="s">
        <v>368</v>
      </c>
      <c r="B31" s="323"/>
      <c r="C31" s="323"/>
      <c r="D31" s="1093">
        <v>0.64300000000000002</v>
      </c>
      <c r="E31" s="1090"/>
      <c r="F31" s="1093">
        <v>2E-3</v>
      </c>
      <c r="G31" s="1090"/>
      <c r="H31" s="1093">
        <v>2E-3</v>
      </c>
      <c r="I31" s="1090"/>
      <c r="J31" s="1093">
        <v>0</v>
      </c>
      <c r="K31" s="1091"/>
      <c r="L31" s="1094">
        <f t="shared" si="0"/>
        <v>0.64300000000000002</v>
      </c>
      <c r="M31" s="327"/>
    </row>
    <row r="32" spans="1:13" ht="16.5" customHeight="1">
      <c r="A32" s="323" t="s">
        <v>369</v>
      </c>
      <c r="B32" s="323"/>
      <c r="C32" s="323"/>
      <c r="D32" s="1093">
        <v>785.64800000000002</v>
      </c>
      <c r="E32" s="1090"/>
      <c r="F32" s="1093">
        <v>1570.287</v>
      </c>
      <c r="G32" s="1090"/>
      <c r="H32" s="1093">
        <v>1256.4159999999999</v>
      </c>
      <c r="I32" s="1090"/>
      <c r="J32" s="1093">
        <v>0</v>
      </c>
      <c r="K32" s="1091"/>
      <c r="L32" s="1094">
        <f t="shared" si="0"/>
        <v>1099.519</v>
      </c>
      <c r="M32" s="327"/>
    </row>
    <row r="33" spans="1:14" ht="16.5" customHeight="1">
      <c r="A33" s="323" t="s">
        <v>370</v>
      </c>
      <c r="B33" s="323"/>
      <c r="C33" s="323" t="s">
        <v>14</v>
      </c>
      <c r="D33" s="1093">
        <v>15.362</v>
      </c>
      <c r="E33" s="1090"/>
      <c r="F33" s="1093">
        <v>146.89500000000001</v>
      </c>
      <c r="G33" s="1090"/>
      <c r="H33" s="1093">
        <v>147.19200000000001</v>
      </c>
      <c r="I33" s="1090"/>
      <c r="J33" s="1093">
        <v>0</v>
      </c>
      <c r="K33" s="1091"/>
      <c r="L33" s="1094">
        <f>ROUND(SUM(D33)+SUM(F33)-SUM(H33)+SUM(J33),3)</f>
        <v>15.065</v>
      </c>
      <c r="M33" s="327"/>
    </row>
    <row r="34" spans="1:14" ht="16.5" customHeight="1">
      <c r="A34" s="323" t="s">
        <v>908</v>
      </c>
      <c r="B34" s="323"/>
      <c r="C34" s="323"/>
      <c r="D34" s="1093">
        <v>6.03</v>
      </c>
      <c r="E34" s="1090"/>
      <c r="F34" s="1093">
        <v>538.48500000000001</v>
      </c>
      <c r="G34" s="1090"/>
      <c r="H34" s="1093">
        <v>459.96300000000002</v>
      </c>
      <c r="I34" s="1090"/>
      <c r="J34" s="1093">
        <v>0</v>
      </c>
      <c r="K34" s="1091"/>
      <c r="L34" s="1094">
        <f t="shared" si="0"/>
        <v>84.552000000000007</v>
      </c>
      <c r="M34" s="327"/>
    </row>
    <row r="35" spans="1:14" ht="16.5" customHeight="1">
      <c r="A35" s="323" t="s">
        <v>371</v>
      </c>
      <c r="B35" s="323"/>
      <c r="C35" s="323" t="s">
        <v>14</v>
      </c>
      <c r="D35" s="1093">
        <v>21.434000000000001</v>
      </c>
      <c r="E35" s="1090"/>
      <c r="F35" s="1093">
        <v>5.4870000000000001</v>
      </c>
      <c r="G35" s="1090"/>
      <c r="H35" s="1093">
        <v>7.1029999999999998</v>
      </c>
      <c r="I35" s="1090"/>
      <c r="J35" s="1093">
        <v>0</v>
      </c>
      <c r="K35" s="1091"/>
      <c r="L35" s="1094">
        <f t="shared" si="0"/>
        <v>19.818000000000001</v>
      </c>
      <c r="M35" s="327"/>
    </row>
    <row r="36" spans="1:14" ht="15.75" customHeight="1">
      <c r="A36" s="323" t="s">
        <v>372</v>
      </c>
      <c r="B36" s="323"/>
      <c r="C36" s="323"/>
      <c r="D36" s="1093">
        <v>1.33</v>
      </c>
      <c r="E36" s="1090"/>
      <c r="F36" s="1093">
        <v>1.115</v>
      </c>
      <c r="G36" s="1090"/>
      <c r="H36" s="1093">
        <v>1.46</v>
      </c>
      <c r="I36" s="1090"/>
      <c r="J36" s="1093">
        <v>0</v>
      </c>
      <c r="K36" s="1091"/>
      <c r="L36" s="1094">
        <f t="shared" si="0"/>
        <v>0.98499999999999999</v>
      </c>
      <c r="M36" s="327"/>
      <c r="N36" s="318" t="s">
        <v>14</v>
      </c>
    </row>
    <row r="37" spans="1:14" ht="15.75" customHeight="1">
      <c r="A37" s="323" t="s">
        <v>373</v>
      </c>
      <c r="B37" s="323"/>
      <c r="C37" s="323"/>
      <c r="D37" s="1093">
        <v>798.69899999999996</v>
      </c>
      <c r="E37" s="1090"/>
      <c r="F37" s="1093">
        <v>-24.411999999999999</v>
      </c>
      <c r="G37" s="1090"/>
      <c r="H37" s="1093">
        <v>107.40300000000001</v>
      </c>
      <c r="I37" s="1090"/>
      <c r="J37" s="1093">
        <v>0</v>
      </c>
      <c r="K37" s="1091"/>
      <c r="L37" s="1094">
        <f t="shared" si="0"/>
        <v>666.88400000000001</v>
      </c>
      <c r="M37" s="331"/>
    </row>
    <row r="38" spans="1:14" ht="16.5" customHeight="1">
      <c r="A38" s="323" t="s">
        <v>374</v>
      </c>
      <c r="B38" s="323"/>
      <c r="C38" s="323"/>
      <c r="D38" s="1093">
        <v>0</v>
      </c>
      <c r="E38" s="1090"/>
      <c r="F38" s="1093">
        <v>0</v>
      </c>
      <c r="G38" s="1090"/>
      <c r="H38" s="1093">
        <v>0</v>
      </c>
      <c r="I38" s="1090"/>
      <c r="J38" s="1093">
        <v>0</v>
      </c>
      <c r="K38" s="1091"/>
      <c r="L38" s="1094">
        <f t="shared" si="0"/>
        <v>0</v>
      </c>
      <c r="M38" s="327"/>
    </row>
    <row r="39" spans="1:14" ht="16.5" customHeight="1">
      <c r="A39" s="323" t="s">
        <v>375</v>
      </c>
      <c r="B39" s="323"/>
      <c r="C39" s="323"/>
      <c r="D39" s="1093">
        <v>899.21</v>
      </c>
      <c r="E39" s="1090"/>
      <c r="F39" s="1093">
        <v>1524.8140000000001</v>
      </c>
      <c r="G39" s="1090"/>
      <c r="H39" s="1093">
        <v>1376.9390000000001</v>
      </c>
      <c r="I39" s="1090"/>
      <c r="J39" s="1093">
        <v>0</v>
      </c>
      <c r="K39" s="1091"/>
      <c r="L39" s="1094">
        <f t="shared" si="0"/>
        <v>1047.085</v>
      </c>
      <c r="M39" s="327"/>
    </row>
    <row r="40" spans="1:14" ht="16.5" customHeight="1">
      <c r="A40" s="323" t="s">
        <v>912</v>
      </c>
      <c r="B40" s="323"/>
      <c r="C40" s="323"/>
      <c r="D40" s="1093">
        <v>31.661999999999999</v>
      </c>
      <c r="E40" s="1090"/>
      <c r="F40" s="1093">
        <v>7.8940000000000001</v>
      </c>
      <c r="G40" s="1090"/>
      <c r="H40" s="1093">
        <v>7.577</v>
      </c>
      <c r="I40" s="1090"/>
      <c r="J40" s="1093">
        <v>0</v>
      </c>
      <c r="K40" s="1091"/>
      <c r="L40" s="1094">
        <f t="shared" si="0"/>
        <v>31.978999999999999</v>
      </c>
      <c r="M40" s="327"/>
    </row>
    <row r="41" spans="1:14" ht="16.5" customHeight="1">
      <c r="A41" s="323" t="s">
        <v>913</v>
      </c>
      <c r="B41" s="323"/>
      <c r="C41" s="323"/>
      <c r="D41" s="1093">
        <v>251.73500000000001</v>
      </c>
      <c r="E41" s="1090"/>
      <c r="F41" s="1093">
        <v>11376.797</v>
      </c>
      <c r="G41" s="1090"/>
      <c r="H41" s="1093">
        <v>9186.6350000000002</v>
      </c>
      <c r="I41" s="1090"/>
      <c r="J41" s="1093">
        <v>0</v>
      </c>
      <c r="K41" s="1091"/>
      <c r="L41" s="1094">
        <f t="shared" si="0"/>
        <v>2441.8969999999999</v>
      </c>
      <c r="M41" s="327"/>
    </row>
    <row r="42" spans="1:14" ht="15.75" customHeight="1">
      <c r="A42" s="323" t="s">
        <v>377</v>
      </c>
      <c r="B42" s="323"/>
      <c r="C42" s="323"/>
      <c r="D42" s="1093">
        <v>0</v>
      </c>
      <c r="E42" s="1090"/>
      <c r="F42" s="1093">
        <v>0</v>
      </c>
      <c r="G42" s="1090"/>
      <c r="H42" s="1093">
        <v>0</v>
      </c>
      <c r="I42" s="1090"/>
      <c r="J42" s="1093">
        <v>0</v>
      </c>
      <c r="K42" s="1091"/>
      <c r="L42" s="1094">
        <f t="shared" si="0"/>
        <v>0</v>
      </c>
      <c r="M42" s="327"/>
    </row>
    <row r="43" spans="1:14" ht="15.75" customHeight="1">
      <c r="A43" s="323" t="s">
        <v>906</v>
      </c>
      <c r="B43" s="323"/>
      <c r="C43" s="323"/>
      <c r="D43" s="1093">
        <v>171.524</v>
      </c>
      <c r="E43" s="1090"/>
      <c r="F43" s="1093">
        <v>-59.808</v>
      </c>
      <c r="G43" s="1090"/>
      <c r="H43" s="1093">
        <v>0</v>
      </c>
      <c r="I43" s="1090"/>
      <c r="J43" s="1093">
        <v>0</v>
      </c>
      <c r="K43" s="1091"/>
      <c r="L43" s="1094">
        <f t="shared" si="0"/>
        <v>111.71599999999999</v>
      </c>
      <c r="M43" s="327"/>
    </row>
    <row r="44" spans="1:14" ht="15.75" customHeight="1">
      <c r="A44" s="323" t="s">
        <v>907</v>
      </c>
      <c r="B44" s="323"/>
      <c r="C44" s="323"/>
      <c r="D44" s="1093">
        <v>-4.8529999999999998</v>
      </c>
      <c r="E44" s="1090"/>
      <c r="F44" s="1093">
        <v>28.626999999999999</v>
      </c>
      <c r="G44" s="1090"/>
      <c r="H44" s="1093">
        <v>24.88</v>
      </c>
      <c r="I44" s="1090"/>
      <c r="J44" s="1093">
        <v>0</v>
      </c>
      <c r="K44" s="1091"/>
      <c r="L44" s="1094">
        <f t="shared" si="0"/>
        <v>-1.1060000000000001</v>
      </c>
      <c r="M44" s="327"/>
    </row>
    <row r="45" spans="1:14" ht="18" customHeight="1">
      <c r="A45" s="323" t="s">
        <v>1098</v>
      </c>
      <c r="B45" s="323"/>
      <c r="C45" s="323"/>
      <c r="D45" s="1093">
        <v>0</v>
      </c>
      <c r="E45" s="1090"/>
      <c r="F45" s="1093">
        <v>0</v>
      </c>
      <c r="G45" s="1090"/>
      <c r="H45" s="1093">
        <v>0</v>
      </c>
      <c r="I45" s="1090"/>
      <c r="J45" s="1093">
        <v>0</v>
      </c>
      <c r="K45" s="1091"/>
      <c r="L45" s="1094">
        <f t="shared" si="0"/>
        <v>0</v>
      </c>
      <c r="M45" s="327"/>
    </row>
    <row r="46" spans="1:14" ht="6.75" customHeight="1">
      <c r="A46" s="508"/>
      <c r="B46" s="319"/>
      <c r="C46" s="319"/>
      <c r="D46" s="317"/>
      <c r="E46" s="317"/>
      <c r="F46" s="317" t="s">
        <v>14</v>
      </c>
      <c r="G46" s="317"/>
      <c r="H46" s="509"/>
      <c r="I46" s="317"/>
      <c r="J46" s="510"/>
      <c r="K46" s="317"/>
      <c r="L46" s="317"/>
      <c r="M46" s="321"/>
    </row>
    <row r="47" spans="1:14" ht="17.25" customHeight="1">
      <c r="A47" s="319" t="s">
        <v>1093</v>
      </c>
      <c r="B47" s="323"/>
      <c r="C47" s="323"/>
      <c r="D47" s="512">
        <f>ROUND(SUM(D30:D45),3)</f>
        <v>2983.8229999999999</v>
      </c>
      <c r="E47" s="505"/>
      <c r="F47" s="512">
        <f>ROUND(SUM(F30:F45),3)</f>
        <v>15116.531999999999</v>
      </c>
      <c r="G47" s="505"/>
      <c r="H47" s="512">
        <f>ROUND(SUM(H30:H45),3)</f>
        <v>12575.57</v>
      </c>
      <c r="I47" s="505"/>
      <c r="J47" s="512">
        <f>ROUND(SUM(J30:J45),3)</f>
        <v>0.57299999999999995</v>
      </c>
      <c r="K47" s="505"/>
      <c r="L47" s="512">
        <f>ROUND(SUM(L30:L45),3)</f>
        <v>5525.3580000000002</v>
      </c>
      <c r="M47" s="328"/>
    </row>
    <row r="48" spans="1:14" ht="12" customHeight="1">
      <c r="A48" s="319"/>
      <c r="B48" s="323"/>
      <c r="C48" s="323"/>
      <c r="D48" s="507" t="s">
        <v>14</v>
      </c>
      <c r="E48" s="317"/>
      <c r="F48" s="507" t="s">
        <v>14</v>
      </c>
      <c r="G48" s="317"/>
      <c r="H48" s="507" t="s">
        <v>14</v>
      </c>
      <c r="I48" s="317"/>
      <c r="J48" s="317" t="s">
        <v>14</v>
      </c>
      <c r="K48" s="317"/>
      <c r="L48" s="507" t="s">
        <v>14</v>
      </c>
      <c r="M48" s="327"/>
    </row>
    <row r="49" spans="1:13" ht="3" customHeight="1">
      <c r="A49" s="319"/>
      <c r="B49" s="323"/>
      <c r="C49" s="323"/>
      <c r="D49" s="513"/>
      <c r="E49" s="513"/>
      <c r="F49" s="513"/>
      <c r="G49" s="513"/>
      <c r="H49" s="513"/>
      <c r="I49" s="513"/>
      <c r="J49" s="513"/>
      <c r="K49" s="513"/>
      <c r="L49" s="513"/>
      <c r="M49" s="327"/>
    </row>
    <row r="50" spans="1:13" ht="18.5" thickBot="1">
      <c r="A50" s="319" t="s">
        <v>1094</v>
      </c>
      <c r="B50" s="323"/>
      <c r="C50" s="336"/>
      <c r="D50" s="514">
        <f>ROUND(D18+D26+D47,3)</f>
        <v>3362.4059999999999</v>
      </c>
      <c r="E50" s="515"/>
      <c r="F50" s="514">
        <f>ROUND(F18+F26+F47,3)</f>
        <v>16072.248</v>
      </c>
      <c r="G50" s="515"/>
      <c r="H50" s="514">
        <f>ROUND(H18+H26+H47,3)</f>
        <v>12601.02</v>
      </c>
      <c r="I50" s="516"/>
      <c r="J50" s="514">
        <f>ROUND(J18+J26+J47,3)</f>
        <v>0.57299999999999995</v>
      </c>
      <c r="K50" s="515"/>
      <c r="L50" s="514">
        <f>ROUND(L18+L26+L47,3)</f>
        <v>6834.2070000000003</v>
      </c>
      <c r="M50" s="328"/>
    </row>
    <row r="51" spans="1:13" ht="12" customHeight="1" thickTop="1">
      <c r="A51" s="323"/>
      <c r="B51" s="323"/>
      <c r="C51" s="323"/>
      <c r="D51" s="517" t="s">
        <v>14</v>
      </c>
      <c r="E51" s="501"/>
      <c r="F51" s="517" t="s">
        <v>14</v>
      </c>
      <c r="G51" s="501"/>
      <c r="H51" s="517" t="s">
        <v>14</v>
      </c>
      <c r="I51" s="501"/>
      <c r="J51" s="501" t="s">
        <v>14</v>
      </c>
      <c r="K51" s="501"/>
      <c r="L51" s="517" t="s">
        <v>14</v>
      </c>
      <c r="M51" s="327"/>
    </row>
    <row r="52" spans="1:13" ht="15.75" customHeight="1">
      <c r="A52" s="518"/>
      <c r="B52" s="323"/>
      <c r="C52" s="323"/>
      <c r="D52" s="323"/>
      <c r="E52" s="323"/>
      <c r="F52" s="323"/>
      <c r="G52" s="323"/>
      <c r="H52" s="323"/>
      <c r="I52" s="323"/>
      <c r="J52" s="323" t="s">
        <v>14</v>
      </c>
      <c r="K52" s="323"/>
      <c r="L52" s="323"/>
      <c r="M52" s="323"/>
    </row>
    <row r="53" spans="1:13" ht="18">
      <c r="A53" s="323"/>
      <c r="B53" s="323"/>
      <c r="C53" s="323"/>
      <c r="D53" s="330"/>
      <c r="E53" s="323"/>
      <c r="F53" s="1093" t="s">
        <v>14</v>
      </c>
      <c r="G53" s="323"/>
      <c r="H53" s="323"/>
      <c r="I53" s="323"/>
      <c r="J53" s="323" t="s">
        <v>14</v>
      </c>
      <c r="K53" s="323"/>
      <c r="L53" s="332"/>
      <c r="M53" s="323"/>
    </row>
    <row r="54" spans="1:13" ht="18">
      <c r="A54" s="330"/>
      <c r="B54" s="323"/>
      <c r="C54" s="323"/>
      <c r="D54" s="323"/>
      <c r="E54" s="323"/>
      <c r="F54" s="323"/>
      <c r="G54" s="323"/>
      <c r="H54" s="323"/>
      <c r="I54" s="323"/>
      <c r="J54" s="323" t="s">
        <v>14</v>
      </c>
      <c r="K54" s="323"/>
      <c r="L54" s="323"/>
      <c r="M54" s="323"/>
    </row>
    <row r="55" spans="1:13" ht="18">
      <c r="A55" s="330"/>
      <c r="B55" s="323"/>
      <c r="C55" s="323"/>
      <c r="D55" s="323"/>
      <c r="E55" s="323"/>
      <c r="F55" s="323"/>
      <c r="G55" s="323"/>
      <c r="H55" s="323"/>
      <c r="I55" s="323"/>
      <c r="J55" s="323"/>
      <c r="K55" s="323"/>
      <c r="L55" s="323"/>
      <c r="M55" s="323"/>
    </row>
    <row r="56" spans="1:13" ht="18">
      <c r="A56" s="330"/>
      <c r="B56" s="323"/>
      <c r="C56" s="323"/>
      <c r="D56" s="323"/>
      <c r="E56" s="323"/>
      <c r="F56" s="323"/>
      <c r="G56" s="323"/>
      <c r="H56" s="323"/>
      <c r="I56" s="323"/>
      <c r="J56" s="323"/>
      <c r="K56" s="323"/>
      <c r="L56" s="323"/>
      <c r="M56" s="323"/>
    </row>
    <row r="57" spans="1:13" ht="18">
      <c r="A57" s="330"/>
      <c r="B57" s="323"/>
      <c r="C57" s="323"/>
      <c r="D57" s="323"/>
      <c r="E57" s="323"/>
      <c r="F57" s="323"/>
      <c r="G57" s="323"/>
      <c r="H57" s="323"/>
      <c r="I57" s="323"/>
      <c r="J57" s="323"/>
      <c r="K57" s="323"/>
      <c r="L57" s="323"/>
      <c r="M57" s="323"/>
    </row>
    <row r="58" spans="1:13" ht="18">
      <c r="A58" s="330"/>
      <c r="B58" s="323"/>
      <c r="C58" s="323"/>
      <c r="D58" s="323"/>
      <c r="E58" s="323"/>
      <c r="F58" s="323"/>
      <c r="G58" s="323"/>
      <c r="H58" s="323"/>
      <c r="I58" s="323"/>
      <c r="J58" s="323"/>
      <c r="K58" s="323"/>
      <c r="L58" s="323"/>
      <c r="M58" s="323"/>
    </row>
    <row r="59" spans="1:13" ht="17.5">
      <c r="A59" s="323"/>
      <c r="B59" s="323"/>
      <c r="C59" s="323"/>
      <c r="D59" s="323"/>
      <c r="E59" s="323"/>
      <c r="F59" s="323"/>
      <c r="G59" s="323"/>
      <c r="H59" s="323"/>
      <c r="I59" s="323"/>
      <c r="J59" s="323"/>
      <c r="K59" s="323"/>
      <c r="L59" s="323"/>
      <c r="M59" s="323"/>
    </row>
    <row r="60" spans="1:13" ht="17.5">
      <c r="A60" s="323"/>
      <c r="B60" s="323"/>
      <c r="C60" s="323"/>
      <c r="D60" s="323"/>
      <c r="E60" s="323"/>
      <c r="F60" s="323"/>
      <c r="G60" s="323"/>
      <c r="H60" s="323"/>
      <c r="I60" s="323"/>
      <c r="J60" s="323"/>
      <c r="K60" s="323"/>
      <c r="L60" s="323"/>
      <c r="M60" s="323"/>
    </row>
    <row r="61" spans="1:13" ht="17.5">
      <c r="A61" s="323"/>
      <c r="B61" s="323"/>
      <c r="C61" s="323"/>
      <c r="D61" s="323"/>
      <c r="E61" s="323"/>
      <c r="F61" s="323"/>
      <c r="G61" s="323"/>
      <c r="H61" s="323"/>
      <c r="I61" s="323"/>
      <c r="J61" s="323"/>
      <c r="K61" s="323"/>
      <c r="L61" s="323"/>
      <c r="M61" s="323"/>
    </row>
    <row r="62" spans="1:13" ht="17.5">
      <c r="A62" s="323"/>
      <c r="B62" s="323"/>
      <c r="C62" s="323"/>
      <c r="D62" s="323"/>
      <c r="E62" s="323"/>
      <c r="F62" s="323"/>
      <c r="G62" s="323"/>
      <c r="H62" s="323"/>
      <c r="I62" s="323"/>
      <c r="J62" s="323"/>
      <c r="K62" s="323"/>
      <c r="L62" s="323"/>
      <c r="M62" s="323"/>
    </row>
    <row r="63" spans="1:13" ht="18">
      <c r="A63" s="323"/>
      <c r="B63" s="323"/>
      <c r="C63" s="323"/>
      <c r="D63" s="333"/>
      <c r="E63" s="323"/>
      <c r="F63" s="323"/>
      <c r="G63" s="323"/>
      <c r="H63" s="323"/>
      <c r="I63" s="323"/>
      <c r="J63" s="333"/>
      <c r="K63" s="323"/>
      <c r="L63" s="333"/>
      <c r="M63" s="323"/>
    </row>
    <row r="64" spans="1:13" ht="18">
      <c r="A64" s="323"/>
      <c r="B64" s="323"/>
      <c r="C64" s="323"/>
      <c r="D64" s="333"/>
      <c r="E64" s="323"/>
      <c r="F64" s="323"/>
      <c r="G64" s="323"/>
      <c r="H64" s="323"/>
      <c r="I64" s="323"/>
      <c r="J64" s="333"/>
      <c r="K64" s="323"/>
      <c r="L64" s="333"/>
      <c r="M64" s="323"/>
    </row>
    <row r="65" spans="1:13" ht="18">
      <c r="A65" s="334"/>
      <c r="B65" s="323"/>
      <c r="C65" s="323"/>
      <c r="D65" s="335"/>
      <c r="E65" s="323"/>
      <c r="F65" s="335"/>
      <c r="G65" s="323"/>
      <c r="H65" s="335"/>
      <c r="I65" s="323"/>
      <c r="J65" s="335"/>
      <c r="K65" s="323"/>
      <c r="L65" s="335"/>
      <c r="M65" s="323"/>
    </row>
    <row r="66" spans="1:13" ht="17.5">
      <c r="A66" s="323"/>
      <c r="B66" s="323"/>
      <c r="C66" s="323"/>
      <c r="D66" s="323"/>
      <c r="E66" s="323"/>
      <c r="F66" s="323"/>
      <c r="G66" s="323"/>
      <c r="H66" s="323"/>
      <c r="I66" s="323"/>
      <c r="J66" s="323"/>
      <c r="K66" s="323"/>
      <c r="L66" s="323"/>
      <c r="M66" s="323"/>
    </row>
    <row r="67" spans="1:13" ht="18">
      <c r="A67" s="326"/>
      <c r="B67" s="323"/>
      <c r="C67" s="323"/>
      <c r="D67" s="323"/>
      <c r="E67" s="323"/>
      <c r="F67" s="323"/>
      <c r="G67" s="323"/>
      <c r="H67" s="323"/>
      <c r="I67" s="323"/>
      <c r="J67" s="323"/>
      <c r="K67" s="323"/>
      <c r="L67" s="323"/>
      <c r="M67" s="323"/>
    </row>
    <row r="68" spans="1:13" ht="17.5">
      <c r="A68" s="323"/>
      <c r="B68" s="323"/>
      <c r="C68" s="323"/>
      <c r="D68" s="323"/>
      <c r="E68" s="323"/>
      <c r="F68" s="323"/>
      <c r="G68" s="323"/>
      <c r="H68" s="323"/>
      <c r="I68" s="323"/>
      <c r="J68" s="323"/>
      <c r="K68" s="323"/>
      <c r="L68" s="323"/>
      <c r="M68" s="323"/>
    </row>
    <row r="69" spans="1:13" ht="20.149999999999999" customHeight="1">
      <c r="A69" s="323"/>
      <c r="B69" s="323"/>
      <c r="C69" s="336"/>
      <c r="D69" s="337"/>
      <c r="E69" s="336"/>
      <c r="F69" s="338"/>
      <c r="G69" s="336"/>
      <c r="H69" s="339"/>
      <c r="I69" s="336"/>
      <c r="J69" s="340"/>
      <c r="K69" s="336"/>
      <c r="L69" s="337"/>
      <c r="M69" s="323"/>
    </row>
    <row r="70" spans="1:13" ht="20.149999999999999" customHeight="1">
      <c r="A70" s="323"/>
      <c r="B70" s="323"/>
      <c r="C70" s="323"/>
      <c r="D70" s="337"/>
      <c r="E70" s="323"/>
      <c r="F70" s="323"/>
      <c r="G70" s="323"/>
      <c r="H70" s="339"/>
      <c r="I70" s="323"/>
      <c r="J70" s="340"/>
      <c r="K70" s="323"/>
      <c r="L70" s="337"/>
      <c r="M70" s="323"/>
    </row>
    <row r="71" spans="1:13" ht="20.149999999999999" customHeight="1">
      <c r="A71" s="323"/>
      <c r="B71" s="323"/>
      <c r="C71" s="323"/>
      <c r="D71" s="337"/>
      <c r="E71" s="323"/>
      <c r="F71" s="323"/>
      <c r="G71" s="323"/>
      <c r="H71" s="341"/>
      <c r="I71" s="323"/>
      <c r="J71" s="340"/>
      <c r="K71" s="323"/>
      <c r="L71" s="337"/>
      <c r="M71" s="323"/>
    </row>
    <row r="72" spans="1:13" ht="20.149999999999999" customHeight="1">
      <c r="A72" s="323"/>
      <c r="B72" s="323"/>
      <c r="C72" s="323"/>
      <c r="D72" s="337"/>
      <c r="E72" s="323"/>
      <c r="F72" s="323"/>
      <c r="G72" s="323"/>
      <c r="H72" s="339"/>
      <c r="I72" s="323"/>
      <c r="J72" s="340"/>
      <c r="K72" s="323"/>
      <c r="L72" s="337"/>
      <c r="M72" s="323"/>
    </row>
    <row r="73" spans="1:13" ht="20.149999999999999" customHeight="1">
      <c r="A73" s="323"/>
      <c r="B73" s="323"/>
      <c r="C73" s="323"/>
      <c r="D73" s="337"/>
      <c r="E73" s="323"/>
      <c r="F73" s="323"/>
      <c r="G73" s="323"/>
      <c r="H73" s="339"/>
      <c r="I73" s="323"/>
      <c r="J73" s="340"/>
      <c r="K73" s="323"/>
      <c r="L73" s="337"/>
      <c r="M73" s="323"/>
    </row>
    <row r="74" spans="1:13" ht="20.149999999999999" customHeight="1">
      <c r="A74" s="323"/>
      <c r="B74" s="323"/>
      <c r="C74" s="323"/>
      <c r="D74" s="337"/>
      <c r="E74" s="323"/>
      <c r="F74" s="323"/>
      <c r="G74" s="323"/>
      <c r="H74" s="342"/>
      <c r="I74" s="323"/>
      <c r="J74" s="340"/>
      <c r="K74" s="323"/>
      <c r="L74" s="337"/>
      <c r="M74" s="323"/>
    </row>
    <row r="75" spans="1:13" ht="17.5">
      <c r="A75" s="519"/>
      <c r="B75" s="323"/>
      <c r="C75" s="323"/>
      <c r="D75" s="323"/>
      <c r="E75" s="323"/>
      <c r="F75" s="323"/>
      <c r="G75" s="323"/>
      <c r="H75" s="323"/>
      <c r="I75" s="323"/>
      <c r="J75" s="323"/>
      <c r="K75" s="323"/>
      <c r="L75" s="323"/>
      <c r="M75" s="323"/>
    </row>
    <row r="76" spans="1:13" ht="17.5">
      <c r="A76" s="343"/>
      <c r="B76" s="323"/>
      <c r="C76" s="323"/>
      <c r="D76" s="323"/>
      <c r="E76" s="323"/>
      <c r="F76" s="323"/>
      <c r="G76" s="323"/>
      <c r="H76" s="323"/>
      <c r="I76" s="323"/>
      <c r="J76" s="323"/>
      <c r="K76" s="323"/>
      <c r="L76" s="323"/>
      <c r="M76" s="323"/>
    </row>
    <row r="77" spans="1:13" ht="17.5">
      <c r="A77" s="323"/>
      <c r="B77" s="323"/>
      <c r="C77" s="323"/>
      <c r="D77" s="323"/>
      <c r="E77" s="323"/>
      <c r="F77" s="323"/>
      <c r="G77" s="323"/>
      <c r="H77" s="323"/>
      <c r="I77" s="323"/>
      <c r="J77" s="323"/>
      <c r="K77" s="323"/>
      <c r="L77" s="323"/>
      <c r="M77" s="323"/>
    </row>
    <row r="78" spans="1:13" ht="17.5">
      <c r="A78" s="323"/>
      <c r="B78" s="323"/>
      <c r="C78" s="323"/>
      <c r="D78" s="323"/>
      <c r="E78" s="323"/>
      <c r="F78" s="323"/>
      <c r="G78" s="323"/>
      <c r="H78" s="323"/>
      <c r="I78" s="323"/>
      <c r="J78" s="323"/>
      <c r="K78" s="323"/>
      <c r="L78" s="323"/>
      <c r="M78" s="323"/>
    </row>
    <row r="79" spans="1:13" ht="17.5">
      <c r="A79" s="323"/>
      <c r="B79" s="323"/>
      <c r="C79" s="323"/>
      <c r="D79" s="323"/>
      <c r="E79" s="323"/>
      <c r="F79" s="323"/>
      <c r="G79" s="323"/>
      <c r="H79" s="323"/>
      <c r="I79" s="323"/>
      <c r="J79" s="323"/>
      <c r="K79" s="323"/>
      <c r="L79" s="323"/>
      <c r="M79" s="323"/>
    </row>
    <row r="80" spans="1:13" ht="17.5">
      <c r="A80" s="323"/>
      <c r="B80" s="323"/>
      <c r="C80" s="323"/>
      <c r="D80" s="323"/>
      <c r="E80" s="323"/>
      <c r="F80" s="323"/>
      <c r="G80" s="323"/>
      <c r="H80" s="323"/>
      <c r="I80" s="323"/>
      <c r="J80" s="323"/>
      <c r="K80" s="323"/>
      <c r="L80" s="323"/>
      <c r="M80" s="323"/>
    </row>
    <row r="81" spans="1:13" ht="17.5">
      <c r="A81" s="323"/>
      <c r="B81" s="323"/>
      <c r="C81" s="323"/>
      <c r="D81" s="323"/>
      <c r="E81" s="323"/>
      <c r="F81" s="323"/>
      <c r="G81" s="323"/>
      <c r="H81" s="323"/>
      <c r="I81" s="323"/>
      <c r="J81" s="323"/>
      <c r="K81" s="323"/>
      <c r="L81" s="323"/>
      <c r="M81" s="323"/>
    </row>
    <row r="82" spans="1:13" ht="17.5">
      <c r="A82" s="519"/>
      <c r="B82" s="323"/>
      <c r="C82" s="323"/>
      <c r="D82" s="323"/>
      <c r="E82" s="323"/>
      <c r="F82" s="323"/>
      <c r="G82" s="323"/>
      <c r="H82" s="323"/>
      <c r="I82" s="323"/>
      <c r="J82" s="323"/>
      <c r="K82" s="323"/>
      <c r="L82" s="323"/>
      <c r="M82" s="323"/>
    </row>
    <row r="83" spans="1:13" s="323" customFormat="1" ht="17.5"/>
    <row r="84" spans="1:13" ht="17.5">
      <c r="A84" s="323"/>
      <c r="B84" s="323"/>
      <c r="C84" s="323"/>
      <c r="D84" s="323"/>
      <c r="E84" s="323"/>
      <c r="F84" s="323"/>
      <c r="G84" s="323"/>
      <c r="H84" s="323"/>
      <c r="I84" s="323"/>
      <c r="J84" s="323"/>
      <c r="K84" s="323"/>
      <c r="L84" s="323"/>
      <c r="M84" s="323"/>
    </row>
    <row r="85" spans="1:13" s="323" customFormat="1" ht="17.5"/>
    <row r="86" spans="1:13" s="323" customFormat="1" ht="17.5"/>
    <row r="87" spans="1:13" s="323" customFormat="1" ht="17.5"/>
    <row r="88" spans="1:13" ht="17.5">
      <c r="A88" s="323"/>
      <c r="B88" s="323"/>
      <c r="C88" s="323"/>
      <c r="D88" s="323"/>
      <c r="E88" s="323"/>
      <c r="F88" s="323"/>
      <c r="G88" s="323"/>
      <c r="H88" s="323"/>
      <c r="I88" s="323"/>
      <c r="J88" s="323"/>
      <c r="K88" s="323"/>
      <c r="L88" s="323"/>
      <c r="M88" s="323"/>
    </row>
    <row r="89" spans="1:13" s="323" customFormat="1" ht="17.5"/>
    <row r="90" spans="1:13" s="323" customFormat="1" ht="17.5"/>
    <row r="91" spans="1:13" s="323" customFormat="1" ht="17.5"/>
    <row r="92" spans="1:13" s="323" customFormat="1" ht="17.5"/>
    <row r="93" spans="1:13" s="323" customFormat="1" ht="17.5"/>
    <row r="94" spans="1:13" s="323" customFormat="1" ht="17.5"/>
    <row r="95" spans="1:13" s="323" customFormat="1" ht="17.5"/>
    <row r="96" spans="1:13" s="323" customFormat="1" ht="17.5"/>
    <row r="97" s="323" customFormat="1" ht="17.5"/>
    <row r="98" s="323" customFormat="1" ht="17.5"/>
    <row r="99" s="323" customFormat="1" ht="17.5"/>
    <row r="100" s="323" customFormat="1" ht="17.5"/>
    <row r="101" s="323" customFormat="1" ht="17.5"/>
    <row r="102" s="323" customFormat="1" ht="17.5"/>
    <row r="103" s="323" customFormat="1" ht="17.5"/>
    <row r="104" s="323" customFormat="1" ht="17.5"/>
    <row r="105" s="323" customFormat="1" ht="17.5"/>
    <row r="106" s="323" customFormat="1" ht="17.5"/>
    <row r="107" s="323" customFormat="1" ht="17.5"/>
    <row r="108" s="323" customFormat="1" ht="17.5"/>
    <row r="109" s="323" customFormat="1" ht="17.5"/>
    <row r="110" s="323" customFormat="1" ht="17.5"/>
    <row r="111" s="323" customFormat="1" ht="17.5"/>
    <row r="112" s="323" customFormat="1" ht="17.5"/>
    <row r="113" s="323" customFormat="1" ht="17.5"/>
    <row r="114" s="323" customFormat="1" ht="17.5"/>
    <row r="115" s="323" customFormat="1" ht="17.5"/>
    <row r="116" s="323" customFormat="1" ht="17.5"/>
    <row r="117" s="323" customFormat="1" ht="17.5"/>
    <row r="118" s="323" customFormat="1" ht="17.5"/>
    <row r="119" s="323" customFormat="1" ht="17.5"/>
    <row r="120" s="323" customFormat="1" ht="17.5"/>
    <row r="121" s="323" customFormat="1" ht="17.5"/>
    <row r="122" s="323" customFormat="1" ht="17.5"/>
    <row r="123" s="323" customFormat="1" ht="17.5"/>
    <row r="124" s="323" customFormat="1" ht="17.5"/>
    <row r="125" s="323" customFormat="1" ht="17.5"/>
    <row r="126" s="323" customFormat="1" ht="17.5"/>
    <row r="127" s="323" customFormat="1" ht="17.5"/>
    <row r="128" s="323" customFormat="1" ht="17.5"/>
    <row r="129" s="323" customFormat="1" ht="17.5"/>
    <row r="130" s="323" customFormat="1" ht="17.5"/>
    <row r="131" s="323" customFormat="1" ht="17.5"/>
    <row r="132" s="323" customFormat="1" ht="17.5"/>
    <row r="133" s="323" customFormat="1" ht="17.5"/>
    <row r="134" s="323" customFormat="1" ht="17.5"/>
    <row r="135" s="323" customFormat="1" ht="17.5"/>
    <row r="136" s="323" customFormat="1" ht="17.5"/>
    <row r="137" s="323" customFormat="1" ht="17.5"/>
    <row r="138" s="323" customFormat="1" ht="17.5"/>
  </sheetData>
  <printOptions horizontalCentered="1"/>
  <pageMargins left="0.5" right="0.5" top="0.5" bottom="0.5" header="0" footer="0.25"/>
  <pageSetup scale="56" firstPageNumber="43"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workbookViewId="0"/>
  </sheetViews>
  <sheetFormatPr defaultColWidth="8.84375" defaultRowHeight="12.5"/>
  <cols>
    <col min="1" max="1" width="53.53515625" style="1188" customWidth="1"/>
    <col min="2" max="2" width="1.84375" style="1188" customWidth="1"/>
    <col min="3" max="3" width="2.84375" style="1188" customWidth="1"/>
    <col min="4" max="4" width="20.07421875" style="1188" customWidth="1"/>
    <col min="5" max="5" width="7.84375" style="1188" customWidth="1"/>
    <col min="6" max="6" width="18.84375" style="1188" customWidth="1"/>
    <col min="7" max="7" width="7.84375" style="1188" customWidth="1"/>
    <col min="8" max="8" width="18.84375" style="1188" customWidth="1"/>
    <col min="9" max="9" width="7.84375" style="1188" customWidth="1"/>
    <col min="10" max="10" width="21.84375" style="1188" customWidth="1"/>
    <col min="11" max="11" width="10.84375" style="1188" customWidth="1"/>
    <col min="12" max="16384" width="8.84375" style="1188"/>
  </cols>
  <sheetData>
    <row r="1" spans="1:10" ht="15.5">
      <c r="A1" s="468" t="s">
        <v>868</v>
      </c>
    </row>
    <row r="2" spans="1:10" ht="15.5">
      <c r="A2" s="867"/>
    </row>
    <row r="3" spans="1:10" ht="18">
      <c r="A3" s="1189" t="s">
        <v>0</v>
      </c>
      <c r="B3" s="1190"/>
      <c r="C3" s="1190"/>
      <c r="D3" s="1190"/>
      <c r="E3" s="1190"/>
      <c r="F3" s="1190"/>
      <c r="G3" s="1189"/>
      <c r="H3" s="1189"/>
      <c r="I3" s="1189"/>
      <c r="J3" s="1192" t="s">
        <v>378</v>
      </c>
    </row>
    <row r="4" spans="1:10" ht="18">
      <c r="A4" s="1189" t="s">
        <v>379</v>
      </c>
      <c r="B4" s="1190"/>
      <c r="C4" s="1189"/>
      <c r="D4" s="1190"/>
      <c r="E4" s="1190"/>
      <c r="F4" s="1190"/>
      <c r="G4" s="1189"/>
      <c r="H4" s="1189"/>
      <c r="I4" s="1189"/>
      <c r="J4" s="1189"/>
    </row>
    <row r="5" spans="1:10" ht="18">
      <c r="A5" s="1189" t="s">
        <v>380</v>
      </c>
      <c r="B5" s="1190"/>
      <c r="C5" s="1189"/>
      <c r="D5" s="1190"/>
      <c r="E5" s="1190"/>
      <c r="F5" s="1190"/>
      <c r="G5" s="1189"/>
      <c r="H5" s="1189"/>
      <c r="I5" s="1189"/>
      <c r="J5" s="1189"/>
    </row>
    <row r="6" spans="1:10" ht="18">
      <c r="A6" s="1189" t="str">
        <f>'Sch 3 '!A6</f>
        <v>FISCAL YEAR 2022-2023</v>
      </c>
      <c r="B6" s="1190"/>
      <c r="C6" s="1189"/>
      <c r="D6" s="1190"/>
      <c r="E6" s="1190"/>
      <c r="F6" s="1190"/>
      <c r="G6" s="1189"/>
      <c r="H6" s="1189"/>
      <c r="I6" s="1189"/>
      <c r="J6" s="1189"/>
    </row>
    <row r="7" spans="1:10" ht="18">
      <c r="A7" s="1191" t="str">
        <f>'Sch 3 '!A7</f>
        <v>FOR THE MONTH OF MARCH 2023</v>
      </c>
      <c r="B7" s="1190"/>
      <c r="C7" s="1189"/>
      <c r="D7" s="1190"/>
      <c r="E7" s="1190"/>
      <c r="F7" s="1190"/>
      <c r="G7" s="1189"/>
      <c r="H7" s="1189"/>
      <c r="I7" s="1189"/>
      <c r="J7" s="1189"/>
    </row>
    <row r="8" spans="1:10" ht="18">
      <c r="A8" s="1189" t="s">
        <v>1247</v>
      </c>
      <c r="B8" s="1190"/>
      <c r="C8" s="1189"/>
      <c r="D8" s="1190"/>
      <c r="E8" s="1190"/>
      <c r="F8" s="1190"/>
      <c r="G8" s="1189"/>
      <c r="H8" s="1189"/>
      <c r="I8" s="1189"/>
      <c r="J8" s="1189"/>
    </row>
    <row r="9" spans="1:10" ht="18">
      <c r="A9" s="1189"/>
      <c r="B9" s="1190"/>
      <c r="C9" s="1189"/>
      <c r="D9" s="1190"/>
      <c r="E9" s="1190"/>
      <c r="F9" s="1190"/>
      <c r="G9" s="1189"/>
      <c r="H9" s="1189"/>
      <c r="I9" s="1189"/>
      <c r="J9" s="1189"/>
    </row>
    <row r="10" spans="1:10" ht="18">
      <c r="A10" s="1189"/>
      <c r="B10" s="1189"/>
      <c r="C10" s="1189"/>
      <c r="D10" s="1189"/>
      <c r="E10" s="1189"/>
      <c r="F10" s="1189"/>
      <c r="G10" s="1189"/>
      <c r="H10" s="1189"/>
      <c r="I10" s="1189"/>
      <c r="J10" s="1189"/>
    </row>
    <row r="11" spans="1:10" ht="18">
      <c r="A11" s="1189"/>
      <c r="B11" s="1189"/>
      <c r="C11" s="1189"/>
      <c r="D11" s="1192"/>
      <c r="E11" s="1189"/>
      <c r="F11" s="1189"/>
      <c r="G11" s="1189"/>
      <c r="H11" s="1189"/>
      <c r="I11" s="1189"/>
      <c r="J11" s="1192"/>
    </row>
    <row r="12" spans="1:10" ht="18">
      <c r="A12" s="1189"/>
      <c r="B12" s="1189"/>
      <c r="C12" s="1189"/>
      <c r="D12" s="1192" t="s">
        <v>229</v>
      </c>
      <c r="E12" s="1189"/>
      <c r="F12" s="1189"/>
      <c r="G12" s="1189"/>
      <c r="H12" s="1189"/>
      <c r="I12" s="1189"/>
      <c r="J12" s="1192" t="s">
        <v>229</v>
      </c>
    </row>
    <row r="13" spans="1:10" ht="18">
      <c r="A13" s="1193" t="s">
        <v>350</v>
      </c>
      <c r="B13" s="1189"/>
      <c r="C13" s="1189"/>
      <c r="D13" s="1194" t="str">
        <f>'Sch 3 '!D11</f>
        <v>MARCH 1, 2023</v>
      </c>
      <c r="E13" s="1189"/>
      <c r="F13" s="1192" t="s">
        <v>231</v>
      </c>
      <c r="G13" s="1189"/>
      <c r="H13" s="1192" t="s">
        <v>232</v>
      </c>
      <c r="I13" s="1189"/>
      <c r="J13" s="1194" t="str">
        <f>'Sch 3 '!L11</f>
        <v>MARCH 31, 2023</v>
      </c>
    </row>
    <row r="14" spans="1:10" ht="18">
      <c r="A14" s="1193"/>
      <c r="B14" s="1189"/>
      <c r="C14" s="1189"/>
      <c r="D14" s="1195"/>
      <c r="E14" s="1189"/>
      <c r="F14" s="1195"/>
      <c r="G14" s="1189"/>
      <c r="H14" s="1196" t="s">
        <v>228</v>
      </c>
      <c r="I14" s="1189"/>
      <c r="J14" s="1195"/>
    </row>
    <row r="15" spans="1:10" ht="18">
      <c r="A15" s="1197" t="s">
        <v>381</v>
      </c>
      <c r="B15" s="1189"/>
      <c r="C15" s="1189"/>
      <c r="D15" s="1189"/>
      <c r="E15" s="1189"/>
      <c r="F15" s="1754"/>
      <c r="G15" s="1189"/>
      <c r="H15" s="1189"/>
      <c r="I15" s="1189"/>
      <c r="J15" s="1189"/>
    </row>
    <row r="16" spans="1:10" ht="25.4" customHeight="1">
      <c r="A16" s="1190" t="s">
        <v>382</v>
      </c>
      <c r="B16" s="1189"/>
      <c r="C16" s="1190"/>
      <c r="D16" s="1089">
        <v>2.9470000000000001</v>
      </c>
      <c r="E16" s="1198"/>
      <c r="F16" s="1089">
        <v>0.01</v>
      </c>
      <c r="G16" s="1198"/>
      <c r="H16" s="1089">
        <v>0</v>
      </c>
      <c r="I16" s="1198"/>
      <c r="J16" s="1198">
        <f>ROUND(D16+F16-H16,3)</f>
        <v>2.9569999999999999</v>
      </c>
    </row>
    <row r="17" spans="1:14" ht="25.4" customHeight="1">
      <c r="A17" s="1190" t="s">
        <v>1332</v>
      </c>
      <c r="B17" s="1190"/>
      <c r="C17" s="1190"/>
      <c r="D17" s="1093">
        <v>288.17200000000003</v>
      </c>
      <c r="E17" s="1200"/>
      <c r="F17" s="1093">
        <v>255.376</v>
      </c>
      <c r="G17" s="1198"/>
      <c r="H17" s="1093">
        <v>302.87900000000002</v>
      </c>
      <c r="I17" s="1200"/>
      <c r="J17" s="1201">
        <f>ROUND(D17+F17-H17,3)</f>
        <v>240.66900000000001</v>
      </c>
    </row>
    <row r="18" spans="1:14" ht="25.4" customHeight="1">
      <c r="A18" s="1199" t="s">
        <v>1333</v>
      </c>
      <c r="B18" s="1190"/>
      <c r="C18" s="1190"/>
      <c r="D18" s="1093">
        <v>3504.9769999999999</v>
      </c>
      <c r="E18" s="1200"/>
      <c r="F18" s="1093">
        <v>5686.8639999999996</v>
      </c>
      <c r="G18" s="1198"/>
      <c r="H18" s="1093">
        <v>5681.9160000000002</v>
      </c>
      <c r="I18" s="1200"/>
      <c r="J18" s="1201">
        <f>ROUND(D18+F18-H18,3)</f>
        <v>3509.9250000000002</v>
      </c>
    </row>
    <row r="19" spans="1:14" ht="25.4" customHeight="1">
      <c r="A19" s="1190" t="s">
        <v>1192</v>
      </c>
      <c r="B19" s="1190"/>
      <c r="C19" s="1190"/>
      <c r="D19" s="1093">
        <v>0</v>
      </c>
      <c r="E19" s="1200"/>
      <c r="F19" s="1093">
        <v>178.63200000000001</v>
      </c>
      <c r="G19" s="1198"/>
      <c r="H19" s="1093">
        <v>178.63200000000001</v>
      </c>
      <c r="I19" s="1200"/>
      <c r="J19" s="1201">
        <f>ROUND(D19+F19-H19,3)</f>
        <v>0</v>
      </c>
    </row>
    <row r="20" spans="1:14" ht="25.4" customHeight="1" thickBot="1">
      <c r="A20" s="1202" t="s">
        <v>383</v>
      </c>
      <c r="B20" s="1190"/>
      <c r="C20" s="1190"/>
      <c r="D20" s="1203">
        <f>ROUND(SUM(D16:D19),3)</f>
        <v>3796.096</v>
      </c>
      <c r="E20" s="1755"/>
      <c r="F20" s="1203">
        <f>ROUND(SUM(F16:F19),3)</f>
        <v>6120.8819999999996</v>
      </c>
      <c r="G20" s="1755"/>
      <c r="H20" s="1203">
        <f>ROUND(SUM(H16:H19),3)</f>
        <v>6163.4269999999997</v>
      </c>
      <c r="I20" s="1755"/>
      <c r="J20" s="1203">
        <f>ROUND(SUM(J16:J19),3)</f>
        <v>3753.5509999999999</v>
      </c>
      <c r="K20" s="1204"/>
      <c r="L20" s="1204"/>
      <c r="M20" s="1204"/>
      <c r="N20" s="1204"/>
    </row>
    <row r="21" spans="1:14" ht="18" thickTop="1">
      <c r="A21" s="1190"/>
      <c r="B21" s="1190"/>
      <c r="C21" s="1190"/>
      <c r="D21" s="1190"/>
      <c r="E21" s="1190"/>
      <c r="F21" s="1190"/>
      <c r="G21" s="1190"/>
      <c r="H21" s="1190"/>
      <c r="I21" s="1190"/>
      <c r="J21" s="1190"/>
    </row>
    <row r="22" spans="1:14" ht="17.5">
      <c r="A22" s="1190"/>
      <c r="B22" s="1190"/>
      <c r="C22" s="1190"/>
      <c r="D22" s="1190"/>
      <c r="E22" s="1190"/>
      <c r="F22" s="1190"/>
      <c r="G22" s="1190"/>
      <c r="H22" s="1190"/>
      <c r="I22" s="1190"/>
      <c r="J22" s="1190"/>
    </row>
    <row r="23" spans="1:14" ht="6.75" customHeight="1">
      <c r="A23" s="1190"/>
      <c r="B23" s="1190"/>
      <c r="C23" s="1190"/>
      <c r="D23" s="1190"/>
      <c r="E23" s="1190"/>
      <c r="F23" s="1190"/>
      <c r="G23" s="1190"/>
      <c r="H23" s="1190"/>
      <c r="I23" s="1190"/>
      <c r="J23" s="1190"/>
    </row>
    <row r="24" spans="1:14" ht="17.5">
      <c r="A24" s="1334" t="s">
        <v>1334</v>
      </c>
      <c r="B24" s="1190"/>
      <c r="C24" s="1190"/>
      <c r="D24" s="1190"/>
      <c r="E24" s="1190"/>
      <c r="F24" s="1190" t="s">
        <v>14</v>
      </c>
      <c r="G24" s="1190"/>
      <c r="H24" s="1190"/>
      <c r="I24" s="1190"/>
      <c r="J24" s="1190"/>
    </row>
    <row r="25" spans="1:14" ht="6" customHeight="1"/>
    <row r="26" spans="1:14" ht="59.25" customHeight="1">
      <c r="A26" s="2332" t="s">
        <v>1179</v>
      </c>
      <c r="B26" s="2332"/>
      <c r="C26" s="2332"/>
      <c r="D26" s="2332"/>
      <c r="E26" s="2332"/>
      <c r="F26" s="2332"/>
      <c r="G26" s="2332"/>
      <c r="H26" s="2332"/>
      <c r="I26" s="2332"/>
      <c r="J26" s="2332"/>
    </row>
    <row r="27" spans="1:14" ht="43.4" customHeight="1">
      <c r="A27" s="2333" t="s">
        <v>1604</v>
      </c>
      <c r="B27" s="2333"/>
      <c r="C27" s="2333"/>
      <c r="D27" s="2333"/>
      <c r="E27" s="2333"/>
      <c r="F27" s="2333"/>
      <c r="G27" s="2333"/>
      <c r="H27" s="2333"/>
      <c r="I27" s="2333"/>
      <c r="J27" s="2333"/>
    </row>
    <row r="28" spans="1:14" ht="18.75" customHeight="1">
      <c r="A28" s="2334"/>
      <c r="B28" s="2334"/>
      <c r="C28" s="2334"/>
      <c r="D28" s="2334"/>
      <c r="E28" s="2334"/>
      <c r="F28" s="2334"/>
      <c r="G28" s="2334"/>
      <c r="H28" s="2334"/>
      <c r="I28" s="2334"/>
      <c r="J28" s="2334"/>
    </row>
    <row r="29" spans="1:14" ht="18" customHeight="1">
      <c r="A29" s="1205"/>
      <c r="B29" s="844"/>
      <c r="C29" s="844"/>
      <c r="D29" s="844"/>
      <c r="E29" s="844"/>
      <c r="F29" s="1093"/>
      <c r="G29" s="844"/>
      <c r="H29" s="844"/>
      <c r="I29" s="844"/>
      <c r="J29" s="844"/>
    </row>
    <row r="30" spans="1:14" ht="20.25" customHeight="1">
      <c r="A30" s="2335"/>
      <c r="B30" s="2335"/>
      <c r="C30" s="2335"/>
      <c r="D30" s="2335"/>
      <c r="E30" s="2335"/>
      <c r="F30" s="2335"/>
      <c r="G30" s="2335"/>
      <c r="H30" s="2335"/>
      <c r="I30" s="2335"/>
      <c r="J30" s="2335"/>
    </row>
    <row r="31" spans="1:14" ht="20.25" customHeight="1">
      <c r="A31" s="1205"/>
      <c r="B31" s="844"/>
      <c r="C31" s="844"/>
      <c r="D31" s="844"/>
      <c r="E31" s="844"/>
      <c r="F31" s="2047" t="s">
        <v>14</v>
      </c>
      <c r="G31" s="844"/>
      <c r="H31" s="844"/>
      <c r="I31" s="844"/>
      <c r="J31" s="844"/>
    </row>
    <row r="32" spans="1:14" ht="20.25" customHeight="1">
      <c r="A32" s="1205"/>
      <c r="B32" s="844"/>
      <c r="C32" s="844"/>
      <c r="D32" s="844"/>
      <c r="E32" s="844"/>
      <c r="F32" s="844"/>
      <c r="G32" s="844"/>
      <c r="H32" s="844"/>
      <c r="I32" s="844"/>
      <c r="J32" s="844"/>
    </row>
    <row r="33" spans="1:10" ht="20.25" customHeight="1">
      <c r="A33" s="1205"/>
      <c r="B33" s="844"/>
      <c r="C33" s="844"/>
      <c r="D33" s="844"/>
      <c r="E33" s="844"/>
      <c r="F33" s="844"/>
      <c r="G33" s="844"/>
      <c r="H33" s="844"/>
      <c r="I33" s="844"/>
      <c r="J33" s="844"/>
    </row>
    <row r="34" spans="1:10" ht="20.25" customHeight="1">
      <c r="A34" s="1205"/>
      <c r="B34" s="844"/>
      <c r="C34" s="844"/>
      <c r="D34" s="844"/>
      <c r="E34" s="844"/>
      <c r="F34" s="844"/>
      <c r="G34" s="844"/>
      <c r="H34" s="844"/>
      <c r="I34" s="844"/>
      <c r="J34" s="844"/>
    </row>
    <row r="35" spans="1:10" ht="20.25" customHeight="1">
      <c r="A35" s="1205"/>
      <c r="B35" s="844"/>
      <c r="C35" s="844"/>
      <c r="D35" s="844"/>
      <c r="E35" s="844"/>
      <c r="F35" s="844"/>
      <c r="G35" s="844"/>
      <c r="H35" s="844"/>
      <c r="I35" s="844"/>
      <c r="J35" s="844"/>
    </row>
    <row r="36" spans="1:10" ht="20.25" customHeight="1">
      <c r="A36" s="1205"/>
      <c r="B36" s="844"/>
      <c r="C36" s="844"/>
      <c r="D36" s="844"/>
      <c r="E36" s="844"/>
      <c r="F36" s="844"/>
      <c r="G36" s="844"/>
      <c r="H36" s="844"/>
      <c r="I36" s="844"/>
      <c r="J36" s="844"/>
    </row>
    <row r="37" spans="1:10" ht="20.25" customHeight="1">
      <c r="A37" s="1205"/>
      <c r="B37" s="844"/>
      <c r="C37" s="844"/>
      <c r="D37" s="844"/>
      <c r="E37" s="844"/>
      <c r="F37" s="844"/>
      <c r="G37" s="844"/>
      <c r="H37" s="844"/>
      <c r="I37" s="844"/>
      <c r="J37" s="844"/>
    </row>
    <row r="38" spans="1:10" ht="20.25" customHeight="1">
      <c r="A38" s="1205"/>
      <c r="B38" s="844"/>
      <c r="C38" s="844"/>
      <c r="D38" s="844"/>
      <c r="E38" s="844"/>
      <c r="F38" s="844"/>
      <c r="G38" s="844"/>
      <c r="H38" s="844"/>
      <c r="I38" s="844"/>
      <c r="J38" s="844"/>
    </row>
    <row r="39" spans="1:10" ht="20.25" customHeight="1">
      <c r="A39" s="1205"/>
      <c r="B39" s="844"/>
      <c r="C39" s="844"/>
      <c r="D39" s="844"/>
      <c r="E39" s="844"/>
      <c r="F39" s="844"/>
      <c r="G39" s="844"/>
      <c r="H39" s="844"/>
      <c r="I39" s="844"/>
      <c r="J39" s="844"/>
    </row>
    <row r="40" spans="1:10" ht="20.25" customHeight="1">
      <c r="A40" s="1205"/>
      <c r="B40" s="844"/>
      <c r="C40" s="844"/>
      <c r="D40" s="844"/>
      <c r="E40" s="844"/>
      <c r="F40" s="844"/>
      <c r="G40" s="844"/>
      <c r="H40" s="844"/>
      <c r="I40" s="844"/>
      <c r="J40" s="844"/>
    </row>
    <row r="41" spans="1:10" ht="20.25" customHeight="1">
      <c r="A41" s="1205"/>
      <c r="B41" s="844"/>
      <c r="C41" s="844"/>
      <c r="D41" s="844"/>
      <c r="E41" s="844"/>
      <c r="F41" s="844"/>
      <c r="G41" s="844"/>
      <c r="H41" s="844"/>
      <c r="I41" s="844"/>
      <c r="J41" s="844"/>
    </row>
    <row r="42" spans="1:10" ht="20.25" customHeight="1">
      <c r="A42" s="1205"/>
      <c r="B42" s="844"/>
      <c r="C42" s="844"/>
      <c r="D42" s="844"/>
      <c r="E42" s="844"/>
      <c r="F42" s="844"/>
      <c r="G42" s="844"/>
      <c r="H42" s="844"/>
      <c r="I42" s="844"/>
      <c r="J42" s="844"/>
    </row>
    <row r="43" spans="1:10" ht="21" customHeight="1"/>
    <row r="44" spans="1:10" ht="21" customHeight="1">
      <c r="A44" s="1205"/>
      <c r="B44" s="844"/>
      <c r="C44" s="844"/>
      <c r="D44" s="844"/>
      <c r="E44" s="844"/>
      <c r="F44" s="844"/>
      <c r="G44" s="844"/>
      <c r="H44" s="844"/>
      <c r="I44" s="844"/>
      <c r="J44" s="844"/>
    </row>
    <row r="45" spans="1:10" ht="18" customHeight="1">
      <c r="A45" s="1206"/>
      <c r="C45" s="1207"/>
      <c r="D45" s="1208"/>
      <c r="E45" s="1207"/>
      <c r="F45" s="1208"/>
      <c r="G45" s="1207"/>
      <c r="H45" s="1208"/>
      <c r="I45" s="1208"/>
    </row>
    <row r="46" spans="1:10" ht="18" customHeight="1">
      <c r="A46" s="1209"/>
      <c r="D46" s="1208"/>
      <c r="F46" s="1210"/>
      <c r="G46" s="1208"/>
      <c r="H46" s="1208"/>
      <c r="I46" s="1208"/>
    </row>
    <row r="47" spans="1:10" ht="18" customHeight="1">
      <c r="A47" s="1209"/>
      <c r="D47" s="1208"/>
      <c r="F47" s="1210"/>
      <c r="G47" s="1208"/>
      <c r="H47" s="1208"/>
      <c r="I47" s="1208"/>
    </row>
    <row r="48" spans="1:10" ht="18" customHeight="1">
      <c r="A48" s="1209"/>
      <c r="D48" s="1208"/>
      <c r="F48" s="1210"/>
      <c r="G48" s="1208"/>
      <c r="H48" s="1208"/>
      <c r="I48" s="1208"/>
    </row>
    <row r="49" spans="1:9" ht="18" customHeight="1">
      <c r="A49" s="1209"/>
      <c r="D49" s="1208"/>
      <c r="F49" s="1208"/>
      <c r="G49" s="1208"/>
      <c r="H49" s="1211"/>
      <c r="I49" s="1208"/>
    </row>
    <row r="50" spans="1:9" ht="18" customHeight="1">
      <c r="A50" s="1212"/>
      <c r="D50" s="1208"/>
      <c r="F50" s="1208"/>
      <c r="G50" s="1208"/>
      <c r="H50" s="1208"/>
      <c r="I50" s="1208"/>
    </row>
    <row r="51" spans="1:9" ht="18" customHeight="1">
      <c r="A51" s="1213"/>
      <c r="D51" s="1208"/>
      <c r="F51" s="1211"/>
      <c r="G51" s="1208"/>
      <c r="H51" s="1208"/>
      <c r="I51" s="1208"/>
    </row>
    <row r="52" spans="1:9" ht="18" customHeight="1">
      <c r="A52" s="1209"/>
      <c r="D52" s="1208"/>
      <c r="F52" s="1210"/>
      <c r="G52" s="1208"/>
      <c r="H52" s="1208"/>
      <c r="I52" s="1208"/>
    </row>
    <row r="53" spans="1:9" ht="18" customHeight="1">
      <c r="A53" s="1209"/>
      <c r="D53" s="1208"/>
      <c r="F53" s="1214"/>
      <c r="G53" s="1208"/>
      <c r="H53" s="1211"/>
      <c r="I53" s="1208"/>
    </row>
    <row r="54" spans="1:9" ht="18" customHeight="1">
      <c r="A54" s="1212"/>
      <c r="C54" s="1207"/>
      <c r="D54" s="1215"/>
      <c r="E54" s="1207"/>
      <c r="G54" s="1207"/>
      <c r="H54" s="1215"/>
      <c r="I54" s="1208"/>
    </row>
  </sheetData>
  <mergeCells count="4">
    <mergeCell ref="A26:J26"/>
    <mergeCell ref="A27:J27"/>
    <mergeCell ref="A28:J28"/>
    <mergeCell ref="A30:J30"/>
  </mergeCells>
  <printOptions horizontalCentered="1"/>
  <pageMargins left="0.5" right="0.5" top="0.5" bottom="0.5" header="0" footer="0.25"/>
  <pageSetup scale="66" firstPageNumber="44"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Normal="100" workbookViewId="0"/>
  </sheetViews>
  <sheetFormatPr defaultColWidth="8.84375" defaultRowHeight="12.5"/>
  <cols>
    <col min="1" max="1" width="40.07421875" style="457" customWidth="1"/>
    <col min="2" max="2" width="2.07421875" style="457" customWidth="1"/>
    <col min="3" max="3" width="17.07421875" style="587" customWidth="1"/>
    <col min="4" max="4" width="2.07421875" style="457" customWidth="1"/>
    <col min="5" max="5" width="15.4609375" style="457" customWidth="1"/>
    <col min="6" max="6" width="2.07421875" style="457" customWidth="1"/>
    <col min="7" max="7" width="16.07421875" style="457" customWidth="1"/>
    <col min="8" max="8" width="2.07421875" style="457" customWidth="1"/>
    <col min="9" max="9" width="15.53515625" style="458" customWidth="1"/>
    <col min="10" max="10" width="2.07421875" style="457" customWidth="1"/>
    <col min="11" max="11" width="16.4609375" style="458" bestFit="1" customWidth="1"/>
    <col min="12" max="12" width="2.07421875" style="457" customWidth="1"/>
    <col min="13" max="13" width="17.07421875" style="587" customWidth="1"/>
    <col min="14" max="14" width="1.84375" style="457" customWidth="1"/>
    <col min="15" max="15" width="1.07421875" style="457" customWidth="1"/>
    <col min="16" max="16" width="2" style="457" customWidth="1"/>
    <col min="17" max="17" width="15.4609375" style="457" customWidth="1"/>
    <col min="18" max="18" width="2.07421875" style="457" customWidth="1"/>
    <col min="19" max="19" width="16.4609375" style="457" bestFit="1" customWidth="1"/>
    <col min="20" max="20" width="11.84375" style="457" customWidth="1"/>
    <col min="21" max="21" width="12.4609375" style="457" customWidth="1"/>
    <col min="22" max="22" width="9.84375" style="457" bestFit="1" customWidth="1"/>
    <col min="23" max="16384" width="8.84375" style="457"/>
  </cols>
  <sheetData>
    <row r="1" spans="1:23" ht="15.5">
      <c r="A1" s="677" t="s">
        <v>868</v>
      </c>
    </row>
    <row r="2" spans="1:23" ht="15.5">
      <c r="A2" s="468"/>
    </row>
    <row r="3" spans="1:23" ht="18">
      <c r="A3" s="456" t="s">
        <v>0</v>
      </c>
      <c r="S3" s="456" t="s">
        <v>384</v>
      </c>
    </row>
    <row r="4" spans="1:23" ht="18">
      <c r="A4" s="456" t="s">
        <v>181</v>
      </c>
      <c r="J4" s="457" t="s">
        <v>14</v>
      </c>
    </row>
    <row r="5" spans="1:23" ht="18">
      <c r="A5" s="456" t="s">
        <v>385</v>
      </c>
    </row>
    <row r="6" spans="1:23" ht="18">
      <c r="A6" s="1045" t="str">
        <f>'Cashflow Governmental'!A6</f>
        <v xml:space="preserve">FISCAL YEAR 2022-2023   </v>
      </c>
    </row>
    <row r="9" spans="1:23" ht="15.65" customHeight="1">
      <c r="C9" s="1907"/>
      <c r="D9" s="1002"/>
      <c r="E9" s="2336" t="s">
        <v>1346</v>
      </c>
      <c r="F9" s="2336"/>
      <c r="G9" s="2336"/>
      <c r="H9" s="1001"/>
      <c r="I9" s="1949" t="s">
        <v>1183</v>
      </c>
      <c r="J9" s="1949"/>
      <c r="K9" s="1949"/>
      <c r="L9" s="999"/>
      <c r="M9" s="999"/>
      <c r="N9" s="999"/>
      <c r="O9" s="1003"/>
      <c r="P9" s="999"/>
      <c r="Q9" s="1004" t="s">
        <v>832</v>
      </c>
      <c r="R9" s="1004"/>
      <c r="S9" s="1004"/>
    </row>
    <row r="10" spans="1:23" ht="13">
      <c r="C10" s="1006" t="s">
        <v>119</v>
      </c>
      <c r="D10" s="1005"/>
      <c r="E10" s="1947"/>
      <c r="F10" s="1005"/>
      <c r="G10" s="1948"/>
      <c r="H10" s="999"/>
      <c r="I10" s="1948"/>
      <c r="J10" s="1948"/>
      <c r="K10" s="1948"/>
      <c r="L10" s="999"/>
      <c r="M10" s="1006" t="s">
        <v>119</v>
      </c>
      <c r="N10" s="999"/>
      <c r="O10" s="1007"/>
      <c r="P10" s="999"/>
    </row>
    <row r="11" spans="1:23" ht="13">
      <c r="C11" s="1006" t="s">
        <v>386</v>
      </c>
      <c r="D11" s="1005"/>
      <c r="E11" s="1948" t="s">
        <v>6</v>
      </c>
      <c r="F11" s="1005"/>
      <c r="G11" s="1008" t="s">
        <v>1563</v>
      </c>
      <c r="H11" s="999"/>
      <c r="I11" s="1005" t="s">
        <v>387</v>
      </c>
      <c r="J11" s="1000" t="s">
        <v>14</v>
      </c>
      <c r="K11" s="1005" t="str">
        <f>G11</f>
        <v>12 MONTHS ENDED</v>
      </c>
      <c r="L11" s="999"/>
      <c r="M11" s="1006" t="s">
        <v>386</v>
      </c>
      <c r="N11" s="999"/>
      <c r="O11" s="1007"/>
      <c r="P11" s="999"/>
      <c r="Q11" s="1005" t="s">
        <v>387</v>
      </c>
      <c r="R11" s="1000" t="s">
        <v>14</v>
      </c>
      <c r="S11" s="1005" t="str">
        <f>K11</f>
        <v>12 MONTHS ENDED</v>
      </c>
    </row>
    <row r="12" spans="1:23" ht="13">
      <c r="A12" s="1046" t="s">
        <v>388</v>
      </c>
      <c r="C12" s="1908" t="s">
        <v>1464</v>
      </c>
      <c r="D12" s="1008"/>
      <c r="E12" s="1952" t="s">
        <v>182</v>
      </c>
      <c r="F12" s="1008"/>
      <c r="G12" s="1047" t="s">
        <v>1562</v>
      </c>
      <c r="H12" s="999"/>
      <c r="I12" s="1047" t="s">
        <v>182</v>
      </c>
      <c r="J12" s="999"/>
      <c r="K12" s="2138" t="str">
        <f>G12</f>
        <v>MARCH 31, 2023</v>
      </c>
      <c r="L12" s="999"/>
      <c r="M12" s="2138" t="str">
        <f>K12</f>
        <v>MARCH 31, 2023</v>
      </c>
      <c r="N12" s="999"/>
      <c r="O12" s="1007"/>
      <c r="P12" s="999"/>
      <c r="Q12" s="1002" t="s">
        <v>182</v>
      </c>
      <c r="R12" s="999"/>
      <c r="S12" s="2138" t="str">
        <f>M12</f>
        <v>MARCH 31, 2023</v>
      </c>
    </row>
    <row r="13" spans="1:23">
      <c r="K13" s="1019"/>
      <c r="O13" s="1048"/>
    </row>
    <row r="14" spans="1:23" ht="13">
      <c r="A14" s="459" t="s">
        <v>389</v>
      </c>
      <c r="K14" s="1019"/>
      <c r="O14" s="1048"/>
      <c r="Q14" s="458"/>
    </row>
    <row r="15" spans="1:23" ht="12" customHeight="1">
      <c r="A15" s="459"/>
      <c r="K15" s="1019"/>
      <c r="M15" s="587" t="s">
        <v>14</v>
      </c>
      <c r="O15" s="1048"/>
      <c r="Q15" s="458"/>
    </row>
    <row r="16" spans="1:23">
      <c r="A16" s="457" t="s">
        <v>879</v>
      </c>
      <c r="B16" s="458"/>
      <c r="C16" s="1902">
        <v>8461004</v>
      </c>
      <c r="D16" s="1018"/>
      <c r="E16" s="1902">
        <v>0</v>
      </c>
      <c r="F16" s="1018"/>
      <c r="G16" s="1902">
        <f>E16</f>
        <v>0</v>
      </c>
      <c r="H16" s="1902"/>
      <c r="I16" s="1902">
        <v>0</v>
      </c>
      <c r="J16" s="1018"/>
      <c r="K16" s="1902">
        <v>1537312</v>
      </c>
      <c r="L16" s="1018" t="s">
        <v>14</v>
      </c>
      <c r="M16" s="1902">
        <f>ROUND(SUM(C16)-SUM(K16)+SUM(G16),0)</f>
        <v>6923692</v>
      </c>
      <c r="O16" s="1048"/>
      <c r="P16" s="458"/>
      <c r="Q16" s="1902">
        <v>0</v>
      </c>
      <c r="R16" s="1902"/>
      <c r="S16" s="1902">
        <v>240537</v>
      </c>
      <c r="T16" s="460"/>
      <c r="U16" s="1018"/>
      <c r="V16" s="1324"/>
      <c r="W16" s="526"/>
    </row>
    <row r="17" spans="1:23">
      <c r="D17" s="460"/>
      <c r="E17" s="462"/>
      <c r="F17" s="460"/>
      <c r="G17" s="587"/>
      <c r="I17" s="462"/>
      <c r="K17" s="1019"/>
      <c r="O17" s="1048"/>
      <c r="Q17" s="462"/>
      <c r="S17" s="1019"/>
      <c r="U17" s="462"/>
      <c r="V17" s="525"/>
      <c r="W17" s="526"/>
    </row>
    <row r="18" spans="1:23">
      <c r="A18" s="457" t="s">
        <v>390</v>
      </c>
      <c r="D18" s="460"/>
      <c r="E18" s="458"/>
      <c r="F18" s="460"/>
      <c r="G18" s="587"/>
      <c r="J18" s="458"/>
      <c r="K18" s="1019"/>
      <c r="O18" s="1048"/>
      <c r="Q18" s="458"/>
      <c r="R18" s="458"/>
      <c r="S18" s="1019"/>
      <c r="U18" s="458"/>
      <c r="V18" s="525"/>
      <c r="W18" s="460"/>
    </row>
    <row r="19" spans="1:23" ht="12" customHeight="1">
      <c r="A19" s="457" t="s">
        <v>880</v>
      </c>
      <c r="C19" s="1903">
        <v>1118878</v>
      </c>
      <c r="D19" s="1020"/>
      <c r="E19" s="1903">
        <v>0</v>
      </c>
      <c r="F19" s="1020"/>
      <c r="G19" s="1903">
        <f>E19</f>
        <v>0</v>
      </c>
      <c r="H19" s="1903"/>
      <c r="I19" s="1903">
        <v>0</v>
      </c>
      <c r="J19" s="1020"/>
      <c r="K19" s="1903">
        <v>173110</v>
      </c>
      <c r="L19" s="1020" t="s">
        <v>14</v>
      </c>
      <c r="M19" s="1903">
        <f>ROUND(SUM(C19)-SUM(K19)+SUM(G19),0)</f>
        <v>945768</v>
      </c>
      <c r="O19" s="1048"/>
      <c r="P19" s="457" t="s">
        <v>14</v>
      </c>
      <c r="Q19" s="1903">
        <v>0</v>
      </c>
      <c r="R19" s="1903"/>
      <c r="S19" s="1903">
        <v>34596</v>
      </c>
      <c r="T19" s="460"/>
      <c r="U19" s="587"/>
      <c r="V19" s="525"/>
      <c r="W19" s="526"/>
    </row>
    <row r="20" spans="1:23">
      <c r="A20" s="457" t="s">
        <v>391</v>
      </c>
      <c r="C20" s="1903">
        <v>0</v>
      </c>
      <c r="D20" s="1020"/>
      <c r="E20" s="1903">
        <v>0</v>
      </c>
      <c r="F20" s="1020"/>
      <c r="G20" s="1903">
        <f t="shared" ref="G20:G63" si="0">E20</f>
        <v>0</v>
      </c>
      <c r="H20" s="1903"/>
      <c r="I20" s="1903">
        <v>0</v>
      </c>
      <c r="J20" s="1020"/>
      <c r="K20" s="1903">
        <v>0</v>
      </c>
      <c r="L20" s="1020"/>
      <c r="M20" s="1903">
        <f>ROUND(SUM(C20)-SUM(K20)+SUM(G20),0)</f>
        <v>0</v>
      </c>
      <c r="O20" s="1048"/>
      <c r="Q20" s="1903">
        <v>0</v>
      </c>
      <c r="R20" s="1903"/>
      <c r="S20" s="1903">
        <v>0</v>
      </c>
      <c r="T20" s="460"/>
      <c r="U20" s="587"/>
      <c r="V20" s="525"/>
      <c r="W20" s="526"/>
    </row>
    <row r="21" spans="1:23">
      <c r="A21" s="457" t="s">
        <v>1176</v>
      </c>
      <c r="C21" s="1903">
        <v>253245477</v>
      </c>
      <c r="D21" s="1020"/>
      <c r="E21" s="1903">
        <v>0</v>
      </c>
      <c r="F21" s="1020"/>
      <c r="G21" s="1903">
        <f t="shared" si="0"/>
        <v>0</v>
      </c>
      <c r="H21" s="1903"/>
      <c r="I21" s="1903">
        <v>7047670</v>
      </c>
      <c r="J21" s="1020"/>
      <c r="K21" s="1903">
        <v>23042981</v>
      </c>
      <c r="L21" s="1020" t="s">
        <v>14</v>
      </c>
      <c r="M21" s="1903">
        <f>ROUND(SUM(C21)-SUM(K21)+SUM(G21),0)</f>
        <v>230202496</v>
      </c>
      <c r="O21" s="1048"/>
      <c r="Q21" s="1903">
        <v>1183991</v>
      </c>
      <c r="R21" s="1903"/>
      <c r="S21" s="1903">
        <v>6885477</v>
      </c>
      <c r="T21" s="460"/>
      <c r="U21" s="587"/>
      <c r="V21" s="525"/>
      <c r="W21" s="526"/>
    </row>
    <row r="22" spans="1:23">
      <c r="A22" s="457" t="s">
        <v>392</v>
      </c>
      <c r="C22" s="1903">
        <v>7194313</v>
      </c>
      <c r="D22" s="1020"/>
      <c r="E22" s="1903">
        <v>0</v>
      </c>
      <c r="F22" s="1020"/>
      <c r="G22" s="1903">
        <f t="shared" si="0"/>
        <v>0</v>
      </c>
      <c r="H22" s="1903"/>
      <c r="I22" s="1903">
        <v>113426</v>
      </c>
      <c r="J22" s="1020"/>
      <c r="K22" s="1903">
        <v>764891</v>
      </c>
      <c r="L22" s="1020" t="s">
        <v>14</v>
      </c>
      <c r="M22" s="1903">
        <f>ROUND(SUM(C22)-SUM(K22)+SUM(G22),0)</f>
        <v>6429422</v>
      </c>
      <c r="O22" s="1048"/>
      <c r="Q22" s="1903">
        <v>7207</v>
      </c>
      <c r="R22" s="1903"/>
      <c r="S22" s="1903">
        <v>207950</v>
      </c>
      <c r="T22" s="460"/>
      <c r="U22" s="587"/>
      <c r="V22" s="525"/>
      <c r="W22" s="526"/>
    </row>
    <row r="23" spans="1:23">
      <c r="A23" s="457" t="s">
        <v>881</v>
      </c>
      <c r="C23" s="1903">
        <v>32751773</v>
      </c>
      <c r="D23" s="1020"/>
      <c r="E23" s="1903">
        <v>0</v>
      </c>
      <c r="F23" s="1020"/>
      <c r="G23" s="1903">
        <f t="shared" si="0"/>
        <v>0</v>
      </c>
      <c r="H23" s="1903"/>
      <c r="I23" s="1903">
        <v>1738845</v>
      </c>
      <c r="J23" s="1020"/>
      <c r="K23" s="1903">
        <v>2582354</v>
      </c>
      <c r="L23" s="1020" t="s">
        <v>14</v>
      </c>
      <c r="M23" s="1903">
        <f>ROUND(SUM(C23)-SUM(K23)+SUM(G23),0)</f>
        <v>30169419</v>
      </c>
      <c r="O23" s="1048"/>
      <c r="Q23" s="1903">
        <v>392449</v>
      </c>
      <c r="R23" s="1903" t="s">
        <v>14</v>
      </c>
      <c r="S23" s="1903">
        <v>939380</v>
      </c>
      <c r="T23" s="460" t="s">
        <v>14</v>
      </c>
      <c r="U23" s="587"/>
      <c r="V23" s="525"/>
      <c r="W23" s="526"/>
    </row>
    <row r="24" spans="1:23">
      <c r="C24" s="1903"/>
      <c r="D24" s="587"/>
      <c r="E24" s="1073"/>
      <c r="F24" s="587"/>
      <c r="G24" s="1903" t="s">
        <v>14</v>
      </c>
      <c r="H24" s="1073"/>
      <c r="I24" s="1073"/>
      <c r="J24" s="587"/>
      <c r="K24" s="1073"/>
      <c r="L24" s="587"/>
      <c r="M24" s="1903" t="s">
        <v>14</v>
      </c>
      <c r="O24" s="1048"/>
      <c r="Q24" s="1903"/>
      <c r="R24" s="1903"/>
      <c r="S24" s="1903"/>
      <c r="U24" s="462"/>
      <c r="V24" s="525"/>
      <c r="W24" s="526"/>
    </row>
    <row r="25" spans="1:23">
      <c r="A25" s="457" t="s">
        <v>790</v>
      </c>
      <c r="C25" s="1903"/>
      <c r="D25" s="587"/>
      <c r="E25" s="1073"/>
      <c r="F25" s="587"/>
      <c r="G25" s="1903" t="s">
        <v>14</v>
      </c>
      <c r="H25" s="1073"/>
      <c r="I25" s="1073"/>
      <c r="J25" s="587"/>
      <c r="K25" s="1073"/>
      <c r="L25" s="587"/>
      <c r="M25" s="1903" t="s">
        <v>14</v>
      </c>
      <c r="O25" s="1048"/>
      <c r="Q25" s="1903"/>
      <c r="R25" s="1903"/>
      <c r="S25" s="1903"/>
      <c r="U25" s="462"/>
      <c r="V25" s="525"/>
      <c r="W25" s="460"/>
    </row>
    <row r="26" spans="1:23">
      <c r="A26" s="457" t="s">
        <v>897</v>
      </c>
      <c r="C26" s="1903">
        <v>758743</v>
      </c>
      <c r="D26" s="1020"/>
      <c r="E26" s="1903">
        <v>0</v>
      </c>
      <c r="F26" s="1020"/>
      <c r="G26" s="1903">
        <f t="shared" si="0"/>
        <v>0</v>
      </c>
      <c r="H26" s="1903"/>
      <c r="I26" s="1903">
        <v>0</v>
      </c>
      <c r="J26" s="1020"/>
      <c r="K26" s="1903">
        <v>171238</v>
      </c>
      <c r="L26" s="1020"/>
      <c r="M26" s="1903">
        <f>ROUND(SUM(C26)-SUM(K26)+SUM(G26),0)</f>
        <v>587505</v>
      </c>
      <c r="O26" s="1048"/>
      <c r="Q26" s="1903">
        <v>0</v>
      </c>
      <c r="R26" s="1903"/>
      <c r="S26" s="1903">
        <v>27634</v>
      </c>
      <c r="T26" s="460"/>
      <c r="U26" s="587"/>
      <c r="V26" s="525"/>
      <c r="W26" s="526"/>
    </row>
    <row r="27" spans="1:23">
      <c r="C27" s="1903"/>
      <c r="D27" s="587"/>
      <c r="E27" s="1073"/>
      <c r="F27" s="587"/>
      <c r="G27" s="1903" t="s">
        <v>14</v>
      </c>
      <c r="H27" s="1073"/>
      <c r="I27" s="1073"/>
      <c r="J27" s="587"/>
      <c r="K27" s="1073"/>
      <c r="L27" s="587"/>
      <c r="M27" s="1903" t="s">
        <v>14</v>
      </c>
      <c r="O27" s="1048"/>
      <c r="Q27" s="1903"/>
      <c r="R27" s="1903"/>
      <c r="S27" s="1903"/>
      <c r="U27" s="462"/>
      <c r="V27" s="525"/>
      <c r="W27" s="526"/>
    </row>
    <row r="28" spans="1:23">
      <c r="A28" s="457" t="s">
        <v>1132</v>
      </c>
      <c r="C28" s="1903"/>
      <c r="D28" s="587"/>
      <c r="E28" s="1073"/>
      <c r="F28" s="587"/>
      <c r="G28" s="1903" t="s">
        <v>14</v>
      </c>
      <c r="H28" s="1073"/>
      <c r="I28" s="1073"/>
      <c r="J28" s="587"/>
      <c r="K28" s="1073"/>
      <c r="L28" s="587"/>
      <c r="M28" s="1903" t="s">
        <v>14</v>
      </c>
      <c r="O28" s="1048"/>
      <c r="Q28" s="1903"/>
      <c r="R28" s="1903"/>
      <c r="S28" s="1903"/>
      <c r="U28" s="462"/>
      <c r="V28" s="525"/>
    </row>
    <row r="29" spans="1:23">
      <c r="A29" s="457" t="s">
        <v>393</v>
      </c>
      <c r="C29" s="1903">
        <v>0</v>
      </c>
      <c r="D29" s="1020"/>
      <c r="E29" s="1903">
        <v>0</v>
      </c>
      <c r="F29" s="1020"/>
      <c r="G29" s="1903">
        <f t="shared" si="0"/>
        <v>0</v>
      </c>
      <c r="H29" s="1903"/>
      <c r="I29" s="1903">
        <v>0</v>
      </c>
      <c r="J29" s="1020"/>
      <c r="K29" s="1903">
        <v>0</v>
      </c>
      <c r="L29" s="1020"/>
      <c r="M29" s="1903">
        <f>ROUND(SUM(C29)-SUM(K29)+SUM(G29),0)</f>
        <v>0</v>
      </c>
      <c r="O29" s="1048"/>
      <c r="Q29" s="1903">
        <v>0</v>
      </c>
      <c r="R29" s="1903"/>
      <c r="S29" s="1903">
        <v>0</v>
      </c>
      <c r="T29" s="460"/>
      <c r="U29" s="587"/>
      <c r="V29" s="525"/>
      <c r="W29" s="526"/>
    </row>
    <row r="30" spans="1:23">
      <c r="A30" s="457" t="s">
        <v>882</v>
      </c>
      <c r="C30" s="1903">
        <v>3565402</v>
      </c>
      <c r="D30" s="1020"/>
      <c r="E30" s="1903">
        <v>0</v>
      </c>
      <c r="F30" s="1020"/>
      <c r="G30" s="1903">
        <f t="shared" si="0"/>
        <v>0</v>
      </c>
      <c r="H30" s="1903"/>
      <c r="I30" s="1903">
        <v>633380</v>
      </c>
      <c r="J30" s="1020" t="s">
        <v>14</v>
      </c>
      <c r="K30" s="1903">
        <v>698642</v>
      </c>
      <c r="L30" s="1020"/>
      <c r="M30" s="1903">
        <f>ROUND(SUM(C30)-SUM(K30)+SUM(G30),0)</f>
        <v>2866760</v>
      </c>
      <c r="O30" s="1048"/>
      <c r="Q30" s="1903">
        <v>81453</v>
      </c>
      <c r="R30" s="1903"/>
      <c r="S30" s="1903">
        <v>172836</v>
      </c>
      <c r="T30" s="460" t="s">
        <v>14</v>
      </c>
      <c r="U30" s="587" t="s">
        <v>14</v>
      </c>
      <c r="V30" s="525"/>
      <c r="W30" s="526"/>
    </row>
    <row r="31" spans="1:23">
      <c r="A31" s="457" t="s">
        <v>394</v>
      </c>
      <c r="C31" s="1903">
        <v>3665711</v>
      </c>
      <c r="D31" s="1020"/>
      <c r="E31" s="1903">
        <v>0</v>
      </c>
      <c r="F31" s="1020"/>
      <c r="G31" s="1903">
        <f t="shared" si="0"/>
        <v>0</v>
      </c>
      <c r="H31" s="1903"/>
      <c r="I31" s="1903">
        <v>101739</v>
      </c>
      <c r="J31" s="1020"/>
      <c r="K31" s="1903">
        <v>807421</v>
      </c>
      <c r="L31" s="1020"/>
      <c r="M31" s="1903">
        <f>ROUND(SUM(C31)-SUM(K31)+SUM(G31),0)</f>
        <v>2858290</v>
      </c>
      <c r="O31" s="1048"/>
      <c r="Q31" s="1903">
        <v>8976</v>
      </c>
      <c r="R31" s="1903"/>
      <c r="S31" s="1903">
        <v>106488</v>
      </c>
      <c r="T31" s="460" t="s">
        <v>14</v>
      </c>
      <c r="U31" s="587" t="s">
        <v>14</v>
      </c>
      <c r="V31" s="525"/>
      <c r="W31" s="526"/>
    </row>
    <row r="32" spans="1:23">
      <c r="C32" s="1903"/>
      <c r="D32" s="587"/>
      <c r="E32" s="1073"/>
      <c r="F32" s="587"/>
      <c r="G32" s="1903" t="s">
        <v>14</v>
      </c>
      <c r="H32" s="1073"/>
      <c r="I32" s="1073"/>
      <c r="J32" s="587"/>
      <c r="K32" s="1073"/>
      <c r="L32" s="587"/>
      <c r="M32" s="1903" t="s">
        <v>14</v>
      </c>
      <c r="O32" s="1048"/>
      <c r="Q32" s="1903"/>
      <c r="R32" s="1903"/>
      <c r="S32" s="1903"/>
      <c r="T32" s="460" t="s">
        <v>14</v>
      </c>
      <c r="U32" s="462"/>
      <c r="V32" s="525"/>
      <c r="W32" s="526"/>
    </row>
    <row r="33" spans="1:24">
      <c r="A33" s="457" t="s">
        <v>395</v>
      </c>
      <c r="C33" s="1903"/>
      <c r="D33" s="587"/>
      <c r="E33" s="1073"/>
      <c r="F33" s="587"/>
      <c r="G33" s="1903" t="s">
        <v>14</v>
      </c>
      <c r="H33" s="1073"/>
      <c r="I33" s="1073"/>
      <c r="J33" s="587"/>
      <c r="K33" s="1073"/>
      <c r="L33" s="587"/>
      <c r="M33" s="1903" t="s">
        <v>14</v>
      </c>
      <c r="O33" s="1048"/>
      <c r="Q33" s="1903"/>
      <c r="R33" s="1903"/>
      <c r="S33" s="1903"/>
      <c r="U33" s="462"/>
      <c r="V33" s="525"/>
      <c r="W33" s="460"/>
    </row>
    <row r="34" spans="1:24">
      <c r="A34" s="457" t="s">
        <v>1133</v>
      </c>
      <c r="C34" s="1903">
        <v>2056950</v>
      </c>
      <c r="D34" s="1020"/>
      <c r="E34" s="1903">
        <v>0</v>
      </c>
      <c r="F34" s="1020"/>
      <c r="G34" s="1903">
        <f t="shared" si="0"/>
        <v>0</v>
      </c>
      <c r="H34" s="1903"/>
      <c r="I34" s="1903">
        <v>71700</v>
      </c>
      <c r="J34" s="1020"/>
      <c r="K34" s="1903">
        <v>313800</v>
      </c>
      <c r="L34" s="1020" t="s">
        <v>14</v>
      </c>
      <c r="M34" s="1903">
        <f>ROUND(SUM(C34)-SUM(K34)+SUM(G34),0)</f>
        <v>1743150</v>
      </c>
      <c r="O34" s="1048"/>
      <c r="Q34" s="1903">
        <v>18326</v>
      </c>
      <c r="R34" s="1903" t="s">
        <v>14</v>
      </c>
      <c r="S34" s="1903">
        <v>63194</v>
      </c>
      <c r="T34" s="460"/>
      <c r="U34" s="587"/>
      <c r="V34" s="525"/>
      <c r="W34" s="526"/>
    </row>
    <row r="35" spans="1:24">
      <c r="A35" s="457" t="s">
        <v>396</v>
      </c>
      <c r="C35" s="1903">
        <v>67959839</v>
      </c>
      <c r="D35" s="1020"/>
      <c r="E35" s="1903">
        <v>0</v>
      </c>
      <c r="F35" s="1020"/>
      <c r="G35" s="1903">
        <f t="shared" si="0"/>
        <v>0</v>
      </c>
      <c r="H35" s="1903"/>
      <c r="I35" s="1903">
        <v>1806870</v>
      </c>
      <c r="J35" s="1020"/>
      <c r="K35" s="1903">
        <v>14242210</v>
      </c>
      <c r="L35" s="1020"/>
      <c r="M35" s="1903">
        <f>ROUND(SUM(C35)-SUM(K35)+SUM(G35),0)</f>
        <v>53717629</v>
      </c>
      <c r="O35" s="1048"/>
      <c r="Q35" s="1903">
        <v>313821</v>
      </c>
      <c r="R35" s="1903"/>
      <c r="S35" s="1903">
        <v>1992915</v>
      </c>
      <c r="T35" s="460"/>
      <c r="U35" s="587"/>
      <c r="V35" s="525"/>
      <c r="W35" s="526"/>
      <c r="X35" s="460"/>
    </row>
    <row r="36" spans="1:24">
      <c r="C36" s="1903"/>
      <c r="D36" s="587"/>
      <c r="E36" s="1073"/>
      <c r="F36" s="587"/>
      <c r="G36" s="1903" t="s">
        <v>14</v>
      </c>
      <c r="H36" s="1073"/>
      <c r="I36" s="1073"/>
      <c r="J36" s="587"/>
      <c r="K36" s="1073"/>
      <c r="L36" s="587"/>
      <c r="M36" s="1903" t="s">
        <v>14</v>
      </c>
      <c r="O36" s="1048"/>
      <c r="Q36" s="1903"/>
      <c r="R36" s="1903"/>
      <c r="S36" s="1903"/>
      <c r="U36" s="462"/>
      <c r="V36" s="525"/>
      <c r="W36" s="526"/>
    </row>
    <row r="37" spans="1:24">
      <c r="A37" s="457" t="s">
        <v>397</v>
      </c>
      <c r="C37" s="1903"/>
      <c r="D37" s="587"/>
      <c r="E37" s="1073"/>
      <c r="F37" s="587"/>
      <c r="G37" s="1903" t="s">
        <v>14</v>
      </c>
      <c r="H37" s="1073"/>
      <c r="I37" s="1073"/>
      <c r="J37" s="587"/>
      <c r="K37" s="1073"/>
      <c r="L37" s="587"/>
      <c r="M37" s="1903" t="s">
        <v>14</v>
      </c>
      <c r="O37" s="1048"/>
      <c r="Q37" s="1903"/>
      <c r="R37" s="1903"/>
      <c r="S37" s="1903"/>
      <c r="U37" s="2276"/>
      <c r="V37" s="525"/>
      <c r="W37" s="460"/>
    </row>
    <row r="38" spans="1:24">
      <c r="A38" s="457" t="s">
        <v>1177</v>
      </c>
      <c r="C38" s="1903">
        <v>3005000</v>
      </c>
      <c r="D38" s="1020"/>
      <c r="E38" s="1903">
        <v>0</v>
      </c>
      <c r="F38" s="1020"/>
      <c r="G38" s="1903">
        <f t="shared" si="0"/>
        <v>0</v>
      </c>
      <c r="H38" s="1903"/>
      <c r="I38" s="1903">
        <v>3005000</v>
      </c>
      <c r="J38" s="1020"/>
      <c r="K38" s="1903">
        <v>3005000</v>
      </c>
      <c r="L38" s="1020"/>
      <c r="M38" s="1903">
        <f>ROUND(SUM(C38)-SUM(K38)+SUM(G38),0)</f>
        <v>0</v>
      </c>
      <c r="O38" s="1048"/>
      <c r="Q38" s="1903">
        <v>11986</v>
      </c>
      <c r="R38" s="1903"/>
      <c r="S38" s="1903">
        <v>18221</v>
      </c>
      <c r="T38" s="460"/>
      <c r="U38" s="587"/>
      <c r="V38" s="525"/>
      <c r="W38" s="526"/>
    </row>
    <row r="39" spans="1:24">
      <c r="A39" s="457" t="s">
        <v>883</v>
      </c>
      <c r="C39" s="1903">
        <v>515000</v>
      </c>
      <c r="D39" s="1020"/>
      <c r="E39" s="1903">
        <v>0</v>
      </c>
      <c r="F39" s="1020"/>
      <c r="G39" s="1903">
        <f t="shared" si="0"/>
        <v>0</v>
      </c>
      <c r="H39" s="1903"/>
      <c r="I39" s="1903">
        <v>0</v>
      </c>
      <c r="J39" s="1020"/>
      <c r="K39" s="1903">
        <v>515000</v>
      </c>
      <c r="L39" s="1020"/>
      <c r="M39" s="1903">
        <f>ROUND(SUM(C39)-SUM(K39)+SUM(G39),0)</f>
        <v>0</v>
      </c>
      <c r="O39" s="1048"/>
      <c r="Q39" s="1903">
        <v>0</v>
      </c>
      <c r="R39" s="1903"/>
      <c r="S39" s="1903">
        <v>10558</v>
      </c>
      <c r="T39" s="460"/>
      <c r="U39" s="587"/>
      <c r="V39" s="525"/>
      <c r="W39" s="526"/>
    </row>
    <row r="40" spans="1:24">
      <c r="C40" s="1903"/>
      <c r="D40" s="587"/>
      <c r="E40" s="1073"/>
      <c r="F40" s="587"/>
      <c r="G40" s="1903" t="s">
        <v>14</v>
      </c>
      <c r="H40" s="1073"/>
      <c r="I40" s="1073"/>
      <c r="J40" s="587"/>
      <c r="K40" s="1073"/>
      <c r="L40" s="587"/>
      <c r="M40" s="1903" t="s">
        <v>14</v>
      </c>
      <c r="O40" s="1048"/>
      <c r="Q40" s="1903"/>
      <c r="R40" s="1903"/>
      <c r="S40" s="1903"/>
      <c r="U40" s="2276"/>
      <c r="V40" s="525"/>
      <c r="W40" s="526"/>
    </row>
    <row r="41" spans="1:24">
      <c r="A41" s="457" t="s">
        <v>884</v>
      </c>
      <c r="C41" s="1903">
        <v>0</v>
      </c>
      <c r="D41" s="1020"/>
      <c r="E41" s="1903">
        <v>0</v>
      </c>
      <c r="F41" s="1020"/>
      <c r="G41" s="1903">
        <f t="shared" si="0"/>
        <v>0</v>
      </c>
      <c r="H41" s="1903"/>
      <c r="I41" s="1903">
        <v>0</v>
      </c>
      <c r="J41" s="1020"/>
      <c r="K41" s="1903">
        <v>0</v>
      </c>
      <c r="L41" s="1020"/>
      <c r="M41" s="1903">
        <f>ROUND(SUM(C41)-SUM(K41)+SUM(G41),0)</f>
        <v>0</v>
      </c>
      <c r="O41" s="1048"/>
      <c r="Q41" s="1903">
        <v>0</v>
      </c>
      <c r="R41" s="1903"/>
      <c r="S41" s="1903">
        <v>0</v>
      </c>
      <c r="T41" s="460"/>
      <c r="U41" s="587"/>
      <c r="V41" s="525"/>
      <c r="W41" s="526"/>
    </row>
    <row r="42" spans="1:24">
      <c r="C42" s="1903"/>
      <c r="D42" s="1020"/>
      <c r="E42" s="1903"/>
      <c r="F42" s="1020"/>
      <c r="G42" s="1903" t="s">
        <v>14</v>
      </c>
      <c r="H42" s="1903"/>
      <c r="I42" s="1903"/>
      <c r="J42" s="1020"/>
      <c r="K42" s="1903"/>
      <c r="L42" s="1020"/>
      <c r="M42" s="1903" t="s">
        <v>14</v>
      </c>
      <c r="O42" s="1048"/>
      <c r="Q42" s="1903"/>
      <c r="R42" s="1903"/>
      <c r="S42" s="1903"/>
      <c r="U42" s="2276"/>
      <c r="V42" s="525"/>
      <c r="W42" s="526"/>
    </row>
    <row r="43" spans="1:24">
      <c r="A43" s="457" t="s">
        <v>398</v>
      </c>
      <c r="C43" s="1903">
        <v>12359481</v>
      </c>
      <c r="D43" s="1020"/>
      <c r="E43" s="1903">
        <v>0</v>
      </c>
      <c r="F43" s="1020"/>
      <c r="G43" s="1903">
        <f t="shared" si="0"/>
        <v>0</v>
      </c>
      <c r="H43" s="1903"/>
      <c r="I43" s="1903">
        <v>63616</v>
      </c>
      <c r="J43" s="1020"/>
      <c r="K43" s="1903">
        <v>1123803</v>
      </c>
      <c r="L43" s="1020"/>
      <c r="M43" s="1903">
        <f>ROUND(SUM(C43)-SUM(K43)+SUM(G43),0)</f>
        <v>11235678</v>
      </c>
      <c r="O43" s="1048"/>
      <c r="Q43" s="1903">
        <v>25564</v>
      </c>
      <c r="R43" s="1903"/>
      <c r="S43" s="1903">
        <v>375642</v>
      </c>
      <c r="T43" s="460"/>
      <c r="U43" s="587"/>
      <c r="V43" s="525"/>
      <c r="W43" s="526"/>
    </row>
    <row r="44" spans="1:24">
      <c r="C44" s="1903"/>
      <c r="D44" s="1020"/>
      <c r="E44" s="1903"/>
      <c r="F44" s="1020"/>
      <c r="G44" s="1903" t="s">
        <v>14</v>
      </c>
      <c r="H44" s="1903"/>
      <c r="I44" s="1903"/>
      <c r="J44" s="1020"/>
      <c r="K44" s="1903"/>
      <c r="L44" s="1020"/>
      <c r="M44" s="1903" t="s">
        <v>14</v>
      </c>
      <c r="O44" s="1048"/>
      <c r="Q44" s="1903"/>
      <c r="R44" s="1903"/>
      <c r="S44" s="1903"/>
      <c r="U44" s="2277"/>
      <c r="V44" s="525"/>
      <c r="W44" s="526"/>
    </row>
    <row r="45" spans="1:24">
      <c r="A45" s="457" t="s">
        <v>399</v>
      </c>
      <c r="C45" s="1903">
        <v>0</v>
      </c>
      <c r="D45" s="1020"/>
      <c r="E45" s="1903">
        <v>0</v>
      </c>
      <c r="F45" s="1020"/>
      <c r="G45" s="1903">
        <f t="shared" si="0"/>
        <v>0</v>
      </c>
      <c r="H45" s="1903"/>
      <c r="I45" s="1903">
        <v>0</v>
      </c>
      <c r="J45" s="1020"/>
      <c r="K45" s="1903">
        <v>0</v>
      </c>
      <c r="L45" s="1020"/>
      <c r="M45" s="1903">
        <f>ROUND(SUM(C45)-SUM(K45)+SUM(G45),0)</f>
        <v>0</v>
      </c>
      <c r="O45" s="1048"/>
      <c r="Q45" s="1903">
        <v>0</v>
      </c>
      <c r="R45" s="1903"/>
      <c r="S45" s="1903">
        <v>0</v>
      </c>
      <c r="T45" s="460"/>
      <c r="U45" s="587"/>
      <c r="V45" s="525"/>
      <c r="W45" s="526"/>
    </row>
    <row r="46" spans="1:24">
      <c r="C46" s="1903"/>
      <c r="D46" s="1020"/>
      <c r="E46" s="1903"/>
      <c r="F46" s="1020"/>
      <c r="G46" s="1903" t="s">
        <v>14</v>
      </c>
      <c r="H46" s="1903"/>
      <c r="I46" s="1903"/>
      <c r="J46" s="1020"/>
      <c r="K46" s="1903"/>
      <c r="L46" s="1020"/>
      <c r="M46" s="1903" t="s">
        <v>14</v>
      </c>
      <c r="O46" s="1048"/>
      <c r="Q46" s="1903"/>
      <c r="R46" s="1903"/>
      <c r="S46" s="1903"/>
      <c r="U46" s="462"/>
      <c r="V46" s="525"/>
      <c r="W46" s="526"/>
    </row>
    <row r="47" spans="1:24">
      <c r="A47" s="457" t="s">
        <v>400</v>
      </c>
      <c r="C47" s="1903"/>
      <c r="D47" s="1021"/>
      <c r="E47" s="1904"/>
      <c r="F47" s="1021"/>
      <c r="G47" s="1903" t="s">
        <v>14</v>
      </c>
      <c r="H47" s="1904"/>
      <c r="I47" s="1904"/>
      <c r="J47" s="1021"/>
      <c r="K47" s="1904" t="s">
        <v>14</v>
      </c>
      <c r="L47" s="1021"/>
      <c r="M47" s="1903" t="s">
        <v>14</v>
      </c>
      <c r="O47" s="1048"/>
      <c r="Q47" s="1903"/>
      <c r="R47" s="1903"/>
      <c r="S47" s="1903"/>
      <c r="U47" s="2276"/>
      <c r="V47" s="525"/>
      <c r="W47" s="526"/>
    </row>
    <row r="48" spans="1:24">
      <c r="A48" s="457" t="s">
        <v>401</v>
      </c>
      <c r="C48" s="1903">
        <v>514054113</v>
      </c>
      <c r="D48" s="1021"/>
      <c r="E48" s="1904">
        <v>0</v>
      </c>
      <c r="F48" s="1021"/>
      <c r="G48" s="1903">
        <f t="shared" si="0"/>
        <v>0</v>
      </c>
      <c r="H48" s="1904"/>
      <c r="I48" s="1904">
        <v>24988184</v>
      </c>
      <c r="J48" s="1021"/>
      <c r="K48" s="1904">
        <v>46261665</v>
      </c>
      <c r="L48" s="1021" t="s">
        <v>14</v>
      </c>
      <c r="M48" s="1903">
        <f t="shared" ref="M48:M53" si="1">ROUND(SUM(C48)-SUM(K48)+SUM(G48),0)</f>
        <v>467792448</v>
      </c>
      <c r="O48" s="1048"/>
      <c r="Q48" s="1903">
        <v>4457845</v>
      </c>
      <c r="R48" s="1903"/>
      <c r="S48" s="1903">
        <v>14310847</v>
      </c>
      <c r="T48" s="2278"/>
      <c r="U48" s="587"/>
      <c r="V48" s="525"/>
      <c r="W48" s="526"/>
    </row>
    <row r="49" spans="1:23">
      <c r="A49" s="457" t="s">
        <v>402</v>
      </c>
      <c r="C49" s="1903">
        <v>5743603</v>
      </c>
      <c r="D49" s="1021"/>
      <c r="E49" s="1904">
        <v>0</v>
      </c>
      <c r="F49" s="1021"/>
      <c r="G49" s="1903">
        <f t="shared" si="0"/>
        <v>0</v>
      </c>
      <c r="H49" s="1904"/>
      <c r="I49" s="1904">
        <v>867690</v>
      </c>
      <c r="J49" s="1021" t="s">
        <v>14</v>
      </c>
      <c r="K49" s="1904">
        <v>1399233</v>
      </c>
      <c r="L49" s="1021"/>
      <c r="M49" s="1903">
        <f t="shared" si="1"/>
        <v>4344370</v>
      </c>
      <c r="O49" s="1048"/>
      <c r="Q49" s="1903">
        <v>56708</v>
      </c>
      <c r="R49" s="1903" t="s">
        <v>14</v>
      </c>
      <c r="S49" s="1903">
        <v>219645</v>
      </c>
      <c r="T49" s="2278" t="s">
        <v>14</v>
      </c>
      <c r="U49" s="587"/>
      <c r="V49" s="525"/>
      <c r="W49" s="526"/>
    </row>
    <row r="50" spans="1:23">
      <c r="A50" s="457" t="s">
        <v>403</v>
      </c>
      <c r="C50" s="1903">
        <v>38978054</v>
      </c>
      <c r="D50" s="1021"/>
      <c r="E50" s="1904">
        <v>0</v>
      </c>
      <c r="F50" s="1021"/>
      <c r="G50" s="1903">
        <f t="shared" si="0"/>
        <v>0</v>
      </c>
      <c r="H50" s="1904"/>
      <c r="I50" s="1904">
        <v>581814</v>
      </c>
      <c r="J50" s="1021"/>
      <c r="K50" s="1904">
        <v>1524623</v>
      </c>
      <c r="L50" s="1021"/>
      <c r="M50" s="1903">
        <f t="shared" si="1"/>
        <v>37453431</v>
      </c>
      <c r="O50" s="1048"/>
      <c r="Q50" s="1903">
        <v>151147</v>
      </c>
      <c r="R50" s="1903" t="s">
        <v>14</v>
      </c>
      <c r="S50" s="1903">
        <v>1050662</v>
      </c>
      <c r="T50" s="2278" t="s">
        <v>14</v>
      </c>
      <c r="U50" s="587"/>
      <c r="V50" s="525"/>
      <c r="W50" s="526"/>
    </row>
    <row r="51" spans="1:23">
      <c r="A51" s="457" t="s">
        <v>404</v>
      </c>
      <c r="C51" s="1903">
        <v>84738358</v>
      </c>
      <c r="D51" s="1021"/>
      <c r="E51" s="1904">
        <v>0</v>
      </c>
      <c r="F51" s="1021"/>
      <c r="G51" s="1903">
        <f t="shared" si="0"/>
        <v>0</v>
      </c>
      <c r="H51" s="1904"/>
      <c r="I51" s="1904">
        <v>1400428</v>
      </c>
      <c r="J51" s="1021"/>
      <c r="K51" s="1904">
        <v>5614619</v>
      </c>
      <c r="L51" s="1021"/>
      <c r="M51" s="1903">
        <f t="shared" si="1"/>
        <v>79123739</v>
      </c>
      <c r="O51" s="1048"/>
      <c r="Q51" s="1903">
        <v>264769</v>
      </c>
      <c r="R51" s="1903"/>
      <c r="S51" s="1903">
        <v>2493703</v>
      </c>
      <c r="T51" s="2278" t="s">
        <v>14</v>
      </c>
      <c r="U51" s="587"/>
      <c r="V51" s="525"/>
      <c r="W51" s="526"/>
    </row>
    <row r="52" spans="1:23">
      <c r="A52" s="457" t="s">
        <v>405</v>
      </c>
      <c r="C52" s="1903">
        <v>12280646</v>
      </c>
      <c r="D52" s="1021"/>
      <c r="E52" s="1904">
        <v>0</v>
      </c>
      <c r="F52" s="1021"/>
      <c r="G52" s="1903">
        <f t="shared" si="0"/>
        <v>0</v>
      </c>
      <c r="H52" s="1904"/>
      <c r="I52" s="1904">
        <v>1418520</v>
      </c>
      <c r="J52" s="1021"/>
      <c r="K52" s="1904">
        <v>1718160</v>
      </c>
      <c r="L52" s="1021"/>
      <c r="M52" s="1903">
        <f t="shared" si="1"/>
        <v>10562486</v>
      </c>
      <c r="O52" s="1048"/>
      <c r="Q52" s="1903">
        <v>203550</v>
      </c>
      <c r="R52" s="1903" t="s">
        <v>14</v>
      </c>
      <c r="S52" s="1903">
        <v>481746</v>
      </c>
      <c r="T52" s="2278" t="s">
        <v>14</v>
      </c>
      <c r="U52" s="587"/>
      <c r="V52" s="525"/>
      <c r="W52" s="526"/>
    </row>
    <row r="53" spans="1:23">
      <c r="A53" s="457" t="s">
        <v>791</v>
      </c>
      <c r="C53" s="1903">
        <v>665384487</v>
      </c>
      <c r="D53" s="1020"/>
      <c r="E53" s="1903">
        <v>0</v>
      </c>
      <c r="F53" s="1020"/>
      <c r="G53" s="1903">
        <f t="shared" si="0"/>
        <v>0</v>
      </c>
      <c r="H53" s="1903"/>
      <c r="I53" s="1903">
        <v>16706399</v>
      </c>
      <c r="J53" s="1020" t="s">
        <v>14</v>
      </c>
      <c r="K53" s="1903">
        <v>22796399</v>
      </c>
      <c r="L53" s="1020"/>
      <c r="M53" s="1903">
        <f t="shared" si="1"/>
        <v>642588088</v>
      </c>
      <c r="O53" s="1048"/>
      <c r="Q53" s="1903">
        <v>4814331</v>
      </c>
      <c r="R53" s="1903"/>
      <c r="S53" s="1903">
        <v>19435900</v>
      </c>
      <c r="T53" s="2278"/>
      <c r="U53" s="587"/>
      <c r="V53" s="525"/>
      <c r="W53" s="526"/>
    </row>
    <row r="54" spans="1:23">
      <c r="C54" s="1903"/>
      <c r="D54" s="1020"/>
      <c r="E54" s="1903"/>
      <c r="F54" s="1020"/>
      <c r="G54" s="1903" t="s">
        <v>14</v>
      </c>
      <c r="H54" s="1903"/>
      <c r="I54" s="1903"/>
      <c r="J54" s="1020"/>
      <c r="K54" s="1903"/>
      <c r="L54" s="1020"/>
      <c r="M54" s="1903" t="s">
        <v>14</v>
      </c>
      <c r="O54" s="1048"/>
      <c r="Q54" s="1903"/>
      <c r="R54" s="1903"/>
      <c r="S54" s="1903"/>
      <c r="U54" s="462"/>
      <c r="V54" s="525"/>
      <c r="W54" s="526"/>
    </row>
    <row r="55" spans="1:23">
      <c r="A55" s="457" t="s">
        <v>792</v>
      </c>
      <c r="C55" s="1903"/>
      <c r="D55" s="1020"/>
      <c r="E55" s="1903"/>
      <c r="F55" s="1020"/>
      <c r="G55" s="1903" t="s">
        <v>14</v>
      </c>
      <c r="H55" s="1903"/>
      <c r="I55" s="1903"/>
      <c r="J55" s="1020"/>
      <c r="K55" s="1903"/>
      <c r="L55" s="1020"/>
      <c r="M55" s="1903" t="s">
        <v>14</v>
      </c>
      <c r="O55" s="1048"/>
      <c r="Q55" s="1903"/>
      <c r="R55" s="1903"/>
      <c r="S55" s="1903"/>
      <c r="U55" s="2276"/>
      <c r="V55" s="525"/>
      <c r="W55" s="460"/>
    </row>
    <row r="56" spans="1:23">
      <c r="A56" s="457" t="s">
        <v>885</v>
      </c>
      <c r="C56" s="1903">
        <v>177295</v>
      </c>
      <c r="D56" s="1020"/>
      <c r="E56" s="1903">
        <v>0</v>
      </c>
      <c r="F56" s="1020"/>
      <c r="G56" s="1903">
        <f t="shared" si="0"/>
        <v>0</v>
      </c>
      <c r="H56" s="1903"/>
      <c r="I56" s="1903">
        <v>171074</v>
      </c>
      <c r="J56" s="1020"/>
      <c r="K56" s="1903">
        <v>171074</v>
      </c>
      <c r="L56" s="1020"/>
      <c r="M56" s="1903">
        <f>ROUND(SUM(C56)-SUM(K56)+SUM(G56),0)</f>
        <v>6221</v>
      </c>
      <c r="O56" s="1048"/>
      <c r="Q56" s="1903">
        <v>3592</v>
      </c>
      <c r="R56" s="1903"/>
      <c r="S56" s="1903">
        <v>7183</v>
      </c>
      <c r="T56" s="460" t="s">
        <v>14</v>
      </c>
      <c r="U56" s="587"/>
      <c r="V56" s="525"/>
      <c r="W56" s="526"/>
    </row>
    <row r="57" spans="1:23">
      <c r="A57" s="664" t="s">
        <v>858</v>
      </c>
      <c r="C57" s="1903">
        <v>1170256</v>
      </c>
      <c r="D57" s="1020"/>
      <c r="E57" s="1903">
        <v>0</v>
      </c>
      <c r="F57" s="1020"/>
      <c r="G57" s="1903">
        <f t="shared" si="0"/>
        <v>0</v>
      </c>
      <c r="H57" s="1903"/>
      <c r="I57" s="1903">
        <v>0</v>
      </c>
      <c r="J57" s="1020"/>
      <c r="K57" s="1903">
        <v>371992</v>
      </c>
      <c r="L57" s="1020"/>
      <c r="M57" s="1903">
        <f>ROUND(SUM(C57)-SUM(K57)+SUM(G57),0)</f>
        <v>798264</v>
      </c>
      <c r="O57" s="1048"/>
      <c r="Q57" s="2279">
        <v>0</v>
      </c>
      <c r="R57" s="2279"/>
      <c r="S57" s="2279">
        <v>45825</v>
      </c>
      <c r="T57" s="460" t="s">
        <v>14</v>
      </c>
      <c r="U57" s="587"/>
      <c r="V57" s="525"/>
      <c r="W57" s="526"/>
    </row>
    <row r="58" spans="1:23" ht="13.5" customHeight="1">
      <c r="C58" s="1903"/>
      <c r="D58" s="1020"/>
      <c r="E58" s="1903"/>
      <c r="F58" s="1020"/>
      <c r="G58" s="1903" t="s">
        <v>14</v>
      </c>
      <c r="H58" s="1903"/>
      <c r="I58" s="1903"/>
      <c r="J58" s="1020"/>
      <c r="K58" s="1903"/>
      <c r="L58" s="1020"/>
      <c r="M58" s="1903" t="s">
        <v>14</v>
      </c>
      <c r="O58" s="1048"/>
      <c r="Q58" s="1903"/>
      <c r="R58" s="1903"/>
      <c r="S58" s="1903"/>
      <c r="T58" s="457" t="s">
        <v>14</v>
      </c>
      <c r="U58" s="462"/>
      <c r="V58" s="525"/>
      <c r="W58" s="526"/>
    </row>
    <row r="59" spans="1:23">
      <c r="A59" s="457" t="s">
        <v>1162</v>
      </c>
      <c r="C59" s="1903">
        <v>276269806</v>
      </c>
      <c r="D59" s="1020"/>
      <c r="E59" s="1903">
        <v>0</v>
      </c>
      <c r="F59" s="1020"/>
      <c r="G59" s="1903">
        <f t="shared" si="0"/>
        <v>0</v>
      </c>
      <c r="H59" s="1903"/>
      <c r="I59" s="1903">
        <v>21098645</v>
      </c>
      <c r="J59" s="1020"/>
      <c r="K59" s="1903">
        <v>32022173</v>
      </c>
      <c r="L59" s="1020"/>
      <c r="M59" s="1903">
        <f>ROUND(SUM(C59)-SUM(K59)+SUM(G59),0)</f>
        <v>244247633</v>
      </c>
      <c r="O59" s="1048"/>
      <c r="Q59" s="1903">
        <v>3950632</v>
      </c>
      <c r="R59" s="1903"/>
      <c r="S59" s="1903">
        <v>10918108</v>
      </c>
      <c r="T59" s="460"/>
      <c r="U59" s="587"/>
      <c r="V59" s="525"/>
      <c r="W59" s="526"/>
    </row>
    <row r="60" spans="1:23" ht="13.5" customHeight="1">
      <c r="C60" s="1903"/>
      <c r="D60" s="1020"/>
      <c r="E60" s="1903"/>
      <c r="F60" s="1020"/>
      <c r="G60" s="1903" t="s">
        <v>14</v>
      </c>
      <c r="H60" s="1903"/>
      <c r="I60" s="1903"/>
      <c r="J60" s="1020"/>
      <c r="K60" s="1903"/>
      <c r="L60" s="1020"/>
      <c r="M60" s="1903" t="s">
        <v>14</v>
      </c>
      <c r="O60" s="1048"/>
      <c r="Q60" s="1903"/>
      <c r="R60" s="1903"/>
      <c r="S60" s="1903"/>
      <c r="U60" s="462"/>
      <c r="V60" s="525"/>
      <c r="W60" s="526"/>
    </row>
    <row r="61" spans="1:23">
      <c r="A61" s="457" t="s">
        <v>406</v>
      </c>
      <c r="C61" s="1903"/>
      <c r="D61" s="1020"/>
      <c r="E61" s="1903"/>
      <c r="F61" s="1020"/>
      <c r="G61" s="1903"/>
      <c r="H61" s="1903"/>
      <c r="I61" s="1903"/>
      <c r="J61" s="1020"/>
      <c r="K61" s="1903"/>
      <c r="L61" s="1020"/>
      <c r="M61" s="1903" t="s">
        <v>14</v>
      </c>
      <c r="O61" s="1048"/>
      <c r="Q61" s="1903"/>
      <c r="R61" s="1903"/>
      <c r="S61" s="1903"/>
      <c r="U61" s="2276"/>
      <c r="V61" s="525"/>
      <c r="W61" s="460"/>
    </row>
    <row r="62" spans="1:23">
      <c r="A62" s="457" t="s">
        <v>403</v>
      </c>
      <c r="C62" s="1903">
        <v>810810</v>
      </c>
      <c r="D62" s="1020"/>
      <c r="E62" s="1903">
        <v>0</v>
      </c>
      <c r="F62" s="1020"/>
      <c r="G62" s="1903">
        <f t="shared" si="0"/>
        <v>0</v>
      </c>
      <c r="H62" s="1903"/>
      <c r="I62" s="1903">
        <v>0</v>
      </c>
      <c r="J62" s="1020"/>
      <c r="K62" s="1903">
        <v>312300</v>
      </c>
      <c r="L62" s="1020"/>
      <c r="M62" s="1903">
        <f>ROUND(SUM(C62)-SUM(K62)+SUM(G62),0)</f>
        <v>498510</v>
      </c>
      <c r="O62" s="1048"/>
      <c r="Q62" s="1903">
        <v>0</v>
      </c>
      <c r="R62" s="1903"/>
      <c r="S62" s="1903">
        <v>31627</v>
      </c>
      <c r="T62" s="460" t="s">
        <v>14</v>
      </c>
      <c r="U62" s="587"/>
      <c r="V62" s="525"/>
      <c r="W62" s="526"/>
    </row>
    <row r="63" spans="1:23">
      <c r="A63" s="457" t="s">
        <v>407</v>
      </c>
      <c r="C63" s="1903">
        <v>0</v>
      </c>
      <c r="D63" s="1020"/>
      <c r="E63" s="1903">
        <v>0</v>
      </c>
      <c r="F63" s="1020"/>
      <c r="G63" s="1903">
        <f t="shared" si="0"/>
        <v>0</v>
      </c>
      <c r="H63" s="1903"/>
      <c r="I63" s="1903">
        <v>0</v>
      </c>
      <c r="J63" s="1020"/>
      <c r="K63" s="1020">
        <v>0</v>
      </c>
      <c r="L63" s="1020"/>
      <c r="M63" s="1903">
        <f>ROUND(SUM(C63)-SUM(K63)+SUM(G63),0)</f>
        <v>0</v>
      </c>
      <c r="O63" s="1048"/>
      <c r="Q63" s="1903">
        <v>0</v>
      </c>
      <c r="R63" s="1903"/>
      <c r="S63" s="1903">
        <v>0</v>
      </c>
      <c r="T63" s="460"/>
      <c r="U63" s="587"/>
      <c r="V63" s="525"/>
      <c r="W63" s="526"/>
    </row>
    <row r="64" spans="1:23">
      <c r="D64" s="460"/>
      <c r="E64" s="1905"/>
      <c r="F64" s="460"/>
      <c r="G64" s="1905"/>
      <c r="H64" s="1905"/>
      <c r="I64" s="1905"/>
      <c r="J64" s="1905"/>
      <c r="K64" s="1905"/>
      <c r="L64" s="1905"/>
      <c r="M64" s="1905"/>
      <c r="O64" s="1048"/>
      <c r="Q64" s="2276"/>
      <c r="S64" s="1019"/>
    </row>
    <row r="65" spans="1:23" ht="15" customHeight="1" thickBot="1">
      <c r="A65" s="459" t="s">
        <v>408</v>
      </c>
      <c r="B65" s="1049"/>
      <c r="C65" s="1906">
        <f>ROUND(SUM(C16:C63),2)</f>
        <v>1996264999</v>
      </c>
      <c r="D65" s="1325"/>
      <c r="E65" s="1906">
        <f>ROUND(SUM(E16:E64),2)</f>
        <v>0</v>
      </c>
      <c r="F65" s="1325"/>
      <c r="G65" s="1906">
        <f>ROUND(SUM(G16:G63),2)</f>
        <v>0</v>
      </c>
      <c r="H65" s="1049"/>
      <c r="I65" s="1906">
        <f>ROUND(SUM(I16:I63),2)</f>
        <v>81815000</v>
      </c>
      <c r="J65" s="1049"/>
      <c r="K65" s="1906">
        <f>ROUND(SUM(K16:K63),0)</f>
        <v>161170000</v>
      </c>
      <c r="L65" s="1049"/>
      <c r="M65" s="1906">
        <f>ROUND(SUM(M16:M63),2)</f>
        <v>1835094999</v>
      </c>
      <c r="N65" s="459"/>
      <c r="O65" s="2280"/>
      <c r="P65" s="1049"/>
      <c r="Q65" s="1906">
        <f>ROUND(SUM(Q16:Q63),2)</f>
        <v>15946347</v>
      </c>
      <c r="R65" s="1049"/>
      <c r="S65" s="1906">
        <f>ROUND(SUM(S16:S63),0)</f>
        <v>60070674</v>
      </c>
      <c r="T65" s="1050"/>
      <c r="U65" s="1325"/>
      <c r="V65" s="565"/>
      <c r="W65" s="565"/>
    </row>
    <row r="66" spans="1:23" ht="15" customHeight="1" thickTop="1">
      <c r="A66" s="1051"/>
      <c r="B66" s="1052"/>
      <c r="C66" s="639"/>
      <c r="D66" s="1050"/>
      <c r="E66" s="566"/>
      <c r="F66" s="1050"/>
      <c r="G66" s="566"/>
      <c r="H66" s="1052"/>
      <c r="I66" s="1050"/>
      <c r="J66" s="1052"/>
      <c r="K66" s="2281"/>
      <c r="L66" s="1052"/>
      <c r="M66" s="639"/>
      <c r="N66" s="459"/>
      <c r="O66" s="459"/>
      <c r="P66" s="1052"/>
      <c r="Q66" s="2281"/>
      <c r="R66" s="1052"/>
      <c r="S66" s="1050"/>
      <c r="U66" s="463"/>
      <c r="V66" s="463"/>
      <c r="W66" s="463"/>
    </row>
    <row r="67" spans="1:23">
      <c r="A67" s="2107"/>
      <c r="I67" s="457"/>
      <c r="K67" s="1902" t="s">
        <v>14</v>
      </c>
      <c r="P67" s="527"/>
    </row>
    <row r="68" spans="1:23">
      <c r="A68" s="527"/>
      <c r="C68" s="587" t="s">
        <v>14</v>
      </c>
      <c r="D68" s="457" t="s">
        <v>1148</v>
      </c>
      <c r="H68" s="525"/>
      <c r="I68" s="1902" t="s">
        <v>14</v>
      </c>
      <c r="J68" s="525"/>
      <c r="K68" s="1902" t="s">
        <v>14</v>
      </c>
      <c r="L68" s="526"/>
      <c r="M68" s="587" t="s">
        <v>14</v>
      </c>
      <c r="P68" s="526"/>
      <c r="Q68" s="1018"/>
      <c r="R68" s="460"/>
      <c r="S68" s="1018"/>
    </row>
    <row r="69" spans="1:23">
      <c r="A69" s="465"/>
      <c r="C69" s="587" t="s">
        <v>14</v>
      </c>
      <c r="E69" s="1053"/>
      <c r="G69" s="464"/>
      <c r="I69" s="462"/>
      <c r="K69" s="462" t="s">
        <v>14</v>
      </c>
      <c r="Q69" s="460"/>
      <c r="S69" s="460"/>
      <c r="T69" s="2282"/>
    </row>
    <row r="70" spans="1:23">
      <c r="C70" s="587" t="s">
        <v>14</v>
      </c>
      <c r="K70" s="2283"/>
      <c r="Q70" s="527"/>
    </row>
    <row r="71" spans="1:23">
      <c r="C71" s="587" t="s">
        <v>14</v>
      </c>
      <c r="D71" s="460"/>
      <c r="E71" s="461"/>
      <c r="F71" s="460"/>
      <c r="G71" s="461"/>
      <c r="I71" s="462"/>
      <c r="K71" s="462" t="s">
        <v>14</v>
      </c>
      <c r="M71" s="2284"/>
      <c r="Q71" s="2285"/>
      <c r="S71" s="460"/>
    </row>
    <row r="72" spans="1:23">
      <c r="C72" s="587" t="s">
        <v>14</v>
      </c>
      <c r="D72" s="460"/>
      <c r="E72" s="461"/>
      <c r="F72" s="460"/>
      <c r="G72" s="526"/>
      <c r="I72" s="462"/>
      <c r="K72" s="462"/>
      <c r="M72" s="2286"/>
      <c r="Q72" s="526"/>
      <c r="S72" s="460"/>
    </row>
    <row r="73" spans="1:23">
      <c r="D73" s="460"/>
      <c r="E73" s="461"/>
      <c r="F73" s="460"/>
      <c r="G73" s="460"/>
      <c r="I73" s="462"/>
      <c r="K73" s="462"/>
      <c r="Q73" s="2277"/>
      <c r="S73" s="460"/>
    </row>
    <row r="74" spans="1:23">
      <c r="D74" s="460"/>
      <c r="E74" s="461"/>
      <c r="F74" s="460"/>
      <c r="G74" s="461"/>
      <c r="I74" s="462"/>
      <c r="K74" s="462"/>
      <c r="M74" s="2284"/>
      <c r="Q74" s="2285"/>
      <c r="S74" s="460"/>
      <c r="T74" s="2282"/>
    </row>
    <row r="75" spans="1:23">
      <c r="D75" s="460"/>
      <c r="E75" s="461"/>
      <c r="F75" s="460"/>
      <c r="G75" s="461"/>
      <c r="I75" s="462"/>
      <c r="K75" s="462"/>
      <c r="M75" s="2284"/>
      <c r="Q75" s="2285"/>
      <c r="S75" s="460"/>
    </row>
    <row r="76" spans="1:23">
      <c r="D76" s="460"/>
      <c r="E76" s="461"/>
      <c r="F76" s="460"/>
      <c r="G76" s="526"/>
      <c r="I76" s="462"/>
      <c r="K76" s="462"/>
      <c r="M76" s="2286"/>
      <c r="Q76" s="526"/>
      <c r="S76" s="460"/>
    </row>
    <row r="77" spans="1:23">
      <c r="D77" s="460"/>
      <c r="E77" s="461"/>
      <c r="F77" s="460"/>
      <c r="G77" s="460"/>
      <c r="I77" s="462"/>
      <c r="K77" s="462"/>
      <c r="Q77" s="2277"/>
      <c r="S77" s="460"/>
    </row>
    <row r="78" spans="1:23">
      <c r="D78" s="460"/>
      <c r="E78" s="461"/>
      <c r="F78" s="460"/>
      <c r="G78" s="461"/>
      <c r="I78" s="462"/>
      <c r="K78" s="462"/>
      <c r="M78" s="2284"/>
      <c r="Q78" s="2285"/>
      <c r="S78" s="460"/>
    </row>
    <row r="79" spans="1:23" ht="13">
      <c r="C79" s="639"/>
      <c r="D79" s="463"/>
      <c r="E79" s="566"/>
      <c r="F79" s="463"/>
      <c r="G79" s="566"/>
      <c r="H79" s="459"/>
      <c r="I79" s="2287"/>
      <c r="J79" s="459"/>
      <c r="K79" s="2287"/>
      <c r="L79" s="459"/>
      <c r="M79" s="2288"/>
      <c r="N79" s="459"/>
      <c r="O79" s="459"/>
      <c r="P79" s="459"/>
      <c r="Q79" s="566"/>
      <c r="R79" s="459"/>
      <c r="S79" s="463"/>
    </row>
    <row r="80" spans="1:23" ht="13">
      <c r="A80" s="459"/>
      <c r="C80" s="639"/>
      <c r="D80" s="463"/>
      <c r="E80" s="463"/>
      <c r="F80" s="463"/>
      <c r="G80" s="463"/>
      <c r="H80" s="459"/>
      <c r="I80" s="2287"/>
      <c r="J80" s="459"/>
      <c r="K80" s="2287"/>
      <c r="L80" s="459"/>
      <c r="M80" s="639"/>
      <c r="N80" s="459"/>
      <c r="O80" s="459"/>
      <c r="P80" s="459"/>
      <c r="Q80" s="463"/>
      <c r="R80" s="459"/>
      <c r="S80" s="463"/>
    </row>
    <row r="81" spans="1:7" ht="13">
      <c r="A81" s="459"/>
    </row>
    <row r="82" spans="1:7">
      <c r="C82" s="1909"/>
      <c r="D82" s="527"/>
      <c r="F82" s="527"/>
    </row>
    <row r="83" spans="1:7">
      <c r="C83" s="1910"/>
      <c r="D83" s="465"/>
      <c r="F83" s="465"/>
    </row>
    <row r="84" spans="1:7">
      <c r="E84" s="1022"/>
      <c r="G84" s="528"/>
    </row>
    <row r="85" spans="1:7">
      <c r="E85" s="1054"/>
      <c r="G85" s="464"/>
    </row>
  </sheetData>
  <mergeCells count="1">
    <mergeCell ref="E9:G9"/>
  </mergeCells>
  <printOptions horizontalCentered="1"/>
  <pageMargins left="0.5" right="0.5" top="0.5" bottom="0.25" header="0.3" footer="0.3"/>
  <pageSetup scale="56" firstPageNumber="45"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49"/>
  <sheetViews>
    <sheetView showGridLines="0" zoomScale="90" zoomScaleNormal="90" workbookViewId="0"/>
  </sheetViews>
  <sheetFormatPr defaultColWidth="8.84375" defaultRowHeight="12.5"/>
  <cols>
    <col min="1" max="1" width="3.84375" style="1055" customWidth="1"/>
    <col min="2" max="2" width="43.84375" style="1055" customWidth="1"/>
    <col min="3" max="3" width="2.07421875" style="1055" customWidth="1"/>
    <col min="4" max="4" width="13.84375" style="1055" customWidth="1"/>
    <col min="5" max="5" width="2.07421875" style="1055" customWidth="1"/>
    <col min="6" max="6" width="24" style="1055" bestFit="1" customWidth="1"/>
    <col min="7" max="7" width="2.07421875" style="1055" customWidth="1"/>
    <col min="8" max="8" width="20.07421875" style="1055" customWidth="1"/>
    <col min="9" max="9" width="2.07421875" style="1055" customWidth="1"/>
    <col min="10" max="10" width="17.84375" style="1055" bestFit="1" customWidth="1"/>
    <col min="11" max="11" width="2.07421875" style="1055" customWidth="1"/>
    <col min="12" max="12" width="17.84375" style="1055" bestFit="1" customWidth="1"/>
    <col min="13" max="13" width="2.07421875" style="1055" customWidth="1"/>
    <col min="14" max="14" width="19.84375" style="1055" bestFit="1" customWidth="1"/>
    <col min="15" max="15" width="2.07421875" style="1055" customWidth="1"/>
    <col min="16" max="16" width="18.4609375" style="1055" bestFit="1" customWidth="1"/>
    <col min="17" max="17" width="2.07421875" style="1055" customWidth="1"/>
    <col min="18" max="18" width="19.84375" style="1055" customWidth="1"/>
    <col min="19" max="19" width="2.07421875" style="1055" customWidth="1"/>
    <col min="20" max="20" width="19.84375" style="1055" bestFit="1" customWidth="1"/>
    <col min="21" max="21" width="2.07421875" style="1055" customWidth="1"/>
    <col min="22" max="22" width="20.84375" style="1055" bestFit="1" customWidth="1"/>
    <col min="23" max="23" width="17.07421875" style="1055" customWidth="1"/>
    <col min="24" max="24" width="18.53515625" style="1055" customWidth="1"/>
    <col min="25" max="25" width="35.07421875" style="1055" bestFit="1" customWidth="1"/>
    <col min="26" max="16384" width="8.84375" style="1055"/>
  </cols>
  <sheetData>
    <row r="1" spans="1:23" ht="15.5">
      <c r="B1" s="677" t="s">
        <v>868</v>
      </c>
    </row>
    <row r="2" spans="1:23" ht="15.5">
      <c r="B2" s="1259"/>
      <c r="C2" s="1259"/>
      <c r="D2" s="1259"/>
      <c r="E2" s="1259"/>
      <c r="F2" s="1259"/>
      <c r="G2" s="1259"/>
      <c r="H2" s="1259"/>
      <c r="I2" s="1259"/>
      <c r="J2" s="1259"/>
      <c r="K2" s="1259"/>
      <c r="L2" s="1259"/>
      <c r="M2" s="1259"/>
      <c r="N2" s="1259"/>
      <c r="O2" s="1259"/>
      <c r="P2" s="1259"/>
      <c r="Q2" s="1259"/>
      <c r="R2" s="1259"/>
      <c r="S2" s="1259"/>
      <c r="T2" s="1259"/>
      <c r="U2" s="1259"/>
      <c r="V2" s="1259"/>
      <c r="W2" s="1259"/>
    </row>
    <row r="3" spans="1:23" ht="18">
      <c r="A3" s="1056"/>
      <c r="B3" s="1260" t="s">
        <v>0</v>
      </c>
      <c r="C3" s="1261"/>
      <c r="D3" s="1261"/>
      <c r="E3" s="1261"/>
      <c r="F3" s="1259"/>
      <c r="G3" s="1259"/>
      <c r="H3" s="1259"/>
      <c r="I3" s="1259"/>
      <c r="J3" s="1259"/>
      <c r="K3" s="1259"/>
      <c r="L3" s="1259"/>
      <c r="M3" s="1259"/>
      <c r="N3" s="1259"/>
      <c r="O3" s="1259"/>
      <c r="P3" s="1259"/>
      <c r="Q3" s="1259"/>
      <c r="R3" s="1259"/>
      <c r="S3" s="1259"/>
      <c r="T3" s="1259"/>
      <c r="U3" s="1259"/>
      <c r="V3" s="1262" t="s">
        <v>409</v>
      </c>
      <c r="W3" s="1263"/>
    </row>
    <row r="4" spans="1:23" ht="18">
      <c r="A4" s="1056"/>
      <c r="B4" s="1260" t="s">
        <v>410</v>
      </c>
      <c r="C4" s="1261"/>
      <c r="D4" s="1261"/>
      <c r="E4" s="1261"/>
      <c r="F4" s="1259"/>
      <c r="G4" s="1259"/>
      <c r="H4" s="1259"/>
      <c r="I4" s="1259"/>
      <c r="J4" s="1259"/>
      <c r="K4" s="1259"/>
      <c r="L4" s="1259"/>
      <c r="M4" s="1259"/>
      <c r="N4" s="1259"/>
      <c r="O4" s="1259"/>
      <c r="P4" s="1259"/>
      <c r="Q4" s="1259"/>
      <c r="R4" s="1259"/>
      <c r="S4" s="1259"/>
      <c r="T4" s="1259"/>
      <c r="U4" s="1259"/>
      <c r="V4" s="1259"/>
      <c r="W4" s="1259"/>
    </row>
    <row r="5" spans="1:23" ht="18">
      <c r="A5" s="1056"/>
      <c r="B5" s="1260" t="s">
        <v>411</v>
      </c>
      <c r="C5" s="1261"/>
      <c r="D5" s="1261"/>
      <c r="E5" s="1261"/>
      <c r="F5" s="1259"/>
      <c r="G5" s="1259"/>
      <c r="H5" s="1259"/>
      <c r="I5" s="1259"/>
      <c r="J5" s="1259"/>
      <c r="K5" s="1259"/>
      <c r="L5" s="1259"/>
      <c r="M5" s="1259"/>
      <c r="N5" s="1259"/>
      <c r="O5" s="1259"/>
      <c r="P5" s="1259"/>
      <c r="Q5" s="1259"/>
      <c r="R5" s="1259"/>
      <c r="S5" s="1259"/>
      <c r="T5" s="1259"/>
      <c r="U5" s="1259"/>
      <c r="V5" s="1259"/>
      <c r="W5" s="1259"/>
    </row>
    <row r="6" spans="1:23" ht="18">
      <c r="A6" s="1056"/>
      <c r="B6" s="1264" t="s">
        <v>1564</v>
      </c>
      <c r="C6" s="1265"/>
      <c r="D6" s="1261"/>
      <c r="E6" s="1261"/>
      <c r="F6" s="1259"/>
      <c r="G6" s="1259"/>
      <c r="H6" s="1259"/>
      <c r="I6" s="1259"/>
      <c r="J6" s="1259"/>
      <c r="K6" s="1259"/>
      <c r="L6" s="1259"/>
      <c r="M6" s="1259"/>
      <c r="N6" s="1259"/>
      <c r="O6" s="1259"/>
      <c r="P6" s="1259"/>
      <c r="Q6" s="1259"/>
      <c r="R6" s="1259"/>
      <c r="S6" s="1259"/>
      <c r="T6" s="1259"/>
      <c r="U6" s="1259"/>
      <c r="V6" s="1259"/>
      <c r="W6" s="1259"/>
    </row>
    <row r="7" spans="1:23" ht="16">
      <c r="A7" s="1056"/>
      <c r="B7" s="1266"/>
      <c r="C7" s="1266"/>
      <c r="D7" s="1261"/>
      <c r="E7" s="1261"/>
      <c r="F7" s="1259"/>
      <c r="G7" s="1259"/>
      <c r="H7" s="1259"/>
      <c r="I7" s="1259"/>
      <c r="J7" s="1259"/>
      <c r="K7" s="1259"/>
      <c r="L7" s="1259"/>
      <c r="M7" s="1259"/>
      <c r="N7" s="1259"/>
      <c r="O7" s="1259"/>
      <c r="P7" s="1259"/>
      <c r="Q7" s="1259"/>
      <c r="R7" s="1259"/>
      <c r="S7" s="1259"/>
      <c r="T7" s="1259"/>
      <c r="U7" s="1259"/>
      <c r="V7" s="1259"/>
      <c r="W7" s="1259"/>
    </row>
    <row r="8" spans="1:23" ht="5.25" customHeight="1">
      <c r="B8" s="1267"/>
      <c r="C8" s="1267"/>
      <c r="D8" s="1259"/>
      <c r="E8" s="1259"/>
      <c r="F8" s="1259"/>
      <c r="G8" s="1259"/>
      <c r="H8" s="1259"/>
      <c r="I8" s="1259"/>
      <c r="J8" s="1259"/>
      <c r="K8" s="1259"/>
      <c r="L8" s="1259"/>
      <c r="M8" s="1259"/>
      <c r="N8" s="1259"/>
      <c r="O8" s="1259"/>
      <c r="P8" s="1259"/>
      <c r="Q8" s="1259"/>
      <c r="R8" s="1259"/>
      <c r="S8" s="1259"/>
      <c r="T8" s="1259"/>
      <c r="U8" s="1259"/>
      <c r="V8" s="1259"/>
      <c r="W8" s="1259"/>
    </row>
    <row r="9" spans="1:23" ht="16">
      <c r="B9" s="1259"/>
      <c r="C9" s="1259"/>
      <c r="E9" s="1268"/>
      <c r="F9" s="1268"/>
      <c r="G9" s="1268"/>
      <c r="H9" s="1268"/>
      <c r="I9" s="1268"/>
      <c r="J9" s="1268" t="s">
        <v>412</v>
      </c>
      <c r="K9" s="1268"/>
      <c r="L9" s="1268"/>
      <c r="M9" s="1268"/>
      <c r="N9" s="1268"/>
      <c r="O9" s="1268"/>
      <c r="P9" s="1268"/>
      <c r="Q9" s="1268"/>
      <c r="R9" s="1259"/>
      <c r="S9" s="1259"/>
      <c r="T9" s="1259"/>
      <c r="U9" s="1259"/>
      <c r="V9" s="1259"/>
      <c r="W9" s="1259"/>
    </row>
    <row r="10" spans="1:23" ht="16">
      <c r="B10" s="1259"/>
      <c r="C10" s="1259"/>
      <c r="D10" s="1268" t="s">
        <v>119</v>
      </c>
      <c r="E10" s="1269"/>
      <c r="F10" s="1269" t="s">
        <v>102</v>
      </c>
      <c r="G10" s="1269"/>
      <c r="H10" s="1269" t="s">
        <v>414</v>
      </c>
      <c r="I10" s="1269"/>
      <c r="J10" s="1269" t="s">
        <v>415</v>
      </c>
      <c r="K10" s="1269"/>
      <c r="L10" s="1269" t="s">
        <v>416</v>
      </c>
      <c r="M10" s="1269"/>
      <c r="N10" s="1269" t="s">
        <v>9</v>
      </c>
      <c r="O10" s="1269"/>
      <c r="P10" s="1269" t="s">
        <v>793</v>
      </c>
      <c r="Q10" s="1269"/>
      <c r="R10" s="1259"/>
      <c r="S10" s="1259"/>
      <c r="T10" s="1259"/>
      <c r="U10" s="1259"/>
      <c r="V10" s="1259"/>
      <c r="W10" s="1259"/>
    </row>
    <row r="11" spans="1:23" ht="16">
      <c r="B11" s="1259"/>
      <c r="C11" s="1259"/>
      <c r="D11" s="1269" t="s">
        <v>413</v>
      </c>
      <c r="E11" s="1269"/>
      <c r="F11" s="1269" t="s">
        <v>119</v>
      </c>
      <c r="G11" s="1269"/>
      <c r="H11" s="1269" t="s">
        <v>418</v>
      </c>
      <c r="I11" s="1269"/>
      <c r="J11" s="1269" t="s">
        <v>419</v>
      </c>
      <c r="K11" s="1269"/>
      <c r="L11" s="1269" t="s">
        <v>420</v>
      </c>
      <c r="M11" s="1269"/>
      <c r="N11" s="1270" t="s">
        <v>421</v>
      </c>
      <c r="O11" s="1269"/>
      <c r="P11" s="1269" t="s">
        <v>794</v>
      </c>
      <c r="Q11" s="1269"/>
      <c r="R11" s="1272" t="s">
        <v>422</v>
      </c>
      <c r="S11" s="1272"/>
      <c r="T11" s="1272"/>
      <c r="U11" s="1259"/>
      <c r="V11" s="1259"/>
      <c r="W11" s="1259"/>
    </row>
    <row r="12" spans="1:23" ht="16">
      <c r="B12" s="1259"/>
      <c r="C12" s="1259"/>
      <c r="D12" s="1269" t="s">
        <v>417</v>
      </c>
      <c r="E12" s="1269"/>
      <c r="F12" s="1269" t="s">
        <v>10</v>
      </c>
      <c r="G12" s="1269"/>
      <c r="H12" s="1269" t="s">
        <v>423</v>
      </c>
      <c r="I12" s="1269"/>
      <c r="J12" s="1269" t="s">
        <v>424</v>
      </c>
      <c r="K12" s="1269"/>
      <c r="L12" s="1269" t="s">
        <v>1482</v>
      </c>
      <c r="M12" s="1269"/>
      <c r="N12" s="1270" t="s">
        <v>1483</v>
      </c>
      <c r="O12" s="1270"/>
      <c r="P12" s="1269" t="s">
        <v>424</v>
      </c>
      <c r="Q12" s="1269"/>
      <c r="R12" s="1271" t="s">
        <v>1565</v>
      </c>
      <c r="S12" s="1271"/>
      <c r="T12" s="1271"/>
      <c r="U12" s="1259"/>
      <c r="V12" s="1268" t="s">
        <v>795</v>
      </c>
      <c r="W12" s="1269"/>
    </row>
    <row r="13" spans="1:23" ht="16">
      <c r="A13" s="1057"/>
      <c r="B13" s="1273" t="s">
        <v>432</v>
      </c>
      <c r="C13" s="1261"/>
      <c r="D13" s="1274" t="s">
        <v>425</v>
      </c>
      <c r="E13" s="1269"/>
      <c r="F13" s="1274" t="s">
        <v>426</v>
      </c>
      <c r="G13" s="1269"/>
      <c r="H13" s="1275" t="s">
        <v>427</v>
      </c>
      <c r="I13" s="1269"/>
      <c r="J13" s="1275" t="s">
        <v>428</v>
      </c>
      <c r="K13" s="1269"/>
      <c r="L13" s="1275" t="s">
        <v>429</v>
      </c>
      <c r="M13" s="1269"/>
      <c r="N13" s="1276" t="s">
        <v>430</v>
      </c>
      <c r="O13" s="1269"/>
      <c r="P13" s="1276" t="s">
        <v>796</v>
      </c>
      <c r="Q13" s="1269"/>
      <c r="R13" s="1277">
        <v>2023</v>
      </c>
      <c r="S13" s="1277"/>
      <c r="T13" s="1277">
        <v>2022</v>
      </c>
      <c r="U13" s="1269"/>
      <c r="V13" s="1278" t="s">
        <v>431</v>
      </c>
      <c r="W13" s="1269"/>
    </row>
    <row r="14" spans="1:23" ht="16">
      <c r="B14" s="1261" t="s">
        <v>433</v>
      </c>
      <c r="C14" s="1261"/>
      <c r="D14" s="1279"/>
      <c r="E14" s="1279"/>
      <c r="F14" s="1280"/>
      <c r="G14" s="1280"/>
      <c r="H14" s="1281"/>
      <c r="I14" s="1281"/>
      <c r="J14" s="1281"/>
      <c r="K14" s="1281"/>
      <c r="L14" s="1281"/>
      <c r="M14" s="1281"/>
      <c r="N14" s="1279"/>
      <c r="O14" s="1279"/>
      <c r="P14" s="1279"/>
      <c r="Q14" s="1279"/>
      <c r="R14" s="1281"/>
      <c r="S14" s="1281"/>
      <c r="T14" s="1282"/>
      <c r="U14" s="1282"/>
      <c r="V14" s="1259"/>
      <c r="W14" s="1259"/>
    </row>
    <row r="15" spans="1:23" ht="15.5">
      <c r="A15" s="1058"/>
      <c r="B15" s="1267" t="s">
        <v>434</v>
      </c>
      <c r="C15" s="1267"/>
      <c r="D15" s="1283">
        <v>0</v>
      </c>
      <c r="E15" s="1283"/>
      <c r="F15" s="1283">
        <v>9823750</v>
      </c>
      <c r="G15" s="1283"/>
      <c r="H15" s="1283">
        <v>0</v>
      </c>
      <c r="I15" s="1283"/>
      <c r="J15" s="1283">
        <v>0</v>
      </c>
      <c r="K15" s="1283"/>
      <c r="L15" s="1283">
        <v>0</v>
      </c>
      <c r="M15" s="1283"/>
      <c r="N15" s="1283">
        <v>0</v>
      </c>
      <c r="O15" s="1283"/>
      <c r="P15" s="1283">
        <v>0</v>
      </c>
      <c r="Q15" s="1283"/>
      <c r="R15" s="1283">
        <f>ROUND(SUM(D15:Q15),0)</f>
        <v>9823750</v>
      </c>
      <c r="S15" s="1283"/>
      <c r="T15" s="1897">
        <v>27593459</v>
      </c>
      <c r="U15" s="1283"/>
      <c r="V15" s="1284">
        <f>ROUND(R15-T15,0)</f>
        <v>-17769709</v>
      </c>
      <c r="W15" s="1283"/>
    </row>
    <row r="16" spans="1:23" ht="15.5">
      <c r="A16" s="1058"/>
      <c r="B16" s="1259" t="s">
        <v>435</v>
      </c>
      <c r="C16" s="1259"/>
      <c r="D16" s="1285"/>
      <c r="E16" s="1285"/>
      <c r="F16" s="1285"/>
      <c r="G16" s="1285"/>
      <c r="H16" s="1285"/>
      <c r="I16" s="1285"/>
      <c r="J16" s="1285"/>
      <c r="K16" s="1283"/>
      <c r="L16" s="1285"/>
      <c r="M16" s="1286"/>
      <c r="N16" s="1285"/>
      <c r="O16" s="1286"/>
      <c r="P16" s="1285"/>
      <c r="Q16" s="1286"/>
      <c r="R16" s="1286"/>
      <c r="S16" s="1286"/>
      <c r="T16" s="1898"/>
      <c r="U16" s="1286"/>
      <c r="V16" s="1287"/>
      <c r="W16" s="1283"/>
    </row>
    <row r="17" spans="1:23" ht="15.5">
      <c r="A17" s="1058"/>
      <c r="B17" s="1259" t="s">
        <v>1127</v>
      </c>
      <c r="C17" s="1259"/>
      <c r="D17" s="1285">
        <v>0</v>
      </c>
      <c r="E17" s="1285">
        <v>0</v>
      </c>
      <c r="F17" s="1285">
        <v>0</v>
      </c>
      <c r="G17" s="1285">
        <v>0</v>
      </c>
      <c r="H17" s="1285">
        <v>0</v>
      </c>
      <c r="I17" s="1285">
        <v>0</v>
      </c>
      <c r="J17" s="1285">
        <v>0</v>
      </c>
      <c r="K17" s="1285">
        <v>0</v>
      </c>
      <c r="L17" s="1285">
        <v>0</v>
      </c>
      <c r="M17" s="1285"/>
      <c r="N17" s="1285">
        <v>0</v>
      </c>
      <c r="O17" s="1285">
        <v>0</v>
      </c>
      <c r="P17" s="1285">
        <v>0</v>
      </c>
      <c r="Q17" s="1285">
        <v>0</v>
      </c>
      <c r="R17" s="1286">
        <f>ROUND(SUM(D17:Q17),0)</f>
        <v>0</v>
      </c>
      <c r="S17" s="1286"/>
      <c r="T17" s="1899">
        <v>0</v>
      </c>
      <c r="U17" s="1288"/>
      <c r="V17" s="1288">
        <f t="shared" ref="V17:V26" si="0">SUM(R17-T17,0)</f>
        <v>0</v>
      </c>
      <c r="W17" s="1283"/>
    </row>
    <row r="18" spans="1:23" ht="15.5">
      <c r="A18" s="1058"/>
      <c r="B18" s="1259" t="s">
        <v>1128</v>
      </c>
      <c r="C18" s="1259"/>
      <c r="D18" s="1285">
        <v>0</v>
      </c>
      <c r="E18" s="1285">
        <v>0</v>
      </c>
      <c r="F18" s="1285">
        <v>0</v>
      </c>
      <c r="G18" s="1285">
        <v>0</v>
      </c>
      <c r="H18" s="1285">
        <v>0</v>
      </c>
      <c r="I18" s="1285">
        <v>0</v>
      </c>
      <c r="J18" s="1285">
        <v>0</v>
      </c>
      <c r="K18" s="1285">
        <v>0</v>
      </c>
      <c r="L18" s="1285">
        <v>0</v>
      </c>
      <c r="M18" s="1285"/>
      <c r="N18" s="1285">
        <v>4460336720</v>
      </c>
      <c r="O18" s="1285"/>
      <c r="P18" s="1285">
        <v>1563940933</v>
      </c>
      <c r="Q18" s="1285">
        <v>0</v>
      </c>
      <c r="R18" s="1286">
        <f t="shared" ref="R18:R26" si="1">ROUND(SUM(D18:Q18),0)</f>
        <v>6024277653</v>
      </c>
      <c r="S18" s="1286"/>
      <c r="T18" s="1285">
        <v>8062468952</v>
      </c>
      <c r="U18" s="1288"/>
      <c r="V18" s="1288">
        <f t="shared" si="0"/>
        <v>-2038191299</v>
      </c>
      <c r="W18" s="1283"/>
    </row>
    <row r="19" spans="1:23" ht="15.5">
      <c r="A19" s="1058"/>
      <c r="B19" s="1259" t="s">
        <v>436</v>
      </c>
      <c r="C19" s="1259"/>
      <c r="D19" s="1285">
        <v>0</v>
      </c>
      <c r="E19" s="1285">
        <v>0</v>
      </c>
      <c r="F19" s="1285">
        <v>0</v>
      </c>
      <c r="G19" s="1285">
        <v>0</v>
      </c>
      <c r="H19" s="1285">
        <v>23213303</v>
      </c>
      <c r="I19" s="1285">
        <v>0</v>
      </c>
      <c r="J19" s="1285">
        <v>0</v>
      </c>
      <c r="K19" s="1285">
        <v>0</v>
      </c>
      <c r="L19" s="1285">
        <v>0</v>
      </c>
      <c r="M19" s="1285"/>
      <c r="N19" s="1285">
        <v>0</v>
      </c>
      <c r="O19" s="1285"/>
      <c r="P19" s="1285">
        <v>0</v>
      </c>
      <c r="Q19" s="1285">
        <v>0</v>
      </c>
      <c r="R19" s="1286">
        <f>ROUND(SUM(D19:Q19),0)</f>
        <v>23213303</v>
      </c>
      <c r="S19" s="1286"/>
      <c r="T19" s="1285">
        <v>24122878</v>
      </c>
      <c r="U19" s="1288"/>
      <c r="V19" s="1288">
        <f t="shared" si="0"/>
        <v>-909575</v>
      </c>
      <c r="W19" s="1283"/>
    </row>
    <row r="20" spans="1:23" ht="15.5">
      <c r="A20" s="1058"/>
      <c r="B20" s="1259" t="s">
        <v>886</v>
      </c>
      <c r="C20" s="1259"/>
      <c r="D20" s="1285">
        <v>0</v>
      </c>
      <c r="E20" s="1285">
        <v>0</v>
      </c>
      <c r="F20" s="1285">
        <v>0</v>
      </c>
      <c r="G20" s="1285">
        <v>0</v>
      </c>
      <c r="H20" s="1285">
        <v>0</v>
      </c>
      <c r="I20" s="1285">
        <v>0</v>
      </c>
      <c r="J20" s="1285">
        <v>0</v>
      </c>
      <c r="K20" s="1285">
        <v>0</v>
      </c>
      <c r="L20" s="1285">
        <v>0</v>
      </c>
      <c r="M20" s="1285"/>
      <c r="N20" s="1285">
        <v>0</v>
      </c>
      <c r="O20" s="1285"/>
      <c r="P20" s="1285">
        <v>0</v>
      </c>
      <c r="Q20" s="1285">
        <v>0</v>
      </c>
      <c r="R20" s="1286">
        <f>ROUND(SUM(D20:Q20),0)</f>
        <v>0</v>
      </c>
      <c r="S20" s="1286"/>
      <c r="T20" s="1285">
        <v>10043312</v>
      </c>
      <c r="U20" s="1288"/>
      <c r="V20" s="1288">
        <f t="shared" si="0"/>
        <v>-10043312</v>
      </c>
      <c r="W20" s="1283"/>
    </row>
    <row r="21" spans="1:23" ht="15.5">
      <c r="A21" s="1058"/>
      <c r="B21" s="1259" t="s">
        <v>743</v>
      </c>
      <c r="C21" s="1259"/>
      <c r="D21" s="1285">
        <v>0</v>
      </c>
      <c r="E21" s="1285">
        <v>0</v>
      </c>
      <c r="F21" s="1285">
        <v>0</v>
      </c>
      <c r="G21" s="1285">
        <v>0</v>
      </c>
      <c r="H21" s="1285">
        <v>0</v>
      </c>
      <c r="I21" s="1285">
        <v>0</v>
      </c>
      <c r="J21" s="1285">
        <v>0</v>
      </c>
      <c r="K21" s="1285">
        <v>0</v>
      </c>
      <c r="L21" s="1285">
        <v>0</v>
      </c>
      <c r="M21" s="1285"/>
      <c r="N21" s="1285">
        <v>0</v>
      </c>
      <c r="O21" s="1285"/>
      <c r="P21" s="1285">
        <v>0</v>
      </c>
      <c r="Q21" s="1285">
        <v>0</v>
      </c>
      <c r="R21" s="1286">
        <f t="shared" si="1"/>
        <v>0</v>
      </c>
      <c r="S21" s="1286"/>
      <c r="T21" s="1285">
        <v>1627568</v>
      </c>
      <c r="U21" s="1288"/>
      <c r="V21" s="1288">
        <f t="shared" si="0"/>
        <v>-1627568</v>
      </c>
      <c r="W21" s="1283"/>
    </row>
    <row r="22" spans="1:23" ht="15.5">
      <c r="A22" s="1058"/>
      <c r="B22" s="1259" t="s">
        <v>1129</v>
      </c>
      <c r="C22" s="1259"/>
      <c r="D22" s="1285">
        <v>0</v>
      </c>
      <c r="E22" s="1285">
        <v>0</v>
      </c>
      <c r="F22" s="1285">
        <v>4489575</v>
      </c>
      <c r="G22" s="1285">
        <v>0</v>
      </c>
      <c r="H22" s="1285">
        <v>0</v>
      </c>
      <c r="I22" s="1285">
        <v>0</v>
      </c>
      <c r="J22" s="1285">
        <v>0</v>
      </c>
      <c r="K22" s="1285">
        <v>0</v>
      </c>
      <c r="L22" s="1285">
        <v>0</v>
      </c>
      <c r="M22" s="1285"/>
      <c r="N22" s="1285">
        <v>0</v>
      </c>
      <c r="O22" s="1285"/>
      <c r="P22" s="1285">
        <v>0</v>
      </c>
      <c r="Q22" s="1285">
        <v>0</v>
      </c>
      <c r="R22" s="1286">
        <f t="shared" si="1"/>
        <v>4489575</v>
      </c>
      <c r="S22" s="1286"/>
      <c r="T22" s="1285">
        <v>10879525</v>
      </c>
      <c r="U22" s="1288"/>
      <c r="V22" s="1288">
        <f t="shared" si="0"/>
        <v>-6389950</v>
      </c>
      <c r="W22" s="1283"/>
    </row>
    <row r="23" spans="1:23" ht="15.5">
      <c r="A23" s="1058"/>
      <c r="B23" s="1259" t="s">
        <v>1130</v>
      </c>
      <c r="C23" s="1259"/>
      <c r="D23" s="1285">
        <v>0</v>
      </c>
      <c r="E23" s="1285">
        <v>0</v>
      </c>
      <c r="F23" s="1285">
        <v>86906420</v>
      </c>
      <c r="G23" s="1285">
        <v>0</v>
      </c>
      <c r="H23" s="1285">
        <v>0</v>
      </c>
      <c r="I23" s="1285">
        <v>0</v>
      </c>
      <c r="J23" s="1285">
        <v>0</v>
      </c>
      <c r="K23" s="1285">
        <v>0</v>
      </c>
      <c r="L23" s="1285">
        <v>0</v>
      </c>
      <c r="M23" s="1285"/>
      <c r="N23" s="1285">
        <v>0</v>
      </c>
      <c r="O23" s="1285"/>
      <c r="P23" s="1285">
        <v>0</v>
      </c>
      <c r="Q23" s="1285">
        <v>0</v>
      </c>
      <c r="R23" s="1286">
        <f t="shared" si="1"/>
        <v>86906420</v>
      </c>
      <c r="S23" s="1286"/>
      <c r="T23" s="1285">
        <v>105416691</v>
      </c>
      <c r="U23" s="1288"/>
      <c r="V23" s="1288">
        <f t="shared" si="0"/>
        <v>-18510271</v>
      </c>
      <c r="W23" s="1283"/>
    </row>
    <row r="24" spans="1:23" ht="15.5">
      <c r="A24" s="1058"/>
      <c r="B24" s="1259" t="s">
        <v>437</v>
      </c>
      <c r="C24" s="1259"/>
      <c r="D24" s="1285">
        <v>0</v>
      </c>
      <c r="E24" s="1285">
        <v>0</v>
      </c>
      <c r="F24" s="1285">
        <v>0</v>
      </c>
      <c r="G24" s="1285">
        <v>0</v>
      </c>
      <c r="H24" s="1285">
        <v>0</v>
      </c>
      <c r="I24" s="1285">
        <v>0</v>
      </c>
      <c r="J24" s="1285">
        <v>0</v>
      </c>
      <c r="K24" s="1285">
        <v>0</v>
      </c>
      <c r="L24" s="1285">
        <v>0</v>
      </c>
      <c r="M24" s="1285"/>
      <c r="N24" s="1285">
        <v>0</v>
      </c>
      <c r="O24" s="1285"/>
      <c r="P24" s="1285">
        <v>0</v>
      </c>
      <c r="Q24" s="1285">
        <v>0</v>
      </c>
      <c r="R24" s="1286">
        <f t="shared" si="1"/>
        <v>0</v>
      </c>
      <c r="S24" s="1286"/>
      <c r="T24" s="1899">
        <v>0</v>
      </c>
      <c r="U24" s="1288"/>
      <c r="V24" s="1288">
        <f t="shared" si="0"/>
        <v>0</v>
      </c>
      <c r="W24" s="1283"/>
    </row>
    <row r="25" spans="1:23" ht="15.5">
      <c r="A25" s="1058"/>
      <c r="B25" s="1259" t="s">
        <v>438</v>
      </c>
      <c r="C25" s="1259"/>
      <c r="D25" s="1285">
        <v>0</v>
      </c>
      <c r="E25" s="1285">
        <v>0</v>
      </c>
      <c r="F25" s="1285">
        <v>0</v>
      </c>
      <c r="G25" s="1285">
        <v>0</v>
      </c>
      <c r="H25" s="1285">
        <v>0</v>
      </c>
      <c r="I25" s="1285">
        <v>0</v>
      </c>
      <c r="J25" s="1285">
        <v>0</v>
      </c>
      <c r="K25" s="1285">
        <v>0</v>
      </c>
      <c r="L25" s="1285">
        <v>0</v>
      </c>
      <c r="M25" s="1285"/>
      <c r="N25" s="1285">
        <v>0</v>
      </c>
      <c r="O25" s="1285"/>
      <c r="P25" s="1285">
        <v>0</v>
      </c>
      <c r="Q25" s="1285">
        <v>0</v>
      </c>
      <c r="R25" s="1286">
        <f t="shared" si="1"/>
        <v>0</v>
      </c>
      <c r="S25" s="1286"/>
      <c r="T25" s="1899">
        <v>1772122</v>
      </c>
      <c r="U25" s="1288"/>
      <c r="V25" s="1288">
        <f t="shared" si="0"/>
        <v>-1772122</v>
      </c>
      <c r="W25" s="1283"/>
    </row>
    <row r="26" spans="1:23" ht="15.5">
      <c r="A26" s="1058"/>
      <c r="B26" s="1259" t="s">
        <v>1131</v>
      </c>
      <c r="C26" s="1259"/>
      <c r="D26" s="1285">
        <v>0</v>
      </c>
      <c r="E26" s="1285">
        <v>0</v>
      </c>
      <c r="F26" s="1285">
        <v>0</v>
      </c>
      <c r="G26" s="1285">
        <v>0</v>
      </c>
      <c r="H26" s="1285">
        <v>0</v>
      </c>
      <c r="I26" s="1285">
        <v>0</v>
      </c>
      <c r="J26" s="1285">
        <v>0</v>
      </c>
      <c r="K26" s="1285">
        <v>0</v>
      </c>
      <c r="L26" s="1285">
        <v>0</v>
      </c>
      <c r="M26" s="1285"/>
      <c r="N26" s="1285">
        <v>0</v>
      </c>
      <c r="O26" s="1285"/>
      <c r="P26" s="1285">
        <v>0</v>
      </c>
      <c r="Q26" s="1285">
        <v>0</v>
      </c>
      <c r="R26" s="1286">
        <f t="shared" si="1"/>
        <v>0</v>
      </c>
      <c r="S26" s="1286"/>
      <c r="T26" s="1899">
        <v>0</v>
      </c>
      <c r="U26" s="1288"/>
      <c r="V26" s="1288">
        <f t="shared" si="0"/>
        <v>0</v>
      </c>
      <c r="W26" s="1283"/>
    </row>
    <row r="27" spans="1:23" ht="15.5">
      <c r="A27" s="1058"/>
      <c r="B27" s="1259" t="s">
        <v>439</v>
      </c>
      <c r="C27" s="1259"/>
      <c r="D27" s="1289"/>
      <c r="E27" s="1289"/>
      <c r="F27" s="1289"/>
      <c r="G27" s="1289"/>
      <c r="H27" s="1289"/>
      <c r="I27" s="1289"/>
      <c r="J27" s="1289"/>
      <c r="K27" s="1289"/>
      <c r="L27" s="1289"/>
      <c r="M27" s="1289"/>
      <c r="N27" s="1289"/>
      <c r="O27" s="1289"/>
      <c r="P27" s="1289"/>
      <c r="Q27" s="1289"/>
      <c r="R27" s="1286"/>
      <c r="S27" s="1286"/>
      <c r="T27" s="1899"/>
      <c r="U27" s="1288"/>
      <c r="V27" s="1286"/>
      <c r="W27" s="1283"/>
    </row>
    <row r="28" spans="1:23" ht="15.5">
      <c r="A28" s="1058"/>
      <c r="B28" s="1259" t="s">
        <v>440</v>
      </c>
      <c r="C28" s="1259"/>
      <c r="D28" s="1285">
        <v>0</v>
      </c>
      <c r="E28" s="1285">
        <v>0</v>
      </c>
      <c r="F28" s="1285">
        <v>0</v>
      </c>
      <c r="G28" s="1285">
        <v>0</v>
      </c>
      <c r="H28" s="1285">
        <v>0</v>
      </c>
      <c r="I28" s="1285">
        <v>0</v>
      </c>
      <c r="J28" s="1285">
        <v>0</v>
      </c>
      <c r="K28" s="1285">
        <v>0</v>
      </c>
      <c r="L28" s="1285">
        <v>0</v>
      </c>
      <c r="M28" s="1285"/>
      <c r="N28" s="1285">
        <v>0</v>
      </c>
      <c r="O28" s="1285"/>
      <c r="P28" s="1285">
        <v>0</v>
      </c>
      <c r="Q28" s="1285">
        <v>0</v>
      </c>
      <c r="R28" s="1286">
        <f>ROUND(SUM(D28:Q28),0)</f>
        <v>0</v>
      </c>
      <c r="S28" s="1286"/>
      <c r="T28" s="1899">
        <v>0</v>
      </c>
      <c r="U28" s="1288"/>
      <c r="V28" s="1288">
        <f>SUM(R28-T28,0)</f>
        <v>0</v>
      </c>
      <c r="W28" s="1283"/>
    </row>
    <row r="29" spans="1:23" ht="15.5">
      <c r="A29" s="1058"/>
      <c r="B29" s="1259" t="s">
        <v>845</v>
      </c>
      <c r="C29" s="1259"/>
      <c r="D29" s="1285"/>
      <c r="E29" s="1285"/>
      <c r="F29" s="1285"/>
      <c r="G29" s="1286"/>
      <c r="H29" s="1285"/>
      <c r="I29" s="1285"/>
      <c r="J29" s="1285"/>
      <c r="K29" s="1286"/>
      <c r="L29" s="1285"/>
      <c r="M29" s="1286"/>
      <c r="N29" s="1285"/>
      <c r="O29" s="1286"/>
      <c r="P29" s="1285"/>
      <c r="Q29" s="1286"/>
      <c r="R29" s="1286"/>
      <c r="S29" s="1286"/>
      <c r="T29" s="1899"/>
      <c r="U29" s="1288"/>
      <c r="V29" s="1286"/>
      <c r="W29" s="1283"/>
    </row>
    <row r="30" spans="1:23" ht="17.149999999999999" customHeight="1">
      <c r="A30" s="1058"/>
      <c r="B30" s="1259" t="s">
        <v>844</v>
      </c>
      <c r="C30" s="1259"/>
      <c r="D30" s="1285">
        <v>0</v>
      </c>
      <c r="E30" s="1285"/>
      <c r="F30" s="1285">
        <v>39560360</v>
      </c>
      <c r="G30" s="1286"/>
      <c r="H30" s="1285">
        <v>0</v>
      </c>
      <c r="I30" s="1285"/>
      <c r="J30" s="1285">
        <v>0</v>
      </c>
      <c r="K30" s="1286"/>
      <c r="L30" s="1285">
        <v>0</v>
      </c>
      <c r="M30" s="1286"/>
      <c r="N30" s="1285">
        <v>0</v>
      </c>
      <c r="O30" s="1286"/>
      <c r="P30" s="1285">
        <v>0</v>
      </c>
      <c r="Q30" s="1286"/>
      <c r="R30" s="1286">
        <f>ROUND(SUM(D30:Q30),0)</f>
        <v>39560360</v>
      </c>
      <c r="S30" s="1286"/>
      <c r="T30" s="1921">
        <v>73929920</v>
      </c>
      <c r="U30" s="1288"/>
      <c r="V30" s="1288">
        <f t="shared" ref="V30:V38" si="2">SUM(R30-T30,0)</f>
        <v>-34369560</v>
      </c>
      <c r="W30" s="1283"/>
    </row>
    <row r="31" spans="1:23" ht="15.5">
      <c r="A31" s="1058"/>
      <c r="B31" s="1259" t="s">
        <v>843</v>
      </c>
      <c r="C31" s="1259"/>
      <c r="D31" s="1285">
        <v>0</v>
      </c>
      <c r="E31" s="1285">
        <v>0</v>
      </c>
      <c r="F31" s="1285">
        <v>0</v>
      </c>
      <c r="G31" s="1285">
        <v>0</v>
      </c>
      <c r="H31" s="1285">
        <v>0</v>
      </c>
      <c r="I31" s="1285">
        <v>0</v>
      </c>
      <c r="J31" s="1285">
        <v>0</v>
      </c>
      <c r="K31" s="1285">
        <v>0</v>
      </c>
      <c r="L31" s="1285">
        <v>0</v>
      </c>
      <c r="M31" s="1285"/>
      <c r="N31" s="1285">
        <v>0</v>
      </c>
      <c r="O31" s="1285"/>
      <c r="P31" s="1285">
        <v>0</v>
      </c>
      <c r="Q31" s="1285">
        <v>0</v>
      </c>
      <c r="R31" s="1286">
        <f>ROUND(SUM(D31:Q31),0)</f>
        <v>0</v>
      </c>
      <c r="S31" s="1286"/>
      <c r="T31" s="1285">
        <v>0</v>
      </c>
      <c r="U31" s="1288"/>
      <c r="V31" s="1288">
        <f t="shared" si="2"/>
        <v>0</v>
      </c>
      <c r="W31" s="1283"/>
    </row>
    <row r="32" spans="1:23" ht="15.5">
      <c r="A32" s="1058"/>
      <c r="B32" s="1259" t="s">
        <v>797</v>
      </c>
      <c r="C32" s="1259"/>
      <c r="D32" s="1285">
        <v>0</v>
      </c>
      <c r="E32" s="1285">
        <v>0</v>
      </c>
      <c r="F32" s="1285">
        <v>0</v>
      </c>
      <c r="G32" s="1285">
        <v>0</v>
      </c>
      <c r="H32" s="1285">
        <v>0</v>
      </c>
      <c r="I32" s="1285">
        <v>0</v>
      </c>
      <c r="J32" s="1285">
        <v>0</v>
      </c>
      <c r="K32" s="1285">
        <v>0</v>
      </c>
      <c r="L32" s="1285">
        <v>0</v>
      </c>
      <c r="M32" s="1285"/>
      <c r="N32" s="1285">
        <v>462167798</v>
      </c>
      <c r="O32" s="1285"/>
      <c r="P32" s="1285">
        <v>0</v>
      </c>
      <c r="Q32" s="1285">
        <v>0</v>
      </c>
      <c r="R32" s="1286">
        <f>ROUND(SUM(D32:Q32),0)</f>
        <v>462167798</v>
      </c>
      <c r="S32" s="1286"/>
      <c r="T32" s="1285">
        <v>94805382</v>
      </c>
      <c r="U32" s="1288"/>
      <c r="V32" s="1288">
        <f t="shared" si="2"/>
        <v>367362416</v>
      </c>
      <c r="W32" s="1283"/>
    </row>
    <row r="33" spans="1:25" ht="15.5">
      <c r="A33" s="1058"/>
      <c r="B33" s="1259" t="s">
        <v>441</v>
      </c>
      <c r="C33" s="1259"/>
      <c r="D33" s="1285"/>
      <c r="E33" s="1285"/>
      <c r="F33" s="1285"/>
      <c r="G33" s="1285"/>
      <c r="H33" s="1285"/>
      <c r="I33" s="1285"/>
      <c r="J33" s="1285"/>
      <c r="K33" s="1285"/>
      <c r="L33" s="1285"/>
      <c r="M33" s="1285"/>
      <c r="N33" s="1285"/>
      <c r="O33" s="1285"/>
      <c r="P33" s="1285"/>
      <c r="Q33" s="1285"/>
      <c r="R33" s="1286"/>
      <c r="S33" s="1286"/>
      <c r="T33" s="1899"/>
      <c r="U33" s="1288"/>
      <c r="V33" s="1286"/>
      <c r="W33" s="1283"/>
    </row>
    <row r="34" spans="1:25" ht="15.5">
      <c r="A34" s="1058"/>
      <c r="B34" s="1259" t="s">
        <v>442</v>
      </c>
      <c r="C34" s="1259"/>
      <c r="D34" s="1285">
        <v>0</v>
      </c>
      <c r="E34" s="1285"/>
      <c r="F34" s="1285">
        <v>0</v>
      </c>
      <c r="G34" s="1285">
        <v>0</v>
      </c>
      <c r="H34" s="1285">
        <v>0</v>
      </c>
      <c r="I34" s="1285">
        <v>0</v>
      </c>
      <c r="J34" s="1285">
        <v>0</v>
      </c>
      <c r="K34" s="1285">
        <v>0</v>
      </c>
      <c r="L34" s="1285">
        <v>0</v>
      </c>
      <c r="M34" s="1285"/>
      <c r="N34" s="1285">
        <v>0</v>
      </c>
      <c r="O34" s="1285"/>
      <c r="P34" s="1285">
        <v>0</v>
      </c>
      <c r="Q34" s="1285">
        <v>0</v>
      </c>
      <c r="R34" s="1286">
        <f t="shared" ref="R34:R36" si="3">ROUND(SUM(D34:Q34),0)</f>
        <v>0</v>
      </c>
      <c r="S34" s="1286"/>
      <c r="T34" s="1285">
        <v>0</v>
      </c>
      <c r="U34" s="1288"/>
      <c r="V34" s="1288">
        <f t="shared" si="2"/>
        <v>0</v>
      </c>
      <c r="W34" s="1283"/>
    </row>
    <row r="35" spans="1:25" ht="15.5">
      <c r="A35" s="1058"/>
      <c r="B35" s="1259" t="s">
        <v>1127</v>
      </c>
      <c r="C35" s="1259"/>
      <c r="D35" s="1285">
        <v>0</v>
      </c>
      <c r="E35" s="1285">
        <v>0</v>
      </c>
      <c r="F35" s="1285">
        <v>0</v>
      </c>
      <c r="G35" s="1285">
        <v>0</v>
      </c>
      <c r="H35" s="1285">
        <v>0</v>
      </c>
      <c r="I35" s="1285">
        <v>0</v>
      </c>
      <c r="J35" s="1285">
        <v>0</v>
      </c>
      <c r="K35" s="1285">
        <v>0</v>
      </c>
      <c r="L35" s="1285">
        <v>0</v>
      </c>
      <c r="M35" s="1285"/>
      <c r="N35" s="1285">
        <v>0</v>
      </c>
      <c r="O35" s="1285"/>
      <c r="P35" s="1285">
        <v>0</v>
      </c>
      <c r="Q35" s="1285">
        <v>0</v>
      </c>
      <c r="R35" s="1286">
        <f t="shared" si="3"/>
        <v>0</v>
      </c>
      <c r="S35" s="1286"/>
      <c r="T35" s="1285">
        <v>2180971</v>
      </c>
      <c r="U35" s="1288"/>
      <c r="V35" s="1288">
        <f t="shared" si="2"/>
        <v>-2180971</v>
      </c>
      <c r="W35" s="1283"/>
    </row>
    <row r="36" spans="1:25" ht="15.5">
      <c r="A36" s="1058"/>
      <c r="B36" s="1290" t="s">
        <v>1046</v>
      </c>
      <c r="C36" s="1291"/>
      <c r="D36" s="1285">
        <v>0</v>
      </c>
      <c r="E36" s="1285">
        <v>0</v>
      </c>
      <c r="F36" s="1285">
        <v>0</v>
      </c>
      <c r="G36" s="1285">
        <v>0</v>
      </c>
      <c r="H36" s="1285">
        <v>0</v>
      </c>
      <c r="I36" s="1285">
        <v>0</v>
      </c>
      <c r="J36" s="1285">
        <v>0</v>
      </c>
      <c r="K36" s="1285">
        <v>0</v>
      </c>
      <c r="L36" s="1285">
        <v>0</v>
      </c>
      <c r="M36" s="1285"/>
      <c r="N36" s="1285">
        <v>0</v>
      </c>
      <c r="O36" s="1285"/>
      <c r="P36" s="1285">
        <v>0</v>
      </c>
      <c r="Q36" s="1285">
        <v>0</v>
      </c>
      <c r="R36" s="1286">
        <f t="shared" si="3"/>
        <v>0</v>
      </c>
      <c r="S36" s="1286"/>
      <c r="T36" s="1285">
        <v>0</v>
      </c>
      <c r="U36" s="1288"/>
      <c r="V36" s="1288">
        <f>SUM(R36-T36,0)</f>
        <v>0</v>
      </c>
      <c r="W36" s="1283"/>
    </row>
    <row r="37" spans="1:25" ht="16">
      <c r="A37" s="1057"/>
      <c r="B37" s="1259" t="s">
        <v>899</v>
      </c>
      <c r="C37" s="1259"/>
      <c r="D37" s="1285">
        <v>0</v>
      </c>
      <c r="E37" s="1285">
        <v>0</v>
      </c>
      <c r="F37" s="1285">
        <v>0</v>
      </c>
      <c r="G37" s="1285">
        <v>0</v>
      </c>
      <c r="H37" s="1285">
        <v>0</v>
      </c>
      <c r="I37" s="1285">
        <v>0</v>
      </c>
      <c r="J37" s="1285">
        <v>0</v>
      </c>
      <c r="K37" s="1285">
        <v>0</v>
      </c>
      <c r="L37" s="1285">
        <v>0</v>
      </c>
      <c r="M37" s="1285"/>
      <c r="N37" s="1285">
        <v>3609219840</v>
      </c>
      <c r="O37" s="1285"/>
      <c r="P37" s="1285">
        <v>0</v>
      </c>
      <c r="Q37" s="1285">
        <v>0</v>
      </c>
      <c r="R37" s="1286">
        <f>ROUND(SUM(D37:Q37),0)</f>
        <v>3609219840</v>
      </c>
      <c r="S37" s="1286"/>
      <c r="T37" s="1285">
        <v>3891419867</v>
      </c>
      <c r="U37" s="1292"/>
      <c r="V37" s="1288">
        <f t="shared" si="2"/>
        <v>-282200027</v>
      </c>
      <c r="W37" s="1283"/>
      <c r="Y37" s="1059"/>
    </row>
    <row r="38" spans="1:25" ht="16">
      <c r="B38" s="1259" t="s">
        <v>443</v>
      </c>
      <c r="C38" s="1259"/>
      <c r="D38" s="1285">
        <v>0</v>
      </c>
      <c r="E38" s="1285">
        <v>0</v>
      </c>
      <c r="F38" s="1285">
        <v>0</v>
      </c>
      <c r="G38" s="1285">
        <v>0</v>
      </c>
      <c r="H38" s="1285">
        <v>0</v>
      </c>
      <c r="I38" s="1285">
        <v>0</v>
      </c>
      <c r="J38" s="1285">
        <v>0</v>
      </c>
      <c r="K38" s="1285">
        <v>0</v>
      </c>
      <c r="L38" s="1285">
        <v>0</v>
      </c>
      <c r="M38" s="1285"/>
      <c r="N38" s="1285">
        <v>0</v>
      </c>
      <c r="O38" s="1285"/>
      <c r="P38" s="1285">
        <v>0</v>
      </c>
      <c r="Q38" s="1285">
        <v>0</v>
      </c>
      <c r="R38" s="1286">
        <f>ROUND(SUM(D38:Q38),0)</f>
        <v>0</v>
      </c>
      <c r="S38" s="1286"/>
      <c r="T38" s="1899">
        <v>0</v>
      </c>
      <c r="U38" s="1293"/>
      <c r="V38" s="1288">
        <f t="shared" si="2"/>
        <v>0</v>
      </c>
      <c r="W38" s="1283"/>
    </row>
    <row r="39" spans="1:25" ht="16">
      <c r="A39" s="1060"/>
      <c r="B39" s="1261" t="s">
        <v>444</v>
      </c>
      <c r="C39" s="1261"/>
      <c r="D39" s="1259"/>
      <c r="E39" s="1259"/>
      <c r="F39" s="1259"/>
      <c r="G39" s="1259"/>
      <c r="H39" s="1282"/>
      <c r="I39" s="1282"/>
      <c r="J39" s="1287"/>
      <c r="K39" s="1287"/>
      <c r="L39" s="1287"/>
      <c r="M39" s="1287"/>
      <c r="N39" s="1282"/>
      <c r="O39" s="1282"/>
      <c r="P39" s="1282"/>
      <c r="Q39" s="1282"/>
      <c r="R39" s="1282"/>
      <c r="S39" s="1282"/>
      <c r="T39" s="1282"/>
      <c r="U39" s="1294"/>
      <c r="V39" s="1286"/>
      <c r="W39" s="1283"/>
    </row>
    <row r="40" spans="1:25" s="1056" customFormat="1" ht="16.5" thickBot="1">
      <c r="B40" s="1295" t="s">
        <v>445</v>
      </c>
      <c r="C40" s="1265"/>
      <c r="D40" s="1296">
        <f>ROUND(SUM(D15:D38),0)</f>
        <v>0</v>
      </c>
      <c r="E40" s="1297"/>
      <c r="F40" s="1296">
        <f>ROUND(SUM(F15:F38),0)</f>
        <v>140780105</v>
      </c>
      <c r="G40" s="1297"/>
      <c r="H40" s="1296">
        <f>ROUND(SUM(H15:H38),0)</f>
        <v>23213303</v>
      </c>
      <c r="I40" s="1297"/>
      <c r="J40" s="1296">
        <f>ROUND(SUM(J15:J38),0)</f>
        <v>0</v>
      </c>
      <c r="K40" s="1298"/>
      <c r="L40" s="1296">
        <f>ROUND(SUM(L15:L38),0)</f>
        <v>0</v>
      </c>
      <c r="M40" s="1298"/>
      <c r="N40" s="1296">
        <f>ROUND(SUM(N15:N38),0)</f>
        <v>8531724358</v>
      </c>
      <c r="O40" s="1297"/>
      <c r="P40" s="1296">
        <f>ROUND(SUM(P15:P38),0)</f>
        <v>1563940933</v>
      </c>
      <c r="Q40" s="1297"/>
      <c r="R40" s="1296">
        <f>ROUND(SUM(R15:R38),0)</f>
        <v>10259658699</v>
      </c>
      <c r="S40" s="1297"/>
      <c r="T40" s="1296">
        <f>ROUND(SUM(T15:T38),0)</f>
        <v>12306260647</v>
      </c>
      <c r="U40" s="1297"/>
      <c r="V40" s="1296">
        <f>ROUND(SUM(V15:V38),0)</f>
        <v>-2046601948</v>
      </c>
      <c r="W40" s="1283"/>
    </row>
    <row r="41" spans="1:25" ht="16" thickTop="1">
      <c r="C41" s="1267"/>
      <c r="D41" s="1259"/>
      <c r="E41" s="1259"/>
      <c r="F41" s="1259"/>
      <c r="G41" s="1259"/>
      <c r="H41" s="1259"/>
      <c r="I41" s="1259"/>
      <c r="J41" s="1259"/>
      <c r="K41" s="1259"/>
      <c r="L41" s="1259"/>
      <c r="M41" s="1259"/>
      <c r="N41" s="1259"/>
      <c r="O41" s="1259"/>
      <c r="P41" s="1259"/>
      <c r="Q41" s="1259"/>
      <c r="R41" s="1259"/>
      <c r="S41" s="1259"/>
      <c r="T41" s="1259"/>
      <c r="U41" s="1259"/>
      <c r="V41" s="1299"/>
      <c r="W41" s="1259"/>
    </row>
    <row r="42" spans="1:25" ht="16">
      <c r="B42" s="646"/>
      <c r="C42" s="1259"/>
      <c r="D42" s="1259"/>
      <c r="E42" s="1259"/>
      <c r="F42" s="1259"/>
      <c r="G42" s="1259"/>
      <c r="H42" s="1259"/>
      <c r="I42" s="1259"/>
      <c r="J42" s="1259"/>
      <c r="K42" s="1259"/>
      <c r="L42" s="1259"/>
      <c r="M42" s="1259"/>
      <c r="N42" s="1259"/>
      <c r="O42" s="1259"/>
      <c r="P42" s="1259"/>
      <c r="Q42" s="1259"/>
      <c r="R42" s="1851" t="s">
        <v>14</v>
      </c>
      <c r="S42" s="1259"/>
      <c r="T42" s="1259"/>
      <c r="U42" s="1259"/>
      <c r="V42" s="1259"/>
    </row>
    <row r="43" spans="1:25" ht="15.5">
      <c r="B43" s="1060"/>
      <c r="R43" s="1852" t="s">
        <v>14</v>
      </c>
    </row>
    <row r="44" spans="1:25" ht="15.5">
      <c r="B44" s="1060"/>
      <c r="R44" s="2053" t="s">
        <v>14</v>
      </c>
    </row>
    <row r="45" spans="1:25" ht="15.5">
      <c r="B45" s="1060"/>
      <c r="R45" s="1852" t="s">
        <v>14</v>
      </c>
    </row>
    <row r="49" spans="2:2">
      <c r="B49" s="1055" t="s">
        <v>14</v>
      </c>
    </row>
  </sheetData>
  <dataConsolidate/>
  <printOptions horizontalCentered="1"/>
  <pageMargins left="0.25" right="0.25" top="0.5" bottom="0.25" header="0.5" footer="0.25"/>
  <pageSetup scale="43" firstPageNumber="46"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84375" defaultRowHeight="15.5"/>
  <cols>
    <col min="1" max="1" width="2.07421875" style="523" customWidth="1"/>
    <col min="2" max="4" width="9.84375" style="523" customWidth="1"/>
    <col min="5" max="5" width="10.4609375" style="523" customWidth="1"/>
    <col min="6" max="6" width="14.84375" style="523" customWidth="1"/>
    <col min="7" max="7" width="1.07421875" style="523" customWidth="1"/>
    <col min="8" max="8" width="16.84375" style="523" customWidth="1"/>
    <col min="9" max="9" width="1.07421875" style="523" customWidth="1"/>
    <col min="10" max="10" width="16.84375" style="523" bestFit="1" customWidth="1"/>
    <col min="11" max="11" width="9.84375" style="523" customWidth="1"/>
    <col min="12" max="12" width="15.84375" style="523" customWidth="1"/>
    <col min="13" max="16384" width="8.84375" style="523"/>
  </cols>
  <sheetData>
    <row r="1" spans="2:12">
      <c r="B1" s="1928" t="s">
        <v>868</v>
      </c>
    </row>
    <row r="2" spans="2:12">
      <c r="B2" s="601"/>
    </row>
    <row r="3" spans="2:12">
      <c r="B3" s="524" t="s">
        <v>0</v>
      </c>
      <c r="J3" s="818" t="s">
        <v>1045</v>
      </c>
    </row>
    <row r="4" spans="2:12">
      <c r="B4" s="602" t="s">
        <v>1044</v>
      </c>
    </row>
    <row r="5" spans="2:12">
      <c r="B5" s="1221" t="str">
        <f>'Sch 1 '!A8</f>
        <v>FOR THE MONTH OF MARCH 2023</v>
      </c>
      <c r="C5" s="1222"/>
      <c r="D5" s="1222"/>
      <c r="E5" s="1222"/>
      <c r="F5" s="1222"/>
      <c r="G5" s="1222"/>
      <c r="H5" s="1222"/>
      <c r="I5" s="1222"/>
      <c r="J5" s="1222"/>
      <c r="K5" s="1222"/>
      <c r="L5" s="1222"/>
    </row>
    <row r="6" spans="2:12">
      <c r="B6" s="1221" t="s">
        <v>779</v>
      </c>
      <c r="C6" s="1222"/>
      <c r="D6" s="1222"/>
      <c r="E6" s="1222"/>
      <c r="F6" s="1222"/>
      <c r="G6" s="1222"/>
      <c r="H6" s="1222"/>
      <c r="I6" s="1222"/>
      <c r="J6" s="1222"/>
      <c r="K6" s="1222"/>
      <c r="L6" s="1222"/>
    </row>
    <row r="7" spans="2:12" ht="12.65" customHeight="1">
      <c r="B7" s="1221" t="s">
        <v>1247</v>
      </c>
      <c r="C7" s="1223"/>
      <c r="D7" s="1223"/>
      <c r="E7" s="1223"/>
      <c r="F7" s="1223"/>
      <c r="G7" s="1223"/>
      <c r="H7" s="1223"/>
      <c r="I7" s="1223"/>
      <c r="J7" s="1223"/>
      <c r="K7" s="1223"/>
      <c r="L7" s="1223"/>
    </row>
    <row r="8" spans="2:12">
      <c r="B8" s="280"/>
      <c r="G8" s="280"/>
      <c r="I8" s="280"/>
    </row>
    <row r="9" spans="2:12">
      <c r="B9" s="280"/>
      <c r="F9" s="281" t="s">
        <v>6</v>
      </c>
      <c r="G9" s="280"/>
      <c r="H9" s="282" t="s">
        <v>447</v>
      </c>
      <c r="I9" s="280"/>
      <c r="J9" s="281" t="s">
        <v>446</v>
      </c>
    </row>
    <row r="10" spans="2:12">
      <c r="B10" s="280"/>
      <c r="F10" s="283" t="s">
        <v>1556</v>
      </c>
      <c r="G10" s="280"/>
      <c r="H10" s="282" t="s">
        <v>449</v>
      </c>
      <c r="I10" s="280"/>
      <c r="J10" s="282" t="s">
        <v>448</v>
      </c>
    </row>
    <row r="11" spans="2:12">
      <c r="B11" s="280"/>
      <c r="F11" s="1186"/>
      <c r="G11" s="280"/>
      <c r="H11" s="1186" t="s">
        <v>14</v>
      </c>
      <c r="I11" s="280"/>
      <c r="J11" s="1186"/>
    </row>
    <row r="12" spans="2:12">
      <c r="B12" s="284" t="s">
        <v>861</v>
      </c>
      <c r="G12" s="280"/>
      <c r="H12" s="523" t="s">
        <v>14</v>
      </c>
      <c r="I12" s="280"/>
    </row>
    <row r="13" spans="2:12">
      <c r="B13" s="280"/>
      <c r="G13" s="280"/>
      <c r="I13" s="280"/>
    </row>
    <row r="14" spans="2:12">
      <c r="B14" s="484" t="s">
        <v>860</v>
      </c>
      <c r="F14" s="901">
        <v>85318.7</v>
      </c>
      <c r="G14" s="901"/>
      <c r="H14" s="1854">
        <v>78226.5</v>
      </c>
      <c r="I14" s="901"/>
      <c r="J14" s="901">
        <v>51162</v>
      </c>
    </row>
    <row r="15" spans="2:12">
      <c r="B15" s="484" t="s">
        <v>859</v>
      </c>
      <c r="F15" s="1752">
        <v>4.6519999999999999E-2</v>
      </c>
      <c r="G15" s="521"/>
      <c r="H15" s="1855">
        <v>2.7230000000000001E-2</v>
      </c>
      <c r="I15" s="521"/>
      <c r="J15" s="1752">
        <v>8.8999999999999995E-4</v>
      </c>
    </row>
    <row r="16" spans="2:12">
      <c r="B16" s="521" t="s">
        <v>450</v>
      </c>
      <c r="F16" s="1753">
        <v>336.03300000000002</v>
      </c>
      <c r="G16" s="1856"/>
      <c r="H16" s="1857">
        <v>2060.3989999999999</v>
      </c>
      <c r="I16" s="655"/>
      <c r="J16" s="1753">
        <v>44.389000000000003</v>
      </c>
    </row>
    <row r="17" spans="2:11">
      <c r="B17" s="280"/>
      <c r="K17" s="280"/>
    </row>
    <row r="18" spans="2:11">
      <c r="B18" s="280"/>
      <c r="K18" s="280"/>
    </row>
    <row r="19" spans="2:11" ht="15" customHeight="1">
      <c r="B19" s="280"/>
      <c r="K19" s="280"/>
    </row>
    <row r="20" spans="2:11" ht="18">
      <c r="B20" s="640" t="s">
        <v>451</v>
      </c>
      <c r="C20" s="641"/>
      <c r="D20" s="641"/>
      <c r="K20" s="280"/>
    </row>
    <row r="21" spans="2:11">
      <c r="B21" s="280"/>
      <c r="G21" s="455"/>
      <c r="H21" s="455" t="str">
        <f>F10</f>
        <v>MARCH 2023</v>
      </c>
      <c r="I21" s="1318"/>
      <c r="J21" s="455" t="s">
        <v>1566</v>
      </c>
      <c r="K21" s="280"/>
    </row>
    <row r="22" spans="2:11">
      <c r="B22" s="280"/>
      <c r="C22" s="642" t="s">
        <v>452</v>
      </c>
      <c r="E22" s="521" t="s">
        <v>14</v>
      </c>
      <c r="G22" s="643"/>
      <c r="H22" s="1226" t="s">
        <v>453</v>
      </c>
      <c r="I22" s="643"/>
      <c r="J22" s="1226" t="s">
        <v>453</v>
      </c>
      <c r="K22" s="280"/>
    </row>
    <row r="23" spans="2:11">
      <c r="B23" s="280"/>
      <c r="C23" s="521" t="s">
        <v>454</v>
      </c>
      <c r="G23" s="902"/>
      <c r="H23" s="903">
        <v>53946.5</v>
      </c>
      <c r="I23" s="902"/>
      <c r="J23" s="903">
        <v>40183</v>
      </c>
      <c r="K23" s="280"/>
    </row>
    <row r="24" spans="2:11">
      <c r="B24" s="280"/>
      <c r="C24" s="521" t="s">
        <v>455</v>
      </c>
      <c r="G24" s="902"/>
      <c r="H24" s="904">
        <v>513.20000000000005</v>
      </c>
      <c r="I24" s="902"/>
      <c r="J24" s="904">
        <v>39.9</v>
      </c>
      <c r="K24" s="280"/>
    </row>
    <row r="25" spans="2:11">
      <c r="B25" s="280"/>
      <c r="C25" s="521" t="s">
        <v>1350</v>
      </c>
      <c r="G25" s="902"/>
      <c r="H25" s="904">
        <v>208</v>
      </c>
      <c r="I25" s="902"/>
      <c r="J25" s="904">
        <v>350</v>
      </c>
      <c r="K25" s="280"/>
    </row>
    <row r="26" spans="2:11">
      <c r="B26" s="280"/>
      <c r="C26" s="521" t="s">
        <v>456</v>
      </c>
      <c r="G26" s="905"/>
      <c r="H26" s="904">
        <v>19950.900000000001</v>
      </c>
      <c r="I26" s="905"/>
      <c r="J26" s="904">
        <v>19755.7</v>
      </c>
      <c r="K26" s="280" t="s">
        <v>14</v>
      </c>
    </row>
    <row r="27" spans="2:11">
      <c r="B27" s="280"/>
      <c r="C27" s="521" t="s">
        <v>457</v>
      </c>
      <c r="G27" s="905"/>
      <c r="H27" s="904">
        <v>3422.9</v>
      </c>
      <c r="I27" s="905"/>
      <c r="J27" s="904">
        <v>2840.7</v>
      </c>
      <c r="K27" s="280" t="s">
        <v>14</v>
      </c>
    </row>
    <row r="28" spans="2:11">
      <c r="B28" s="280"/>
      <c r="C28" s="521" t="s">
        <v>744</v>
      </c>
      <c r="G28" s="905"/>
      <c r="H28" s="904">
        <v>13</v>
      </c>
      <c r="I28" s="905"/>
      <c r="J28" s="904">
        <v>843</v>
      </c>
      <c r="K28" s="280"/>
    </row>
    <row r="29" spans="2:11" ht="16" thickBot="1">
      <c r="B29" s="280"/>
      <c r="G29" s="285"/>
      <c r="H29" s="1187">
        <f>ROUND(SUM(H23:H28),1)</f>
        <v>78054.5</v>
      </c>
      <c r="I29" s="285"/>
      <c r="J29" s="1187">
        <f>ROUND(SUM(J23:J28),1)</f>
        <v>64012.3</v>
      </c>
      <c r="K29" s="280"/>
    </row>
    <row r="30" spans="2:11" ht="16" thickTop="1">
      <c r="B30" s="280"/>
      <c r="G30" s="906"/>
      <c r="H30" s="906"/>
      <c r="I30" s="906"/>
      <c r="K30" s="280"/>
    </row>
    <row r="31" spans="2:11">
      <c r="B31" s="280"/>
      <c r="K31" s="280"/>
    </row>
    <row r="32" spans="2:11">
      <c r="B32" s="284"/>
      <c r="K32" s="280"/>
    </row>
    <row r="33" spans="2:12" ht="192.75" customHeight="1">
      <c r="B33" s="2337" t="s">
        <v>1337</v>
      </c>
      <c r="C33" s="2337"/>
      <c r="D33" s="2337"/>
      <c r="E33" s="2337"/>
      <c r="F33" s="2337"/>
      <c r="G33" s="2337"/>
      <c r="H33" s="2337"/>
      <c r="I33" s="2337"/>
      <c r="J33" s="2337"/>
      <c r="K33" s="280"/>
    </row>
    <row r="35" spans="2:12" ht="15" customHeight="1">
      <c r="B35" s="473" t="s">
        <v>862</v>
      </c>
      <c r="C35" s="522"/>
      <c r="D35" s="522"/>
      <c r="E35" s="522"/>
      <c r="F35" s="522"/>
      <c r="G35" s="522"/>
      <c r="H35" s="522"/>
      <c r="I35" s="522"/>
      <c r="J35" s="522"/>
      <c r="K35" s="522"/>
      <c r="L35" s="522"/>
    </row>
    <row r="36" spans="2:12" ht="17.25" customHeight="1">
      <c r="B36" s="520"/>
      <c r="L36" s="280"/>
    </row>
    <row r="37" spans="2:12">
      <c r="B37" s="521"/>
      <c r="C37" s="521"/>
      <c r="L37" s="280"/>
    </row>
    <row r="38" spans="2:12">
      <c r="B38" s="520"/>
      <c r="C38" s="521"/>
      <c r="L38" s="280"/>
    </row>
    <row r="39" spans="2:12">
      <c r="B39" s="280"/>
      <c r="C39" s="521" t="s">
        <v>14</v>
      </c>
      <c r="D39" s="280"/>
      <c r="E39" s="280"/>
      <c r="F39" s="280"/>
      <c r="G39" s="280"/>
      <c r="H39" s="280"/>
      <c r="I39" s="280"/>
      <c r="J39" s="280"/>
    </row>
    <row r="40" spans="2:12">
      <c r="C40" s="521" t="s">
        <v>14</v>
      </c>
    </row>
  </sheetData>
  <mergeCells count="1">
    <mergeCell ref="B33:J33"/>
  </mergeCells>
  <printOptions horizontalCentered="1"/>
  <pageMargins left="0.5" right="0.5" top="1" bottom="0.5" header="0.5" footer="0.25"/>
  <pageSetup firstPageNumber="47"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5"/>
  <sheetViews>
    <sheetView showGridLines="0" zoomScale="80" workbookViewId="0"/>
  </sheetViews>
  <sheetFormatPr defaultColWidth="8.84375" defaultRowHeight="15.5"/>
  <cols>
    <col min="1" max="1" width="45.4609375" style="348" customWidth="1"/>
    <col min="2" max="2" width="17" style="1027" customWidth="1"/>
    <col min="3" max="3" width="1.84375" style="1027" customWidth="1"/>
    <col min="4" max="4" width="17" style="1027" customWidth="1"/>
    <col min="5" max="5" width="1.84375" style="1026" customWidth="1"/>
    <col min="6" max="6" width="17" style="1027" customWidth="1"/>
    <col min="7" max="7" width="1.84375" style="1026" customWidth="1"/>
    <col min="8" max="8" width="17" style="1027" customWidth="1"/>
    <col min="9" max="9" width="1.84375" style="1128" customWidth="1"/>
    <col min="10" max="10" width="17" style="1112" customWidth="1"/>
    <col min="11" max="11" width="1.84375" style="1112" customWidth="1"/>
    <col min="12" max="12" width="17" style="1112" customWidth="1"/>
    <col min="13" max="13" width="1.84375" style="1128" customWidth="1"/>
    <col min="14" max="14" width="17" style="1112" customWidth="1"/>
    <col min="15" max="15" width="1.84375" style="1128" customWidth="1"/>
    <col min="16" max="16" width="17" style="1112" customWidth="1"/>
    <col min="17" max="17" width="1.84375" style="1128" customWidth="1"/>
    <col min="18" max="18" width="17" style="1112" customWidth="1"/>
    <col min="19" max="19" width="1.84375" style="1128" customWidth="1"/>
    <col min="20" max="20" width="17" style="1112" customWidth="1"/>
    <col min="21" max="21" width="1.84375" style="1128" customWidth="1"/>
    <col min="22" max="22" width="17" style="1112" customWidth="1"/>
    <col min="23" max="23" width="1.84375" style="1128" customWidth="1"/>
    <col min="24" max="24" width="17" style="1112" customWidth="1"/>
    <col min="25" max="25" width="1.84375" style="1128" customWidth="1"/>
    <col min="26" max="26" width="18.84375" style="1129" customWidth="1"/>
    <col min="27" max="27" width="1.53515625" style="886" customWidth="1"/>
    <col min="28" max="28" width="18.84375" style="348" bestFit="1" customWidth="1"/>
    <col min="29" max="29" width="12.84375" style="348" bestFit="1" customWidth="1"/>
    <col min="30" max="16384" width="8.84375" style="348"/>
  </cols>
  <sheetData>
    <row r="1" spans="1:33">
      <c r="A1" s="468" t="s">
        <v>868</v>
      </c>
      <c r="B1" s="882"/>
      <c r="C1" s="882"/>
      <c r="D1" s="882"/>
      <c r="E1" s="882"/>
      <c r="F1" s="882"/>
      <c r="G1" s="882"/>
      <c r="H1" s="882"/>
      <c r="I1" s="882"/>
      <c r="J1" s="882"/>
      <c r="K1" s="882"/>
      <c r="L1" s="882"/>
      <c r="M1" s="882"/>
      <c r="N1" s="882"/>
      <c r="O1" s="882"/>
      <c r="P1" s="882"/>
      <c r="Q1" s="882"/>
      <c r="R1" s="882"/>
      <c r="S1" s="882"/>
      <c r="T1" s="882"/>
      <c r="U1" s="882"/>
      <c r="V1" s="882"/>
      <c r="W1" s="882"/>
      <c r="X1" s="882"/>
      <c r="Y1" s="882"/>
      <c r="Z1" s="882"/>
      <c r="AA1" s="1872"/>
      <c r="AB1" s="882"/>
      <c r="AC1" s="882"/>
      <c r="AD1" s="882"/>
      <c r="AE1" s="882"/>
      <c r="AF1" s="882"/>
      <c r="AG1" s="882"/>
    </row>
    <row r="2" spans="1:33">
      <c r="A2" s="468"/>
      <c r="B2" s="882"/>
      <c r="C2" s="882"/>
      <c r="D2" s="882"/>
      <c r="E2" s="882"/>
      <c r="F2" s="882"/>
      <c r="G2" s="882"/>
      <c r="H2" s="882"/>
      <c r="I2" s="882"/>
      <c r="J2" s="882"/>
      <c r="K2" s="882"/>
      <c r="L2" s="882"/>
      <c r="M2" s="882"/>
      <c r="N2" s="882"/>
      <c r="O2" s="882"/>
      <c r="P2" s="882"/>
      <c r="Q2" s="882"/>
      <c r="R2" s="882"/>
      <c r="S2" s="882"/>
      <c r="T2" s="882"/>
      <c r="U2" s="882"/>
      <c r="V2" s="882"/>
      <c r="W2" s="882"/>
      <c r="X2" s="882"/>
      <c r="Y2" s="882"/>
      <c r="Z2" s="882"/>
      <c r="AA2" s="1872"/>
      <c r="AB2" s="882"/>
      <c r="AC2" s="882"/>
      <c r="AD2" s="882"/>
      <c r="AE2" s="882"/>
      <c r="AF2" s="882"/>
      <c r="AG2" s="882"/>
    </row>
    <row r="3" spans="1:33" ht="17.899999999999999" customHeight="1">
      <c r="A3" s="594" t="s">
        <v>0</v>
      </c>
      <c r="B3" s="345"/>
      <c r="C3" s="345"/>
      <c r="D3" s="346"/>
      <c r="E3" s="347"/>
      <c r="F3" s="346"/>
      <c r="G3" s="347"/>
      <c r="H3" s="346"/>
      <c r="I3" s="347"/>
      <c r="K3" s="345"/>
      <c r="L3" s="1113"/>
      <c r="M3" s="345"/>
      <c r="N3" s="346"/>
      <c r="O3" s="347"/>
      <c r="P3" s="346"/>
      <c r="Q3" s="347"/>
      <c r="R3" s="346"/>
      <c r="S3" s="347"/>
      <c r="T3" s="346"/>
      <c r="U3" s="347"/>
      <c r="V3" s="346"/>
      <c r="W3" s="347"/>
      <c r="X3" s="346"/>
      <c r="Y3" s="347"/>
      <c r="Z3" s="1114" t="s">
        <v>458</v>
      </c>
      <c r="AA3" s="1873"/>
      <c r="AC3" s="345"/>
      <c r="AE3" s="345"/>
    </row>
    <row r="4" spans="1:33" ht="17.899999999999999" customHeight="1">
      <c r="A4" s="594" t="s">
        <v>459</v>
      </c>
      <c r="B4" s="883"/>
      <c r="C4" s="883"/>
      <c r="D4" s="349"/>
      <c r="E4" s="347"/>
      <c r="F4" s="883"/>
      <c r="G4" s="347"/>
      <c r="H4" s="883"/>
      <c r="I4" s="347"/>
      <c r="J4" s="883"/>
      <c r="K4" s="883"/>
      <c r="L4" s="883"/>
      <c r="M4" s="350"/>
      <c r="N4" s="883"/>
      <c r="O4" s="347"/>
      <c r="P4" s="883"/>
      <c r="Q4" s="347"/>
      <c r="R4" s="883"/>
      <c r="S4" s="347"/>
      <c r="T4" s="883"/>
      <c r="U4" s="347"/>
      <c r="V4" s="883"/>
      <c r="W4" s="347"/>
      <c r="X4" s="883"/>
      <c r="Y4" s="347"/>
      <c r="Z4" s="1115"/>
      <c r="AA4" s="1873"/>
      <c r="AC4" s="345"/>
    </row>
    <row r="5" spans="1:33" ht="17.899999999999999" customHeight="1">
      <c r="A5" s="595" t="s">
        <v>1062</v>
      </c>
      <c r="B5" s="883"/>
      <c r="C5" s="883"/>
      <c r="D5" s="883"/>
      <c r="E5" s="347"/>
      <c r="F5" s="883"/>
      <c r="G5" s="347"/>
      <c r="H5" s="883"/>
      <c r="I5" s="347"/>
      <c r="J5" s="883"/>
      <c r="K5" s="883"/>
      <c r="L5" s="883"/>
      <c r="M5" s="350"/>
      <c r="N5" s="883"/>
      <c r="O5" s="347"/>
      <c r="P5" s="883"/>
      <c r="Q5" s="347"/>
      <c r="R5" s="883"/>
      <c r="S5" s="347"/>
      <c r="T5" s="883"/>
      <c r="U5" s="347"/>
      <c r="V5" s="883"/>
      <c r="W5" s="347"/>
      <c r="X5" s="883"/>
      <c r="Y5" s="347"/>
      <c r="Z5" s="1115"/>
    </row>
    <row r="6" spans="1:33" ht="17.899999999999999" customHeight="1">
      <c r="A6" s="352" t="str">
        <f>'Cashflow Governmental'!A6</f>
        <v xml:space="preserve">FISCAL YEAR 2022-2023   </v>
      </c>
      <c r="B6" s="883"/>
      <c r="C6" s="883"/>
      <c r="D6" s="354"/>
      <c r="E6" s="347"/>
      <c r="F6" s="883"/>
      <c r="G6" s="347"/>
      <c r="H6" s="883"/>
      <c r="I6" s="347"/>
      <c r="J6" s="883"/>
      <c r="K6" s="883"/>
      <c r="L6" s="883"/>
      <c r="M6" s="350"/>
      <c r="N6" s="883"/>
      <c r="O6" s="347"/>
      <c r="P6" s="883"/>
      <c r="Q6" s="347"/>
      <c r="R6" s="883"/>
      <c r="S6" s="347"/>
      <c r="T6" s="883"/>
      <c r="U6" s="347"/>
      <c r="V6" s="883"/>
      <c r="W6" s="347"/>
      <c r="X6" s="883"/>
      <c r="Y6" s="347"/>
      <c r="Z6" s="1115"/>
    </row>
    <row r="7" spans="1:33" ht="18">
      <c r="A7" s="353"/>
      <c r="B7" s="883"/>
      <c r="C7" s="883"/>
      <c r="D7" s="883"/>
      <c r="E7" s="347"/>
      <c r="F7" s="883"/>
      <c r="G7" s="347"/>
      <c r="H7" s="883"/>
      <c r="I7" s="347"/>
      <c r="J7" s="883"/>
      <c r="K7" s="883"/>
      <c r="L7" s="883"/>
      <c r="M7" s="350"/>
      <c r="N7" s="883"/>
      <c r="O7" s="347"/>
      <c r="P7" s="883"/>
      <c r="Q7" s="347"/>
      <c r="R7" s="885"/>
      <c r="S7" s="347"/>
      <c r="T7" s="885"/>
      <c r="U7" s="347"/>
      <c r="V7" s="885"/>
      <c r="W7" s="347"/>
      <c r="X7" s="885"/>
      <c r="Y7" s="347"/>
      <c r="Z7" s="1115"/>
    </row>
    <row r="8" spans="1:33">
      <c r="A8" s="344"/>
      <c r="B8" s="883"/>
      <c r="C8" s="883"/>
      <c r="D8" s="883"/>
      <c r="E8" s="347"/>
      <c r="F8" s="883"/>
      <c r="G8" s="347"/>
      <c r="H8" s="883"/>
      <c r="I8" s="347"/>
      <c r="J8" s="883"/>
      <c r="K8" s="883"/>
      <c r="L8" s="883"/>
      <c r="M8" s="347"/>
      <c r="N8" s="883"/>
      <c r="O8" s="347"/>
      <c r="P8" s="883"/>
      <c r="Q8" s="347"/>
      <c r="R8" s="883"/>
      <c r="S8" s="347"/>
      <c r="T8" s="883"/>
      <c r="U8" s="347"/>
      <c r="V8" s="883"/>
      <c r="W8" s="347"/>
      <c r="X8" s="883"/>
      <c r="Y8" s="347"/>
      <c r="Z8" s="355"/>
      <c r="AA8" s="356"/>
    </row>
    <row r="9" spans="1:33">
      <c r="A9" s="886"/>
      <c r="B9" s="662" t="str">
        <f>'Cashflow Governmental'!C13</f>
        <v>2022</v>
      </c>
      <c r="C9" s="357"/>
      <c r="D9" s="357"/>
      <c r="E9" s="350"/>
      <c r="F9" s="357"/>
      <c r="G9" s="350"/>
      <c r="H9" s="357"/>
      <c r="I9" s="350"/>
      <c r="J9" s="357"/>
      <c r="K9" s="357"/>
      <c r="L9" s="358"/>
      <c r="M9" s="350"/>
      <c r="N9" s="358"/>
      <c r="O9" s="350"/>
      <c r="P9" s="358"/>
      <c r="Q9" s="350"/>
      <c r="R9" s="358"/>
      <c r="S9" s="350"/>
      <c r="T9" s="662">
        <f>'Cashflow Governmental'!U13</f>
        <v>2023</v>
      </c>
      <c r="U9" s="350"/>
      <c r="V9" s="358"/>
      <c r="W9" s="350"/>
      <c r="X9" s="358"/>
      <c r="Y9" s="350"/>
      <c r="Z9" s="358" t="s">
        <v>1567</v>
      </c>
      <c r="AA9" s="358"/>
    </row>
    <row r="10" spans="1:33">
      <c r="A10" s="886"/>
      <c r="B10" s="359" t="s">
        <v>122</v>
      </c>
      <c r="C10" s="359"/>
      <c r="D10" s="358" t="s">
        <v>123</v>
      </c>
      <c r="E10" s="350"/>
      <c r="F10" s="358" t="s">
        <v>124</v>
      </c>
      <c r="G10" s="350"/>
      <c r="H10" s="358" t="s">
        <v>125</v>
      </c>
      <c r="I10" s="350"/>
      <c r="J10" s="1220" t="s">
        <v>126</v>
      </c>
      <c r="K10" s="360"/>
      <c r="L10" s="358" t="s">
        <v>141</v>
      </c>
      <c r="M10" s="350"/>
      <c r="N10" s="358" t="s">
        <v>142</v>
      </c>
      <c r="O10" s="350"/>
      <c r="P10" s="358" t="s">
        <v>129</v>
      </c>
      <c r="Q10" s="350"/>
      <c r="R10" s="358" t="s">
        <v>130</v>
      </c>
      <c r="S10" s="350"/>
      <c r="T10" s="358" t="s">
        <v>131</v>
      </c>
      <c r="U10" s="350"/>
      <c r="V10" s="358" t="s">
        <v>132</v>
      </c>
      <c r="W10" s="350"/>
      <c r="X10" s="358" t="s">
        <v>182</v>
      </c>
      <c r="Y10" s="350"/>
      <c r="Z10" s="361">
        <v>45016</v>
      </c>
      <c r="AA10" s="361"/>
    </row>
    <row r="11" spans="1:33">
      <c r="A11" s="886"/>
      <c r="B11" s="1166" t="s">
        <v>14</v>
      </c>
      <c r="C11" s="887"/>
      <c r="D11" s="1166"/>
      <c r="E11" s="888"/>
      <c r="F11" s="1166"/>
      <c r="G11" s="888"/>
      <c r="H11" s="1166"/>
      <c r="I11" s="888"/>
      <c r="J11" s="1116"/>
      <c r="K11" s="360"/>
      <c r="L11" s="1116"/>
      <c r="M11" s="888"/>
      <c r="N11" s="1116"/>
      <c r="O11" s="888"/>
      <c r="P11" s="1116"/>
      <c r="Q11" s="888"/>
      <c r="R11" s="1116"/>
      <c r="S11" s="888"/>
      <c r="T11" s="1116"/>
      <c r="U11" s="888"/>
      <c r="V11" s="1116"/>
      <c r="W11" s="888"/>
      <c r="X11" s="1116"/>
      <c r="Y11" s="888"/>
      <c r="Z11" s="1117" t="s">
        <v>14</v>
      </c>
    </row>
    <row r="12" spans="1:33" s="363" customFormat="1">
      <c r="A12" s="367" t="s">
        <v>460</v>
      </c>
      <c r="B12" s="362">
        <v>87931710</v>
      </c>
      <c r="C12" s="362"/>
      <c r="D12" s="362">
        <f>B46</f>
        <v>141088217</v>
      </c>
      <c r="E12" s="889"/>
      <c r="F12" s="362">
        <f>D46</f>
        <v>182670540</v>
      </c>
      <c r="G12" s="889"/>
      <c r="H12" s="362">
        <f>F46</f>
        <v>187031381</v>
      </c>
      <c r="I12" s="889"/>
      <c r="J12" s="362">
        <f>H46</f>
        <v>238544189</v>
      </c>
      <c r="K12" s="362"/>
      <c r="L12" s="362">
        <f>J46</f>
        <v>241400977</v>
      </c>
      <c r="M12" s="360"/>
      <c r="N12" s="362">
        <f>L46</f>
        <v>277188358</v>
      </c>
      <c r="O12" s="362"/>
      <c r="P12" s="362">
        <f>N46</f>
        <v>204159554</v>
      </c>
      <c r="Q12" s="362"/>
      <c r="R12" s="362">
        <f t="shared" ref="R12" si="0">P46</f>
        <v>185039312</v>
      </c>
      <c r="S12" s="362"/>
      <c r="T12" s="362">
        <f t="shared" ref="T12" si="1">R46</f>
        <v>226279058</v>
      </c>
      <c r="U12" s="362"/>
      <c r="V12" s="362">
        <f t="shared" ref="V12" si="2">T46</f>
        <v>364027349</v>
      </c>
      <c r="W12" s="362"/>
      <c r="X12" s="362">
        <f t="shared" ref="X12" si="3">V46</f>
        <v>257622928</v>
      </c>
      <c r="Y12" s="362"/>
      <c r="Z12" s="362">
        <f>+B12</f>
        <v>87931710</v>
      </c>
      <c r="AA12" s="1874"/>
    </row>
    <row r="13" spans="1:33">
      <c r="A13" s="890"/>
      <c r="B13" s="891"/>
      <c r="C13" s="891"/>
      <c r="D13" s="891"/>
      <c r="E13" s="891"/>
      <c r="F13" s="891"/>
      <c r="G13" s="891"/>
      <c r="H13" s="891"/>
      <c r="I13" s="891"/>
      <c r="J13" s="891"/>
      <c r="K13" s="360"/>
      <c r="L13" s="891"/>
      <c r="M13" s="891"/>
      <c r="N13" s="891"/>
      <c r="O13" s="891"/>
      <c r="P13" s="891"/>
      <c r="Q13" s="891"/>
      <c r="R13" s="891"/>
      <c r="S13" s="891"/>
      <c r="T13" s="891"/>
      <c r="U13" s="891"/>
      <c r="V13" s="891"/>
      <c r="W13" s="891"/>
      <c r="X13" s="891"/>
      <c r="Y13" s="891"/>
      <c r="Z13" s="1118"/>
    </row>
    <row r="14" spans="1:33">
      <c r="A14" s="364" t="s">
        <v>13</v>
      </c>
      <c r="B14" s="891"/>
      <c r="C14" s="891"/>
      <c r="D14" s="891"/>
      <c r="E14" s="891"/>
      <c r="F14" s="891"/>
      <c r="G14" s="891"/>
      <c r="H14" s="891"/>
      <c r="I14" s="891"/>
      <c r="J14" s="891"/>
      <c r="K14" s="891"/>
      <c r="L14" s="891"/>
      <c r="M14" s="891"/>
      <c r="N14" s="891"/>
      <c r="O14" s="891"/>
      <c r="P14" s="891"/>
      <c r="Q14" s="891"/>
      <c r="R14" s="891"/>
      <c r="S14" s="891"/>
      <c r="T14" s="891"/>
      <c r="U14" s="891"/>
      <c r="V14" s="891"/>
      <c r="W14" s="891"/>
      <c r="X14" s="891"/>
      <c r="Y14" s="891"/>
      <c r="Z14" s="1118"/>
    </row>
    <row r="15" spans="1:33">
      <c r="A15" s="596" t="s">
        <v>461</v>
      </c>
      <c r="B15" s="893">
        <v>57756671</v>
      </c>
      <c r="C15" s="893"/>
      <c r="D15" s="893">
        <v>51627116</v>
      </c>
      <c r="E15" s="893"/>
      <c r="F15" s="893">
        <v>56618341</v>
      </c>
      <c r="G15" s="893"/>
      <c r="H15" s="893">
        <v>52925439</v>
      </c>
      <c r="I15" s="893"/>
      <c r="J15" s="893">
        <v>57977217</v>
      </c>
      <c r="K15" s="893"/>
      <c r="L15" s="893">
        <v>50768236</v>
      </c>
      <c r="M15" s="891"/>
      <c r="N15" s="893">
        <v>53426212</v>
      </c>
      <c r="O15" s="893"/>
      <c r="P15" s="893">
        <v>50056136</v>
      </c>
      <c r="Q15" s="893"/>
      <c r="R15" s="893">
        <v>46944301</v>
      </c>
      <c r="S15" s="893"/>
      <c r="T15" s="893">
        <v>54244323</v>
      </c>
      <c r="U15" s="893"/>
      <c r="V15" s="893">
        <v>34792080</v>
      </c>
      <c r="W15" s="893"/>
      <c r="X15" s="893">
        <f>$Z15-$B15-$D15-$F15-$H15-$J15-$L15-$N15-$P15-$R15-$T15-$V15</f>
        <v>27316493</v>
      </c>
      <c r="Y15" s="893"/>
      <c r="Z15" s="893">
        <v>594452565</v>
      </c>
    </row>
    <row r="16" spans="1:33">
      <c r="A16" s="596" t="s">
        <v>1327</v>
      </c>
      <c r="B16" s="893">
        <v>1135000</v>
      </c>
      <c r="C16" s="893"/>
      <c r="D16" s="893">
        <v>1655000</v>
      </c>
      <c r="E16" s="893"/>
      <c r="F16" s="893">
        <v>1317000</v>
      </c>
      <c r="G16" s="893"/>
      <c r="H16" s="893">
        <v>1588000</v>
      </c>
      <c r="I16" s="893"/>
      <c r="J16" s="893">
        <v>1275000</v>
      </c>
      <c r="K16" s="893"/>
      <c r="L16" s="893">
        <v>1080000</v>
      </c>
      <c r="M16" s="891"/>
      <c r="N16" s="893">
        <v>1618000</v>
      </c>
      <c r="O16" s="893"/>
      <c r="P16" s="893">
        <v>1287000</v>
      </c>
      <c r="Q16" s="893"/>
      <c r="R16" s="893">
        <v>1343000</v>
      </c>
      <c r="S16" s="893"/>
      <c r="T16" s="893">
        <v>1067000</v>
      </c>
      <c r="U16" s="893"/>
      <c r="V16" s="893">
        <v>1183000</v>
      </c>
      <c r="W16" s="893"/>
      <c r="X16" s="893">
        <f>$Z16-$B16-$D16-$F16-$H16-$J16-$L16-$N16-$P16-$R16-$T16-$V16</f>
        <v>1189000</v>
      </c>
      <c r="Y16" s="893"/>
      <c r="Z16" s="893">
        <v>15737000</v>
      </c>
    </row>
    <row r="17" spans="1:28">
      <c r="A17" s="596" t="s">
        <v>1324</v>
      </c>
      <c r="B17" s="893">
        <v>-98534</v>
      </c>
      <c r="C17" s="893"/>
      <c r="D17" s="893">
        <v>56454</v>
      </c>
      <c r="E17" s="893"/>
      <c r="F17" s="893">
        <v>6231249</v>
      </c>
      <c r="G17" s="893"/>
      <c r="H17" s="893">
        <v>52371</v>
      </c>
      <c r="I17" s="893"/>
      <c r="J17" s="893">
        <v>29522</v>
      </c>
      <c r="K17" s="893"/>
      <c r="L17" s="893">
        <v>6384635</v>
      </c>
      <c r="M17" s="891"/>
      <c r="N17" s="893">
        <v>36344</v>
      </c>
      <c r="O17" s="893"/>
      <c r="P17" s="893">
        <v>26211</v>
      </c>
      <c r="Q17" s="893"/>
      <c r="R17" s="893">
        <v>6140511</v>
      </c>
      <c r="S17" s="893"/>
      <c r="T17" s="893">
        <v>62604</v>
      </c>
      <c r="U17" s="893"/>
      <c r="V17" s="893">
        <v>25973</v>
      </c>
      <c r="W17" s="893"/>
      <c r="X17" s="893">
        <f t="shared" ref="X17:X24" si="4">$Z17-$B17-$D17-$F17-$H17-$J17-$L17-$N17-$P17-$R17-$T17-$V17</f>
        <v>5899800</v>
      </c>
      <c r="Y17" s="893"/>
      <c r="Z17" s="893">
        <v>24847140</v>
      </c>
    </row>
    <row r="18" spans="1:28">
      <c r="A18" s="596" t="s">
        <v>462</v>
      </c>
      <c r="B18" s="893">
        <v>81431</v>
      </c>
      <c r="C18" s="893"/>
      <c r="D18" s="893">
        <v>128020</v>
      </c>
      <c r="E18" s="893"/>
      <c r="F18" s="893">
        <v>228719</v>
      </c>
      <c r="G18" s="893"/>
      <c r="H18" s="893">
        <v>400830</v>
      </c>
      <c r="I18" s="893"/>
      <c r="J18" s="893">
        <v>503754</v>
      </c>
      <c r="K18" s="893"/>
      <c r="L18" s="893">
        <v>849733</v>
      </c>
      <c r="M18" s="891"/>
      <c r="N18" s="893">
        <v>983358</v>
      </c>
      <c r="O18" s="893"/>
      <c r="P18" s="893">
        <v>1127286</v>
      </c>
      <c r="Q18" s="893"/>
      <c r="R18" s="893">
        <v>1525750</v>
      </c>
      <c r="S18" s="893"/>
      <c r="T18" s="893">
        <v>1880929</v>
      </c>
      <c r="U18" s="893"/>
      <c r="V18" s="893">
        <v>1712143</v>
      </c>
      <c r="W18" s="893"/>
      <c r="X18" s="893">
        <f t="shared" si="4"/>
        <v>2379241</v>
      </c>
      <c r="Y18" s="893"/>
      <c r="Z18" s="893">
        <v>11801194</v>
      </c>
    </row>
    <row r="19" spans="1:28">
      <c r="A19" s="596" t="s">
        <v>463</v>
      </c>
      <c r="B19" s="893">
        <v>460795000</v>
      </c>
      <c r="C19" s="893"/>
      <c r="D19" s="893">
        <v>457110385</v>
      </c>
      <c r="E19" s="893"/>
      <c r="F19" s="893">
        <v>494356530</v>
      </c>
      <c r="G19" s="893"/>
      <c r="H19" s="893">
        <v>501114039</v>
      </c>
      <c r="I19" s="893"/>
      <c r="J19" s="893">
        <v>463444631</v>
      </c>
      <c r="K19" s="893"/>
      <c r="L19" s="893">
        <v>497516379</v>
      </c>
      <c r="M19" s="891"/>
      <c r="N19" s="893">
        <v>457684745</v>
      </c>
      <c r="O19" s="893"/>
      <c r="P19" s="893">
        <v>457490949</v>
      </c>
      <c r="Q19" s="893"/>
      <c r="R19" s="893">
        <v>524550872</v>
      </c>
      <c r="S19" s="893"/>
      <c r="T19" s="893">
        <v>476490157</v>
      </c>
      <c r="U19" s="893"/>
      <c r="V19" s="893">
        <v>509593979</v>
      </c>
      <c r="W19" s="893"/>
      <c r="X19" s="893">
        <f t="shared" si="4"/>
        <v>527614684</v>
      </c>
      <c r="Y19" s="893"/>
      <c r="Z19" s="893">
        <v>5827762350</v>
      </c>
    </row>
    <row r="20" spans="1:28">
      <c r="A20" s="596" t="s">
        <v>464</v>
      </c>
      <c r="B20" s="893">
        <v>258000</v>
      </c>
      <c r="C20" s="895"/>
      <c r="D20" s="893">
        <v>263000</v>
      </c>
      <c r="E20" s="893"/>
      <c r="F20" s="893">
        <v>1904000</v>
      </c>
      <c r="G20" s="893"/>
      <c r="H20" s="893">
        <v>480000</v>
      </c>
      <c r="I20" s="893"/>
      <c r="J20" s="893">
        <v>243000</v>
      </c>
      <c r="K20" s="897"/>
      <c r="L20" s="893">
        <v>600000</v>
      </c>
      <c r="M20" s="891"/>
      <c r="N20" s="893">
        <v>83000</v>
      </c>
      <c r="O20" s="893"/>
      <c r="P20" s="893">
        <v>97000</v>
      </c>
      <c r="Q20" s="893"/>
      <c r="R20" s="893">
        <v>1494000</v>
      </c>
      <c r="S20" s="893"/>
      <c r="T20" s="893">
        <v>372000</v>
      </c>
      <c r="U20" s="893"/>
      <c r="V20" s="893">
        <v>72000</v>
      </c>
      <c r="W20" s="895"/>
      <c r="X20" s="893">
        <f t="shared" si="4"/>
        <v>597000</v>
      </c>
      <c r="Y20" s="893"/>
      <c r="Z20" s="893">
        <v>6463000</v>
      </c>
    </row>
    <row r="21" spans="1:28">
      <c r="A21" s="596" t="s">
        <v>465</v>
      </c>
      <c r="B21" s="893">
        <v>2674887</v>
      </c>
      <c r="C21" s="895"/>
      <c r="D21" s="893">
        <v>98629</v>
      </c>
      <c r="E21" s="893"/>
      <c r="F21" s="893">
        <v>7015244</v>
      </c>
      <c r="G21" s="893"/>
      <c r="H21" s="893">
        <v>8637371</v>
      </c>
      <c r="I21" s="893"/>
      <c r="J21" s="893">
        <v>960146</v>
      </c>
      <c r="K21" s="897"/>
      <c r="L21" s="893">
        <v>5219331</v>
      </c>
      <c r="M21" s="891"/>
      <c r="N21" s="893">
        <v>6301594</v>
      </c>
      <c r="O21" s="893"/>
      <c r="P21" s="893">
        <v>94150</v>
      </c>
      <c r="Q21" s="893"/>
      <c r="R21" s="893">
        <v>3953447</v>
      </c>
      <c r="S21" s="893"/>
      <c r="T21" s="893">
        <v>5439926</v>
      </c>
      <c r="U21" s="893"/>
      <c r="V21" s="893">
        <v>488758</v>
      </c>
      <c r="W21" s="895"/>
      <c r="X21" s="893">
        <f t="shared" si="4"/>
        <v>4181453</v>
      </c>
      <c r="Y21" s="893"/>
      <c r="Z21" s="893">
        <v>45064936</v>
      </c>
    </row>
    <row r="22" spans="1:28">
      <c r="A22" s="596" t="s">
        <v>466</v>
      </c>
      <c r="B22" s="893">
        <v>0</v>
      </c>
      <c r="C22" s="895"/>
      <c r="D22" s="893">
        <v>0</v>
      </c>
      <c r="E22" s="893"/>
      <c r="F22" s="893">
        <v>0</v>
      </c>
      <c r="G22" s="893"/>
      <c r="H22" s="893">
        <v>0</v>
      </c>
      <c r="I22" s="893"/>
      <c r="J22" s="893">
        <v>0</v>
      </c>
      <c r="K22" s="897"/>
      <c r="L22" s="893">
        <v>0</v>
      </c>
      <c r="M22" s="891"/>
      <c r="N22" s="893">
        <v>0</v>
      </c>
      <c r="O22" s="893"/>
      <c r="P22" s="893">
        <v>0</v>
      </c>
      <c r="Q22" s="893"/>
      <c r="R22" s="893">
        <v>0</v>
      </c>
      <c r="S22" s="893"/>
      <c r="T22" s="893">
        <v>0</v>
      </c>
      <c r="U22" s="893"/>
      <c r="V22" s="893">
        <v>0</v>
      </c>
      <c r="W22" s="895"/>
      <c r="X22" s="893">
        <f t="shared" si="4"/>
        <v>0</v>
      </c>
      <c r="Y22" s="893"/>
      <c r="Z22" s="893">
        <v>0</v>
      </c>
    </row>
    <row r="23" spans="1:28">
      <c r="A23" s="597" t="s">
        <v>1470</v>
      </c>
      <c r="B23" s="893">
        <v>0</v>
      </c>
      <c r="C23" s="895"/>
      <c r="D23" s="893">
        <v>1238</v>
      </c>
      <c r="E23" s="893"/>
      <c r="F23" s="893">
        <v>0</v>
      </c>
      <c r="G23" s="893"/>
      <c r="H23" s="893">
        <v>929</v>
      </c>
      <c r="I23" s="893"/>
      <c r="J23" s="893">
        <v>0</v>
      </c>
      <c r="K23" s="897"/>
      <c r="L23" s="893">
        <v>0</v>
      </c>
      <c r="M23" s="891"/>
      <c r="N23" s="893">
        <v>1174</v>
      </c>
      <c r="O23" s="893"/>
      <c r="P23" s="893">
        <v>0</v>
      </c>
      <c r="Q23" s="893"/>
      <c r="R23" s="893">
        <v>0</v>
      </c>
      <c r="S23" s="893"/>
      <c r="T23" s="893">
        <v>1484</v>
      </c>
      <c r="U23" s="893"/>
      <c r="V23" s="893">
        <v>0</v>
      </c>
      <c r="W23" s="895"/>
      <c r="X23" s="893">
        <f t="shared" si="4"/>
        <v>200</v>
      </c>
      <c r="Y23" s="893"/>
      <c r="Z23" s="893">
        <v>5025</v>
      </c>
    </row>
    <row r="24" spans="1:28">
      <c r="A24" s="596" t="s">
        <v>467</v>
      </c>
      <c r="B24" s="893">
        <v>0</v>
      </c>
      <c r="C24" s="897"/>
      <c r="D24" s="893">
        <v>834</v>
      </c>
      <c r="E24" s="893"/>
      <c r="F24" s="893">
        <v>0</v>
      </c>
      <c r="G24" s="893"/>
      <c r="H24" s="893">
        <v>0</v>
      </c>
      <c r="I24" s="893"/>
      <c r="J24" s="893">
        <v>75036286</v>
      </c>
      <c r="K24" s="893"/>
      <c r="L24" s="893">
        <v>0</v>
      </c>
      <c r="M24" s="891"/>
      <c r="N24" s="893">
        <v>930</v>
      </c>
      <c r="O24" s="893"/>
      <c r="P24" s="893">
        <v>0</v>
      </c>
      <c r="Q24" s="893"/>
      <c r="R24" s="893">
        <v>3124</v>
      </c>
      <c r="S24" s="893"/>
      <c r="T24" s="893">
        <v>0</v>
      </c>
      <c r="U24" s="893"/>
      <c r="V24" s="893">
        <v>75000000</v>
      </c>
      <c r="W24" s="893"/>
      <c r="X24" s="893">
        <f t="shared" si="4"/>
        <v>0</v>
      </c>
      <c r="Y24" s="893"/>
      <c r="Z24" s="893">
        <v>150041174</v>
      </c>
    </row>
    <row r="25" spans="1:28" s="363" customFormat="1">
      <c r="A25" s="364" t="s">
        <v>147</v>
      </c>
      <c r="B25" s="1111">
        <f>ROUND(SUM(B15:B24),0)</f>
        <v>522602455</v>
      </c>
      <c r="C25" s="365"/>
      <c r="D25" s="1111">
        <f>ROUND(SUM(D15:D24),0)</f>
        <v>510940676</v>
      </c>
      <c r="E25" s="365"/>
      <c r="F25" s="1111">
        <f>ROUND(SUM(F15:F24),0)</f>
        <v>567671083</v>
      </c>
      <c r="G25" s="365"/>
      <c r="H25" s="1111">
        <f>ROUND(SUM(H15:H24),0)</f>
        <v>565198979</v>
      </c>
      <c r="I25" s="365"/>
      <c r="J25" s="1111">
        <f>ROUND(SUM(J15:J24),0)</f>
        <v>599469556</v>
      </c>
      <c r="K25" s="365"/>
      <c r="L25" s="1111">
        <f>ROUND(SUM(L15:L24),0)</f>
        <v>562418314</v>
      </c>
      <c r="M25" s="360"/>
      <c r="N25" s="1111">
        <f>ROUND(SUM(N15:N24),0)</f>
        <v>520135357</v>
      </c>
      <c r="O25" s="365"/>
      <c r="P25" s="1111">
        <f>ROUND(SUM(P15:P24),0)</f>
        <v>510178732</v>
      </c>
      <c r="Q25" s="365"/>
      <c r="R25" s="1111">
        <f>ROUND(SUM(R15:R24),0)</f>
        <v>585955005</v>
      </c>
      <c r="S25" s="365"/>
      <c r="T25" s="1111">
        <f>ROUND(SUM(T15:T24),0)</f>
        <v>539558423</v>
      </c>
      <c r="U25" s="365"/>
      <c r="V25" s="1111">
        <f>ROUND(SUM(V15:V24),0)</f>
        <v>622867933</v>
      </c>
      <c r="W25" s="365"/>
      <c r="X25" s="1111">
        <f>ROUND(SUM(X15:X24),0)</f>
        <v>569177871</v>
      </c>
      <c r="Y25" s="365"/>
      <c r="Z25" s="366">
        <f>ROUND(SUM(Z15:Z24),0)</f>
        <v>6676174384</v>
      </c>
      <c r="AA25" s="1874"/>
      <c r="AB25" s="1119"/>
    </row>
    <row r="26" spans="1:28">
      <c r="A26" s="890"/>
      <c r="B26" s="893"/>
      <c r="C26" s="893"/>
      <c r="D26" s="893"/>
      <c r="E26" s="893"/>
      <c r="F26" s="893"/>
      <c r="G26" s="893"/>
      <c r="H26" s="893"/>
      <c r="I26" s="893"/>
      <c r="J26" s="893"/>
      <c r="K26" s="893"/>
      <c r="L26" s="893"/>
      <c r="M26" s="891"/>
      <c r="N26" s="893"/>
      <c r="O26" s="893"/>
      <c r="P26" s="893"/>
      <c r="Q26" s="893"/>
      <c r="R26" s="893"/>
      <c r="S26" s="893"/>
      <c r="T26" s="893"/>
      <c r="U26" s="893"/>
      <c r="V26" s="893"/>
      <c r="W26" s="893"/>
      <c r="X26" s="893"/>
      <c r="Y26" s="893"/>
      <c r="Z26" s="894"/>
    </row>
    <row r="27" spans="1:28">
      <c r="A27" s="364" t="s">
        <v>22</v>
      </c>
      <c r="B27" s="893"/>
      <c r="C27" s="893"/>
      <c r="D27" s="893"/>
      <c r="E27" s="893"/>
      <c r="F27" s="893"/>
      <c r="G27" s="893"/>
      <c r="H27" s="893"/>
      <c r="I27" s="893"/>
      <c r="J27" s="893"/>
      <c r="K27" s="893"/>
      <c r="L27" s="893"/>
      <c r="M27" s="891"/>
      <c r="N27" s="893"/>
      <c r="O27" s="893"/>
      <c r="P27" s="893"/>
      <c r="Q27" s="893"/>
      <c r="R27" s="893"/>
      <c r="S27" s="893"/>
      <c r="T27" s="893"/>
      <c r="U27" s="893"/>
      <c r="V27" s="893"/>
      <c r="W27" s="893"/>
      <c r="X27" s="893"/>
      <c r="Y27" s="893"/>
      <c r="Z27" s="894"/>
    </row>
    <row r="28" spans="1:28">
      <c r="A28" s="596" t="s">
        <v>468</v>
      </c>
      <c r="B28" s="893">
        <v>466983855</v>
      </c>
      <c r="C28" s="893"/>
      <c r="D28" s="893">
        <v>461786102</v>
      </c>
      <c r="E28" s="893"/>
      <c r="F28" s="893">
        <v>555413995</v>
      </c>
      <c r="G28" s="893"/>
      <c r="H28" s="893">
        <v>509646072</v>
      </c>
      <c r="I28" s="893"/>
      <c r="J28" s="893">
        <v>590611112</v>
      </c>
      <c r="K28" s="893"/>
      <c r="L28" s="893">
        <v>521146745</v>
      </c>
      <c r="M28" s="891"/>
      <c r="N28" s="893">
        <v>590576992</v>
      </c>
      <c r="O28" s="893"/>
      <c r="P28" s="893">
        <v>521470323</v>
      </c>
      <c r="Q28" s="893"/>
      <c r="R28" s="893">
        <v>536555196</v>
      </c>
      <c r="S28" s="893"/>
      <c r="T28" s="893">
        <v>397728268</v>
      </c>
      <c r="U28" s="893"/>
      <c r="V28" s="893">
        <v>716709984</v>
      </c>
      <c r="W28" s="893"/>
      <c r="X28" s="893">
        <f t="shared" ref="X28:X32" si="5">$Z28-$B28-$D28-$F28-$H28-$J28-$L28-$N28-$P28-$R28-$T28-$V28</f>
        <v>623609826</v>
      </c>
      <c r="Y28" s="893"/>
      <c r="Z28" s="893">
        <v>6492238470</v>
      </c>
    </row>
    <row r="29" spans="1:28">
      <c r="A29" s="596" t="s">
        <v>469</v>
      </c>
      <c r="B29" s="893">
        <v>21</v>
      </c>
      <c r="C29" s="893"/>
      <c r="D29" s="893">
        <v>2373</v>
      </c>
      <c r="E29" s="893"/>
      <c r="F29" s="893">
        <v>598</v>
      </c>
      <c r="G29" s="893"/>
      <c r="H29" s="893">
        <v>267</v>
      </c>
      <c r="I29" s="893"/>
      <c r="J29" s="893">
        <v>3198</v>
      </c>
      <c r="K29" s="893"/>
      <c r="L29" s="893">
        <v>32</v>
      </c>
      <c r="M29" s="891"/>
      <c r="N29" s="893">
        <v>41</v>
      </c>
      <c r="O29" s="893"/>
      <c r="P29" s="893">
        <v>11449</v>
      </c>
      <c r="Q29" s="893"/>
      <c r="R29" s="893">
        <v>715</v>
      </c>
      <c r="S29" s="893"/>
      <c r="T29" s="893">
        <v>1975</v>
      </c>
      <c r="U29" s="893"/>
      <c r="V29" s="893">
        <v>3238</v>
      </c>
      <c r="W29" s="893"/>
      <c r="X29" s="893">
        <f t="shared" si="5"/>
        <v>2244</v>
      </c>
      <c r="Y29" s="893"/>
      <c r="Z29" s="893">
        <v>26151</v>
      </c>
      <c r="AB29" s="1120"/>
    </row>
    <row r="30" spans="1:28">
      <c r="A30" s="596" t="s">
        <v>470</v>
      </c>
      <c r="B30" s="893">
        <v>493093</v>
      </c>
      <c r="C30" s="893"/>
      <c r="D30" s="893">
        <v>903212</v>
      </c>
      <c r="E30" s="893"/>
      <c r="F30" s="893">
        <v>1159546</v>
      </c>
      <c r="G30" s="893"/>
      <c r="H30" s="893">
        <v>935545</v>
      </c>
      <c r="I30" s="893"/>
      <c r="J30" s="893">
        <v>1379475</v>
      </c>
      <c r="K30" s="893"/>
      <c r="L30" s="893">
        <v>975307</v>
      </c>
      <c r="M30" s="891"/>
      <c r="N30" s="893">
        <v>401716</v>
      </c>
      <c r="O30" s="893"/>
      <c r="P30" s="893">
        <v>1523080</v>
      </c>
      <c r="Q30" s="893"/>
      <c r="R30" s="893">
        <v>1003528</v>
      </c>
      <c r="S30" s="893"/>
      <c r="T30" s="893">
        <v>488788</v>
      </c>
      <c r="U30" s="893"/>
      <c r="V30" s="893">
        <v>1692186</v>
      </c>
      <c r="W30" s="893"/>
      <c r="X30" s="893">
        <f t="shared" si="5"/>
        <v>1470248</v>
      </c>
      <c r="Y30" s="893"/>
      <c r="Z30" s="893">
        <v>12425724</v>
      </c>
    </row>
    <row r="31" spans="1:28">
      <c r="A31" s="596" t="s">
        <v>471</v>
      </c>
      <c r="B31" s="893">
        <v>981103</v>
      </c>
      <c r="C31" s="893"/>
      <c r="D31" s="893">
        <v>6037428</v>
      </c>
      <c r="E31" s="893"/>
      <c r="F31" s="893">
        <v>3951478</v>
      </c>
      <c r="G31" s="893"/>
      <c r="H31" s="893">
        <v>1635787</v>
      </c>
      <c r="I31" s="893"/>
      <c r="J31" s="893">
        <v>3659372</v>
      </c>
      <c r="K31" s="893"/>
      <c r="L31" s="893">
        <v>3671793</v>
      </c>
      <c r="M31" s="891"/>
      <c r="N31" s="893">
        <v>1083953</v>
      </c>
      <c r="O31" s="893"/>
      <c r="P31" s="893">
        <v>4861546</v>
      </c>
      <c r="Q31" s="893"/>
      <c r="R31" s="893">
        <v>4760835</v>
      </c>
      <c r="S31" s="893"/>
      <c r="T31" s="893">
        <v>3201139</v>
      </c>
      <c r="U31" s="893"/>
      <c r="V31" s="893">
        <v>7883283</v>
      </c>
      <c r="W31" s="893"/>
      <c r="X31" s="893">
        <f t="shared" si="5"/>
        <v>11302233</v>
      </c>
      <c r="Y31" s="893"/>
      <c r="Z31" s="893">
        <v>53029950</v>
      </c>
    </row>
    <row r="32" spans="1:28">
      <c r="A32" s="596" t="s">
        <v>472</v>
      </c>
      <c r="B32" s="893">
        <v>565852</v>
      </c>
      <c r="C32" s="893"/>
      <c r="D32" s="893">
        <v>327907</v>
      </c>
      <c r="E32" s="893"/>
      <c r="F32" s="893">
        <v>1020037</v>
      </c>
      <c r="G32" s="893"/>
      <c r="H32" s="893">
        <v>598535</v>
      </c>
      <c r="I32" s="893"/>
      <c r="J32" s="893">
        <v>587925</v>
      </c>
      <c r="K32" s="893"/>
      <c r="L32" s="893">
        <v>599454</v>
      </c>
      <c r="M32" s="891"/>
      <c r="N32" s="893">
        <v>602985</v>
      </c>
      <c r="O32" s="893"/>
      <c r="P32" s="893">
        <v>541717</v>
      </c>
      <c r="Q32" s="893"/>
      <c r="R32" s="893">
        <v>1023485</v>
      </c>
      <c r="S32" s="893"/>
      <c r="T32" s="893">
        <v>299767</v>
      </c>
      <c r="U32" s="893"/>
      <c r="V32" s="893">
        <v>493973</v>
      </c>
      <c r="W32" s="893"/>
      <c r="X32" s="893">
        <f t="shared" si="5"/>
        <v>1526310</v>
      </c>
      <c r="Y32" s="893"/>
      <c r="Z32" s="893">
        <v>8187947</v>
      </c>
    </row>
    <row r="33" spans="1:28">
      <c r="A33" s="364" t="s">
        <v>153</v>
      </c>
      <c r="B33" s="1111">
        <f>ROUND(SUM(B28:B32),0)</f>
        <v>469023924</v>
      </c>
      <c r="C33" s="893"/>
      <c r="D33" s="1111">
        <f>ROUND(SUM(D28:D32),0)</f>
        <v>469057022</v>
      </c>
      <c r="E33" s="893"/>
      <c r="F33" s="1111">
        <f>ROUND(SUM(F28:F32),0)</f>
        <v>561545654</v>
      </c>
      <c r="G33" s="893"/>
      <c r="H33" s="1111">
        <f>ROUND(SUM(H28:H32),0)</f>
        <v>512816206</v>
      </c>
      <c r="I33" s="893"/>
      <c r="J33" s="1111">
        <f>ROUND(SUM(J28:J32),0)</f>
        <v>596241082</v>
      </c>
      <c r="K33" s="893"/>
      <c r="L33" s="1111">
        <f>ROUND(SUM(L28:L32),0)</f>
        <v>526393331</v>
      </c>
      <c r="M33" s="891"/>
      <c r="N33" s="1111">
        <f>ROUND(SUM(N28:N32),0)</f>
        <v>592665687</v>
      </c>
      <c r="O33" s="893"/>
      <c r="P33" s="1111">
        <f>ROUND(SUM(P28:P32),0)</f>
        <v>528408115</v>
      </c>
      <c r="Q33" s="893"/>
      <c r="R33" s="1111">
        <f>ROUND(SUM(R28:R32),0)</f>
        <v>543343759</v>
      </c>
      <c r="S33" s="893"/>
      <c r="T33" s="1111">
        <f>ROUND(SUM(T28:T32),0)</f>
        <v>401719937</v>
      </c>
      <c r="U33" s="893"/>
      <c r="V33" s="1111">
        <f>ROUND(SUM(V28:V32),0)</f>
        <v>726782664</v>
      </c>
      <c r="W33" s="893"/>
      <c r="X33" s="1111">
        <f>ROUND(SUM(X28:X32),0)</f>
        <v>637910861</v>
      </c>
      <c r="Y33" s="893"/>
      <c r="Z33" s="366">
        <f>ROUND(SUM(Z28:Z32),0)</f>
        <v>6565908242</v>
      </c>
    </row>
    <row r="34" spans="1:28">
      <c r="A34" s="364"/>
      <c r="B34" s="893"/>
      <c r="C34" s="893"/>
      <c r="D34" s="893"/>
      <c r="E34" s="893"/>
      <c r="F34" s="895"/>
      <c r="G34" s="893"/>
      <c r="H34" s="895"/>
      <c r="I34" s="893"/>
      <c r="J34" s="893"/>
      <c r="K34" s="893"/>
      <c r="L34" s="893"/>
      <c r="M34" s="891"/>
      <c r="N34" s="893"/>
      <c r="O34" s="893"/>
      <c r="P34" s="893"/>
      <c r="Q34" s="893"/>
      <c r="R34" s="893"/>
      <c r="S34" s="893"/>
      <c r="T34" s="893"/>
      <c r="U34" s="893"/>
      <c r="V34" s="893"/>
      <c r="W34" s="893"/>
      <c r="X34" s="893"/>
      <c r="Y34" s="893"/>
      <c r="Z34" s="894"/>
    </row>
    <row r="35" spans="1:28">
      <c r="A35" s="367" t="s">
        <v>473</v>
      </c>
      <c r="B35" s="895"/>
      <c r="C35" s="895"/>
      <c r="D35" s="895"/>
      <c r="E35" s="893"/>
      <c r="F35" s="898"/>
      <c r="G35" s="893"/>
      <c r="H35" s="895"/>
      <c r="I35" s="893"/>
      <c r="J35" s="895"/>
      <c r="K35" s="893"/>
      <c r="L35" s="895"/>
      <c r="M35" s="891"/>
      <c r="N35" s="895"/>
      <c r="O35" s="893"/>
      <c r="P35" s="895"/>
      <c r="Q35" s="893"/>
      <c r="R35" s="895"/>
      <c r="S35" s="893"/>
      <c r="T35" s="895"/>
      <c r="U35" s="893"/>
      <c r="V35" s="895"/>
      <c r="W35" s="893"/>
      <c r="X35" s="895"/>
      <c r="Y35" s="893"/>
      <c r="Z35" s="894"/>
    </row>
    <row r="36" spans="1:28">
      <c r="A36" s="596" t="s">
        <v>474</v>
      </c>
      <c r="B36" s="893">
        <v>0</v>
      </c>
      <c r="C36" s="895"/>
      <c r="D36" s="893">
        <v>0</v>
      </c>
      <c r="E36" s="893"/>
      <c r="F36" s="893">
        <v>0</v>
      </c>
      <c r="G36" s="893"/>
      <c r="H36" s="893">
        <v>0</v>
      </c>
      <c r="I36" s="893"/>
      <c r="J36" s="893">
        <v>0</v>
      </c>
      <c r="K36" s="893"/>
      <c r="L36" s="893">
        <v>0</v>
      </c>
      <c r="M36" s="891"/>
      <c r="N36" s="893">
        <v>0</v>
      </c>
      <c r="O36" s="893"/>
      <c r="P36" s="893">
        <v>0</v>
      </c>
      <c r="Q36" s="893"/>
      <c r="R36" s="893">
        <v>0</v>
      </c>
      <c r="S36" s="893"/>
      <c r="T36" s="893">
        <v>0</v>
      </c>
      <c r="U36" s="893"/>
      <c r="V36" s="893">
        <v>0</v>
      </c>
      <c r="W36" s="893"/>
      <c r="X36" s="893">
        <f t="shared" ref="X36:X41" si="6">$Z36-$B36-$D36-$F36-$H36-$J36-$L36-$N36-$P36-$R36-$T36-$V36</f>
        <v>96768439</v>
      </c>
      <c r="Y36" s="893"/>
      <c r="Z36" s="893">
        <v>96768439</v>
      </c>
    </row>
    <row r="37" spans="1:28">
      <c r="A37" s="596" t="s">
        <v>475</v>
      </c>
      <c r="B37" s="893">
        <v>0</v>
      </c>
      <c r="C37" s="895"/>
      <c r="D37" s="893">
        <v>1238</v>
      </c>
      <c r="E37" s="893"/>
      <c r="F37" s="893">
        <v>302192</v>
      </c>
      <c r="G37" s="893"/>
      <c r="H37" s="893">
        <v>929</v>
      </c>
      <c r="I37" s="893"/>
      <c r="J37" s="893">
        <v>0</v>
      </c>
      <c r="K37" s="893"/>
      <c r="L37" s="893">
        <v>0</v>
      </c>
      <c r="M37" s="891"/>
      <c r="N37" s="893">
        <v>1174</v>
      </c>
      <c r="O37" s="893"/>
      <c r="P37" s="893">
        <v>0</v>
      </c>
      <c r="Q37" s="893"/>
      <c r="R37" s="893">
        <v>176960</v>
      </c>
      <c r="S37" s="893"/>
      <c r="T37" s="893">
        <v>1484</v>
      </c>
      <c r="U37" s="893"/>
      <c r="V37" s="893">
        <v>0</v>
      </c>
      <c r="W37" s="893"/>
      <c r="X37" s="893">
        <f t="shared" si="6"/>
        <v>200</v>
      </c>
      <c r="Y37" s="893"/>
      <c r="Z37" s="893">
        <v>484177</v>
      </c>
    </row>
    <row r="38" spans="1:28">
      <c r="A38" s="596" t="s">
        <v>1328</v>
      </c>
      <c r="B38" s="893" t="s">
        <v>14</v>
      </c>
      <c r="C38" s="1121"/>
      <c r="D38" s="893"/>
      <c r="E38" s="1121"/>
      <c r="F38" s="893"/>
      <c r="G38" s="1121"/>
      <c r="H38" s="893"/>
      <c r="I38" s="1121"/>
      <c r="J38" s="893" t="s">
        <v>14</v>
      </c>
      <c r="K38" s="1121"/>
      <c r="L38" s="893" t="s">
        <v>14</v>
      </c>
      <c r="M38" s="891"/>
      <c r="N38" s="893" t="s">
        <v>14</v>
      </c>
      <c r="O38" s="1121"/>
      <c r="P38" s="893" t="s">
        <v>14</v>
      </c>
      <c r="Q38" s="1121"/>
      <c r="R38" s="893"/>
      <c r="S38" s="1121"/>
      <c r="T38" s="893"/>
      <c r="U38" s="1121"/>
      <c r="V38" s="893"/>
      <c r="W38" s="1121"/>
      <c r="X38" s="893"/>
      <c r="Y38" s="1121"/>
      <c r="Z38" s="1121"/>
    </row>
    <row r="39" spans="1:28">
      <c r="A39" s="596" t="s">
        <v>476</v>
      </c>
      <c r="B39" s="893">
        <v>0</v>
      </c>
      <c r="C39" s="895"/>
      <c r="D39" s="893">
        <v>0</v>
      </c>
      <c r="E39" s="893"/>
      <c r="F39" s="893">
        <v>0</v>
      </c>
      <c r="G39" s="893"/>
      <c r="H39" s="893">
        <v>568962</v>
      </c>
      <c r="I39" s="893"/>
      <c r="J39" s="893">
        <v>0</v>
      </c>
      <c r="K39" s="893"/>
      <c r="L39" s="893">
        <v>0</v>
      </c>
      <c r="M39" s="891"/>
      <c r="N39" s="893">
        <v>0</v>
      </c>
      <c r="O39" s="893"/>
      <c r="P39" s="893">
        <v>0</v>
      </c>
      <c r="Q39" s="893"/>
      <c r="R39" s="893">
        <v>324125</v>
      </c>
      <c r="S39" s="893"/>
      <c r="T39" s="893">
        <v>0</v>
      </c>
      <c r="U39" s="893"/>
      <c r="V39" s="893">
        <v>0</v>
      </c>
      <c r="W39" s="893"/>
      <c r="X39" s="893">
        <f t="shared" si="6"/>
        <v>896335</v>
      </c>
      <c r="Y39" s="893"/>
      <c r="Z39" s="893">
        <v>1789422</v>
      </c>
    </row>
    <row r="40" spans="1:28">
      <c r="A40" s="596" t="s">
        <v>477</v>
      </c>
      <c r="B40" s="893">
        <v>0</v>
      </c>
      <c r="C40" s="895"/>
      <c r="D40" s="893">
        <v>0</v>
      </c>
      <c r="E40" s="893"/>
      <c r="F40" s="893">
        <v>1000000</v>
      </c>
      <c r="G40" s="893"/>
      <c r="H40" s="893">
        <v>0</v>
      </c>
      <c r="I40" s="893"/>
      <c r="J40" s="893">
        <v>0</v>
      </c>
      <c r="K40" s="893"/>
      <c r="L40" s="893">
        <v>0</v>
      </c>
      <c r="M40" s="891"/>
      <c r="N40" s="893">
        <v>0</v>
      </c>
      <c r="O40" s="893"/>
      <c r="P40" s="893">
        <v>500000</v>
      </c>
      <c r="Q40" s="893"/>
      <c r="R40" s="893">
        <v>534000</v>
      </c>
      <c r="S40" s="893"/>
      <c r="T40" s="893">
        <v>0</v>
      </c>
      <c r="U40" s="893"/>
      <c r="V40" s="893">
        <v>950000</v>
      </c>
      <c r="W40" s="893"/>
      <c r="X40" s="893">
        <f t="shared" si="6"/>
        <v>0</v>
      </c>
      <c r="Y40" s="893"/>
      <c r="Z40" s="893">
        <v>2984000</v>
      </c>
    </row>
    <row r="41" spans="1:28">
      <c r="A41" s="596" t="s">
        <v>478</v>
      </c>
      <c r="B41" s="893">
        <v>422024</v>
      </c>
      <c r="C41" s="895"/>
      <c r="D41" s="893">
        <v>300093</v>
      </c>
      <c r="E41" s="893"/>
      <c r="F41" s="893">
        <v>462396</v>
      </c>
      <c r="G41" s="893"/>
      <c r="H41" s="893">
        <v>300074</v>
      </c>
      <c r="I41" s="893"/>
      <c r="J41" s="893">
        <v>371686</v>
      </c>
      <c r="K41" s="893"/>
      <c r="L41" s="893">
        <v>237602</v>
      </c>
      <c r="M41" s="891"/>
      <c r="N41" s="893">
        <v>497300</v>
      </c>
      <c r="O41" s="893"/>
      <c r="P41" s="893">
        <v>390859</v>
      </c>
      <c r="Q41" s="893"/>
      <c r="R41" s="893">
        <v>336415</v>
      </c>
      <c r="S41" s="893"/>
      <c r="T41" s="893">
        <v>88711</v>
      </c>
      <c r="U41" s="893"/>
      <c r="V41" s="893">
        <v>1539690</v>
      </c>
      <c r="W41" s="893"/>
      <c r="X41" s="893">
        <f t="shared" si="6"/>
        <v>403697</v>
      </c>
      <c r="Y41" s="893"/>
      <c r="Z41" s="893">
        <v>5350547</v>
      </c>
    </row>
    <row r="42" spans="1:28">
      <c r="A42" s="364" t="s">
        <v>479</v>
      </c>
      <c r="B42" s="1122">
        <f>ROUND(SUM(B36:B41),0)</f>
        <v>422024</v>
      </c>
      <c r="C42" s="895"/>
      <c r="D42" s="1122">
        <f>ROUND(SUM(D36:D41),0)</f>
        <v>301331</v>
      </c>
      <c r="E42" s="893"/>
      <c r="F42" s="1122">
        <f>ROUND(SUM(F36:F41),0)</f>
        <v>1764588</v>
      </c>
      <c r="G42" s="893"/>
      <c r="H42" s="1122">
        <f>ROUND(SUM(H36:H41),0)</f>
        <v>869965</v>
      </c>
      <c r="I42" s="893"/>
      <c r="J42" s="1122">
        <f>ROUND(SUM(J36:J41),0)</f>
        <v>371686</v>
      </c>
      <c r="K42" s="893"/>
      <c r="L42" s="1122">
        <f>ROUND(SUM(L36:L41),0)</f>
        <v>237602</v>
      </c>
      <c r="M42" s="891"/>
      <c r="N42" s="1122">
        <f>ROUND(SUM(N36:N41),0)</f>
        <v>498474</v>
      </c>
      <c r="O42" s="893"/>
      <c r="P42" s="1122">
        <f>ROUND(SUM(P36:P41),0)</f>
        <v>890859</v>
      </c>
      <c r="Q42" s="893"/>
      <c r="R42" s="1122">
        <f>ROUND(SUM(R36:R41),0)</f>
        <v>1371500</v>
      </c>
      <c r="S42" s="893"/>
      <c r="T42" s="1122">
        <f>ROUND(SUM(T36:T41),0)</f>
        <v>90195</v>
      </c>
      <c r="U42" s="893"/>
      <c r="V42" s="1122">
        <f>ROUND(SUM(V36:V41),0)</f>
        <v>2489690</v>
      </c>
      <c r="W42" s="893"/>
      <c r="X42" s="1122">
        <f>ROUND(SUM(X36:X41),0)</f>
        <v>98068671</v>
      </c>
      <c r="Y42" s="893"/>
      <c r="Z42" s="1123">
        <f>ROUND(SUM(Z36:Z41),0)</f>
        <v>107376585</v>
      </c>
    </row>
    <row r="43" spans="1:28">
      <c r="B43" s="1168"/>
      <c r="C43" s="895"/>
      <c r="D43" s="1168"/>
      <c r="E43" s="893"/>
      <c r="F43" s="1169"/>
      <c r="G43" s="893"/>
      <c r="H43" s="1168"/>
      <c r="I43" s="893"/>
      <c r="J43" s="1032"/>
      <c r="K43" s="893"/>
      <c r="L43" s="1032"/>
      <c r="M43" s="891"/>
      <c r="N43" s="1032"/>
      <c r="O43" s="893"/>
      <c r="P43" s="1032"/>
      <c r="Q43" s="893"/>
      <c r="R43" s="1032"/>
      <c r="S43" s="893"/>
      <c r="T43" s="1032"/>
      <c r="U43" s="893"/>
      <c r="V43" s="1032"/>
      <c r="W43" s="893"/>
      <c r="X43" s="1032"/>
      <c r="Y43" s="893"/>
      <c r="Z43" s="1124"/>
    </row>
    <row r="44" spans="1:28" s="363" customFormat="1">
      <c r="A44" s="364" t="s">
        <v>480</v>
      </c>
      <c r="B44" s="899">
        <f>ROUND(B33+B42,0)</f>
        <v>469445948</v>
      </c>
      <c r="C44" s="365"/>
      <c r="D44" s="899">
        <f>ROUND(D33+D42,0)</f>
        <v>469358353</v>
      </c>
      <c r="E44" s="365"/>
      <c r="F44" s="899">
        <f>ROUND(F33+F42,0)</f>
        <v>563310242</v>
      </c>
      <c r="G44" s="365"/>
      <c r="H44" s="899">
        <f>ROUND(H33+H42,0)</f>
        <v>513686171</v>
      </c>
      <c r="I44" s="365"/>
      <c r="J44" s="899">
        <f>ROUND(J33+J42,0)</f>
        <v>596612768</v>
      </c>
      <c r="K44" s="365"/>
      <c r="L44" s="899">
        <f>ROUND(L33+L42,0)</f>
        <v>526630933</v>
      </c>
      <c r="M44" s="360"/>
      <c r="N44" s="899">
        <f>ROUND(N33+N42,0)</f>
        <v>593164161</v>
      </c>
      <c r="O44" s="365"/>
      <c r="P44" s="899">
        <f>ROUND(P33+P42,0)</f>
        <v>529298974</v>
      </c>
      <c r="Q44" s="365"/>
      <c r="R44" s="899">
        <f>ROUND(R33+R42,0)</f>
        <v>544715259</v>
      </c>
      <c r="S44" s="365"/>
      <c r="T44" s="899">
        <f>ROUND(T33+T42,0)</f>
        <v>401810132</v>
      </c>
      <c r="U44" s="365"/>
      <c r="V44" s="899">
        <f>ROUND(V33+V42,0)</f>
        <v>729272354</v>
      </c>
      <c r="W44" s="365"/>
      <c r="X44" s="899">
        <f>ROUND(X33+X42,0)</f>
        <v>735979532</v>
      </c>
      <c r="Y44" s="365"/>
      <c r="Z44" s="899">
        <f>ROUND(Z33+Z42,0)</f>
        <v>6673284827</v>
      </c>
      <c r="AA44" s="1874"/>
      <c r="AB44" s="1119"/>
    </row>
    <row r="45" spans="1:28">
      <c r="A45" s="890"/>
      <c r="B45" s="891"/>
      <c r="C45" s="891"/>
      <c r="D45" s="891"/>
      <c r="E45" s="891"/>
      <c r="F45" s="891"/>
      <c r="G45" s="891"/>
      <c r="H45" s="891"/>
      <c r="I45" s="891"/>
      <c r="J45" s="891"/>
      <c r="K45" s="891"/>
      <c r="L45" s="891"/>
      <c r="M45" s="891"/>
      <c r="N45" s="891"/>
      <c r="O45" s="891"/>
      <c r="P45" s="891"/>
      <c r="Q45" s="891"/>
      <c r="R45" s="891"/>
      <c r="S45" s="891"/>
      <c r="T45" s="891"/>
      <c r="U45" s="891"/>
      <c r="V45" s="891"/>
      <c r="W45" s="891"/>
      <c r="X45" s="891"/>
      <c r="Y45" s="891"/>
      <c r="Z45" s="1125"/>
    </row>
    <row r="46" spans="1:28" s="363" customFormat="1" ht="16" thickBot="1">
      <c r="A46" s="367" t="s">
        <v>481</v>
      </c>
      <c r="B46" s="1030">
        <f>ROUND(B12+B25-B44,0)</f>
        <v>141088217</v>
      </c>
      <c r="C46" s="362"/>
      <c r="D46" s="1030">
        <f>ROUND(D12+D25-D44,0)</f>
        <v>182670540</v>
      </c>
      <c r="E46" s="889"/>
      <c r="F46" s="1030">
        <f>ROUND(F12+F25-F44,0)</f>
        <v>187031381</v>
      </c>
      <c r="G46" s="889"/>
      <c r="H46" s="1030">
        <f>ROUND(H12+H25-H44,0)</f>
        <v>238544189</v>
      </c>
      <c r="I46" s="889"/>
      <c r="J46" s="1030">
        <f>ROUND(J12+J25-J44,0)</f>
        <v>241400977</v>
      </c>
      <c r="K46" s="362"/>
      <c r="L46" s="1030">
        <f>ROUND(L12+L25-L44,0)</f>
        <v>277188358</v>
      </c>
      <c r="M46" s="360"/>
      <c r="N46" s="1030">
        <f>ROUND(N12+N25-N44,0)</f>
        <v>204159554</v>
      </c>
      <c r="O46" s="362"/>
      <c r="P46" s="1030">
        <f>ROUND(P12+P25-P44,0)</f>
        <v>185039312</v>
      </c>
      <c r="Q46" s="362"/>
      <c r="R46" s="1030">
        <f>ROUND(R12+R25-R44,0)</f>
        <v>226279058</v>
      </c>
      <c r="S46" s="362"/>
      <c r="T46" s="1030">
        <f>ROUND(T12+T25-T44,0)</f>
        <v>364027349</v>
      </c>
      <c r="U46" s="362"/>
      <c r="V46" s="1030">
        <f>ROUND(V12+V25-V44,0)</f>
        <v>257622928</v>
      </c>
      <c r="W46" s="362"/>
      <c r="X46" s="1030">
        <f>ROUND(X12+X25-X44,0)</f>
        <v>90821267</v>
      </c>
      <c r="Y46" s="362"/>
      <c r="Z46" s="1704">
        <f>ROUND(Z12+Z25-Z44,0)</f>
        <v>90821267</v>
      </c>
      <c r="AA46" s="1874"/>
    </row>
    <row r="47" spans="1:28" ht="16" thickTop="1">
      <c r="A47" s="890"/>
      <c r="B47" s="887"/>
      <c r="C47" s="887"/>
      <c r="D47" s="887"/>
      <c r="E47" s="888"/>
      <c r="F47" s="887"/>
      <c r="G47" s="888"/>
      <c r="H47" s="887"/>
      <c r="I47" s="888"/>
      <c r="J47" s="887"/>
      <c r="K47" s="887"/>
      <c r="L47" s="887"/>
      <c r="M47" s="888"/>
      <c r="N47" s="887"/>
      <c r="O47" s="888"/>
      <c r="P47" s="887"/>
      <c r="Q47" s="888"/>
      <c r="R47" s="887"/>
      <c r="S47" s="888"/>
      <c r="T47" s="887"/>
      <c r="U47" s="888"/>
      <c r="V47" s="887"/>
      <c r="W47" s="888"/>
      <c r="X47" s="887"/>
      <c r="Y47" s="888"/>
      <c r="Z47" s="1125"/>
    </row>
    <row r="48" spans="1:28">
      <c r="A48" s="368"/>
      <c r="B48" s="887"/>
      <c r="C48" s="887"/>
      <c r="D48" s="887"/>
      <c r="E48" s="888"/>
      <c r="F48" s="887"/>
      <c r="G48" s="888"/>
      <c r="H48" s="887"/>
      <c r="I48" s="888"/>
      <c r="J48" s="887"/>
      <c r="K48" s="887"/>
      <c r="L48" s="887"/>
      <c r="M48" s="888"/>
      <c r="N48" s="887"/>
      <c r="O48" s="888"/>
      <c r="P48" s="887"/>
      <c r="Q48" s="888"/>
      <c r="R48" s="887"/>
      <c r="S48" s="888"/>
      <c r="T48" s="887"/>
      <c r="U48" s="888"/>
      <c r="V48" s="887"/>
      <c r="W48" s="888"/>
      <c r="X48" s="887"/>
      <c r="Y48" s="888"/>
      <c r="Z48" s="363"/>
    </row>
    <row r="50" spans="1:26" ht="17.5">
      <c r="A50" s="1126"/>
      <c r="B50" s="883"/>
      <c r="C50" s="883"/>
      <c r="D50" s="883"/>
      <c r="E50" s="347"/>
      <c r="F50" s="883"/>
      <c r="G50" s="347"/>
      <c r="H50" s="883"/>
      <c r="I50" s="347"/>
      <c r="J50" s="883"/>
      <c r="K50" s="883"/>
      <c r="L50" s="883"/>
      <c r="M50" s="888"/>
      <c r="N50" s="883"/>
      <c r="O50" s="347"/>
      <c r="P50" s="883"/>
      <c r="Q50" s="347"/>
      <c r="R50" s="883"/>
      <c r="S50" s="347"/>
      <c r="T50" s="883"/>
      <c r="U50" s="347"/>
      <c r="V50" s="883"/>
      <c r="W50" s="347"/>
      <c r="X50" s="883"/>
      <c r="Y50" s="347"/>
      <c r="Z50" s="1115"/>
    </row>
    <row r="51" spans="1:26">
      <c r="A51" s="886"/>
      <c r="B51" s="887"/>
      <c r="C51" s="887"/>
      <c r="D51" s="887"/>
      <c r="E51" s="888"/>
      <c r="F51" s="887"/>
      <c r="G51" s="888"/>
      <c r="H51" s="887"/>
      <c r="I51" s="888"/>
      <c r="J51" s="887"/>
      <c r="K51" s="887"/>
      <c r="L51" s="887"/>
      <c r="M51" s="888"/>
      <c r="N51" s="887"/>
      <c r="O51" s="888"/>
      <c r="P51" s="887"/>
      <c r="Q51" s="888"/>
      <c r="R51" s="887"/>
      <c r="S51" s="888"/>
      <c r="T51" s="887"/>
      <c r="U51" s="888"/>
      <c r="V51" s="887"/>
      <c r="W51" s="888"/>
      <c r="X51" s="887"/>
      <c r="Y51" s="888"/>
      <c r="Z51" s="1118"/>
    </row>
    <row r="52" spans="1:26">
      <c r="A52" s="886"/>
      <c r="B52" s="887"/>
      <c r="C52" s="887"/>
      <c r="D52" s="887"/>
      <c r="E52" s="888"/>
      <c r="F52" s="887"/>
      <c r="G52" s="888"/>
      <c r="H52" s="887"/>
      <c r="I52" s="888"/>
      <c r="J52" s="887"/>
      <c r="K52" s="887"/>
      <c r="L52" s="887"/>
      <c r="M52" s="888"/>
      <c r="N52" s="887"/>
      <c r="O52" s="888"/>
      <c r="P52" s="887"/>
      <c r="Q52" s="888"/>
      <c r="R52" s="887"/>
      <c r="S52" s="888"/>
      <c r="T52" s="887"/>
      <c r="U52" s="888"/>
      <c r="V52" s="887"/>
      <c r="W52" s="888"/>
      <c r="X52" s="887"/>
      <c r="Y52" s="888"/>
      <c r="Z52" s="1118"/>
    </row>
    <row r="53" spans="1:26">
      <c r="A53" s="344"/>
      <c r="B53" s="346"/>
      <c r="C53" s="346"/>
      <c r="D53" s="346"/>
      <c r="E53" s="347"/>
      <c r="F53" s="346"/>
      <c r="G53" s="347"/>
      <c r="H53" s="346"/>
      <c r="I53" s="347"/>
      <c r="J53" s="346"/>
      <c r="K53" s="346"/>
      <c r="L53" s="346"/>
      <c r="M53" s="347"/>
      <c r="N53" s="346"/>
      <c r="O53" s="347"/>
      <c r="P53" s="346"/>
      <c r="Q53" s="347"/>
      <c r="R53" s="346"/>
      <c r="S53" s="347"/>
      <c r="T53" s="346"/>
      <c r="U53" s="347"/>
      <c r="V53" s="346"/>
      <c r="W53" s="347"/>
      <c r="X53" s="346"/>
      <c r="Y53" s="347"/>
      <c r="Z53" s="1127"/>
    </row>
    <row r="54" spans="1:26">
      <c r="A54" s="344"/>
      <c r="B54" s="346"/>
      <c r="C54" s="346"/>
      <c r="D54" s="346"/>
      <c r="E54" s="347"/>
      <c r="F54" s="346"/>
      <c r="G54" s="347"/>
      <c r="H54" s="346"/>
      <c r="I54" s="347"/>
      <c r="J54" s="346"/>
      <c r="K54" s="346"/>
      <c r="L54" s="346"/>
      <c r="M54" s="347"/>
      <c r="N54" s="346"/>
      <c r="O54" s="347"/>
      <c r="P54" s="346"/>
      <c r="Q54" s="347"/>
      <c r="R54" s="346"/>
      <c r="S54" s="347"/>
      <c r="T54" s="346"/>
      <c r="U54" s="347"/>
      <c r="V54" s="346"/>
      <c r="W54" s="347"/>
      <c r="X54" s="346"/>
      <c r="Y54" s="347"/>
      <c r="Z54" s="1127"/>
    </row>
    <row r="55" spans="1:26">
      <c r="A55" s="344"/>
      <c r="B55" s="346"/>
      <c r="C55" s="346"/>
      <c r="D55" s="346"/>
      <c r="E55" s="347"/>
      <c r="F55" s="346"/>
      <c r="G55" s="347"/>
      <c r="H55" s="346"/>
      <c r="I55" s="347"/>
      <c r="J55" s="346"/>
      <c r="K55" s="346"/>
      <c r="L55" s="346"/>
      <c r="M55" s="347"/>
      <c r="N55" s="346"/>
      <c r="O55" s="347"/>
      <c r="P55" s="346"/>
      <c r="Q55" s="347"/>
      <c r="R55" s="346"/>
      <c r="S55" s="347"/>
      <c r="T55" s="346"/>
      <c r="U55" s="347"/>
      <c r="V55" s="346"/>
      <c r="W55" s="347"/>
      <c r="X55" s="346"/>
      <c r="Y55" s="347"/>
      <c r="Z55" s="1127"/>
    </row>
    <row r="56" spans="1:26">
      <c r="A56" s="344"/>
      <c r="B56" s="346"/>
      <c r="C56" s="346"/>
      <c r="D56" s="346"/>
      <c r="E56" s="347"/>
      <c r="F56" s="346"/>
      <c r="G56" s="347"/>
      <c r="H56" s="346"/>
      <c r="I56" s="347"/>
      <c r="J56" s="346"/>
      <c r="K56" s="346"/>
      <c r="L56" s="346"/>
      <c r="M56" s="347"/>
      <c r="N56" s="346"/>
      <c r="O56" s="347"/>
      <c r="P56" s="346"/>
      <c r="Q56" s="347"/>
      <c r="R56" s="346"/>
      <c r="S56" s="347"/>
      <c r="T56" s="346"/>
      <c r="U56" s="347"/>
      <c r="V56" s="346"/>
      <c r="W56" s="347"/>
      <c r="X56" s="346"/>
      <c r="Y56" s="347"/>
      <c r="Z56" s="1127"/>
    </row>
    <row r="57" spans="1:26">
      <c r="A57" s="344"/>
      <c r="B57" s="346"/>
      <c r="C57" s="346"/>
      <c r="D57" s="346"/>
      <c r="E57" s="347"/>
      <c r="F57" s="346"/>
      <c r="G57" s="347"/>
      <c r="H57" s="346"/>
      <c r="I57" s="347"/>
      <c r="J57" s="346"/>
      <c r="K57" s="346"/>
      <c r="L57" s="346"/>
      <c r="M57" s="347"/>
      <c r="N57" s="346"/>
      <c r="O57" s="347"/>
      <c r="P57" s="346"/>
      <c r="Q57" s="347"/>
      <c r="R57" s="346"/>
      <c r="S57" s="347"/>
      <c r="T57" s="346"/>
      <c r="U57" s="347"/>
      <c r="V57" s="346"/>
      <c r="W57" s="347"/>
      <c r="X57" s="346"/>
      <c r="Y57" s="347"/>
      <c r="Z57" s="1127"/>
    </row>
    <row r="58" spans="1:26">
      <c r="A58" s="344"/>
      <c r="B58" s="346"/>
      <c r="C58" s="346"/>
      <c r="D58" s="346"/>
      <c r="E58" s="347"/>
      <c r="F58" s="346"/>
      <c r="G58" s="347"/>
      <c r="H58" s="346"/>
      <c r="I58" s="347"/>
      <c r="J58" s="346"/>
      <c r="K58" s="346"/>
      <c r="L58" s="346"/>
      <c r="M58" s="347"/>
      <c r="N58" s="346"/>
      <c r="O58" s="347"/>
      <c r="P58" s="346"/>
      <c r="Q58" s="347"/>
      <c r="R58" s="346"/>
      <c r="S58" s="347"/>
      <c r="T58" s="346"/>
      <c r="U58" s="347"/>
      <c r="V58" s="346"/>
      <c r="W58" s="347"/>
      <c r="X58" s="346"/>
      <c r="Y58" s="347"/>
      <c r="Z58" s="1127"/>
    </row>
    <row r="59" spans="1:26">
      <c r="A59" s="344"/>
      <c r="B59" s="346"/>
      <c r="C59" s="346"/>
      <c r="D59" s="346"/>
      <c r="E59" s="347"/>
      <c r="F59" s="346"/>
      <c r="G59" s="347"/>
      <c r="H59" s="346"/>
      <c r="I59" s="347"/>
      <c r="J59" s="346"/>
      <c r="K59" s="346"/>
      <c r="L59" s="346"/>
      <c r="M59" s="347"/>
      <c r="N59" s="346"/>
      <c r="O59" s="347"/>
      <c r="P59" s="346"/>
      <c r="Q59" s="347"/>
      <c r="R59" s="346"/>
      <c r="S59" s="347"/>
      <c r="T59" s="346"/>
      <c r="U59" s="347"/>
      <c r="V59" s="346"/>
      <c r="W59" s="347"/>
      <c r="X59" s="346"/>
      <c r="Y59" s="347"/>
      <c r="Z59" s="1127"/>
    </row>
    <row r="60" spans="1:26">
      <c r="A60" s="344"/>
      <c r="B60" s="346"/>
      <c r="C60" s="346"/>
      <c r="D60" s="346"/>
      <c r="E60" s="347"/>
      <c r="F60" s="346"/>
      <c r="G60" s="347"/>
      <c r="H60" s="346"/>
      <c r="I60" s="347"/>
      <c r="J60" s="346"/>
      <c r="K60" s="346"/>
      <c r="L60" s="346"/>
      <c r="M60" s="347"/>
      <c r="N60" s="346"/>
      <c r="O60" s="347"/>
      <c r="P60" s="346"/>
      <c r="Q60" s="347"/>
      <c r="R60" s="346"/>
      <c r="S60" s="347"/>
      <c r="T60" s="346"/>
      <c r="U60" s="347"/>
      <c r="V60" s="346"/>
      <c r="W60" s="347"/>
      <c r="X60" s="346"/>
      <c r="Y60" s="347"/>
      <c r="Z60" s="1127"/>
    </row>
    <row r="61" spans="1:26">
      <c r="A61" s="344"/>
      <c r="B61" s="346"/>
      <c r="C61" s="346"/>
      <c r="D61" s="346"/>
      <c r="E61" s="347"/>
      <c r="F61" s="346"/>
      <c r="G61" s="347"/>
      <c r="H61" s="346"/>
      <c r="I61" s="347"/>
      <c r="J61" s="346"/>
      <c r="K61" s="346"/>
      <c r="L61" s="346"/>
      <c r="M61" s="347"/>
      <c r="N61" s="346"/>
      <c r="O61" s="347"/>
      <c r="P61" s="346"/>
      <c r="Q61" s="347"/>
      <c r="R61" s="346"/>
      <c r="S61" s="347"/>
      <c r="T61" s="346"/>
      <c r="U61" s="347"/>
      <c r="V61" s="346"/>
      <c r="W61" s="347"/>
      <c r="X61" s="346"/>
      <c r="Y61" s="347"/>
      <c r="Z61" s="1127"/>
    </row>
    <row r="62" spans="1:26">
      <c r="A62" s="344"/>
      <c r="B62" s="346"/>
      <c r="C62" s="346"/>
      <c r="D62" s="346"/>
      <c r="E62" s="347"/>
      <c r="F62" s="346"/>
      <c r="G62" s="347"/>
      <c r="H62" s="346"/>
      <c r="I62" s="347"/>
      <c r="J62" s="346"/>
      <c r="K62" s="346"/>
      <c r="L62" s="346"/>
      <c r="M62" s="347"/>
      <c r="N62" s="346"/>
      <c r="O62" s="347"/>
      <c r="P62" s="346"/>
      <c r="Q62" s="347"/>
      <c r="R62" s="346"/>
      <c r="S62" s="347"/>
      <c r="T62" s="346"/>
      <c r="U62" s="347"/>
      <c r="V62" s="346"/>
      <c r="W62" s="347"/>
      <c r="X62" s="346"/>
      <c r="Y62" s="347"/>
      <c r="Z62" s="1127"/>
    </row>
    <row r="63" spans="1:26">
      <c r="A63" s="344"/>
      <c r="B63" s="346"/>
      <c r="C63" s="346"/>
      <c r="D63" s="346"/>
      <c r="E63" s="347"/>
      <c r="F63" s="346"/>
      <c r="G63" s="347"/>
      <c r="H63" s="346"/>
      <c r="I63" s="347"/>
      <c r="J63" s="346"/>
      <c r="K63" s="346"/>
      <c r="L63" s="346"/>
      <c r="M63" s="347"/>
      <c r="N63" s="346"/>
      <c r="O63" s="347"/>
      <c r="P63" s="346"/>
      <c r="Q63" s="347"/>
      <c r="R63" s="346"/>
      <c r="S63" s="347"/>
      <c r="T63" s="346"/>
      <c r="U63" s="347"/>
      <c r="V63" s="346"/>
      <c r="W63" s="347"/>
      <c r="X63" s="346"/>
      <c r="Y63" s="347"/>
      <c r="Z63" s="1127"/>
    </row>
    <row r="64" spans="1:26">
      <c r="A64" s="344"/>
      <c r="B64" s="346"/>
      <c r="C64" s="346"/>
      <c r="D64" s="346"/>
      <c r="E64" s="347"/>
      <c r="F64" s="346"/>
      <c r="G64" s="347"/>
      <c r="H64" s="346"/>
      <c r="I64" s="347"/>
      <c r="J64" s="346"/>
      <c r="K64" s="346"/>
      <c r="L64" s="346"/>
      <c r="M64" s="347"/>
      <c r="N64" s="346"/>
      <c r="O64" s="347"/>
      <c r="P64" s="346"/>
      <c r="Q64" s="347"/>
      <c r="R64" s="346"/>
      <c r="S64" s="347"/>
      <c r="T64" s="346"/>
      <c r="U64" s="347"/>
      <c r="V64" s="346"/>
      <c r="W64" s="347"/>
      <c r="X64" s="346"/>
      <c r="Y64" s="347"/>
      <c r="Z64" s="1127"/>
    </row>
    <row r="65" spans="1:26">
      <c r="A65" s="344"/>
      <c r="B65" s="346"/>
      <c r="C65" s="346"/>
      <c r="D65" s="346"/>
      <c r="E65" s="347"/>
      <c r="F65" s="346"/>
      <c r="G65" s="347"/>
      <c r="H65" s="346"/>
      <c r="I65" s="347"/>
      <c r="J65" s="346"/>
      <c r="K65" s="346"/>
      <c r="L65" s="346"/>
      <c r="M65" s="347"/>
      <c r="N65" s="346"/>
      <c r="O65" s="347"/>
      <c r="P65" s="346"/>
      <c r="Q65" s="347"/>
      <c r="R65" s="346"/>
      <c r="S65" s="347"/>
      <c r="T65" s="346"/>
      <c r="U65" s="347"/>
      <c r="V65" s="346"/>
      <c r="W65" s="347"/>
      <c r="X65" s="346"/>
      <c r="Y65" s="347"/>
      <c r="Z65" s="1127"/>
    </row>
    <row r="66" spans="1:26">
      <c r="A66" s="344"/>
      <c r="B66" s="346"/>
      <c r="C66" s="346"/>
      <c r="D66" s="346"/>
      <c r="E66" s="347"/>
      <c r="F66" s="346"/>
      <c r="G66" s="347"/>
      <c r="H66" s="346"/>
      <c r="I66" s="347"/>
      <c r="J66" s="346"/>
      <c r="K66" s="346"/>
      <c r="L66" s="346"/>
      <c r="M66" s="347"/>
      <c r="N66" s="346"/>
      <c r="O66" s="347"/>
      <c r="P66" s="346"/>
      <c r="Q66" s="347"/>
      <c r="R66" s="346"/>
      <c r="S66" s="347"/>
      <c r="T66" s="346"/>
      <c r="U66" s="347"/>
      <c r="V66" s="346"/>
      <c r="W66" s="347"/>
      <c r="X66" s="346"/>
      <c r="Y66" s="347"/>
      <c r="Z66" s="1127"/>
    </row>
    <row r="67" spans="1:26">
      <c r="A67" s="344"/>
      <c r="B67" s="346"/>
      <c r="C67" s="346"/>
      <c r="D67" s="346"/>
      <c r="E67" s="347"/>
      <c r="F67" s="346"/>
      <c r="G67" s="347"/>
      <c r="H67" s="346"/>
      <c r="I67" s="347"/>
      <c r="J67" s="346"/>
      <c r="K67" s="346"/>
      <c r="L67" s="346"/>
      <c r="M67" s="347"/>
      <c r="N67" s="346"/>
      <c r="O67" s="347"/>
      <c r="P67" s="346"/>
      <c r="Q67" s="347"/>
      <c r="R67" s="346"/>
      <c r="S67" s="347"/>
      <c r="T67" s="346"/>
      <c r="U67" s="347"/>
      <c r="V67" s="346"/>
      <c r="W67" s="347"/>
      <c r="X67" s="346"/>
      <c r="Y67" s="347"/>
      <c r="Z67" s="1127"/>
    </row>
    <row r="68" spans="1:26">
      <c r="A68" s="344"/>
      <c r="B68" s="346"/>
      <c r="C68" s="346"/>
      <c r="D68" s="346"/>
      <c r="E68" s="347"/>
      <c r="F68" s="346"/>
      <c r="G68" s="347"/>
      <c r="H68" s="346"/>
      <c r="I68" s="347"/>
      <c r="J68" s="346"/>
      <c r="K68" s="346"/>
      <c r="L68" s="346"/>
      <c r="M68" s="347"/>
      <c r="N68" s="346"/>
      <c r="O68" s="347"/>
      <c r="P68" s="346"/>
      <c r="Q68" s="347"/>
      <c r="R68" s="346"/>
      <c r="S68" s="347"/>
      <c r="T68" s="346"/>
      <c r="U68" s="347"/>
      <c r="V68" s="346"/>
      <c r="W68" s="347"/>
      <c r="X68" s="346"/>
      <c r="Y68" s="347"/>
      <c r="Z68" s="1127"/>
    </row>
    <row r="69" spans="1:26">
      <c r="A69" s="344"/>
      <c r="B69" s="346"/>
      <c r="C69" s="346"/>
      <c r="D69" s="346"/>
      <c r="E69" s="347"/>
      <c r="F69" s="346"/>
      <c r="G69" s="347"/>
      <c r="H69" s="346"/>
      <c r="I69" s="347"/>
      <c r="J69" s="346"/>
      <c r="K69" s="346"/>
      <c r="L69" s="346"/>
      <c r="M69" s="347"/>
      <c r="N69" s="346"/>
      <c r="O69" s="347"/>
      <c r="P69" s="346"/>
      <c r="Q69" s="347"/>
      <c r="R69" s="346"/>
      <c r="S69" s="347"/>
      <c r="T69" s="346"/>
      <c r="U69" s="347"/>
      <c r="V69" s="346"/>
      <c r="W69" s="347"/>
      <c r="X69" s="346"/>
      <c r="Y69" s="347"/>
      <c r="Z69" s="1127"/>
    </row>
    <row r="70" spans="1:26">
      <c r="A70" s="344"/>
      <c r="B70" s="346"/>
      <c r="C70" s="346"/>
      <c r="D70" s="346"/>
      <c r="E70" s="347"/>
      <c r="F70" s="346"/>
      <c r="G70" s="347"/>
      <c r="H70" s="346"/>
      <c r="I70" s="347"/>
      <c r="J70" s="346"/>
      <c r="K70" s="346"/>
      <c r="L70" s="346"/>
      <c r="M70" s="347"/>
      <c r="N70" s="346"/>
      <c r="O70" s="347"/>
      <c r="P70" s="346"/>
      <c r="Q70" s="347"/>
      <c r="R70" s="346"/>
      <c r="S70" s="347"/>
      <c r="T70" s="346"/>
      <c r="U70" s="347"/>
      <c r="V70" s="346"/>
      <c r="W70" s="347"/>
      <c r="X70" s="346"/>
      <c r="Y70" s="347"/>
      <c r="Z70" s="1127"/>
    </row>
    <row r="71" spans="1:26">
      <c r="A71" s="344"/>
      <c r="B71" s="346"/>
      <c r="C71" s="346"/>
      <c r="D71" s="346"/>
      <c r="E71" s="347"/>
      <c r="F71" s="346"/>
      <c r="G71" s="347"/>
      <c r="H71" s="346"/>
      <c r="I71" s="347"/>
      <c r="J71" s="346"/>
      <c r="K71" s="346"/>
      <c r="L71" s="346"/>
      <c r="M71" s="347"/>
      <c r="N71" s="346"/>
      <c r="O71" s="347"/>
      <c r="P71" s="346"/>
      <c r="Q71" s="347"/>
      <c r="R71" s="346"/>
      <c r="S71" s="347"/>
      <c r="T71" s="346"/>
      <c r="U71" s="347"/>
      <c r="V71" s="346"/>
      <c r="W71" s="347"/>
      <c r="X71" s="346"/>
      <c r="Y71" s="347"/>
      <c r="Z71" s="1127"/>
    </row>
    <row r="72" spans="1:26">
      <c r="A72" s="344"/>
      <c r="B72" s="346"/>
      <c r="C72" s="346"/>
      <c r="D72" s="346"/>
      <c r="E72" s="347"/>
      <c r="F72" s="346"/>
      <c r="G72" s="347"/>
      <c r="H72" s="346"/>
      <c r="I72" s="347"/>
      <c r="J72" s="346"/>
      <c r="K72" s="346"/>
      <c r="L72" s="346"/>
      <c r="M72" s="347"/>
      <c r="N72" s="346"/>
      <c r="O72" s="347"/>
      <c r="P72" s="346"/>
      <c r="Q72" s="347"/>
      <c r="R72" s="346"/>
      <c r="S72" s="347"/>
      <c r="T72" s="346"/>
      <c r="U72" s="347"/>
      <c r="V72" s="346"/>
      <c r="W72" s="347"/>
      <c r="X72" s="346"/>
      <c r="Y72" s="347"/>
      <c r="Z72" s="1127"/>
    </row>
    <row r="73" spans="1:26">
      <c r="A73" s="344"/>
      <c r="B73" s="346"/>
      <c r="C73" s="346"/>
      <c r="D73" s="346"/>
      <c r="E73" s="347"/>
      <c r="F73" s="346"/>
      <c r="G73" s="347"/>
      <c r="H73" s="346"/>
      <c r="I73" s="347"/>
      <c r="J73" s="346"/>
      <c r="K73" s="346"/>
      <c r="L73" s="346"/>
      <c r="M73" s="347"/>
      <c r="N73" s="346"/>
      <c r="O73" s="347"/>
      <c r="P73" s="346"/>
      <c r="Q73" s="347"/>
      <c r="R73" s="346"/>
      <c r="S73" s="347"/>
      <c r="T73" s="346"/>
      <c r="U73" s="347"/>
      <c r="V73" s="346"/>
      <c r="W73" s="347"/>
      <c r="X73" s="346"/>
      <c r="Y73" s="347"/>
      <c r="Z73" s="1127"/>
    </row>
    <row r="74" spans="1:26">
      <c r="A74" s="344"/>
      <c r="B74" s="346"/>
      <c r="C74" s="346"/>
      <c r="D74" s="346"/>
      <c r="E74" s="347"/>
      <c r="F74" s="346"/>
      <c r="G74" s="347"/>
      <c r="H74" s="346"/>
      <c r="I74" s="347"/>
      <c r="J74" s="346"/>
      <c r="K74" s="346"/>
      <c r="L74" s="346"/>
      <c r="M74" s="347"/>
      <c r="N74" s="346"/>
      <c r="O74" s="347"/>
      <c r="P74" s="346"/>
      <c r="Q74" s="347"/>
      <c r="R74" s="346"/>
      <c r="S74" s="347"/>
      <c r="T74" s="346"/>
      <c r="U74" s="347"/>
      <c r="V74" s="346"/>
      <c r="W74" s="347"/>
      <c r="X74" s="346"/>
      <c r="Y74" s="347"/>
      <c r="Z74" s="1127"/>
    </row>
    <row r="75" spans="1:26">
      <c r="A75" s="344"/>
      <c r="B75" s="346"/>
      <c r="C75" s="346"/>
      <c r="D75" s="346"/>
      <c r="E75" s="347"/>
      <c r="F75" s="346"/>
      <c r="G75" s="347"/>
      <c r="H75" s="346"/>
      <c r="I75" s="347"/>
      <c r="J75" s="346"/>
      <c r="K75" s="346"/>
      <c r="L75" s="346"/>
      <c r="M75" s="347"/>
      <c r="N75" s="346"/>
      <c r="O75" s="347"/>
      <c r="P75" s="346"/>
      <c r="Q75" s="347"/>
      <c r="R75" s="346"/>
      <c r="S75" s="347"/>
      <c r="T75" s="346"/>
      <c r="U75" s="347"/>
      <c r="V75" s="346"/>
      <c r="W75" s="347"/>
      <c r="X75" s="346"/>
      <c r="Y75" s="347"/>
      <c r="Z75" s="1127"/>
    </row>
    <row r="76" spans="1:26">
      <c r="A76" s="344"/>
      <c r="B76" s="346"/>
      <c r="C76" s="346"/>
      <c r="D76" s="346"/>
      <c r="E76" s="347"/>
      <c r="F76" s="346"/>
      <c r="G76" s="347"/>
      <c r="H76" s="346"/>
      <c r="I76" s="347"/>
      <c r="J76" s="346"/>
      <c r="K76" s="346"/>
      <c r="L76" s="346"/>
      <c r="M76" s="347"/>
      <c r="N76" s="346"/>
      <c r="O76" s="347"/>
      <c r="P76" s="346"/>
      <c r="Q76" s="347"/>
      <c r="R76" s="346"/>
      <c r="S76" s="347"/>
      <c r="T76" s="346"/>
      <c r="U76" s="347"/>
      <c r="V76" s="346"/>
      <c r="W76" s="347"/>
      <c r="X76" s="346"/>
      <c r="Y76" s="347"/>
      <c r="Z76" s="1127"/>
    </row>
    <row r="77" spans="1:26">
      <c r="A77" s="344"/>
      <c r="B77" s="346"/>
      <c r="C77" s="346"/>
      <c r="D77" s="346"/>
      <c r="E77" s="347"/>
      <c r="F77" s="346"/>
      <c r="G77" s="347"/>
      <c r="H77" s="346"/>
      <c r="I77" s="347"/>
      <c r="J77" s="346"/>
      <c r="K77" s="346"/>
      <c r="L77" s="346"/>
      <c r="M77" s="347"/>
      <c r="N77" s="346"/>
      <c r="O77" s="347"/>
      <c r="P77" s="346"/>
      <c r="Q77" s="347"/>
      <c r="R77" s="346"/>
      <c r="S77" s="347"/>
      <c r="T77" s="346"/>
      <c r="U77" s="347"/>
      <c r="V77" s="346"/>
      <c r="W77" s="347"/>
      <c r="X77" s="346"/>
      <c r="Y77" s="347"/>
      <c r="Z77" s="1127"/>
    </row>
    <row r="78" spans="1:26">
      <c r="A78" s="344"/>
      <c r="B78" s="346"/>
      <c r="C78" s="346"/>
      <c r="D78" s="346"/>
      <c r="E78" s="347"/>
      <c r="F78" s="346"/>
      <c r="G78" s="347"/>
      <c r="H78" s="346"/>
      <c r="I78" s="347"/>
      <c r="J78" s="346"/>
      <c r="K78" s="346"/>
      <c r="L78" s="346"/>
      <c r="M78" s="347"/>
      <c r="N78" s="346"/>
      <c r="O78" s="347"/>
      <c r="P78" s="346"/>
      <c r="Q78" s="347"/>
      <c r="R78" s="346"/>
      <c r="S78" s="347"/>
      <c r="T78" s="346"/>
      <c r="U78" s="347"/>
      <c r="V78" s="346"/>
      <c r="W78" s="347"/>
      <c r="X78" s="346"/>
      <c r="Y78" s="347"/>
      <c r="Z78" s="1127"/>
    </row>
    <row r="79" spans="1:26">
      <c r="A79" s="344"/>
      <c r="B79" s="346"/>
      <c r="C79" s="346"/>
      <c r="D79" s="346"/>
      <c r="E79" s="347"/>
      <c r="F79" s="346"/>
      <c r="G79" s="347"/>
      <c r="H79" s="346"/>
      <c r="I79" s="347"/>
      <c r="J79" s="346"/>
      <c r="K79" s="346"/>
      <c r="L79" s="346"/>
      <c r="M79" s="347"/>
      <c r="N79" s="346"/>
      <c r="O79" s="347"/>
      <c r="P79" s="346"/>
      <c r="Q79" s="347"/>
      <c r="R79" s="346"/>
      <c r="S79" s="347"/>
      <c r="T79" s="346"/>
      <c r="U79" s="347"/>
      <c r="V79" s="346"/>
      <c r="W79" s="347"/>
      <c r="X79" s="346"/>
      <c r="Y79" s="347"/>
      <c r="Z79" s="1127"/>
    </row>
    <row r="80" spans="1:26">
      <c r="A80" s="344"/>
      <c r="B80" s="346"/>
      <c r="C80" s="346"/>
      <c r="D80" s="346"/>
      <c r="E80" s="347"/>
      <c r="F80" s="346"/>
      <c r="G80" s="347"/>
      <c r="H80" s="346"/>
      <c r="I80" s="347"/>
      <c r="J80" s="346"/>
      <c r="K80" s="346"/>
      <c r="L80" s="346"/>
      <c r="M80" s="347"/>
      <c r="N80" s="346"/>
      <c r="O80" s="347"/>
      <c r="P80" s="346"/>
      <c r="Q80" s="347"/>
      <c r="R80" s="346"/>
      <c r="S80" s="347"/>
      <c r="T80" s="346"/>
      <c r="U80" s="347"/>
      <c r="V80" s="346"/>
      <c r="W80" s="347"/>
      <c r="X80" s="346"/>
      <c r="Y80" s="347"/>
      <c r="Z80" s="1127"/>
    </row>
    <row r="81" spans="1:26">
      <c r="A81" s="344"/>
      <c r="B81" s="346"/>
      <c r="C81" s="346"/>
      <c r="D81" s="346"/>
      <c r="E81" s="347"/>
      <c r="F81" s="346"/>
      <c r="G81" s="347"/>
      <c r="H81" s="346"/>
      <c r="I81" s="347"/>
      <c r="J81" s="346"/>
      <c r="K81" s="346"/>
      <c r="L81" s="346"/>
      <c r="M81" s="347"/>
      <c r="N81" s="346"/>
      <c r="O81" s="347"/>
      <c r="P81" s="346"/>
      <c r="Q81" s="347"/>
      <c r="R81" s="346"/>
      <c r="S81" s="347"/>
      <c r="T81" s="346"/>
      <c r="U81" s="347"/>
      <c r="V81" s="346"/>
      <c r="W81" s="347"/>
      <c r="X81" s="346"/>
      <c r="Y81" s="347"/>
      <c r="Z81" s="1127"/>
    </row>
    <row r="82" spans="1:26">
      <c r="A82" s="344"/>
      <c r="B82" s="346"/>
      <c r="C82" s="346"/>
      <c r="D82" s="346"/>
      <c r="E82" s="347"/>
      <c r="F82" s="346"/>
      <c r="G82" s="347"/>
      <c r="H82" s="346"/>
      <c r="I82" s="347"/>
      <c r="J82" s="346"/>
      <c r="K82" s="346"/>
      <c r="L82" s="346"/>
      <c r="M82" s="347"/>
      <c r="N82" s="346"/>
      <c r="O82" s="347"/>
      <c r="P82" s="346"/>
      <c r="Q82" s="347"/>
      <c r="R82" s="346"/>
      <c r="S82" s="347"/>
      <c r="T82" s="346"/>
      <c r="U82" s="347"/>
      <c r="V82" s="346"/>
      <c r="W82" s="347"/>
      <c r="X82" s="346"/>
      <c r="Y82" s="347"/>
      <c r="Z82" s="1127"/>
    </row>
    <row r="83" spans="1:26">
      <c r="A83" s="344"/>
      <c r="B83" s="346"/>
      <c r="C83" s="346"/>
      <c r="D83" s="346"/>
      <c r="E83" s="347"/>
      <c r="F83" s="346"/>
      <c r="G83" s="347"/>
      <c r="H83" s="346"/>
      <c r="I83" s="347"/>
      <c r="J83" s="346"/>
      <c r="K83" s="346"/>
      <c r="L83" s="346"/>
      <c r="M83" s="347"/>
      <c r="N83" s="346"/>
      <c r="O83" s="347"/>
      <c r="P83" s="346"/>
      <c r="Q83" s="347"/>
      <c r="R83" s="346"/>
      <c r="S83" s="347"/>
      <c r="T83" s="346"/>
      <c r="U83" s="347"/>
      <c r="V83" s="346"/>
      <c r="W83" s="347"/>
      <c r="X83" s="346"/>
      <c r="Y83" s="347"/>
      <c r="Z83" s="1127"/>
    </row>
    <row r="84" spans="1:26">
      <c r="A84" s="344"/>
      <c r="B84" s="346"/>
      <c r="C84" s="346"/>
      <c r="D84" s="346"/>
      <c r="E84" s="347"/>
      <c r="F84" s="346"/>
      <c r="G84" s="347"/>
      <c r="H84" s="346"/>
      <c r="I84" s="347"/>
      <c r="J84" s="346"/>
      <c r="K84" s="346"/>
      <c r="L84" s="346"/>
      <c r="M84" s="347"/>
      <c r="N84" s="346"/>
      <c r="O84" s="347"/>
      <c r="P84" s="346"/>
      <c r="Q84" s="347"/>
      <c r="R84" s="346"/>
      <c r="S84" s="347"/>
      <c r="T84" s="346"/>
      <c r="U84" s="347"/>
      <c r="V84" s="346"/>
      <c r="W84" s="347"/>
      <c r="X84" s="346"/>
      <c r="Y84" s="347"/>
      <c r="Z84" s="1127"/>
    </row>
    <row r="85" spans="1:26">
      <c r="A85" s="344"/>
      <c r="B85" s="346"/>
      <c r="C85" s="346"/>
      <c r="D85" s="346"/>
      <c r="E85" s="347"/>
      <c r="F85" s="346"/>
      <c r="G85" s="347"/>
      <c r="H85" s="346"/>
      <c r="I85" s="347"/>
      <c r="J85" s="346"/>
      <c r="K85" s="346"/>
      <c r="L85" s="346"/>
      <c r="M85" s="347"/>
      <c r="N85" s="346"/>
      <c r="O85" s="347"/>
      <c r="P85" s="346"/>
      <c r="Q85" s="347"/>
      <c r="R85" s="346"/>
      <c r="S85" s="347"/>
      <c r="T85" s="346"/>
      <c r="U85" s="347"/>
      <c r="V85" s="346"/>
      <c r="W85" s="347"/>
      <c r="X85" s="346"/>
      <c r="Y85" s="347"/>
      <c r="Z85" s="1127"/>
    </row>
    <row r="86" spans="1:26">
      <c r="A86" s="344"/>
      <c r="B86" s="346"/>
      <c r="C86" s="346"/>
      <c r="D86" s="346"/>
      <c r="E86" s="347"/>
      <c r="F86" s="346"/>
      <c r="G86" s="347"/>
      <c r="H86" s="346"/>
      <c r="I86" s="347"/>
      <c r="J86" s="346"/>
      <c r="K86" s="346"/>
      <c r="L86" s="346"/>
      <c r="M86" s="347"/>
      <c r="N86" s="346"/>
      <c r="O86" s="347"/>
      <c r="P86" s="346"/>
      <c r="Q86" s="347"/>
      <c r="R86" s="346"/>
      <c r="S86" s="347"/>
      <c r="T86" s="346"/>
      <c r="U86" s="347"/>
      <c r="V86" s="346"/>
      <c r="W86" s="347"/>
      <c r="X86" s="346"/>
      <c r="Y86" s="347"/>
      <c r="Z86" s="1127"/>
    </row>
    <row r="87" spans="1:26">
      <c r="A87" s="344"/>
      <c r="B87" s="346"/>
      <c r="C87" s="346"/>
      <c r="D87" s="346"/>
      <c r="E87" s="347"/>
      <c r="F87" s="346"/>
      <c r="G87" s="347"/>
      <c r="H87" s="346"/>
      <c r="I87" s="347"/>
      <c r="J87" s="346"/>
      <c r="K87" s="346"/>
      <c r="L87" s="346"/>
      <c r="M87" s="347"/>
      <c r="N87" s="346"/>
      <c r="O87" s="347"/>
      <c r="P87" s="346"/>
      <c r="Q87" s="347"/>
      <c r="R87" s="346"/>
      <c r="S87" s="347"/>
      <c r="T87" s="346"/>
      <c r="U87" s="347"/>
      <c r="V87" s="346"/>
      <c r="W87" s="347"/>
      <c r="X87" s="346"/>
      <c r="Y87" s="347"/>
      <c r="Z87" s="1127"/>
    </row>
    <row r="88" spans="1:26">
      <c r="A88" s="344"/>
      <c r="B88" s="346"/>
      <c r="C88" s="346"/>
      <c r="D88" s="346"/>
      <c r="E88" s="347"/>
      <c r="F88" s="346"/>
      <c r="G88" s="347"/>
      <c r="H88" s="346"/>
      <c r="I88" s="347"/>
      <c r="J88" s="346"/>
      <c r="K88" s="346"/>
      <c r="L88" s="346"/>
      <c r="M88" s="347"/>
      <c r="N88" s="346"/>
      <c r="O88" s="347"/>
      <c r="P88" s="346"/>
      <c r="Q88" s="347"/>
      <c r="R88" s="346"/>
      <c r="S88" s="347"/>
      <c r="T88" s="346"/>
      <c r="U88" s="347"/>
      <c r="V88" s="346"/>
      <c r="W88" s="347"/>
      <c r="X88" s="346"/>
      <c r="Y88" s="347"/>
      <c r="Z88" s="1127"/>
    </row>
    <row r="89" spans="1:26">
      <c r="A89" s="344"/>
      <c r="B89" s="346"/>
      <c r="C89" s="346"/>
      <c r="D89" s="346"/>
      <c r="E89" s="347"/>
      <c r="F89" s="346"/>
      <c r="G89" s="347"/>
      <c r="H89" s="346"/>
      <c r="I89" s="347"/>
      <c r="J89" s="346"/>
      <c r="K89" s="346"/>
      <c r="L89" s="346"/>
      <c r="M89" s="347"/>
      <c r="N89" s="346"/>
      <c r="O89" s="347"/>
      <c r="P89" s="346"/>
      <c r="Q89" s="347"/>
      <c r="R89" s="346"/>
      <c r="S89" s="347"/>
      <c r="T89" s="346"/>
      <c r="U89" s="347"/>
      <c r="V89" s="346"/>
      <c r="W89" s="347"/>
      <c r="X89" s="346"/>
      <c r="Y89" s="347"/>
      <c r="Z89" s="1127"/>
    </row>
    <row r="90" spans="1:26">
      <c r="A90" s="344"/>
      <c r="B90" s="346"/>
      <c r="C90" s="346"/>
      <c r="D90" s="346"/>
      <c r="E90" s="347"/>
      <c r="F90" s="346"/>
      <c r="G90" s="347"/>
      <c r="H90" s="346"/>
      <c r="I90" s="347"/>
      <c r="J90" s="346"/>
      <c r="K90" s="346"/>
      <c r="L90" s="346"/>
      <c r="M90" s="347"/>
      <c r="N90" s="346"/>
      <c r="O90" s="347"/>
      <c r="P90" s="346"/>
      <c r="Q90" s="347"/>
      <c r="R90" s="346"/>
      <c r="S90" s="347"/>
      <c r="T90" s="346"/>
      <c r="U90" s="347"/>
      <c r="V90" s="346"/>
      <c r="W90" s="347"/>
      <c r="X90" s="346"/>
      <c r="Y90" s="347"/>
      <c r="Z90" s="1127"/>
    </row>
    <row r="91" spans="1:26">
      <c r="A91" s="344"/>
      <c r="B91" s="346"/>
      <c r="C91" s="346"/>
      <c r="D91" s="346"/>
      <c r="E91" s="347"/>
      <c r="F91" s="346"/>
      <c r="G91" s="347"/>
      <c r="H91" s="346"/>
      <c r="I91" s="347"/>
      <c r="J91" s="346"/>
      <c r="K91" s="346"/>
      <c r="L91" s="346"/>
      <c r="M91" s="347"/>
      <c r="N91" s="346"/>
      <c r="O91" s="347"/>
      <c r="P91" s="346"/>
      <c r="Q91" s="347"/>
      <c r="R91" s="346"/>
      <c r="S91" s="347"/>
      <c r="T91" s="346"/>
      <c r="U91" s="347"/>
      <c r="V91" s="346"/>
      <c r="W91" s="347"/>
      <c r="X91" s="346"/>
      <c r="Y91" s="347"/>
      <c r="Z91" s="1127"/>
    </row>
    <row r="92" spans="1:26">
      <c r="A92" s="344"/>
      <c r="B92" s="346"/>
      <c r="C92" s="346"/>
      <c r="D92" s="346"/>
      <c r="E92" s="347"/>
      <c r="F92" s="346"/>
      <c r="G92" s="347"/>
      <c r="H92" s="346"/>
      <c r="I92" s="347"/>
      <c r="J92" s="346"/>
      <c r="K92" s="346"/>
      <c r="L92" s="346"/>
      <c r="M92" s="347"/>
      <c r="N92" s="346"/>
      <c r="O92" s="347"/>
      <c r="P92" s="346"/>
      <c r="Q92" s="347"/>
      <c r="R92" s="346"/>
      <c r="S92" s="347"/>
      <c r="T92" s="346"/>
      <c r="U92" s="347"/>
      <c r="V92" s="346"/>
      <c r="W92" s="347"/>
      <c r="X92" s="346"/>
      <c r="Y92" s="347"/>
      <c r="Z92" s="1127"/>
    </row>
    <row r="93" spans="1:26">
      <c r="A93" s="344"/>
      <c r="B93" s="346"/>
      <c r="C93" s="346"/>
      <c r="D93" s="346"/>
      <c r="E93" s="347"/>
      <c r="F93" s="346"/>
      <c r="G93" s="347"/>
      <c r="H93" s="346"/>
      <c r="I93" s="347"/>
      <c r="J93" s="346"/>
      <c r="K93" s="346"/>
      <c r="L93" s="346"/>
      <c r="M93" s="347"/>
      <c r="N93" s="346"/>
      <c r="O93" s="347"/>
      <c r="P93" s="346"/>
      <c r="Q93" s="347"/>
      <c r="R93" s="346"/>
      <c r="S93" s="347"/>
      <c r="T93" s="346"/>
      <c r="U93" s="347"/>
      <c r="V93" s="346"/>
      <c r="W93" s="347"/>
      <c r="X93" s="346"/>
      <c r="Y93" s="347"/>
      <c r="Z93" s="1127"/>
    </row>
    <row r="94" spans="1:26">
      <c r="A94" s="344"/>
      <c r="B94" s="346"/>
      <c r="C94" s="346"/>
      <c r="D94" s="346"/>
      <c r="E94" s="347"/>
      <c r="F94" s="346"/>
      <c r="G94" s="347"/>
      <c r="H94" s="346"/>
      <c r="I94" s="347"/>
      <c r="J94" s="346"/>
      <c r="K94" s="346"/>
      <c r="L94" s="346"/>
      <c r="M94" s="347"/>
      <c r="N94" s="346"/>
      <c r="O94" s="347"/>
      <c r="P94" s="346"/>
      <c r="Q94" s="347"/>
      <c r="R94" s="346"/>
      <c r="S94" s="347"/>
      <c r="T94" s="346"/>
      <c r="U94" s="347"/>
      <c r="V94" s="346"/>
      <c r="W94" s="347"/>
      <c r="X94" s="346"/>
      <c r="Y94" s="347"/>
      <c r="Z94" s="1127"/>
    </row>
    <row r="95" spans="1:26">
      <c r="A95" s="344"/>
      <c r="B95" s="346"/>
      <c r="C95" s="346"/>
      <c r="D95" s="346"/>
      <c r="E95" s="347"/>
      <c r="F95" s="346"/>
      <c r="G95" s="347"/>
      <c r="H95" s="346"/>
      <c r="I95" s="347"/>
      <c r="J95" s="346"/>
      <c r="K95" s="346"/>
      <c r="L95" s="346"/>
      <c r="M95" s="347"/>
      <c r="N95" s="346"/>
      <c r="O95" s="347"/>
      <c r="P95" s="346"/>
      <c r="Q95" s="347"/>
      <c r="R95" s="346"/>
      <c r="S95" s="347"/>
      <c r="T95" s="346"/>
      <c r="U95" s="347"/>
      <c r="V95" s="346"/>
      <c r="W95" s="347"/>
      <c r="X95" s="346"/>
      <c r="Y95" s="347"/>
      <c r="Z95" s="1127"/>
    </row>
  </sheetData>
  <printOptions horizontalCentered="1"/>
  <pageMargins left="0.25" right="0.25" top="0.5" bottom="0.25" header="0" footer="0.25"/>
  <pageSetup scale="38" firstPageNumber="4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84375" defaultRowHeight="12.5"/>
  <cols>
    <col min="1" max="1" width="54.84375" style="664" customWidth="1"/>
    <col min="2" max="2" width="22.07421875" style="664" customWidth="1"/>
    <col min="3" max="3" width="24.84375" style="664" customWidth="1"/>
    <col min="4" max="4" width="30.84375" style="664" customWidth="1"/>
    <col min="5" max="5" width="2" style="664" customWidth="1"/>
    <col min="6" max="6" width="13" style="1224" bestFit="1" customWidth="1"/>
    <col min="7" max="16384" width="8.84375" style="664"/>
  </cols>
  <sheetData>
    <row r="1" spans="1:6">
      <c r="A1" s="1742" t="s">
        <v>868</v>
      </c>
      <c r="B1" s="1040"/>
      <c r="C1" s="1040"/>
      <c r="D1" s="1040"/>
      <c r="E1" s="665"/>
    </row>
    <row r="2" spans="1:6">
      <c r="A2" s="1743"/>
      <c r="B2" s="1040"/>
      <c r="C2" s="1040"/>
      <c r="D2" s="985"/>
      <c r="E2" s="665"/>
    </row>
    <row r="3" spans="1:6" s="457" customFormat="1" ht="15.5">
      <c r="A3" s="459" t="s">
        <v>482</v>
      </c>
      <c r="B3" s="1040"/>
      <c r="C3" s="1040"/>
      <c r="D3" s="1853" t="s">
        <v>483</v>
      </c>
      <c r="E3" s="1720"/>
      <c r="F3" s="1225"/>
    </row>
    <row r="4" spans="1:6" s="457" customFormat="1" ht="15.5">
      <c r="A4" s="459" t="s">
        <v>484</v>
      </c>
      <c r="B4" s="1040"/>
      <c r="C4" s="1040"/>
      <c r="D4" s="1040"/>
      <c r="E4" s="1720"/>
      <c r="F4" s="1225"/>
    </row>
    <row r="5" spans="1:6" s="457" customFormat="1" ht="15.5">
      <c r="A5" s="459" t="s">
        <v>485</v>
      </c>
      <c r="B5" s="1040"/>
      <c r="C5" s="1040"/>
      <c r="D5" s="1040"/>
      <c r="E5" s="1720"/>
      <c r="F5" s="1225"/>
    </row>
    <row r="6" spans="1:6" s="457" customFormat="1" ht="15.5">
      <c r="A6" s="1016" t="str">
        <f>'HCRA '!A6</f>
        <v xml:space="preserve">FISCAL YEAR 2022-2023   </v>
      </c>
      <c r="B6" s="1040"/>
      <c r="C6" s="1040"/>
      <c r="D6" s="1040"/>
      <c r="E6" s="1720"/>
      <c r="F6" s="1225"/>
    </row>
    <row r="7" spans="1:6" ht="13">
      <c r="A7" s="1016"/>
      <c r="B7" s="1040"/>
      <c r="C7" s="1040"/>
      <c r="D7" s="1040"/>
      <c r="E7" s="665"/>
    </row>
    <row r="8" spans="1:6" ht="27" customHeight="1">
      <c r="A8" s="1938" t="s">
        <v>486</v>
      </c>
      <c r="B8" s="1938" t="s">
        <v>1198</v>
      </c>
      <c r="C8" s="1938" t="s">
        <v>182</v>
      </c>
      <c r="D8" s="1939" t="s">
        <v>1568</v>
      </c>
      <c r="E8" s="1721"/>
    </row>
    <row r="9" spans="1:6" s="457" customFormat="1" ht="13">
      <c r="A9" s="1964" t="s">
        <v>487</v>
      </c>
      <c r="B9" s="1990">
        <v>8145000</v>
      </c>
      <c r="C9" s="1990">
        <v>462804.22</v>
      </c>
      <c r="D9" s="1990">
        <v>3462999.87</v>
      </c>
      <c r="E9" s="1073"/>
      <c r="F9" s="1225"/>
    </row>
    <row r="10" spans="1:6" s="457" customFormat="1" ht="15.5">
      <c r="A10" s="1946" t="s">
        <v>1199</v>
      </c>
      <c r="B10" s="587">
        <v>8145000</v>
      </c>
      <c r="C10" s="587">
        <v>462804.22</v>
      </c>
      <c r="D10" s="587">
        <v>3462999.87</v>
      </c>
      <c r="E10" s="1722"/>
      <c r="F10" s="1225"/>
    </row>
    <row r="11" spans="1:6" s="457" customFormat="1" ht="13">
      <c r="A11" s="1964" t="s">
        <v>488</v>
      </c>
      <c r="B11" s="1965">
        <v>2207380000</v>
      </c>
      <c r="C11" s="1965">
        <v>97833340.370000005</v>
      </c>
      <c r="D11" s="1965">
        <v>763711940.10000002</v>
      </c>
      <c r="E11" s="1073"/>
      <c r="F11" s="1225"/>
    </row>
    <row r="12" spans="1:6" s="457" customFormat="1">
      <c r="A12" s="1946" t="s">
        <v>1200</v>
      </c>
      <c r="B12" s="587">
        <v>2207380000</v>
      </c>
      <c r="C12" s="587">
        <v>97833340.370000005</v>
      </c>
      <c r="D12" s="587">
        <v>763711940.10000002</v>
      </c>
      <c r="E12" s="1073"/>
      <c r="F12" s="1225"/>
    </row>
    <row r="13" spans="1:6" s="457" customFormat="1" ht="13">
      <c r="A13" s="1964" t="s">
        <v>1101</v>
      </c>
      <c r="B13" s="1965">
        <v>327547000</v>
      </c>
      <c r="C13" s="1965">
        <v>10153752.18</v>
      </c>
      <c r="D13" s="1965">
        <v>103477403.11999999</v>
      </c>
      <c r="E13" s="1073"/>
      <c r="F13" s="1225"/>
    </row>
    <row r="14" spans="1:6" s="457" customFormat="1">
      <c r="A14" s="1946" t="s">
        <v>1201</v>
      </c>
      <c r="B14" s="587">
        <v>327547000</v>
      </c>
      <c r="C14" s="587">
        <v>10153752.18</v>
      </c>
      <c r="D14" s="587">
        <v>103477403.11999999</v>
      </c>
      <c r="E14" s="1073"/>
      <c r="F14" s="1225"/>
    </row>
    <row r="15" spans="1:6" s="457" customFormat="1" ht="13">
      <c r="A15" s="1964" t="s">
        <v>489</v>
      </c>
      <c r="B15" s="1965">
        <v>1715111059.03</v>
      </c>
      <c r="C15" s="1965">
        <v>184822882.59999999</v>
      </c>
      <c r="D15" s="1965">
        <v>441578917.93000001</v>
      </c>
      <c r="E15" s="1073"/>
      <c r="F15" s="1225"/>
    </row>
    <row r="16" spans="1:6" s="457" customFormat="1">
      <c r="A16" s="1946" t="s">
        <v>1202</v>
      </c>
      <c r="B16" s="587">
        <v>123150000</v>
      </c>
      <c r="C16" s="587">
        <v>20000000</v>
      </c>
      <c r="D16" s="587">
        <v>40000000</v>
      </c>
      <c r="E16" s="1073"/>
      <c r="F16" s="1225"/>
    </row>
    <row r="17" spans="1:6" s="457" customFormat="1" ht="13">
      <c r="A17" s="1964" t="s">
        <v>1203</v>
      </c>
      <c r="B17" s="1965">
        <v>3537000</v>
      </c>
      <c r="C17" s="1965">
        <v>0</v>
      </c>
      <c r="D17" s="1965">
        <v>0</v>
      </c>
      <c r="E17" s="1073"/>
      <c r="F17" s="1225"/>
    </row>
    <row r="18" spans="1:6" s="457" customFormat="1">
      <c r="A18" s="1946" t="s">
        <v>1204</v>
      </c>
      <c r="B18" s="587">
        <v>3862000</v>
      </c>
      <c r="C18" s="587">
        <v>1020482.65</v>
      </c>
      <c r="D18" s="587">
        <v>1020482.65</v>
      </c>
      <c r="E18" s="1073"/>
      <c r="F18" s="1225"/>
    </row>
    <row r="19" spans="1:6" s="457" customFormat="1">
      <c r="A19" s="1946" t="s">
        <v>1205</v>
      </c>
      <c r="B19" s="587">
        <v>33700000</v>
      </c>
      <c r="C19" s="587">
        <v>1956779.67</v>
      </c>
      <c r="D19" s="587">
        <v>3947129.06</v>
      </c>
      <c r="E19" s="1073"/>
      <c r="F19" s="1225"/>
    </row>
    <row r="20" spans="1:6" s="457" customFormat="1">
      <c r="A20" s="1946" t="s">
        <v>1206</v>
      </c>
      <c r="B20" s="587">
        <v>108800000</v>
      </c>
      <c r="C20" s="587">
        <v>54400000</v>
      </c>
      <c r="D20" s="587">
        <v>54400000</v>
      </c>
      <c r="E20" s="1073"/>
      <c r="F20" s="1225"/>
    </row>
    <row r="21" spans="1:6" s="457" customFormat="1">
      <c r="A21" s="1946" t="s">
        <v>1207</v>
      </c>
      <c r="B21" s="587">
        <v>5560000</v>
      </c>
      <c r="C21" s="587">
        <v>0</v>
      </c>
      <c r="D21" s="587">
        <v>348438.77</v>
      </c>
      <c r="E21" s="1073"/>
      <c r="F21" s="1225"/>
    </row>
    <row r="22" spans="1:6" s="457" customFormat="1">
      <c r="A22" s="1946" t="s">
        <v>1208</v>
      </c>
      <c r="B22" s="587">
        <v>10335000</v>
      </c>
      <c r="C22" s="587">
        <v>0</v>
      </c>
      <c r="D22" s="587">
        <v>3444996</v>
      </c>
      <c r="E22" s="1073"/>
      <c r="F22" s="1225"/>
    </row>
    <row r="23" spans="1:6" s="457" customFormat="1">
      <c r="A23" s="1946" t="s">
        <v>1209</v>
      </c>
      <c r="B23" s="587">
        <v>14160000</v>
      </c>
      <c r="C23" s="587">
        <v>68195.5</v>
      </c>
      <c r="D23" s="587">
        <v>656426.51</v>
      </c>
      <c r="E23" s="1073"/>
      <c r="F23" s="1225"/>
    </row>
    <row r="24" spans="1:6" s="457" customFormat="1">
      <c r="A24" s="1946" t="s">
        <v>1210</v>
      </c>
      <c r="B24" s="587">
        <v>58800000</v>
      </c>
      <c r="C24" s="587">
        <v>0</v>
      </c>
      <c r="D24" s="587">
        <v>19600000</v>
      </c>
      <c r="E24" s="1073"/>
      <c r="F24" s="1225"/>
    </row>
    <row r="25" spans="1:6" s="457" customFormat="1">
      <c r="A25" s="1946" t="s">
        <v>1211</v>
      </c>
      <c r="B25" s="587">
        <v>18320000</v>
      </c>
      <c r="C25" s="587">
        <v>0</v>
      </c>
      <c r="D25" s="587">
        <v>0</v>
      </c>
      <c r="E25" s="1073"/>
      <c r="F25" s="1225"/>
    </row>
    <row r="26" spans="1:6" s="457" customFormat="1">
      <c r="A26" s="1946" t="s">
        <v>1212</v>
      </c>
      <c r="B26" s="587">
        <v>7644000</v>
      </c>
      <c r="C26" s="587">
        <v>0</v>
      </c>
      <c r="D26" s="587">
        <v>375546.43</v>
      </c>
      <c r="E26" s="1073"/>
      <c r="F26" s="1225"/>
    </row>
    <row r="27" spans="1:6" s="457" customFormat="1">
      <c r="A27" s="1946" t="s">
        <v>1213</v>
      </c>
      <c r="B27" s="587">
        <v>208000000</v>
      </c>
      <c r="C27" s="587">
        <v>104000000</v>
      </c>
      <c r="D27" s="587">
        <v>156000000</v>
      </c>
      <c r="E27" s="665"/>
      <c r="F27" s="1225"/>
    </row>
    <row r="28" spans="1:6" s="457" customFormat="1">
      <c r="A28" s="1946" t="s">
        <v>1473</v>
      </c>
      <c r="B28" s="587">
        <v>2500000</v>
      </c>
      <c r="C28" s="587">
        <v>0</v>
      </c>
      <c r="D28" s="587">
        <v>0</v>
      </c>
      <c r="E28" s="665"/>
      <c r="F28" s="1225"/>
    </row>
    <row r="29" spans="1:6">
      <c r="A29" s="1946" t="s">
        <v>1474</v>
      </c>
      <c r="B29" s="587">
        <v>20000000</v>
      </c>
      <c r="C29" s="587">
        <v>0</v>
      </c>
      <c r="D29" s="587">
        <v>0</v>
      </c>
      <c r="E29" s="665"/>
    </row>
    <row r="30" spans="1:6">
      <c r="A30" s="1946" t="s">
        <v>1214</v>
      </c>
      <c r="B30" s="587">
        <v>3300000</v>
      </c>
      <c r="C30" s="587">
        <v>252931.91</v>
      </c>
      <c r="D30" s="587">
        <v>975594.51</v>
      </c>
      <c r="E30" s="665"/>
    </row>
    <row r="31" spans="1:6">
      <c r="A31" s="1946" t="s">
        <v>1215</v>
      </c>
      <c r="B31" s="587">
        <v>309300000</v>
      </c>
      <c r="C31" s="587">
        <v>0</v>
      </c>
      <c r="D31" s="587">
        <v>78499991</v>
      </c>
      <c r="E31" s="665"/>
    </row>
    <row r="32" spans="1:6">
      <c r="A32" s="1946" t="s">
        <v>1216</v>
      </c>
      <c r="B32" s="587">
        <v>52122000</v>
      </c>
      <c r="C32" s="587">
        <v>2293138.5</v>
      </c>
      <c r="D32" s="587">
        <v>4699854.3100000005</v>
      </c>
      <c r="E32" s="665"/>
    </row>
    <row r="33" spans="1:5" ht="13">
      <c r="A33" s="1946" t="s">
        <v>1217</v>
      </c>
      <c r="B33" s="587">
        <v>1461000</v>
      </c>
      <c r="C33" s="587">
        <v>0</v>
      </c>
      <c r="D33" s="587">
        <v>487000</v>
      </c>
      <c r="E33" s="1723"/>
    </row>
    <row r="34" spans="1:5">
      <c r="A34" s="1946" t="s">
        <v>1218</v>
      </c>
      <c r="B34" s="587">
        <v>11120000</v>
      </c>
      <c r="C34" s="587">
        <v>0</v>
      </c>
      <c r="D34" s="587">
        <v>1652944.83</v>
      </c>
      <c r="E34" s="665"/>
    </row>
    <row r="35" spans="1:5">
      <c r="A35" s="1946" t="s">
        <v>1219</v>
      </c>
      <c r="B35" s="587">
        <v>7950000</v>
      </c>
      <c r="C35" s="587">
        <v>0</v>
      </c>
      <c r="D35" s="587">
        <v>2525479.5</v>
      </c>
      <c r="E35" s="665"/>
    </row>
    <row r="36" spans="1:5">
      <c r="A36" s="1946" t="s">
        <v>1220</v>
      </c>
      <c r="B36" s="587">
        <v>144889000</v>
      </c>
      <c r="C36" s="587">
        <v>0</v>
      </c>
      <c r="D36" s="587">
        <v>55463000</v>
      </c>
      <c r="E36" s="665"/>
    </row>
    <row r="37" spans="1:5">
      <c r="A37" s="1946" t="s">
        <v>1259</v>
      </c>
      <c r="B37" s="587">
        <v>50000</v>
      </c>
      <c r="C37" s="587">
        <v>0</v>
      </c>
      <c r="D37" s="587">
        <v>0</v>
      </c>
      <c r="E37" s="665"/>
    </row>
    <row r="38" spans="1:5">
      <c r="A38" s="1946" t="s">
        <v>1221</v>
      </c>
      <c r="B38" s="587">
        <v>15950000</v>
      </c>
      <c r="C38" s="587">
        <v>0</v>
      </c>
      <c r="D38" s="587">
        <v>0</v>
      </c>
      <c r="E38" s="665"/>
    </row>
    <row r="39" spans="1:5">
      <c r="A39" s="1946" t="s">
        <v>1331</v>
      </c>
      <c r="B39" s="587">
        <v>28229600</v>
      </c>
      <c r="C39" s="587">
        <v>831354.37</v>
      </c>
      <c r="D39" s="587">
        <v>10075799.75</v>
      </c>
      <c r="E39" s="665"/>
    </row>
    <row r="40" spans="1:5">
      <c r="A40" s="1946" t="s">
        <v>1339</v>
      </c>
      <c r="B40" s="587">
        <v>2200400</v>
      </c>
      <c r="C40" s="587">
        <v>0</v>
      </c>
      <c r="D40" s="587">
        <v>1061234.6100000001</v>
      </c>
      <c r="E40" s="665"/>
    </row>
    <row r="41" spans="1:5">
      <c r="A41" s="1946" t="s">
        <v>1222</v>
      </c>
      <c r="B41" s="587">
        <v>11610000</v>
      </c>
      <c r="C41" s="587">
        <v>0</v>
      </c>
      <c r="D41" s="587">
        <v>0</v>
      </c>
      <c r="E41" s="665"/>
    </row>
    <row r="42" spans="1:5">
      <c r="A42" s="1946" t="s">
        <v>1223</v>
      </c>
      <c r="B42" s="587">
        <v>6345000</v>
      </c>
      <c r="C42" s="587">
        <v>0</v>
      </c>
      <c r="D42" s="587">
        <v>2115000</v>
      </c>
      <c r="E42" s="665"/>
    </row>
    <row r="43" spans="1:5">
      <c r="A43" s="1946" t="s">
        <v>1224</v>
      </c>
      <c r="B43" s="587">
        <v>12690000</v>
      </c>
      <c r="C43" s="587">
        <v>0</v>
      </c>
      <c r="D43" s="587">
        <v>4230000</v>
      </c>
      <c r="E43" s="665"/>
    </row>
    <row r="44" spans="1:5">
      <c r="A44" s="1946" t="s">
        <v>1225</v>
      </c>
      <c r="B44" s="587">
        <v>489526059.02999997</v>
      </c>
      <c r="C44" s="587">
        <v>0</v>
      </c>
      <c r="D44" s="587">
        <v>0</v>
      </c>
      <c r="E44" s="665"/>
    </row>
    <row r="45" spans="1:5" ht="13">
      <c r="A45" s="1964" t="s">
        <v>490</v>
      </c>
      <c r="B45" s="1965">
        <v>29490431000</v>
      </c>
      <c r="C45" s="1965">
        <v>333477908.15999997</v>
      </c>
      <c r="D45" s="1965">
        <v>5206841449.8299999</v>
      </c>
      <c r="E45" s="665"/>
    </row>
    <row r="46" spans="1:5">
      <c r="A46" s="1946" t="s">
        <v>1226</v>
      </c>
      <c r="B46" s="587">
        <v>300000000</v>
      </c>
      <c r="C46" s="587">
        <v>0</v>
      </c>
      <c r="D46" s="587">
        <v>44300000</v>
      </c>
      <c r="E46" s="665"/>
    </row>
    <row r="47" spans="1:5">
      <c r="A47" s="1946" t="s">
        <v>1227</v>
      </c>
      <c r="B47" s="587">
        <v>4037400000</v>
      </c>
      <c r="C47" s="587">
        <v>82632908.159999996</v>
      </c>
      <c r="D47" s="587">
        <v>656296449.83000004</v>
      </c>
      <c r="E47" s="665"/>
    </row>
    <row r="48" spans="1:5">
      <c r="A48" s="1946" t="s">
        <v>1228</v>
      </c>
      <c r="B48" s="587">
        <v>24169831000</v>
      </c>
      <c r="C48" s="587">
        <v>250845000</v>
      </c>
      <c r="D48" s="587">
        <v>4375845000</v>
      </c>
      <c r="E48" s="665"/>
    </row>
    <row r="49" spans="1:6">
      <c r="A49" s="1946" t="s">
        <v>1229</v>
      </c>
      <c r="B49" s="587">
        <v>916000000</v>
      </c>
      <c r="C49" s="587">
        <v>0</v>
      </c>
      <c r="D49" s="587">
        <v>120500000</v>
      </c>
      <c r="E49" s="665"/>
    </row>
    <row r="50" spans="1:6">
      <c r="A50" s="1946" t="s">
        <v>1230</v>
      </c>
      <c r="B50" s="587">
        <v>67200000</v>
      </c>
      <c r="C50" s="587">
        <v>0</v>
      </c>
      <c r="D50" s="587">
        <v>9900000</v>
      </c>
      <c r="E50" s="665"/>
    </row>
    <row r="51" spans="1:6" ht="13">
      <c r="A51" s="1964" t="s">
        <v>1245</v>
      </c>
      <c r="B51" s="1965">
        <v>80008000</v>
      </c>
      <c r="C51" s="1965">
        <v>9538736.4499999993</v>
      </c>
      <c r="D51" s="1965">
        <v>35070613.869999997</v>
      </c>
      <c r="E51" s="665"/>
    </row>
    <row r="52" spans="1:6">
      <c r="A52" s="1946" t="s">
        <v>1246</v>
      </c>
      <c r="B52" s="587">
        <v>80008000</v>
      </c>
      <c r="C52" s="587">
        <v>9538736.4499999993</v>
      </c>
      <c r="D52" s="587">
        <v>35070613.869999997</v>
      </c>
      <c r="E52" s="665"/>
    </row>
    <row r="53" spans="1:6" ht="13">
      <c r="A53" s="1964" t="s">
        <v>491</v>
      </c>
      <c r="B53" s="1965">
        <v>1834000</v>
      </c>
      <c r="C53" s="1965">
        <v>0</v>
      </c>
      <c r="D53" s="1965">
        <v>0</v>
      </c>
      <c r="E53" s="665"/>
    </row>
    <row r="54" spans="1:6">
      <c r="A54" s="1946" t="s">
        <v>1231</v>
      </c>
      <c r="B54" s="587">
        <v>1834000</v>
      </c>
      <c r="C54" s="587">
        <v>0</v>
      </c>
      <c r="D54" s="587">
        <v>0</v>
      </c>
      <c r="E54" s="665"/>
    </row>
    <row r="55" spans="1:6" ht="13">
      <c r="A55" s="1964" t="s">
        <v>492</v>
      </c>
      <c r="B55" s="1965">
        <v>46036255</v>
      </c>
      <c r="C55" s="1965">
        <v>1407745.16</v>
      </c>
      <c r="D55" s="1965">
        <v>12980401.029999999</v>
      </c>
      <c r="E55" s="665"/>
    </row>
    <row r="56" spans="1:6">
      <c r="A56" s="1946" t="s">
        <v>1232</v>
      </c>
      <c r="B56" s="587">
        <v>46036255</v>
      </c>
      <c r="C56" s="587">
        <v>1407745.16</v>
      </c>
      <c r="D56" s="587">
        <v>12980401.029999999</v>
      </c>
      <c r="E56" s="665"/>
    </row>
    <row r="57" spans="1:6" ht="13">
      <c r="A57" s="1964" t="s">
        <v>1140</v>
      </c>
      <c r="B57" s="1965">
        <v>8190000</v>
      </c>
      <c r="C57" s="1965">
        <v>616784.36</v>
      </c>
      <c r="D57" s="1965">
        <v>4139007.51</v>
      </c>
      <c r="E57" s="665"/>
    </row>
    <row r="58" spans="1:6">
      <c r="A58" s="1946" t="s">
        <v>1140</v>
      </c>
      <c r="B58" s="587">
        <v>8190000</v>
      </c>
      <c r="C58" s="587">
        <v>616784.36</v>
      </c>
      <c r="D58" s="587">
        <v>4139007.51</v>
      </c>
      <c r="E58" s="665"/>
    </row>
    <row r="59" spans="1:6" ht="13">
      <c r="A59" s="2048" t="s">
        <v>532</v>
      </c>
      <c r="B59" s="2050">
        <v>33884682314.029999</v>
      </c>
      <c r="C59" s="2050">
        <v>638313953.5</v>
      </c>
      <c r="D59" s="2050">
        <v>6571262733.2600021</v>
      </c>
      <c r="E59" s="665"/>
    </row>
    <row r="60" spans="1:6" ht="15" customHeight="1">
      <c r="A60" s="1950" t="s">
        <v>493</v>
      </c>
      <c r="B60" s="2049"/>
      <c r="C60" s="1940">
        <v>-403697.29</v>
      </c>
      <c r="D60" s="1940">
        <v>-4144363.81</v>
      </c>
      <c r="E60" s="665"/>
      <c r="F60" s="1224" t="s">
        <v>14</v>
      </c>
    </row>
    <row r="61" spans="1:6" ht="15.65" customHeight="1">
      <c r="A61" s="1950" t="s">
        <v>1184</v>
      </c>
      <c r="B61" s="2049"/>
      <c r="C61" s="1940">
        <v>0</v>
      </c>
      <c r="D61" s="1940">
        <v>-919100</v>
      </c>
      <c r="E61" s="665"/>
    </row>
    <row r="62" spans="1:6" ht="12.75" customHeight="1">
      <c r="A62" s="1950" t="s">
        <v>1185</v>
      </c>
      <c r="B62" s="1940"/>
      <c r="C62" s="1940">
        <v>0</v>
      </c>
      <c r="D62" s="1940">
        <v>-287083</v>
      </c>
      <c r="E62" s="1724"/>
    </row>
    <row r="63" spans="1:6">
      <c r="A63" s="1950" t="s">
        <v>494</v>
      </c>
      <c r="B63" s="1940"/>
      <c r="C63" s="1940">
        <v>604.88</v>
      </c>
      <c r="D63" s="1940">
        <v>-3944.35</v>
      </c>
      <c r="E63" s="665"/>
    </row>
    <row r="64" spans="1:6" ht="13.5" thickBot="1">
      <c r="A64" s="1941" t="s">
        <v>1233</v>
      </c>
      <c r="B64" s="1960">
        <v>33884682314.029999</v>
      </c>
      <c r="C64" s="1960">
        <v>637910861.09000003</v>
      </c>
      <c r="D64" s="1960">
        <v>6565908242.1000013</v>
      </c>
      <c r="E64" s="665"/>
    </row>
    <row r="65" spans="1:5" ht="13" thickTop="1">
      <c r="A65" s="1040"/>
      <c r="B65" s="1940"/>
      <c r="C65" s="1940"/>
      <c r="D65" s="1940"/>
      <c r="E65" s="665"/>
    </row>
    <row r="66" spans="1:5">
      <c r="A66" s="1942" t="s">
        <v>1475</v>
      </c>
      <c r="B66" s="1040"/>
      <c r="C66" s="1040"/>
      <c r="D66" s="1040"/>
      <c r="E66" s="665"/>
    </row>
    <row r="67" spans="1:5">
      <c r="A67" s="1942" t="s">
        <v>867</v>
      </c>
      <c r="B67" s="1040"/>
      <c r="C67" s="1040"/>
      <c r="D67" s="1040"/>
      <c r="E67" s="665"/>
    </row>
    <row r="68" spans="1:5" ht="13.4" customHeight="1">
      <c r="A68" s="1943" t="s">
        <v>839</v>
      </c>
      <c r="B68" s="1040"/>
      <c r="C68" s="1040"/>
      <c r="D68" s="1040"/>
    </row>
    <row r="69" spans="1:5" ht="12.75" customHeight="1">
      <c r="A69" s="1944" t="s">
        <v>840</v>
      </c>
      <c r="B69" s="1040"/>
      <c r="C69" s="1040"/>
      <c r="D69" s="1945"/>
    </row>
    <row r="70" spans="1:5">
      <c r="A70" s="1944" t="s">
        <v>841</v>
      </c>
      <c r="B70" s="1040"/>
      <c r="C70" s="1040"/>
      <c r="D70" s="1940"/>
    </row>
    <row r="71" spans="1:5">
      <c r="B71" s="666"/>
      <c r="C71" s="666"/>
    </row>
    <row r="72" spans="1:5">
      <c r="C72" s="1940"/>
      <c r="D72" s="1940"/>
    </row>
    <row r="73" spans="1:5">
      <c r="C73" s="1940"/>
      <c r="D73" s="1940"/>
    </row>
    <row r="74" spans="1:5">
      <c r="C74" s="1940"/>
      <c r="D74" s="1940"/>
    </row>
    <row r="75" spans="1:5">
      <c r="C75" s="2106"/>
      <c r="D75" s="2106"/>
    </row>
    <row r="76" spans="1:5" ht="12.75" customHeight="1">
      <c r="C76" s="1940"/>
      <c r="D76" s="1940"/>
    </row>
    <row r="77" spans="1:5" ht="12.75" customHeight="1">
      <c r="C77" s="1940" t="s">
        <v>14</v>
      </c>
    </row>
    <row r="78" spans="1:5" ht="12.75" customHeight="1"/>
  </sheetData>
  <printOptions horizontalCentered="1"/>
  <pageMargins left="0.5" right="0.25" top="0.5" bottom="0.25" header="0.5" footer="0.25"/>
  <pageSetup scale="55" firstPageNumber="49"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S55"/>
  <sheetViews>
    <sheetView showGridLines="0" zoomScale="90" workbookViewId="0"/>
  </sheetViews>
  <sheetFormatPr defaultColWidth="8.84375" defaultRowHeight="15" customHeight="1"/>
  <cols>
    <col min="1" max="1" width="55.07421875" style="844" customWidth="1"/>
    <col min="2" max="2" width="4.84375" style="844" customWidth="1"/>
    <col min="3" max="3" width="1.84375" style="845" customWidth="1"/>
    <col min="4" max="4" width="21" style="845" customWidth="1"/>
    <col min="5" max="5" width="1.84375" style="845" customWidth="1"/>
    <col min="6" max="6" width="21" style="845" customWidth="1"/>
    <col min="7" max="7" width="1.84375" style="845" customWidth="1"/>
    <col min="8" max="8" width="21" style="845" customWidth="1"/>
    <col min="9" max="9" width="2.4609375" style="845" customWidth="1"/>
    <col min="10" max="10" width="21" style="845" customWidth="1"/>
    <col min="11" max="11" width="2.4609375" style="845" customWidth="1"/>
    <col min="12" max="12" width="21" style="845" customWidth="1"/>
    <col min="13" max="13" width="2.4609375" style="845" customWidth="1"/>
    <col min="14" max="14" width="21" style="845" customWidth="1"/>
    <col min="15" max="16" width="1.84375" style="845" customWidth="1"/>
    <col min="17" max="17" width="20.07421875" style="845" customWidth="1"/>
    <col min="18" max="18" width="8.84375" style="845"/>
    <col min="19" max="19" width="20.84375" style="844" customWidth="1"/>
    <col min="20" max="16384" width="8.84375" style="844"/>
  </cols>
  <sheetData>
    <row r="1" spans="1:19" ht="15" customHeight="1">
      <c r="A1" s="468" t="s">
        <v>868</v>
      </c>
    </row>
    <row r="2" spans="1:19" ht="15" customHeight="1">
      <c r="A2" s="867"/>
    </row>
    <row r="3" spans="1:19" ht="15" customHeight="1">
      <c r="Q3" s="910" t="s">
        <v>495</v>
      </c>
    </row>
    <row r="4" spans="1:19" ht="19.5" customHeight="1">
      <c r="A4" s="911" t="s">
        <v>482</v>
      </c>
      <c r="B4" s="859"/>
      <c r="C4" s="859"/>
      <c r="D4" s="859"/>
      <c r="E4" s="859"/>
      <c r="F4" s="859"/>
      <c r="G4" s="859"/>
      <c r="H4" s="859"/>
      <c r="I4" s="859"/>
      <c r="J4" s="859"/>
      <c r="K4" s="859"/>
      <c r="L4" s="859"/>
      <c r="M4" s="859"/>
      <c r="N4" s="859"/>
      <c r="O4" s="859"/>
      <c r="P4" s="912"/>
      <c r="Q4" s="912"/>
    </row>
    <row r="5" spans="1:19" ht="19.5" customHeight="1">
      <c r="A5" s="911" t="s">
        <v>785</v>
      </c>
      <c r="B5" s="911"/>
      <c r="C5" s="911"/>
      <c r="D5" s="911"/>
      <c r="E5" s="911"/>
      <c r="F5" s="911"/>
      <c r="G5" s="911"/>
      <c r="H5" s="911"/>
      <c r="I5" s="911"/>
      <c r="J5" s="911"/>
      <c r="K5" s="911"/>
      <c r="L5" s="911"/>
      <c r="M5" s="911"/>
      <c r="N5" s="911"/>
      <c r="O5" s="911"/>
      <c r="P5" s="911"/>
      <c r="Q5" s="911"/>
    </row>
    <row r="6" spans="1:19" ht="19.5" customHeight="1">
      <c r="A6" s="911" t="str">
        <f>'HCRA PROG DISB'!A6</f>
        <v xml:space="preserve">FISCAL YEAR 2022-2023   </v>
      </c>
      <c r="B6" s="1228"/>
      <c r="C6" s="1228"/>
      <c r="D6" s="1228"/>
      <c r="E6" s="1228"/>
      <c r="F6" s="1228"/>
      <c r="G6" s="1228"/>
      <c r="H6" s="1228"/>
      <c r="I6" s="1228"/>
      <c r="J6" s="1228"/>
      <c r="K6" s="1228"/>
      <c r="L6" s="1228"/>
      <c r="M6" s="1228"/>
      <c r="N6" s="1228"/>
      <c r="O6" s="1228"/>
      <c r="P6" s="911"/>
      <c r="Q6" s="911"/>
    </row>
    <row r="7" spans="1:19" ht="15" customHeight="1">
      <c r="A7" s="1229"/>
      <c r="B7" s="1229"/>
      <c r="C7" s="1229"/>
      <c r="D7" s="1229"/>
      <c r="E7" s="1229"/>
      <c r="F7" s="1229"/>
      <c r="G7" s="1229"/>
      <c r="H7" s="1229"/>
      <c r="I7" s="1229"/>
      <c r="J7" s="1229"/>
      <c r="K7" s="1229"/>
      <c r="L7" s="1229"/>
      <c r="M7" s="1229"/>
      <c r="N7" s="1229"/>
      <c r="O7" s="1229"/>
      <c r="P7" s="913"/>
      <c r="Q7" s="913"/>
    </row>
    <row r="8" spans="1:19" ht="15" customHeight="1">
      <c r="A8" s="868"/>
      <c r="B8" s="869"/>
      <c r="C8" s="870"/>
      <c r="D8" s="850"/>
      <c r="E8" s="850"/>
      <c r="F8" s="850"/>
      <c r="G8" s="850"/>
      <c r="H8" s="850"/>
      <c r="I8" s="850"/>
      <c r="J8" s="850"/>
      <c r="K8" s="850"/>
      <c r="L8" s="850"/>
      <c r="M8" s="850"/>
      <c r="N8" s="850"/>
      <c r="O8" s="870"/>
      <c r="P8" s="914"/>
      <c r="Q8" s="854"/>
    </row>
    <row r="9" spans="1:19" s="853" customFormat="1" ht="15" customHeight="1">
      <c r="A9" s="851"/>
      <c r="B9" s="851"/>
      <c r="C9" s="1070"/>
      <c r="D9" s="1070" t="s">
        <v>1506</v>
      </c>
      <c r="E9" s="851"/>
      <c r="F9" s="1070" t="s">
        <v>1524</v>
      </c>
      <c r="G9" s="851"/>
      <c r="H9" s="1070" t="s">
        <v>1538</v>
      </c>
      <c r="I9" s="851"/>
      <c r="J9" s="1070">
        <v>2023</v>
      </c>
      <c r="K9" s="851"/>
      <c r="L9" s="1070">
        <v>2023</v>
      </c>
      <c r="M9" s="851"/>
      <c r="N9" s="1070">
        <v>2023</v>
      </c>
      <c r="O9" s="1070"/>
      <c r="P9" s="852"/>
      <c r="Q9" s="852"/>
      <c r="R9" s="852"/>
    </row>
    <row r="10" spans="1:19" ht="15" customHeight="1">
      <c r="C10" s="854"/>
      <c r="D10" s="1234" t="s">
        <v>1507</v>
      </c>
      <c r="E10" s="844"/>
      <c r="F10" s="1234" t="s">
        <v>1525</v>
      </c>
      <c r="G10" s="844"/>
      <c r="H10" s="1234" t="s">
        <v>1539</v>
      </c>
      <c r="I10" s="844"/>
      <c r="J10" s="1234" t="s">
        <v>131</v>
      </c>
      <c r="K10" s="844"/>
      <c r="L10" s="1234" t="s">
        <v>132</v>
      </c>
      <c r="M10" s="844"/>
      <c r="N10" s="1234" t="s">
        <v>182</v>
      </c>
      <c r="O10" s="854"/>
      <c r="Q10" s="854" t="s">
        <v>1465</v>
      </c>
    </row>
    <row r="11" spans="1:19" ht="15" customHeight="1">
      <c r="Q11" s="1180"/>
    </row>
    <row r="12" spans="1:19" s="853" customFormat="1" ht="15" customHeight="1">
      <c r="A12" s="853" t="s">
        <v>460</v>
      </c>
      <c r="C12" s="855"/>
      <c r="D12" s="855">
        <v>374482519.06</v>
      </c>
      <c r="E12" s="855"/>
      <c r="F12" s="855">
        <f>D52</f>
        <v>386716612.81</v>
      </c>
      <c r="G12" s="855"/>
      <c r="H12" s="855">
        <f>F52</f>
        <v>376076293.19</v>
      </c>
      <c r="I12" s="855"/>
      <c r="J12" s="855">
        <f>H52</f>
        <v>398070821.95999998</v>
      </c>
      <c r="K12" s="855"/>
      <c r="L12" s="855">
        <f>J52</f>
        <v>430084803.06999999</v>
      </c>
      <c r="M12" s="855"/>
      <c r="N12" s="855">
        <f>L52</f>
        <v>228468575.11000001</v>
      </c>
      <c r="O12" s="855"/>
      <c r="P12" s="871"/>
      <c r="Q12" s="855">
        <f>D12</f>
        <v>374482519.06</v>
      </c>
      <c r="R12" s="852"/>
    </row>
    <row r="13" spans="1:19" ht="15" customHeight="1">
      <c r="A13" s="853"/>
      <c r="P13" s="872"/>
      <c r="Q13" s="858"/>
    </row>
    <row r="14" spans="1:19" ht="15" customHeight="1">
      <c r="A14" s="853" t="s">
        <v>13</v>
      </c>
      <c r="C14" s="858"/>
      <c r="D14" s="858"/>
      <c r="E14" s="858"/>
      <c r="F14" s="858"/>
      <c r="G14" s="858"/>
      <c r="H14" s="858"/>
      <c r="I14" s="858"/>
      <c r="J14" s="858"/>
      <c r="K14" s="858"/>
      <c r="L14" s="858"/>
      <c r="M14" s="858"/>
      <c r="N14" s="858"/>
      <c r="O14" s="858"/>
      <c r="P14" s="873"/>
      <c r="Q14" s="858"/>
    </row>
    <row r="15" spans="1:19" ht="15" customHeight="1">
      <c r="A15" s="844" t="s">
        <v>497</v>
      </c>
      <c r="C15" s="858"/>
      <c r="D15" s="858">
        <v>1027554467.9400001</v>
      </c>
      <c r="E15" s="858"/>
      <c r="F15" s="858">
        <v>1044913678.5599999</v>
      </c>
      <c r="G15" s="858"/>
      <c r="H15" s="858">
        <v>1021973929.6900001</v>
      </c>
      <c r="I15" s="858"/>
      <c r="J15" s="858">
        <v>355588262.95999998</v>
      </c>
      <c r="K15" s="858"/>
      <c r="L15" s="858">
        <v>201643909.16</v>
      </c>
      <c r="M15" s="858"/>
      <c r="N15" s="858">
        <v>628920861.87</v>
      </c>
      <c r="O15" s="858"/>
      <c r="P15" s="873"/>
      <c r="Q15" s="858">
        <f t="shared" ref="Q15:Q21" si="0">SUM(C15:P15)</f>
        <v>4280595110.1799998</v>
      </c>
      <c r="S15" s="858"/>
    </row>
    <row r="16" spans="1:19" ht="15" customHeight="1">
      <c r="A16" s="844" t="s">
        <v>498</v>
      </c>
      <c r="C16" s="858"/>
      <c r="D16" s="858">
        <v>253636963.09999999</v>
      </c>
      <c r="E16" s="858"/>
      <c r="F16" s="858">
        <v>252482111.53</v>
      </c>
      <c r="G16" s="858"/>
      <c r="H16" s="858">
        <v>241469331.55000001</v>
      </c>
      <c r="I16" s="858"/>
      <c r="J16" s="858">
        <v>103961875.63</v>
      </c>
      <c r="K16" s="858"/>
      <c r="L16" s="858">
        <v>58770241.289999999</v>
      </c>
      <c r="M16" s="858"/>
      <c r="N16" s="858">
        <v>153751453.97000003</v>
      </c>
      <c r="O16" s="858"/>
      <c r="P16" s="873"/>
      <c r="Q16" s="858">
        <f t="shared" si="0"/>
        <v>1064071977.0700001</v>
      </c>
      <c r="S16" s="858"/>
    </row>
    <row r="17" spans="1:19" ht="15" customHeight="1">
      <c r="A17" s="844" t="s">
        <v>499</v>
      </c>
      <c r="C17" s="858"/>
      <c r="D17" s="858">
        <v>27111933.359999999</v>
      </c>
      <c r="E17" s="858"/>
      <c r="F17" s="858">
        <v>26230127.32</v>
      </c>
      <c r="G17" s="858"/>
      <c r="H17" s="858">
        <v>24588829.390000001</v>
      </c>
      <c r="I17" s="858"/>
      <c r="J17" s="858">
        <v>8828283.0099999998</v>
      </c>
      <c r="K17" s="858"/>
      <c r="L17" s="858">
        <v>3344752</v>
      </c>
      <c r="M17" s="858"/>
      <c r="N17" s="858">
        <v>14863737.65</v>
      </c>
      <c r="O17" s="858"/>
      <c r="P17" s="873"/>
      <c r="Q17" s="858">
        <f t="shared" si="0"/>
        <v>104967662.73</v>
      </c>
      <c r="S17" s="858"/>
    </row>
    <row r="18" spans="1:19" ht="15" customHeight="1">
      <c r="A18" s="844" t="s">
        <v>500</v>
      </c>
      <c r="C18" s="858"/>
      <c r="D18" s="858">
        <v>118732367</v>
      </c>
      <c r="E18" s="858"/>
      <c r="F18" s="858">
        <v>111242649</v>
      </c>
      <c r="G18" s="858"/>
      <c r="H18" s="858">
        <v>117634336</v>
      </c>
      <c r="I18" s="858"/>
      <c r="J18" s="858">
        <v>39736320</v>
      </c>
      <c r="K18" s="858"/>
      <c r="L18" s="858">
        <v>39340978</v>
      </c>
      <c r="M18" s="858"/>
      <c r="N18" s="858">
        <v>44242449</v>
      </c>
      <c r="O18" s="858"/>
      <c r="P18" s="873"/>
      <c r="Q18" s="858">
        <f t="shared" si="0"/>
        <v>470929099</v>
      </c>
      <c r="S18" s="858"/>
    </row>
    <row r="19" spans="1:19" ht="15.5">
      <c r="A19" s="844" t="s">
        <v>501</v>
      </c>
      <c r="C19" s="573"/>
      <c r="D19" s="573">
        <v>0</v>
      </c>
      <c r="E19" s="573"/>
      <c r="F19" s="573">
        <v>0</v>
      </c>
      <c r="G19" s="573"/>
      <c r="H19" s="573">
        <v>0</v>
      </c>
      <c r="I19" s="573"/>
      <c r="J19" s="573">
        <v>0</v>
      </c>
      <c r="K19" s="573"/>
      <c r="L19" s="573">
        <v>0</v>
      </c>
      <c r="M19" s="573"/>
      <c r="N19" s="573">
        <v>0</v>
      </c>
      <c r="O19" s="573"/>
      <c r="P19" s="873"/>
      <c r="Q19" s="858">
        <f t="shared" si="0"/>
        <v>0</v>
      </c>
      <c r="S19" s="858"/>
    </row>
    <row r="20" spans="1:19" ht="15" customHeight="1">
      <c r="A20" s="844" t="s">
        <v>502</v>
      </c>
      <c r="C20" s="858"/>
      <c r="D20" s="858">
        <v>25903.38</v>
      </c>
      <c r="E20" s="858"/>
      <c r="F20" s="858">
        <v>356669.88999999996</v>
      </c>
      <c r="G20" s="858"/>
      <c r="H20" s="858">
        <v>649666.60000000009</v>
      </c>
      <c r="I20" s="858"/>
      <c r="J20" s="858">
        <v>370079.71</v>
      </c>
      <c r="K20" s="858"/>
      <c r="L20" s="858">
        <v>311476.89</v>
      </c>
      <c r="M20" s="858"/>
      <c r="N20" s="858">
        <v>556746.34</v>
      </c>
      <c r="O20" s="858"/>
      <c r="P20" s="873"/>
      <c r="Q20" s="858">
        <f t="shared" si="0"/>
        <v>2270542.81</v>
      </c>
      <c r="S20" s="858"/>
    </row>
    <row r="21" spans="1:19" ht="15" customHeight="1">
      <c r="A21" s="844" t="s">
        <v>503</v>
      </c>
      <c r="C21" s="862"/>
      <c r="D21" s="1231">
        <v>-16548574.039999997</v>
      </c>
      <c r="E21" s="862"/>
      <c r="F21" s="1231">
        <v>1461518.1899999976</v>
      </c>
      <c r="G21" s="862"/>
      <c r="H21" s="1233">
        <v>40868683.740000002</v>
      </c>
      <c r="I21" s="862"/>
      <c r="J21" s="1231">
        <v>-5453670.1300000036</v>
      </c>
      <c r="K21" s="862"/>
      <c r="L21" s="1231">
        <v>-854043.82</v>
      </c>
      <c r="M21" s="862"/>
      <c r="N21" s="1231">
        <v>-34602353.730000004</v>
      </c>
      <c r="O21" s="862"/>
      <c r="P21" s="874"/>
      <c r="Q21" s="858">
        <f t="shared" si="0"/>
        <v>-15128439.790000007</v>
      </c>
      <c r="S21" s="858"/>
    </row>
    <row r="22" spans="1:19" s="853" customFormat="1" ht="15.5">
      <c r="A22" s="853" t="s">
        <v>147</v>
      </c>
      <c r="C22" s="876"/>
      <c r="D22" s="1232">
        <f>ROUND(SUM(D15:D21),2)</f>
        <v>1410513060.74</v>
      </c>
      <c r="E22" s="876"/>
      <c r="F22" s="1232">
        <f>ROUND(SUM(F15:F21),2)</f>
        <v>1436686754.49</v>
      </c>
      <c r="G22" s="876"/>
      <c r="H22" s="1232">
        <f>ROUND(SUM(H15:H21),2)</f>
        <v>1447184776.97</v>
      </c>
      <c r="I22" s="876"/>
      <c r="J22" s="1232">
        <f>ROUND(SUM(J15:J21),2)</f>
        <v>503031151.18000001</v>
      </c>
      <c r="K22" s="876"/>
      <c r="L22" s="1232">
        <f>ROUND(SUM(L15:L21),2)</f>
        <v>302557313.51999998</v>
      </c>
      <c r="M22" s="876"/>
      <c r="N22" s="1232">
        <f>ROUND(SUM(N15:N21),2)</f>
        <v>807732895.10000002</v>
      </c>
      <c r="O22" s="876"/>
      <c r="P22" s="875"/>
      <c r="Q22" s="1184">
        <f>ROUND(SUM(Q15:Q21),2)</f>
        <v>5907705952</v>
      </c>
      <c r="R22" s="845"/>
      <c r="S22" s="858"/>
    </row>
    <row r="23" spans="1:19" ht="15" customHeight="1">
      <c r="C23" s="858"/>
      <c r="D23" s="858"/>
      <c r="E23" s="858"/>
      <c r="F23" s="858"/>
      <c r="G23" s="858"/>
      <c r="H23" s="858"/>
      <c r="I23" s="858"/>
      <c r="J23" s="858"/>
      <c r="K23" s="858"/>
      <c r="L23" s="858"/>
      <c r="M23" s="858"/>
      <c r="N23" s="858"/>
      <c r="O23" s="858"/>
      <c r="P23" s="873"/>
      <c r="Q23" s="858"/>
      <c r="S23" s="858"/>
    </row>
    <row r="24" spans="1:19" ht="15" customHeight="1">
      <c r="A24" s="853" t="s">
        <v>835</v>
      </c>
      <c r="C24" s="877"/>
      <c r="D24" s="877"/>
      <c r="E24" s="877"/>
      <c r="F24" s="877"/>
      <c r="G24" s="877"/>
      <c r="H24" s="877"/>
      <c r="I24" s="877"/>
      <c r="J24" s="877"/>
      <c r="K24" s="877"/>
      <c r="L24" s="877"/>
      <c r="M24" s="877"/>
      <c r="N24" s="877"/>
      <c r="O24" s="877"/>
      <c r="P24" s="873"/>
      <c r="Q24" s="858"/>
      <c r="S24" s="858"/>
    </row>
    <row r="25" spans="1:19" ht="15" customHeight="1">
      <c r="A25" s="849" t="s">
        <v>504</v>
      </c>
      <c r="C25" s="858"/>
      <c r="D25" s="858">
        <v>0</v>
      </c>
      <c r="E25" s="858"/>
      <c r="F25" s="858">
        <v>0</v>
      </c>
      <c r="G25" s="858"/>
      <c r="H25" s="858">
        <v>0</v>
      </c>
      <c r="I25" s="858"/>
      <c r="J25" s="858">
        <v>0</v>
      </c>
      <c r="K25" s="858"/>
      <c r="L25" s="858">
        <v>-2400000</v>
      </c>
      <c r="M25" s="858"/>
      <c r="N25" s="858">
        <v>0</v>
      </c>
      <c r="O25" s="858"/>
      <c r="P25" s="873"/>
      <c r="Q25" s="858">
        <f>SUM(C25:P25)</f>
        <v>-2400000</v>
      </c>
      <c r="S25" s="858"/>
    </row>
    <row r="26" spans="1:19" ht="15" customHeight="1">
      <c r="A26" s="849" t="s">
        <v>505</v>
      </c>
      <c r="C26" s="858"/>
      <c r="D26" s="858">
        <v>0</v>
      </c>
      <c r="E26" s="858"/>
      <c r="F26" s="858">
        <v>0</v>
      </c>
      <c r="G26" s="858"/>
      <c r="H26" s="858">
        <v>-4122134</v>
      </c>
      <c r="I26" s="858"/>
      <c r="J26" s="858">
        <v>-107866</v>
      </c>
      <c r="K26" s="858"/>
      <c r="L26" s="858">
        <v>0</v>
      </c>
      <c r="M26" s="858"/>
      <c r="N26" s="858">
        <v>0</v>
      </c>
      <c r="O26" s="858"/>
      <c r="P26" s="873"/>
      <c r="Q26" s="858">
        <f>SUM(C26:P26)</f>
        <v>-4230000</v>
      </c>
      <c r="S26" s="858"/>
    </row>
    <row r="27" spans="1:19" ht="15" customHeight="1">
      <c r="A27" s="849" t="s">
        <v>506</v>
      </c>
      <c r="C27" s="858"/>
      <c r="D27" s="858">
        <v>0</v>
      </c>
      <c r="E27" s="858"/>
      <c r="F27" s="858">
        <v>0</v>
      </c>
      <c r="G27" s="858"/>
      <c r="H27" s="858">
        <v>0</v>
      </c>
      <c r="I27" s="858"/>
      <c r="J27" s="858">
        <v>0</v>
      </c>
      <c r="K27" s="858"/>
      <c r="L27" s="858">
        <v>-3444996</v>
      </c>
      <c r="M27" s="858"/>
      <c r="N27" s="858">
        <v>0</v>
      </c>
      <c r="O27" s="858"/>
      <c r="P27" s="874"/>
      <c r="Q27" s="858">
        <f>SUM(C27:P27)</f>
        <v>-3444996</v>
      </c>
      <c r="S27" s="858"/>
    </row>
    <row r="28" spans="1:19" ht="15.5">
      <c r="A28" s="859" t="s">
        <v>873</v>
      </c>
      <c r="B28" s="853"/>
      <c r="C28" s="876"/>
      <c r="D28" s="1184">
        <f>ROUND(SUM(D25:D27),2)</f>
        <v>0</v>
      </c>
      <c r="E28" s="876"/>
      <c r="F28" s="1184">
        <f>ROUND(SUM(F25:F27),2)</f>
        <v>0</v>
      </c>
      <c r="G28" s="876"/>
      <c r="H28" s="2210">
        <f>ROUND(SUM(H25:H27),2)</f>
        <v>-4122134</v>
      </c>
      <c r="I28" s="876"/>
      <c r="J28" s="2210">
        <f>ROUND(SUM(J25:J27),2)</f>
        <v>-107866</v>
      </c>
      <c r="K28" s="876"/>
      <c r="L28" s="2210">
        <f>ROUND(SUM(L25:L27),2)</f>
        <v>-5844996</v>
      </c>
      <c r="M28" s="876"/>
      <c r="N28" s="2210">
        <f>ROUND(SUM(N25:N27),2)</f>
        <v>0</v>
      </c>
      <c r="O28" s="876"/>
      <c r="P28" s="875"/>
      <c r="Q28" s="1184">
        <f>ROUND(SUM(Q25:Q27),2)</f>
        <v>-10074996</v>
      </c>
      <c r="S28" s="858"/>
    </row>
    <row r="29" spans="1:19" ht="15" customHeight="1">
      <c r="C29" s="858"/>
      <c r="D29" s="858"/>
      <c r="E29" s="858"/>
      <c r="F29" s="858"/>
      <c r="G29" s="858"/>
      <c r="H29" s="858"/>
      <c r="I29" s="858"/>
      <c r="J29" s="858"/>
      <c r="K29" s="858"/>
      <c r="L29" s="858"/>
      <c r="M29" s="858"/>
      <c r="N29" s="858"/>
      <c r="O29" s="858"/>
      <c r="P29" s="873"/>
      <c r="Q29" s="858"/>
      <c r="S29" s="858"/>
    </row>
    <row r="30" spans="1:19" ht="15" customHeight="1">
      <c r="A30" s="853" t="s">
        <v>507</v>
      </c>
      <c r="B30" s="853"/>
      <c r="C30" s="876"/>
      <c r="D30" s="1361">
        <f>ROUND(+D22+D28,2)</f>
        <v>1410513060.74</v>
      </c>
      <c r="E30" s="876"/>
      <c r="F30" s="1361">
        <f>ROUND(+F22+F28,2)</f>
        <v>1436686754.49</v>
      </c>
      <c r="G30" s="876"/>
      <c r="H30" s="1232">
        <f>ROUND(+H22+H28,2)</f>
        <v>1443062642.97</v>
      </c>
      <c r="I30" s="876"/>
      <c r="J30" s="1232">
        <f>ROUND(+J22+J28,2)</f>
        <v>502923285.18000001</v>
      </c>
      <c r="K30" s="876"/>
      <c r="L30" s="1232">
        <f>ROUND(+L22+L28,2)</f>
        <v>296712317.51999998</v>
      </c>
      <c r="M30" s="876"/>
      <c r="N30" s="1232">
        <f>ROUND(+N22+N28,2)</f>
        <v>807732895.10000002</v>
      </c>
      <c r="O30" s="876"/>
      <c r="P30" s="878"/>
      <c r="Q30" s="876">
        <f>ROUND(+Q22+Q28,2)</f>
        <v>5897630956</v>
      </c>
      <c r="S30" s="858"/>
    </row>
    <row r="31" spans="1:19" ht="15" customHeight="1">
      <c r="C31" s="858"/>
      <c r="D31" s="858"/>
      <c r="E31" s="858"/>
      <c r="F31" s="858"/>
      <c r="G31" s="858"/>
      <c r="H31" s="858"/>
      <c r="I31" s="858"/>
      <c r="J31" s="858"/>
      <c r="K31" s="858"/>
      <c r="L31" s="858"/>
      <c r="M31" s="858"/>
      <c r="N31" s="858"/>
      <c r="O31" s="858"/>
      <c r="P31" s="873"/>
      <c r="Q31" s="1182"/>
      <c r="S31" s="858"/>
    </row>
    <row r="32" spans="1:19" ht="15" customHeight="1">
      <c r="A32" s="853" t="s">
        <v>45</v>
      </c>
      <c r="C32" s="858"/>
      <c r="D32" s="858"/>
      <c r="E32" s="858"/>
      <c r="F32" s="858"/>
      <c r="G32" s="858"/>
      <c r="H32" s="858"/>
      <c r="I32" s="858"/>
      <c r="J32" s="858"/>
      <c r="K32" s="858"/>
      <c r="L32" s="858"/>
      <c r="M32" s="858"/>
      <c r="N32" s="858"/>
      <c r="O32" s="858"/>
      <c r="P32" s="873"/>
      <c r="Q32" s="858"/>
      <c r="S32" s="858"/>
    </row>
    <row r="33" spans="1:19" ht="15" customHeight="1">
      <c r="A33" s="853" t="s">
        <v>786</v>
      </c>
      <c r="C33" s="858"/>
      <c r="D33" s="858"/>
      <c r="E33" s="858"/>
      <c r="F33" s="858"/>
      <c r="G33" s="858"/>
      <c r="H33" s="858"/>
      <c r="I33" s="858"/>
      <c r="J33" s="858"/>
      <c r="K33" s="858"/>
      <c r="L33" s="858"/>
      <c r="M33" s="858"/>
      <c r="N33" s="858"/>
      <c r="O33" s="858"/>
      <c r="P33" s="873"/>
      <c r="Q33" s="858"/>
      <c r="S33" s="858"/>
    </row>
    <row r="34" spans="1:19" ht="15" customHeight="1">
      <c r="A34" s="844" t="s">
        <v>508</v>
      </c>
      <c r="C34" s="858"/>
      <c r="D34" s="858">
        <v>0</v>
      </c>
      <c r="E34" s="858"/>
      <c r="F34" s="858">
        <v>0</v>
      </c>
      <c r="G34" s="858"/>
      <c r="H34" s="858">
        <v>0</v>
      </c>
      <c r="I34" s="858"/>
      <c r="J34" s="858">
        <v>0</v>
      </c>
      <c r="K34" s="858"/>
      <c r="L34" s="858">
        <v>0</v>
      </c>
      <c r="M34" s="858"/>
      <c r="N34" s="858">
        <v>0</v>
      </c>
      <c r="O34" s="858"/>
      <c r="P34" s="873"/>
      <c r="Q34" s="858">
        <f>SUM(C34:P34)</f>
        <v>0</v>
      </c>
      <c r="S34" s="858"/>
    </row>
    <row r="35" spans="1:19" ht="15" customHeight="1">
      <c r="A35" s="849" t="s">
        <v>509</v>
      </c>
      <c r="C35" s="858"/>
      <c r="D35" s="858">
        <v>13981789</v>
      </c>
      <c r="E35" s="858"/>
      <c r="F35" s="858">
        <v>14742584</v>
      </c>
      <c r="G35" s="858"/>
      <c r="H35" s="858">
        <v>14421168.190000001</v>
      </c>
      <c r="I35" s="858"/>
      <c r="J35" s="858">
        <v>5578275</v>
      </c>
      <c r="K35" s="858"/>
      <c r="L35" s="858">
        <v>5416731</v>
      </c>
      <c r="M35" s="858"/>
      <c r="N35" s="858">
        <v>4572969</v>
      </c>
      <c r="O35" s="858"/>
      <c r="P35" s="873"/>
      <c r="Q35" s="858">
        <f>SUM(C35:P35)</f>
        <v>58713516.189999998</v>
      </c>
      <c r="S35" s="858"/>
    </row>
    <row r="36" spans="1:19" ht="15" customHeight="1">
      <c r="A36" s="853" t="s">
        <v>510</v>
      </c>
      <c r="C36" s="858"/>
      <c r="D36" s="858"/>
      <c r="E36" s="858"/>
      <c r="F36" s="858"/>
      <c r="G36" s="858"/>
      <c r="H36" s="858"/>
      <c r="I36" s="858"/>
      <c r="J36" s="858"/>
      <c r="K36" s="858"/>
      <c r="L36" s="858"/>
      <c r="M36" s="858"/>
      <c r="N36" s="858"/>
      <c r="O36" s="858"/>
      <c r="P36" s="873"/>
      <c r="Q36" s="858"/>
      <c r="S36" s="858"/>
    </row>
    <row r="37" spans="1:19" ht="15" customHeight="1">
      <c r="A37" s="849" t="s">
        <v>511</v>
      </c>
      <c r="C37" s="858"/>
      <c r="D37" s="858">
        <v>0</v>
      </c>
      <c r="E37" s="858"/>
      <c r="F37" s="858">
        <v>0</v>
      </c>
      <c r="G37" s="858"/>
      <c r="H37" s="858">
        <v>4230000</v>
      </c>
      <c r="I37" s="858"/>
      <c r="J37" s="858">
        <v>0</v>
      </c>
      <c r="K37" s="858"/>
      <c r="L37" s="858">
        <v>5844996</v>
      </c>
      <c r="M37" s="858"/>
      <c r="N37" s="858">
        <v>0</v>
      </c>
      <c r="O37" s="858"/>
      <c r="P37" s="873"/>
      <c r="Q37" s="858">
        <f>SUM(C37:P37)</f>
        <v>10074996</v>
      </c>
      <c r="S37" s="858"/>
    </row>
    <row r="38" spans="1:19" s="853" customFormat="1" ht="15.5">
      <c r="A38" s="853" t="s">
        <v>512</v>
      </c>
      <c r="C38" s="876"/>
      <c r="D38" s="1184">
        <f>ROUND(SUM(D34:D37),2)</f>
        <v>13981789</v>
      </c>
      <c r="E38" s="876"/>
      <c r="F38" s="1184">
        <f>ROUND(SUM(F34:F37),2)</f>
        <v>14742584</v>
      </c>
      <c r="G38" s="876"/>
      <c r="H38" s="2210">
        <f>ROUND(SUM(H34:H37),2)</f>
        <v>18651168.190000001</v>
      </c>
      <c r="I38" s="876"/>
      <c r="J38" s="2210">
        <f>ROUND(SUM(J34:J37),2)</f>
        <v>5578275</v>
      </c>
      <c r="K38" s="876"/>
      <c r="L38" s="2210">
        <f>ROUND(SUM(L34:L37),2)</f>
        <v>11261727</v>
      </c>
      <c r="M38" s="876"/>
      <c r="N38" s="2210">
        <f>ROUND(SUM(N34:N37),2)</f>
        <v>4572969</v>
      </c>
      <c r="O38" s="876"/>
      <c r="P38" s="875"/>
      <c r="Q38" s="1184">
        <f>ROUND(SUM(Q34:Q37),2)</f>
        <v>68788512.189999998</v>
      </c>
      <c r="R38" s="852"/>
      <c r="S38" s="858"/>
    </row>
    <row r="39" spans="1:19" ht="15" customHeight="1">
      <c r="C39" s="858"/>
      <c r="D39" s="858"/>
      <c r="E39" s="858"/>
      <c r="F39" s="858"/>
      <c r="G39" s="858"/>
      <c r="H39" s="858"/>
      <c r="I39" s="858"/>
      <c r="J39" s="858"/>
      <c r="K39" s="858"/>
      <c r="L39" s="858"/>
      <c r="M39" s="858"/>
      <c r="N39" s="858"/>
      <c r="O39" s="858"/>
      <c r="P39" s="873"/>
      <c r="Q39" s="858"/>
      <c r="S39" s="858"/>
    </row>
    <row r="40" spans="1:19" ht="15" customHeight="1">
      <c r="A40" s="853" t="s">
        <v>836</v>
      </c>
      <c r="C40" s="858"/>
      <c r="D40" s="858"/>
      <c r="E40" s="858"/>
      <c r="F40" s="858"/>
      <c r="G40" s="858"/>
      <c r="H40" s="858"/>
      <c r="I40" s="858"/>
      <c r="J40" s="858"/>
      <c r="K40" s="858"/>
      <c r="L40" s="858"/>
      <c r="M40" s="858"/>
      <c r="N40" s="858"/>
      <c r="O40" s="858"/>
      <c r="P40" s="873"/>
      <c r="Q40" s="858"/>
      <c r="S40" s="858"/>
    </row>
    <row r="41" spans="1:19" ht="15" customHeight="1">
      <c r="A41" s="844" t="s">
        <v>508</v>
      </c>
      <c r="C41" s="858"/>
      <c r="D41" s="858">
        <v>0</v>
      </c>
      <c r="E41" s="858"/>
      <c r="F41" s="858">
        <v>0</v>
      </c>
      <c r="G41" s="858"/>
      <c r="H41" s="858">
        <v>0</v>
      </c>
      <c r="I41" s="858"/>
      <c r="J41" s="858">
        <v>0</v>
      </c>
      <c r="K41" s="858"/>
      <c r="L41" s="858">
        <v>0</v>
      </c>
      <c r="M41" s="858"/>
      <c r="N41" s="858">
        <v>0</v>
      </c>
      <c r="O41" s="858"/>
      <c r="P41" s="873"/>
      <c r="Q41" s="858">
        <f>SUM(C41:P41)</f>
        <v>0</v>
      </c>
      <c r="S41" s="858"/>
    </row>
    <row r="42" spans="1:19" ht="15" customHeight="1">
      <c r="A42" s="844" t="s">
        <v>513</v>
      </c>
      <c r="C42" s="858"/>
      <c r="D42" s="858">
        <v>0</v>
      </c>
      <c r="E42" s="858"/>
      <c r="F42" s="858">
        <v>0</v>
      </c>
      <c r="G42" s="858"/>
      <c r="H42" s="858">
        <v>0</v>
      </c>
      <c r="I42" s="858"/>
      <c r="J42" s="858">
        <v>0</v>
      </c>
      <c r="K42" s="858"/>
      <c r="L42" s="858">
        <v>0</v>
      </c>
      <c r="M42" s="858"/>
      <c r="N42" s="858">
        <v>0</v>
      </c>
      <c r="O42" s="858"/>
      <c r="P42" s="873"/>
      <c r="Q42" s="858">
        <f>SUM(C42:P42)</f>
        <v>0</v>
      </c>
      <c r="S42" s="858"/>
    </row>
    <row r="43" spans="1:19" ht="15" customHeight="1">
      <c r="A43" s="853" t="s">
        <v>837</v>
      </c>
      <c r="C43" s="858"/>
      <c r="D43" s="858"/>
      <c r="E43" s="858"/>
      <c r="F43" s="858"/>
      <c r="G43" s="858"/>
      <c r="H43" s="858"/>
      <c r="I43" s="858"/>
      <c r="J43" s="858"/>
      <c r="K43" s="858"/>
      <c r="L43" s="858"/>
      <c r="M43" s="858"/>
      <c r="N43" s="858"/>
      <c r="O43" s="858"/>
      <c r="P43" s="873"/>
      <c r="Q43" s="858"/>
      <c r="S43" s="858"/>
    </row>
    <row r="44" spans="1:19" ht="15" customHeight="1">
      <c r="A44" s="849" t="s">
        <v>511</v>
      </c>
      <c r="C44" s="858"/>
      <c r="D44" s="858">
        <v>-1412260755.99</v>
      </c>
      <c r="E44" s="858"/>
      <c r="F44" s="858">
        <v>-1462069658.1100001</v>
      </c>
      <c r="G44" s="858"/>
      <c r="H44" s="858">
        <v>-1439719282.3899999</v>
      </c>
      <c r="I44" s="858"/>
      <c r="J44" s="858">
        <v>-476487579.06999999</v>
      </c>
      <c r="K44" s="858"/>
      <c r="L44" s="858">
        <v>-509590272.48000002</v>
      </c>
      <c r="M44" s="858"/>
      <c r="N44" s="858">
        <v>-548705092.71000004</v>
      </c>
      <c r="O44" s="858"/>
      <c r="P44" s="873"/>
      <c r="Q44" s="858">
        <f>SUM(C44:P44)</f>
        <v>-5848832640.749999</v>
      </c>
      <c r="S44" s="858"/>
    </row>
    <row r="45" spans="1:19" ht="15" customHeight="1">
      <c r="A45" s="844" t="s">
        <v>1174</v>
      </c>
      <c r="C45" s="858"/>
      <c r="D45" s="858">
        <v>0</v>
      </c>
      <c r="E45" s="858"/>
      <c r="F45" s="858">
        <v>0</v>
      </c>
      <c r="G45" s="858"/>
      <c r="H45" s="858">
        <v>0</v>
      </c>
      <c r="I45" s="858"/>
      <c r="J45" s="858">
        <v>0</v>
      </c>
      <c r="K45" s="858"/>
      <c r="L45" s="858">
        <v>0</v>
      </c>
      <c r="M45" s="858"/>
      <c r="N45" s="858">
        <v>0</v>
      </c>
      <c r="O45" s="858"/>
      <c r="P45" s="873"/>
      <c r="Q45" s="858">
        <f>SUM(C45:P45)</f>
        <v>0</v>
      </c>
      <c r="S45" s="858"/>
    </row>
    <row r="46" spans="1:19" ht="15" customHeight="1">
      <c r="A46" s="844" t="s">
        <v>1175</v>
      </c>
      <c r="C46" s="858"/>
      <c r="D46" s="1233">
        <v>0</v>
      </c>
      <c r="E46" s="858"/>
      <c r="F46" s="1233">
        <v>0</v>
      </c>
      <c r="G46" s="858"/>
      <c r="H46" s="1233">
        <v>0</v>
      </c>
      <c r="I46" s="858"/>
      <c r="J46" s="1233">
        <v>0</v>
      </c>
      <c r="K46" s="858"/>
      <c r="L46" s="1233">
        <v>0</v>
      </c>
      <c r="M46" s="858"/>
      <c r="N46" s="1233">
        <v>0</v>
      </c>
      <c r="O46" s="858"/>
      <c r="P46" s="873"/>
      <c r="Q46" s="858">
        <f>SUM(C46:P46)</f>
        <v>0</v>
      </c>
      <c r="S46" s="858"/>
    </row>
    <row r="47" spans="1:19" ht="15.5">
      <c r="A47" s="853" t="s">
        <v>514</v>
      </c>
      <c r="B47" s="853"/>
      <c r="C47" s="876"/>
      <c r="D47" s="1184">
        <f>ROUND(SUM(D41:D46),2)</f>
        <v>-1412260755.99</v>
      </c>
      <c r="E47" s="876"/>
      <c r="F47" s="1184">
        <f>ROUND(SUM(F41:F46),2)</f>
        <v>-1462069658.1099999</v>
      </c>
      <c r="G47" s="876"/>
      <c r="H47" s="2210">
        <f>ROUND(SUM(H41:H46),2)</f>
        <v>-1439719282.3900001</v>
      </c>
      <c r="I47" s="876"/>
      <c r="J47" s="2210">
        <f>ROUND(SUM(J41:J46),2)</f>
        <v>-476487579.06999999</v>
      </c>
      <c r="K47" s="876"/>
      <c r="L47" s="2210">
        <f>ROUND(SUM(L41:L46),2)</f>
        <v>-509590272.48000002</v>
      </c>
      <c r="M47" s="876"/>
      <c r="N47" s="2210">
        <f>ROUND(SUM(N41:N46),2)</f>
        <v>-548705092.71000004</v>
      </c>
      <c r="O47" s="876"/>
      <c r="P47" s="875"/>
      <c r="Q47" s="1184">
        <f>ROUND(SUM(Q41:Q46),2)</f>
        <v>-5848832640.75</v>
      </c>
      <c r="S47" s="858"/>
    </row>
    <row r="48" spans="1:19" ht="15" customHeight="1">
      <c r="C48" s="858"/>
      <c r="D48" s="858"/>
      <c r="E48" s="858"/>
      <c r="F48" s="858"/>
      <c r="G48" s="858"/>
      <c r="H48" s="858"/>
      <c r="I48" s="858"/>
      <c r="J48" s="858"/>
      <c r="K48" s="858"/>
      <c r="L48" s="858"/>
      <c r="M48" s="858"/>
      <c r="N48" s="858"/>
      <c r="O48" s="858"/>
      <c r="P48" s="873"/>
      <c r="Q48" s="858"/>
      <c r="S48" s="858"/>
    </row>
    <row r="49" spans="1:19" ht="15" customHeight="1">
      <c r="A49" s="853" t="s">
        <v>515</v>
      </c>
      <c r="C49" s="858"/>
      <c r="D49" s="858"/>
      <c r="E49" s="858"/>
      <c r="F49" s="858"/>
      <c r="G49" s="858"/>
      <c r="H49" s="858"/>
      <c r="I49" s="858"/>
      <c r="J49" s="858"/>
      <c r="K49" s="858"/>
      <c r="L49" s="858"/>
      <c r="M49" s="858"/>
      <c r="N49" s="858"/>
      <c r="O49" s="858"/>
      <c r="P49" s="873"/>
      <c r="Q49" s="858"/>
      <c r="S49" s="858"/>
    </row>
    <row r="50" spans="1:19" ht="15" customHeight="1">
      <c r="A50" s="853" t="s">
        <v>516</v>
      </c>
      <c r="C50" s="876"/>
      <c r="D50" s="1232">
        <f>ROUND(+D30+D38+D47,2)</f>
        <v>12234093.75</v>
      </c>
      <c r="E50" s="876"/>
      <c r="F50" s="1232">
        <f>ROUND(+F30+F38+F47,2)</f>
        <v>-10640319.619999999</v>
      </c>
      <c r="G50" s="876"/>
      <c r="H50" s="1232">
        <f>ROUND(+H30+H38+H47,2)</f>
        <v>21994528.77</v>
      </c>
      <c r="I50" s="876"/>
      <c r="J50" s="1232">
        <f>ROUND(+J30+J38+J47,2)</f>
        <v>32013981.109999999</v>
      </c>
      <c r="K50" s="876"/>
      <c r="L50" s="1232">
        <f>ROUND(+L30+L38+L47,2)</f>
        <v>-201616227.96000001</v>
      </c>
      <c r="M50" s="876"/>
      <c r="N50" s="1232">
        <f>ROUND(+N30+N38+N47,2)</f>
        <v>263600771.38999999</v>
      </c>
      <c r="O50" s="876"/>
      <c r="P50" s="878"/>
      <c r="Q50" s="1232">
        <f>ROUND(+Q30+Q38+Q47,2)</f>
        <v>117586827.44</v>
      </c>
      <c r="S50" s="858"/>
    </row>
    <row r="51" spans="1:19" ht="15" customHeight="1">
      <c r="P51" s="879"/>
      <c r="Q51" s="858"/>
      <c r="S51" s="858"/>
    </row>
    <row r="52" spans="1:19" s="853" customFormat="1" ht="21" customHeight="1" thickBot="1">
      <c r="A52" s="853" t="s">
        <v>517</v>
      </c>
      <c r="C52" s="855"/>
      <c r="D52" s="1360">
        <f>ROUND(D12+D50,2)</f>
        <v>386716612.81</v>
      </c>
      <c r="E52" s="855"/>
      <c r="F52" s="1360">
        <f>ROUND(F12+F50,2)</f>
        <v>376076293.19</v>
      </c>
      <c r="G52" s="855"/>
      <c r="H52" s="1360">
        <f>ROUND(H12+H50,2)</f>
        <v>398070821.95999998</v>
      </c>
      <c r="I52" s="855"/>
      <c r="J52" s="1360">
        <f>ROUND(J12+J50,2)</f>
        <v>430084803.06999999</v>
      </c>
      <c r="K52" s="855"/>
      <c r="L52" s="1360">
        <f>ROUND(L12+L50,2)</f>
        <v>228468575.11000001</v>
      </c>
      <c r="M52" s="855"/>
      <c r="N52" s="1360">
        <f>ROUND(N12+N50,2)</f>
        <v>492069346.5</v>
      </c>
      <c r="O52" s="855"/>
      <c r="P52" s="880"/>
      <c r="Q52" s="855">
        <f>ROUND(Q12+Q50,2)</f>
        <v>492069346.5</v>
      </c>
      <c r="R52" s="852"/>
      <c r="S52" s="858"/>
    </row>
    <row r="53" spans="1:19" ht="15" customHeight="1" thickTop="1">
      <c r="A53" s="844" t="s">
        <v>14</v>
      </c>
      <c r="Q53" s="881"/>
      <c r="S53" s="858"/>
    </row>
    <row r="54" spans="1:19" ht="15" customHeight="1">
      <c r="A54" s="849" t="s">
        <v>518</v>
      </c>
      <c r="S54" s="858"/>
    </row>
    <row r="55" spans="1:19" ht="15" customHeight="1">
      <c r="A55" s="860"/>
      <c r="S55" s="858"/>
    </row>
  </sheetData>
  <printOptions horizontalCentered="1"/>
  <pageMargins left="0.24" right="0.24" top="0.5" bottom="0.5" header="0.18" footer="0.25"/>
  <pageSetup scale="50" firstPageNumber="50"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27"/>
  <sheetViews>
    <sheetView showGridLines="0" zoomScale="90" zoomScaleNormal="90" workbookViewId="0"/>
  </sheetViews>
  <sheetFormatPr defaultColWidth="8.84375" defaultRowHeight="15.5"/>
  <cols>
    <col min="1" max="1" width="3.53515625" style="983" customWidth="1"/>
    <col min="2" max="2" width="8.4609375" style="983" customWidth="1"/>
    <col min="3" max="3" width="12.07421875" style="983" customWidth="1"/>
    <col min="4" max="4" width="15" style="982" customWidth="1"/>
    <col min="5" max="5" width="15.07421875" style="982" customWidth="1"/>
    <col min="6" max="6" width="12.07421875" style="983" customWidth="1"/>
    <col min="7" max="7" width="10.07421875" style="983" customWidth="1"/>
    <col min="8" max="8" width="9.07421875" style="400" customWidth="1"/>
    <col min="9" max="9" width="5.53515625" style="487" customWidth="1"/>
    <col min="10" max="10" width="9.07421875" style="487" customWidth="1"/>
    <col min="11" max="11" width="8.07421875" style="982" customWidth="1"/>
    <col min="12" max="12" width="16" style="982" customWidth="1"/>
    <col min="13" max="13" width="12.07421875" style="982" customWidth="1"/>
    <col min="14" max="14" width="7.84375" style="982" customWidth="1"/>
    <col min="15" max="15" width="18.84375" style="1024" customWidth="1"/>
    <col min="16" max="16" width="4.84375" style="1024" customWidth="1"/>
    <col min="17" max="17" width="8" style="1024" customWidth="1"/>
    <col min="18" max="18" width="3.84375" style="1024" customWidth="1"/>
    <col min="19" max="19" width="13.07421875" style="1024" customWidth="1"/>
    <col min="20" max="21" width="12.07421875" style="1024" customWidth="1"/>
    <col min="22" max="16384" width="8.84375" style="1024"/>
  </cols>
  <sheetData>
    <row r="1" spans="1:20">
      <c r="A1" s="468" t="s">
        <v>868</v>
      </c>
    </row>
    <row r="2" spans="1:20">
      <c r="A2" s="397" t="s">
        <v>694</v>
      </c>
      <c r="B2" s="398"/>
      <c r="C2" s="399"/>
      <c r="D2" s="400"/>
      <c r="E2" s="400"/>
      <c r="F2" s="400"/>
      <c r="G2" s="400"/>
      <c r="I2" s="401"/>
      <c r="J2" s="401"/>
      <c r="K2" s="400"/>
      <c r="L2" s="400"/>
      <c r="M2" s="400"/>
      <c r="N2" s="402"/>
      <c r="O2" s="644" t="s">
        <v>864</v>
      </c>
      <c r="Q2" s="404"/>
      <c r="R2" s="404"/>
      <c r="S2" s="405"/>
      <c r="T2" s="406"/>
    </row>
    <row r="3" spans="1:20" ht="13.4" customHeight="1">
      <c r="A3" s="398"/>
      <c r="B3" s="398"/>
      <c r="C3" s="399"/>
      <c r="D3" s="400"/>
      <c r="E3" s="400"/>
      <c r="F3" s="400"/>
      <c r="G3" s="400"/>
      <c r="I3" s="983"/>
      <c r="J3" s="983"/>
      <c r="M3" s="983"/>
      <c r="N3" s="983"/>
      <c r="O3" s="2225" t="s">
        <v>1556</v>
      </c>
      <c r="T3" s="406"/>
    </row>
    <row r="4" spans="1:20" ht="9" customHeight="1">
      <c r="T4" s="406"/>
    </row>
    <row r="5" spans="1:20" ht="13.5" customHeight="1">
      <c r="T5" s="406"/>
    </row>
    <row r="6" spans="1:20" ht="13.5" customHeight="1">
      <c r="A6" s="407" t="s">
        <v>695</v>
      </c>
      <c r="B6" s="400" t="s">
        <v>696</v>
      </c>
      <c r="C6" s="400"/>
      <c r="D6" s="400"/>
      <c r="E6" s="400"/>
      <c r="F6" s="400"/>
      <c r="G6" s="400"/>
      <c r="H6" s="409"/>
      <c r="J6" s="401" t="s">
        <v>1603</v>
      </c>
    </row>
    <row r="7" spans="1:20" ht="13.5" customHeight="1">
      <c r="A7" s="407"/>
      <c r="B7" s="400" t="s">
        <v>697</v>
      </c>
      <c r="C7" s="400"/>
      <c r="D7" s="400"/>
      <c r="E7" s="400"/>
      <c r="F7" s="400"/>
      <c r="G7" s="400"/>
      <c r="H7" s="983"/>
    </row>
    <row r="8" spans="1:20" ht="13.4" customHeight="1">
      <c r="A8" s="407"/>
      <c r="B8" s="400" t="s">
        <v>698</v>
      </c>
      <c r="C8" s="400"/>
      <c r="D8" s="400"/>
      <c r="E8" s="400"/>
      <c r="F8" s="400"/>
      <c r="G8" s="400"/>
      <c r="H8" s="983"/>
      <c r="K8" s="2040" t="s">
        <v>1594</v>
      </c>
      <c r="L8" s="2178"/>
      <c r="M8" s="400"/>
      <c r="N8" s="2289">
        <v>2</v>
      </c>
    </row>
    <row r="9" spans="1:20" ht="12.75" customHeight="1">
      <c r="A9" s="407"/>
      <c r="B9" s="400" t="s">
        <v>699</v>
      </c>
      <c r="C9" s="400"/>
      <c r="D9" s="400"/>
      <c r="E9" s="400"/>
      <c r="F9" s="400"/>
      <c r="G9" s="400"/>
      <c r="H9" s="407"/>
      <c r="K9" s="1301" t="s">
        <v>1586</v>
      </c>
      <c r="L9" s="1062"/>
      <c r="M9" s="400"/>
      <c r="N9" s="2290">
        <v>2.6</v>
      </c>
    </row>
    <row r="10" spans="1:20" ht="12.75" customHeight="1">
      <c r="F10" s="1065"/>
      <c r="K10" s="400" t="s">
        <v>1577</v>
      </c>
      <c r="N10" s="2242">
        <v>1</v>
      </c>
    </row>
    <row r="11" spans="1:20" ht="12.75" customHeight="1">
      <c r="A11" s="400"/>
      <c r="B11" s="400"/>
      <c r="C11" s="401" t="s">
        <v>745</v>
      </c>
      <c r="D11" s="1062"/>
      <c r="E11" s="400"/>
      <c r="F11" s="1062">
        <v>238.9</v>
      </c>
      <c r="G11" s="400" t="s">
        <v>700</v>
      </c>
      <c r="H11" s="407" t="s">
        <v>14</v>
      </c>
      <c r="K11" s="400" t="s">
        <v>1591</v>
      </c>
      <c r="N11" s="2242">
        <v>8.5</v>
      </c>
    </row>
    <row r="12" spans="1:20" ht="12.75" customHeight="1">
      <c r="A12" s="400"/>
      <c r="B12" s="401"/>
      <c r="C12" s="401" t="s">
        <v>893</v>
      </c>
      <c r="D12" s="1066"/>
      <c r="E12" s="400"/>
      <c r="F12" s="2117">
        <v>18.899999999999999</v>
      </c>
      <c r="G12" s="400"/>
      <c r="H12" s="400" t="s">
        <v>14</v>
      </c>
      <c r="K12" s="1301" t="s">
        <v>1344</v>
      </c>
      <c r="L12" s="400"/>
      <c r="N12" s="2290">
        <v>7</v>
      </c>
    </row>
    <row r="13" spans="1:20" ht="12.75" customHeight="1">
      <c r="A13" s="400"/>
      <c r="B13" s="401"/>
      <c r="C13" s="401" t="s">
        <v>701</v>
      </c>
      <c r="D13" s="1066"/>
      <c r="E13" s="400"/>
      <c r="F13" s="2135">
        <v>489.4</v>
      </c>
      <c r="G13" s="400"/>
      <c r="H13" s="1024" t="s">
        <v>14</v>
      </c>
      <c r="K13" s="1301" t="s">
        <v>1583</v>
      </c>
      <c r="L13" s="400"/>
      <c r="N13" s="2290">
        <v>-1.2</v>
      </c>
      <c r="T13" s="400"/>
    </row>
    <row r="14" spans="1:20" ht="12.75" customHeight="1">
      <c r="A14" s="400"/>
      <c r="B14" s="401"/>
      <c r="C14" s="401" t="s">
        <v>702</v>
      </c>
      <c r="D14" s="1066"/>
      <c r="E14" s="400"/>
      <c r="F14" s="2135">
        <v>12.9</v>
      </c>
      <c r="H14" s="983" t="s">
        <v>14</v>
      </c>
      <c r="K14" s="400" t="s">
        <v>1608</v>
      </c>
      <c r="N14" s="2242">
        <v>25.5</v>
      </c>
      <c r="T14" s="408"/>
    </row>
    <row r="15" spans="1:20" ht="12.75" customHeight="1">
      <c r="A15" s="400"/>
      <c r="B15" s="401"/>
      <c r="C15" s="401" t="s">
        <v>894</v>
      </c>
      <c r="D15" s="1066"/>
      <c r="E15" s="400"/>
      <c r="F15" s="2135">
        <v>691.9</v>
      </c>
      <c r="G15" s="400"/>
      <c r="H15" s="407" t="s">
        <v>14</v>
      </c>
      <c r="K15" s="401" t="s">
        <v>1345</v>
      </c>
      <c r="L15" s="400"/>
      <c r="N15" s="2289">
        <v>1491.4</v>
      </c>
      <c r="T15" s="408"/>
    </row>
    <row r="16" spans="1:20" ht="12.75" customHeight="1">
      <c r="C16" s="401" t="s">
        <v>1477</v>
      </c>
      <c r="F16" s="1064">
        <v>1063.2</v>
      </c>
      <c r="K16" s="400" t="s">
        <v>1574</v>
      </c>
      <c r="N16" s="2242">
        <v>1.5</v>
      </c>
      <c r="R16" s="400"/>
    </row>
    <row r="17" spans="1:17" ht="12.75" customHeight="1">
      <c r="A17" s="400"/>
      <c r="B17" s="401"/>
      <c r="C17" s="401" t="s">
        <v>703</v>
      </c>
      <c r="D17" s="1067"/>
      <c r="E17" s="400"/>
      <c r="F17" s="2117">
        <v>479.8</v>
      </c>
      <c r="G17" s="400"/>
      <c r="K17" s="400" t="s">
        <v>1595</v>
      </c>
      <c r="N17" s="2242">
        <v>1.1000000000000001</v>
      </c>
    </row>
    <row r="18" spans="1:17" ht="12.75" customHeight="1">
      <c r="A18" s="400"/>
      <c r="B18" s="401"/>
      <c r="C18" s="401" t="s">
        <v>1141</v>
      </c>
      <c r="D18" s="1067"/>
      <c r="E18" s="400"/>
      <c r="F18" s="2135">
        <v>411.5</v>
      </c>
      <c r="G18" s="400"/>
    </row>
    <row r="19" spans="1:17" ht="12.75" customHeight="1">
      <c r="A19" s="400"/>
      <c r="B19" s="401"/>
      <c r="G19" s="400"/>
    </row>
    <row r="20" spans="1:17" ht="13.4" customHeight="1">
      <c r="A20" s="407" t="s">
        <v>704</v>
      </c>
      <c r="B20" s="400" t="s">
        <v>875</v>
      </c>
      <c r="C20" s="400"/>
      <c r="D20" s="400"/>
      <c r="E20" s="400"/>
      <c r="F20" s="400"/>
      <c r="G20" s="400"/>
      <c r="H20" s="407"/>
      <c r="J20" s="401" t="s">
        <v>710</v>
      </c>
      <c r="Q20" s="2245"/>
    </row>
    <row r="21" spans="1:17" ht="12.75" customHeight="1">
      <c r="A21" s="407"/>
      <c r="B21" s="400" t="s">
        <v>1256</v>
      </c>
      <c r="C21" s="400"/>
      <c r="D21" s="400"/>
      <c r="E21" s="400"/>
      <c r="F21" s="400"/>
      <c r="G21" s="400"/>
      <c r="J21" s="400" t="s">
        <v>1605</v>
      </c>
      <c r="Q21" s="2136"/>
    </row>
    <row r="22" spans="1:17" ht="14.15" customHeight="1">
      <c r="A22" s="407"/>
      <c r="B22" s="400"/>
      <c r="C22" s="400"/>
      <c r="D22" s="400"/>
      <c r="E22" s="400"/>
      <c r="F22" s="400"/>
      <c r="G22" s="400"/>
      <c r="J22" s="400" t="s">
        <v>1606</v>
      </c>
      <c r="Q22" s="2245"/>
    </row>
    <row r="23" spans="1:17" ht="12.75" customHeight="1">
      <c r="A23" s="400"/>
      <c r="B23" s="1068" t="s">
        <v>1354</v>
      </c>
      <c r="C23" s="1068"/>
      <c r="D23" s="400"/>
      <c r="E23" s="400"/>
      <c r="F23" s="2243"/>
      <c r="G23" s="400"/>
      <c r="J23" s="983"/>
    </row>
    <row r="24" spans="1:17" ht="12.75" customHeight="1">
      <c r="G24" s="400"/>
      <c r="J24" s="400" t="s">
        <v>876</v>
      </c>
    </row>
    <row r="25" spans="1:17" ht="13.4" customHeight="1">
      <c r="C25" s="401" t="s">
        <v>1114</v>
      </c>
      <c r="F25" s="1076">
        <v>2984.2</v>
      </c>
      <c r="G25" s="400" t="s">
        <v>700</v>
      </c>
      <c r="J25" s="400" t="s">
        <v>877</v>
      </c>
    </row>
    <row r="26" spans="1:17" ht="12.75" customHeight="1">
      <c r="C26" s="401" t="s">
        <v>705</v>
      </c>
      <c r="D26" s="1062"/>
      <c r="E26" s="400"/>
      <c r="F26" s="1063">
        <v>298.10000000000002</v>
      </c>
      <c r="G26" s="1024"/>
      <c r="H26" s="983"/>
      <c r="I26" s="983"/>
      <c r="J26" s="400" t="s">
        <v>1578</v>
      </c>
    </row>
    <row r="27" spans="1:17" ht="12.75" customHeight="1">
      <c r="C27" s="401" t="s">
        <v>1095</v>
      </c>
      <c r="D27" s="1062"/>
      <c r="E27" s="400"/>
      <c r="F27" s="1063">
        <v>39.700000000000003</v>
      </c>
      <c r="G27" s="400"/>
      <c r="I27" s="983"/>
      <c r="J27" s="2229" t="s">
        <v>1579</v>
      </c>
      <c r="P27" s="400"/>
    </row>
    <row r="28" spans="1:17" ht="12.75" customHeight="1">
      <c r="C28" s="400" t="s">
        <v>1576</v>
      </c>
      <c r="F28" s="2241">
        <v>0.9</v>
      </c>
      <c r="H28" s="407"/>
      <c r="I28" s="983"/>
      <c r="J28" s="400" t="s">
        <v>1587</v>
      </c>
    </row>
    <row r="29" spans="1:17" ht="13.4" customHeight="1">
      <c r="C29" s="400" t="s">
        <v>1534</v>
      </c>
      <c r="F29" s="2234">
        <v>9.5</v>
      </c>
      <c r="I29" s="983"/>
    </row>
    <row r="30" spans="1:17" ht="12.75" customHeight="1">
      <c r="C30" s="401" t="s">
        <v>1491</v>
      </c>
      <c r="D30" s="2178"/>
      <c r="E30" s="400"/>
      <c r="F30" s="1064">
        <v>59.1</v>
      </c>
      <c r="I30" s="983"/>
    </row>
    <row r="31" spans="1:17" ht="12.75" customHeight="1">
      <c r="C31" s="401" t="s">
        <v>1584</v>
      </c>
      <c r="D31" s="2178"/>
      <c r="E31" s="400"/>
      <c r="F31" s="1064">
        <v>11.5</v>
      </c>
      <c r="J31" s="2179" t="s">
        <v>1476</v>
      </c>
      <c r="K31" s="2180"/>
      <c r="L31" s="2119"/>
      <c r="M31" s="2119"/>
      <c r="N31" s="2181"/>
    </row>
    <row r="32" spans="1:17" ht="12.75" customHeight="1">
      <c r="C32" s="400" t="s">
        <v>1549</v>
      </c>
      <c r="F32" s="1064">
        <v>4.8</v>
      </c>
      <c r="J32" s="2119" t="s">
        <v>1607</v>
      </c>
      <c r="K32" s="2180"/>
      <c r="L32" s="2182"/>
      <c r="M32" s="2182"/>
      <c r="N32" s="2181"/>
    </row>
    <row r="33" spans="3:20" ht="12.75" customHeight="1">
      <c r="C33" s="400" t="s">
        <v>1590</v>
      </c>
      <c r="F33" s="2242">
        <v>2.1</v>
      </c>
      <c r="I33" s="983"/>
      <c r="J33" s="400" t="s">
        <v>1599</v>
      </c>
      <c r="K33" s="2183"/>
      <c r="L33" s="2182"/>
      <c r="M33" s="2182"/>
      <c r="N33" s="2182"/>
    </row>
    <row r="34" spans="3:20" ht="13.4" customHeight="1">
      <c r="C34" s="400" t="s">
        <v>1570</v>
      </c>
      <c r="F34" s="2242">
        <v>105.3</v>
      </c>
      <c r="I34" s="983"/>
      <c r="J34" s="400" t="s">
        <v>1611</v>
      </c>
      <c r="K34" s="1301"/>
      <c r="L34" s="2178"/>
      <c r="M34" s="400"/>
      <c r="N34" s="1063"/>
    </row>
    <row r="35" spans="3:20" ht="12.75" customHeight="1">
      <c r="C35" s="400" t="s">
        <v>1571</v>
      </c>
      <c r="F35" s="2242">
        <v>38.1</v>
      </c>
    </row>
    <row r="36" spans="3:20" ht="12.75" customHeight="1">
      <c r="C36" s="1301" t="s">
        <v>1253</v>
      </c>
      <c r="D36" s="1062"/>
      <c r="E36" s="400"/>
      <c r="F36" s="1063">
        <v>115.2</v>
      </c>
      <c r="I36" s="983"/>
      <c r="R36" s="400"/>
    </row>
    <row r="37" spans="3:20" ht="12.75" customHeight="1">
      <c r="C37" s="400" t="s">
        <v>1548</v>
      </c>
      <c r="F37" s="2135">
        <v>14.4</v>
      </c>
      <c r="I37" s="983"/>
      <c r="J37" s="2119" t="s">
        <v>1487</v>
      </c>
      <c r="R37" s="408"/>
    </row>
    <row r="38" spans="3:20" ht="12.75" customHeight="1">
      <c r="C38" s="400" t="s">
        <v>1572</v>
      </c>
      <c r="F38" s="2242">
        <v>10</v>
      </c>
      <c r="R38" s="408"/>
      <c r="T38" s="483"/>
    </row>
    <row r="39" spans="3:20" ht="12.75" customHeight="1">
      <c r="C39" s="401" t="s">
        <v>1492</v>
      </c>
      <c r="F39" s="1064">
        <v>690.7</v>
      </c>
      <c r="K39" s="1301" t="s">
        <v>1497</v>
      </c>
      <c r="N39" s="1953">
        <v>3.7</v>
      </c>
      <c r="O39" s="400" t="s">
        <v>700</v>
      </c>
      <c r="T39" s="483"/>
    </row>
    <row r="40" spans="3:20" ht="13.4" customHeight="1">
      <c r="C40" s="401" t="s">
        <v>1493</v>
      </c>
      <c r="D40" s="401"/>
      <c r="F40" s="1064">
        <v>260</v>
      </c>
      <c r="I40" s="1068"/>
      <c r="K40" s="1301" t="s">
        <v>1503</v>
      </c>
      <c r="L40" s="1337"/>
      <c r="M40" s="400"/>
      <c r="N40" s="1064">
        <v>7.6</v>
      </c>
      <c r="O40" s="400"/>
      <c r="T40" s="483"/>
    </row>
    <row r="41" spans="3:20" ht="12.75" customHeight="1">
      <c r="C41" s="401" t="s">
        <v>1494</v>
      </c>
      <c r="D41" s="401"/>
      <c r="E41" s="400"/>
      <c r="F41" s="1064">
        <v>10.4</v>
      </c>
      <c r="G41" s="1024"/>
      <c r="K41" s="2040" t="s">
        <v>1488</v>
      </c>
      <c r="N41" s="1064">
        <v>145.4</v>
      </c>
      <c r="Q41" s="2136"/>
      <c r="T41" s="483"/>
    </row>
    <row r="42" spans="3:20" ht="12.75" customHeight="1">
      <c r="C42" s="401" t="s">
        <v>1495</v>
      </c>
      <c r="D42" s="401"/>
      <c r="E42" s="400"/>
      <c r="F42" s="1064">
        <v>18</v>
      </c>
      <c r="G42" s="1024"/>
      <c r="K42" s="400" t="s">
        <v>1541</v>
      </c>
      <c r="N42" s="1064">
        <v>1.7</v>
      </c>
      <c r="Q42" s="2246"/>
      <c r="T42" s="483"/>
    </row>
    <row r="43" spans="3:20" ht="12.75" customHeight="1">
      <c r="C43" s="401" t="s">
        <v>1496</v>
      </c>
      <c r="D43" s="401"/>
      <c r="E43" s="400"/>
      <c r="F43" s="1064">
        <v>101</v>
      </c>
      <c r="G43" s="1024"/>
      <c r="K43" s="400" t="s">
        <v>1602</v>
      </c>
      <c r="N43" s="1064">
        <v>17.2</v>
      </c>
      <c r="T43" s="483"/>
    </row>
    <row r="44" spans="3:20" ht="12.75" customHeight="1">
      <c r="C44" s="400" t="s">
        <v>1542</v>
      </c>
      <c r="F44" s="1064">
        <v>1.2</v>
      </c>
      <c r="G44" s="983" t="s">
        <v>14</v>
      </c>
      <c r="K44" s="2040" t="s">
        <v>1489</v>
      </c>
      <c r="N44" s="1064">
        <v>17.3</v>
      </c>
      <c r="T44" s="483"/>
    </row>
    <row r="45" spans="3:20" ht="12.75" customHeight="1">
      <c r="C45" s="1301" t="s">
        <v>1486</v>
      </c>
      <c r="F45" s="1063">
        <v>100</v>
      </c>
      <c r="K45" s="2040" t="s">
        <v>1505</v>
      </c>
      <c r="L45" s="1064"/>
      <c r="M45" s="1064"/>
      <c r="N45" s="1064">
        <v>3.5</v>
      </c>
      <c r="P45" s="400"/>
      <c r="S45" s="2136"/>
      <c r="T45" s="483"/>
    </row>
    <row r="46" spans="3:20" ht="13.5" customHeight="1">
      <c r="C46" s="400" t="s">
        <v>1573</v>
      </c>
      <c r="F46" s="2242">
        <v>4.8</v>
      </c>
      <c r="G46" s="982"/>
      <c r="K46" s="2040" t="s">
        <v>1612</v>
      </c>
      <c r="L46" s="1064"/>
      <c r="M46" s="1064"/>
      <c r="N46" s="1064">
        <v>162</v>
      </c>
      <c r="S46" s="2136"/>
    </row>
    <row r="47" spans="3:20" ht="12.75" customHeight="1">
      <c r="C47" s="400" t="s">
        <v>1592</v>
      </c>
      <c r="F47" s="2242">
        <v>4</v>
      </c>
      <c r="G47" s="982"/>
      <c r="K47" s="2040" t="s">
        <v>1504</v>
      </c>
      <c r="L47" s="1064"/>
      <c r="M47" s="1064"/>
      <c r="N47" s="1064">
        <v>9.4</v>
      </c>
    </row>
    <row r="48" spans="3:20" ht="12.75" customHeight="1">
      <c r="C48" s="400" t="s">
        <v>1612</v>
      </c>
      <c r="F48" s="2242">
        <v>500</v>
      </c>
      <c r="G48" s="982"/>
      <c r="K48" s="1301" t="s">
        <v>1498</v>
      </c>
      <c r="N48" s="1064">
        <v>11.3</v>
      </c>
    </row>
    <row r="49" spans="3:21" ht="13.4" customHeight="1">
      <c r="C49" s="400" t="s">
        <v>1597</v>
      </c>
      <c r="F49" s="2242">
        <v>21</v>
      </c>
      <c r="G49" s="982"/>
      <c r="K49" s="1301" t="s">
        <v>1601</v>
      </c>
      <c r="N49" s="1064">
        <v>1.6</v>
      </c>
    </row>
    <row r="50" spans="3:21" ht="12.75" customHeight="1">
      <c r="C50" s="1301" t="s">
        <v>1529</v>
      </c>
      <c r="F50" s="1063">
        <v>504.3</v>
      </c>
      <c r="G50" s="982"/>
      <c r="K50" s="1301" t="s">
        <v>1499</v>
      </c>
      <c r="N50" s="1064">
        <v>4.7</v>
      </c>
      <c r="S50" s="399"/>
      <c r="T50" s="483"/>
      <c r="U50" s="483"/>
    </row>
    <row r="51" spans="3:21" ht="12.75" customHeight="1">
      <c r="C51" s="1301" t="s">
        <v>1343</v>
      </c>
      <c r="D51" s="1062"/>
      <c r="E51" s="400"/>
      <c r="F51" s="1063">
        <v>244.3</v>
      </c>
      <c r="G51" s="982"/>
      <c r="K51" s="1301" t="s">
        <v>1502</v>
      </c>
      <c r="N51" s="1064">
        <v>4.2</v>
      </c>
      <c r="S51" s="411"/>
      <c r="T51" s="483"/>
      <c r="U51" s="483"/>
    </row>
    <row r="52" spans="3:21" ht="12.75" customHeight="1">
      <c r="C52" s="1301" t="s">
        <v>1341</v>
      </c>
      <c r="D52" s="1062"/>
      <c r="E52" s="400"/>
      <c r="F52" s="1063">
        <v>81.099999999999994</v>
      </c>
      <c r="G52" s="982"/>
      <c r="K52" s="400" t="s">
        <v>1540</v>
      </c>
      <c r="N52" s="1064">
        <v>83.4</v>
      </c>
      <c r="P52" s="1062"/>
      <c r="S52" s="411"/>
      <c r="T52" s="483"/>
      <c r="U52" s="483"/>
    </row>
    <row r="53" spans="3:21" ht="12.75" customHeight="1">
      <c r="C53" s="1301" t="s">
        <v>1585</v>
      </c>
      <c r="D53" s="2178"/>
      <c r="E53" s="400"/>
      <c r="F53" s="1063">
        <v>6.6</v>
      </c>
      <c r="K53" s="1301" t="s">
        <v>1345</v>
      </c>
      <c r="N53" s="1064">
        <v>8.1999999999999993</v>
      </c>
      <c r="Q53" s="400"/>
      <c r="R53" s="1063"/>
      <c r="S53" s="412"/>
      <c r="T53" s="483"/>
      <c r="U53" s="483"/>
    </row>
    <row r="54" spans="3:21" ht="12.75" customHeight="1">
      <c r="C54" s="1301" t="s">
        <v>1596</v>
      </c>
      <c r="D54" s="2178"/>
      <c r="E54" s="400"/>
      <c r="F54" s="1063">
        <v>2.8</v>
      </c>
      <c r="K54" s="400" t="s">
        <v>1600</v>
      </c>
      <c r="N54" s="1064">
        <v>3</v>
      </c>
      <c r="R54" s="403"/>
    </row>
    <row r="55" spans="3:21" ht="12.75" customHeight="1">
      <c r="C55" s="400" t="s">
        <v>1575</v>
      </c>
      <c r="F55" s="2242">
        <v>1</v>
      </c>
      <c r="K55" s="1301" t="s">
        <v>1500</v>
      </c>
      <c r="N55" s="1064">
        <v>4</v>
      </c>
      <c r="R55" s="403"/>
    </row>
    <row r="56" spans="3:21" ht="12.75" customHeight="1">
      <c r="C56" s="1301" t="s">
        <v>1340</v>
      </c>
      <c r="D56" s="1062"/>
      <c r="E56" s="400"/>
      <c r="F56" s="1063">
        <v>153</v>
      </c>
      <c r="G56" s="982"/>
      <c r="K56" s="2154" t="s">
        <v>1517</v>
      </c>
      <c r="N56" s="1064">
        <v>2.4</v>
      </c>
      <c r="R56" s="984"/>
    </row>
    <row r="57" spans="3:21" ht="12.75" customHeight="1">
      <c r="C57" s="1301" t="s">
        <v>1338</v>
      </c>
      <c r="D57" s="1062"/>
      <c r="E57" s="400"/>
      <c r="F57" s="1063">
        <v>2.4</v>
      </c>
      <c r="G57" s="982"/>
      <c r="K57" s="2154" t="s">
        <v>1518</v>
      </c>
      <c r="N57" s="1064">
        <v>27.3</v>
      </c>
      <c r="R57" s="984"/>
    </row>
    <row r="58" spans="3:21" ht="12.75" customHeight="1">
      <c r="C58" s="1301" t="s">
        <v>1593</v>
      </c>
      <c r="D58" s="1062"/>
      <c r="E58" s="400"/>
      <c r="F58" s="1063">
        <v>4.3</v>
      </c>
      <c r="G58" s="983" t="s">
        <v>14</v>
      </c>
      <c r="K58" s="2154" t="s">
        <v>1520</v>
      </c>
      <c r="N58" s="1064">
        <v>5.2</v>
      </c>
      <c r="R58" s="984"/>
    </row>
    <row r="59" spans="3:21" ht="12.75" customHeight="1">
      <c r="C59" s="2040" t="s">
        <v>1478</v>
      </c>
      <c r="D59" s="2178"/>
      <c r="E59" s="400"/>
      <c r="F59" s="1064">
        <v>50</v>
      </c>
      <c r="K59" s="1301" t="s">
        <v>1501</v>
      </c>
      <c r="N59" s="1064">
        <v>11.5</v>
      </c>
      <c r="R59" s="984"/>
    </row>
    <row r="60" spans="3:21" ht="12.75" customHeight="1">
      <c r="H60" s="1064"/>
      <c r="R60" s="984"/>
    </row>
    <row r="61" spans="3:21" ht="12.75" customHeight="1">
      <c r="R61" s="984"/>
    </row>
    <row r="62" spans="3:21" ht="12.75" customHeight="1"/>
    <row r="63" spans="3:21" ht="12.75" customHeight="1"/>
    <row r="64" spans="3:21" ht="12.75" customHeight="1"/>
    <row r="65" spans="1:19" ht="12.75" customHeight="1">
      <c r="B65" s="398" t="s">
        <v>1353</v>
      </c>
      <c r="C65" s="398"/>
      <c r="D65" s="400"/>
      <c r="E65" s="400"/>
      <c r="F65" s="400"/>
      <c r="G65" s="982"/>
      <c r="P65" s="400"/>
      <c r="R65" s="984"/>
    </row>
    <row r="66" spans="1:19" ht="12.75" customHeight="1">
      <c r="B66" s="487"/>
      <c r="C66" s="487"/>
      <c r="F66" s="982"/>
      <c r="H66" s="1024"/>
      <c r="I66" s="400"/>
      <c r="P66" s="400"/>
      <c r="R66" s="984"/>
    </row>
    <row r="67" spans="1:19" ht="12.75" customHeight="1">
      <c r="B67" s="401"/>
      <c r="C67" s="401" t="s">
        <v>706</v>
      </c>
      <c r="D67" s="1062"/>
      <c r="E67" s="400"/>
      <c r="F67" s="1076">
        <v>28370.799999999999</v>
      </c>
      <c r="G67" s="400" t="s">
        <v>700</v>
      </c>
      <c r="H67" s="1024"/>
      <c r="I67" s="1024"/>
      <c r="N67" s="1064"/>
      <c r="R67" s="984"/>
    </row>
    <row r="68" spans="1:19" s="409" customFormat="1" ht="12.75" customHeight="1">
      <c r="A68" s="983"/>
      <c r="B68" s="401"/>
      <c r="C68" s="401" t="s">
        <v>707</v>
      </c>
      <c r="D68" s="1062"/>
      <c r="E68" s="400"/>
      <c r="F68" s="1063">
        <v>2198.1999999999998</v>
      </c>
      <c r="G68" s="982"/>
      <c r="H68" s="1024"/>
      <c r="I68" s="1024"/>
      <c r="J68" s="401"/>
      <c r="K68" s="400"/>
      <c r="L68" s="400"/>
      <c r="M68" s="400"/>
      <c r="N68" s="400"/>
      <c r="O68" s="400"/>
      <c r="P68" s="1024"/>
      <c r="R68" s="984"/>
    </row>
    <row r="69" spans="1:19" s="409" customFormat="1" ht="12.75" customHeight="1">
      <c r="A69" s="983"/>
      <c r="B69" s="401"/>
      <c r="C69" s="401" t="s">
        <v>708</v>
      </c>
      <c r="D69" s="1062"/>
      <c r="E69" s="400"/>
      <c r="F69" s="1063">
        <v>7291.2</v>
      </c>
      <c r="G69" s="400"/>
      <c r="H69" s="1024"/>
      <c r="I69" s="1024"/>
      <c r="J69" s="401"/>
      <c r="K69" s="400"/>
      <c r="L69" s="400"/>
      <c r="M69" s="400"/>
      <c r="N69" s="400"/>
      <c r="O69" s="400"/>
      <c r="P69" s="1024"/>
      <c r="R69" s="984"/>
    </row>
    <row r="70" spans="1:19" ht="12.75" customHeight="1">
      <c r="A70" s="487"/>
      <c r="B70" s="487"/>
      <c r="C70" s="401" t="s">
        <v>709</v>
      </c>
      <c r="D70" s="1062"/>
      <c r="E70" s="400"/>
      <c r="F70" s="1063">
        <v>1180</v>
      </c>
      <c r="G70" s="1024"/>
      <c r="H70" s="1024"/>
      <c r="I70" s="1024"/>
      <c r="J70" s="401"/>
      <c r="K70" s="400"/>
      <c r="L70" s="400"/>
      <c r="M70" s="400"/>
      <c r="N70" s="400"/>
      <c r="O70" s="400"/>
      <c r="R70" s="413"/>
    </row>
    <row r="71" spans="1:19" ht="12.75" customHeight="1">
      <c r="A71" s="487"/>
      <c r="B71" s="487"/>
      <c r="C71" s="401" t="s">
        <v>1193</v>
      </c>
      <c r="D71" s="1337"/>
      <c r="E71" s="400"/>
      <c r="F71" s="1064">
        <v>1552.6</v>
      </c>
      <c r="G71" s="1024"/>
      <c r="H71" s="2243"/>
      <c r="I71" s="400"/>
      <c r="J71" s="400"/>
      <c r="K71" s="400"/>
      <c r="L71" s="400"/>
      <c r="M71" s="400"/>
      <c r="N71" s="400"/>
      <c r="O71" s="400"/>
      <c r="R71" s="400"/>
      <c r="S71" s="400"/>
    </row>
    <row r="72" spans="1:19" ht="12.75" customHeight="1">
      <c r="A72" s="487"/>
      <c r="B72" s="487"/>
      <c r="C72" s="401"/>
      <c r="F72" s="982"/>
      <c r="G72" s="1024"/>
      <c r="H72" s="2243"/>
      <c r="J72" s="400"/>
      <c r="K72" s="400"/>
      <c r="L72" s="400"/>
      <c r="M72" s="400"/>
      <c r="N72" s="400"/>
      <c r="O72" s="400"/>
      <c r="R72" s="400"/>
      <c r="S72" s="400"/>
    </row>
    <row r="73" spans="1:19" ht="12.75" customHeight="1">
      <c r="A73" s="487"/>
      <c r="B73" s="400" t="s">
        <v>891</v>
      </c>
      <c r="C73" s="401"/>
      <c r="D73" s="400"/>
      <c r="E73" s="400"/>
      <c r="F73" s="400"/>
      <c r="G73" s="1024"/>
      <c r="H73" s="1024"/>
      <c r="I73" s="400"/>
      <c r="J73" s="400"/>
      <c r="K73" s="400"/>
      <c r="L73" s="400"/>
      <c r="M73" s="400"/>
      <c r="N73" s="400"/>
      <c r="O73" s="400"/>
      <c r="R73" s="400"/>
      <c r="S73" s="400"/>
    </row>
    <row r="74" spans="1:19" ht="12.75" customHeight="1">
      <c r="A74" s="487"/>
      <c r="B74" s="400" t="s">
        <v>1258</v>
      </c>
      <c r="C74" s="401"/>
      <c r="D74" s="400"/>
      <c r="E74" s="400"/>
      <c r="F74" s="400"/>
      <c r="G74" s="982"/>
      <c r="H74" s="1024"/>
      <c r="L74" s="399"/>
      <c r="M74" s="399"/>
      <c r="N74" s="399"/>
      <c r="O74" s="399"/>
      <c r="R74" s="400"/>
      <c r="S74" s="400"/>
    </row>
    <row r="75" spans="1:19" ht="12.75" customHeight="1">
      <c r="B75" s="400" t="s">
        <v>1589</v>
      </c>
      <c r="C75" s="401"/>
      <c r="D75" s="400"/>
      <c r="E75" s="400"/>
      <c r="F75" s="400"/>
      <c r="G75" s="400"/>
      <c r="H75" s="1024"/>
      <c r="L75" s="399"/>
      <c r="M75" s="399"/>
      <c r="N75" s="399"/>
      <c r="O75" s="399"/>
      <c r="R75" s="400"/>
      <c r="S75" s="400"/>
    </row>
    <row r="76" spans="1:19" ht="12.75" customHeight="1">
      <c r="H76" s="1024"/>
      <c r="M76" s="1024"/>
      <c r="N76" s="1024"/>
      <c r="R76" s="400"/>
      <c r="S76" s="400"/>
    </row>
    <row r="77" spans="1:19" ht="12.75" customHeight="1">
      <c r="A77" s="487"/>
      <c r="B77" s="398" t="s">
        <v>1598</v>
      </c>
      <c r="C77" s="982"/>
      <c r="E77" s="983"/>
      <c r="G77" s="1024"/>
      <c r="H77" s="1024"/>
      <c r="I77" s="401"/>
      <c r="M77" s="414"/>
      <c r="N77" s="415"/>
      <c r="R77" s="400"/>
      <c r="S77" s="400"/>
    </row>
    <row r="78" spans="1:19" ht="12.75" customHeight="1">
      <c r="A78" s="487"/>
      <c r="B78" s="400" t="s">
        <v>1546</v>
      </c>
      <c r="C78" s="982"/>
      <c r="E78" s="983"/>
      <c r="G78" s="1024"/>
      <c r="H78" s="1024"/>
      <c r="I78" s="401"/>
      <c r="M78" s="414"/>
      <c r="N78" s="415"/>
      <c r="P78" s="415"/>
      <c r="R78" s="400"/>
      <c r="S78" s="417"/>
    </row>
    <row r="79" spans="1:19" ht="12.75" customHeight="1">
      <c r="A79" s="487"/>
      <c r="B79" s="487"/>
      <c r="C79" s="2119"/>
      <c r="F79" s="1063"/>
      <c r="G79" s="1024"/>
      <c r="H79" s="1024"/>
      <c r="I79" s="1024"/>
      <c r="M79" s="414"/>
      <c r="N79" s="415"/>
      <c r="P79" s="404"/>
      <c r="R79" s="417"/>
      <c r="S79" s="417"/>
    </row>
    <row r="80" spans="1:19" ht="12.75" customHeight="1">
      <c r="A80" s="407" t="s">
        <v>1528</v>
      </c>
      <c r="B80" s="400" t="s">
        <v>1527</v>
      </c>
      <c r="C80" s="401"/>
      <c r="D80" s="1062"/>
      <c r="E80" s="400"/>
      <c r="F80" s="1063"/>
      <c r="G80" s="1024"/>
      <c r="H80" s="1953"/>
      <c r="I80" s="1024"/>
      <c r="M80" s="414"/>
      <c r="N80" s="415"/>
      <c r="P80" s="404"/>
      <c r="R80" s="417"/>
    </row>
    <row r="81" spans="1:18" ht="12.75" customHeight="1">
      <c r="B81" s="400" t="s">
        <v>1530</v>
      </c>
      <c r="C81" s="401"/>
      <c r="F81" s="1063"/>
      <c r="G81" s="1024"/>
      <c r="H81" s="1064"/>
      <c r="I81" s="1024"/>
      <c r="M81" s="414"/>
      <c r="N81" s="415"/>
      <c r="P81" s="404"/>
      <c r="R81" s="417"/>
    </row>
    <row r="82" spans="1:18" ht="12.75" customHeight="1">
      <c r="B82" s="400" t="s">
        <v>1580</v>
      </c>
      <c r="C82" s="2119"/>
      <c r="D82" s="1062"/>
      <c r="E82" s="400"/>
      <c r="F82" s="1063"/>
      <c r="G82" s="1024"/>
      <c r="H82" s="1064"/>
      <c r="I82" s="1024"/>
      <c r="M82" s="414"/>
      <c r="N82" s="415"/>
      <c r="P82" s="404"/>
      <c r="R82" s="417"/>
    </row>
    <row r="83" spans="1:18" ht="12.75" customHeight="1">
      <c r="A83" s="409"/>
      <c r="B83" s="400" t="s">
        <v>1588</v>
      </c>
      <c r="C83" s="2154"/>
      <c r="F83" s="1064"/>
      <c r="G83" s="1024"/>
      <c r="H83" s="1064"/>
      <c r="I83" s="1024"/>
      <c r="M83" s="414"/>
      <c r="N83" s="415"/>
      <c r="P83" s="404"/>
      <c r="R83" s="400"/>
    </row>
    <row r="84" spans="1:18" ht="12.75" customHeight="1">
      <c r="A84" s="487"/>
      <c r="B84" s="487"/>
      <c r="C84" s="2154"/>
      <c r="F84" s="1063"/>
      <c r="G84" s="1301"/>
      <c r="H84" s="1064"/>
      <c r="I84" s="1024"/>
      <c r="M84" s="414"/>
      <c r="N84" s="415"/>
      <c r="P84" s="404"/>
      <c r="R84" s="400"/>
    </row>
    <row r="85" spans="1:18" ht="12.65" customHeight="1">
      <c r="A85" s="407" t="s">
        <v>1582</v>
      </c>
      <c r="B85" s="401" t="s">
        <v>1610</v>
      </c>
      <c r="C85" s="982"/>
      <c r="F85" s="982"/>
      <c r="G85" s="1024"/>
      <c r="H85" s="1064"/>
      <c r="I85" s="1024"/>
      <c r="M85" s="414"/>
      <c r="N85" s="415"/>
      <c r="P85" s="404"/>
      <c r="R85" s="400"/>
    </row>
    <row r="86" spans="1:18" ht="12.75" customHeight="1">
      <c r="B86" s="400" t="s">
        <v>1609</v>
      </c>
      <c r="H86" s="1064"/>
      <c r="I86" s="401"/>
      <c r="M86" s="414"/>
      <c r="N86" s="415"/>
      <c r="P86" s="404"/>
    </row>
    <row r="87" spans="1:18" ht="12.75" customHeight="1">
      <c r="H87" s="1064"/>
      <c r="I87" s="401"/>
      <c r="M87" s="414"/>
      <c r="N87" s="415"/>
      <c r="P87" s="404"/>
    </row>
    <row r="88" spans="1:18" ht="12.65" customHeight="1">
      <c r="I88" s="401"/>
      <c r="M88" s="414"/>
      <c r="N88" s="415"/>
      <c r="P88" s="404"/>
    </row>
    <row r="89" spans="1:18">
      <c r="I89" s="401"/>
      <c r="J89" s="401"/>
      <c r="K89" s="400"/>
      <c r="L89" s="410"/>
      <c r="M89" s="414"/>
      <c r="N89" s="414"/>
      <c r="Q89" s="400"/>
    </row>
    <row r="90" spans="1:18">
      <c r="I90" s="401"/>
      <c r="J90" s="401"/>
      <c r="K90" s="400"/>
      <c r="L90" s="410"/>
      <c r="M90" s="414"/>
      <c r="N90" s="414"/>
      <c r="P90" s="404"/>
      <c r="Q90" s="400"/>
    </row>
    <row r="91" spans="1:18">
      <c r="A91" s="409"/>
      <c r="B91" s="400"/>
      <c r="E91" s="1024"/>
      <c r="F91" s="1024"/>
      <c r="G91" s="1024"/>
      <c r="I91" s="401"/>
      <c r="J91" s="401"/>
      <c r="K91" s="400"/>
      <c r="L91" s="410"/>
      <c r="M91" s="414"/>
      <c r="N91" s="414"/>
      <c r="P91" s="404"/>
      <c r="Q91" s="400"/>
    </row>
    <row r="92" spans="1:18">
      <c r="A92" s="1024"/>
      <c r="B92" s="1024"/>
      <c r="C92" s="1024"/>
      <c r="D92" s="1024"/>
      <c r="E92" s="1024"/>
      <c r="F92" s="1024"/>
      <c r="G92" s="1024"/>
      <c r="I92" s="401"/>
      <c r="J92" s="401"/>
      <c r="K92" s="400"/>
      <c r="L92" s="410"/>
      <c r="M92" s="414"/>
      <c r="N92" s="414"/>
      <c r="P92" s="404"/>
      <c r="Q92" s="400"/>
    </row>
    <row r="93" spans="1:18">
      <c r="A93" s="1024"/>
      <c r="B93" s="1024"/>
      <c r="C93" s="1024"/>
      <c r="D93" s="1024"/>
      <c r="E93" s="1024"/>
      <c r="F93" s="1024"/>
      <c r="G93" s="1024"/>
      <c r="J93" s="983"/>
      <c r="K93" s="400"/>
      <c r="L93" s="410"/>
      <c r="M93" s="414"/>
      <c r="N93" s="414"/>
      <c r="P93" s="404"/>
      <c r="Q93" s="400"/>
    </row>
    <row r="94" spans="1:18">
      <c r="A94" s="1024"/>
      <c r="B94" s="1024"/>
      <c r="C94" s="1024"/>
      <c r="D94" s="1024"/>
      <c r="E94" s="1024"/>
      <c r="F94" s="1024"/>
      <c r="G94" s="1024"/>
      <c r="J94" s="983"/>
      <c r="K94" s="400"/>
      <c r="L94" s="410"/>
      <c r="M94" s="414"/>
      <c r="N94" s="414"/>
      <c r="P94" s="400"/>
      <c r="Q94" s="400"/>
    </row>
    <row r="95" spans="1:18">
      <c r="A95" s="1024"/>
      <c r="B95" s="1024"/>
      <c r="C95" s="1024"/>
      <c r="D95" s="1024"/>
      <c r="E95" s="1024"/>
      <c r="F95" s="1024"/>
      <c r="G95" s="1024"/>
      <c r="P95" s="400"/>
      <c r="Q95" s="400"/>
    </row>
    <row r="96" spans="1:18">
      <c r="A96" s="1024"/>
      <c r="B96" s="1024"/>
      <c r="C96" s="1024"/>
      <c r="D96" s="1024"/>
      <c r="E96" s="1024"/>
      <c r="F96" s="1024"/>
      <c r="G96" s="1024"/>
      <c r="P96" s="400"/>
      <c r="Q96" s="400"/>
    </row>
    <row r="97" spans="1:17">
      <c r="A97" s="1024"/>
      <c r="B97" s="1024"/>
      <c r="C97" s="1024"/>
      <c r="D97" s="1024"/>
      <c r="E97" s="1024"/>
      <c r="F97" s="1024"/>
      <c r="G97" s="1024"/>
      <c r="P97" s="400"/>
      <c r="Q97" s="400"/>
    </row>
    <row r="98" spans="1:17">
      <c r="A98" s="1024"/>
      <c r="B98" s="1024"/>
      <c r="C98" s="1024"/>
      <c r="D98" s="1024"/>
      <c r="E98" s="1024"/>
      <c r="F98" s="1024"/>
      <c r="G98" s="1024"/>
      <c r="P98" s="400"/>
      <c r="Q98" s="400"/>
    </row>
    <row r="99" spans="1:17">
      <c r="A99" s="1024"/>
      <c r="B99" s="1024"/>
      <c r="C99" s="1024"/>
      <c r="D99" s="1024"/>
      <c r="E99" s="1024"/>
      <c r="F99" s="1024"/>
      <c r="G99" s="1024"/>
      <c r="I99" s="404"/>
      <c r="J99" s="401"/>
      <c r="K99" s="400"/>
      <c r="L99" s="400"/>
      <c r="M99" s="400"/>
      <c r="N99" s="400"/>
      <c r="O99" s="400"/>
      <c r="P99" s="400"/>
      <c r="Q99" s="400"/>
    </row>
    <row r="100" spans="1:17">
      <c r="A100" s="1024"/>
      <c r="B100" s="1024"/>
      <c r="C100" s="1024"/>
      <c r="D100" s="1024"/>
      <c r="E100" s="1024"/>
      <c r="F100" s="1024"/>
      <c r="G100" s="1024"/>
      <c r="I100" s="404"/>
      <c r="J100" s="401"/>
      <c r="K100" s="400"/>
      <c r="L100" s="400"/>
      <c r="M100" s="400"/>
      <c r="N100" s="400"/>
      <c r="O100" s="400"/>
      <c r="P100" s="400"/>
      <c r="Q100" s="400"/>
    </row>
    <row r="101" spans="1:17">
      <c r="A101" s="1024"/>
      <c r="B101" s="1024"/>
      <c r="C101" s="1024"/>
      <c r="D101" s="1024"/>
      <c r="E101" s="1024"/>
      <c r="F101" s="1024"/>
      <c r="I101" s="404"/>
      <c r="J101" s="401"/>
      <c r="K101" s="400"/>
      <c r="L101" s="400"/>
      <c r="M101" s="400"/>
      <c r="N101" s="400"/>
      <c r="O101" s="400"/>
      <c r="P101" s="400"/>
      <c r="Q101" s="400"/>
    </row>
    <row r="102" spans="1:17">
      <c r="A102" s="1024"/>
      <c r="I102" s="404"/>
      <c r="J102" s="401"/>
      <c r="K102" s="400"/>
      <c r="L102" s="400"/>
      <c r="M102" s="400"/>
      <c r="N102" s="400"/>
      <c r="O102" s="400"/>
      <c r="Q102" s="400"/>
    </row>
    <row r="103" spans="1:17">
      <c r="A103" s="1024"/>
      <c r="I103" s="404"/>
      <c r="J103" s="401"/>
      <c r="K103" s="400"/>
      <c r="L103" s="400"/>
      <c r="M103" s="400"/>
      <c r="N103" s="400"/>
      <c r="O103" s="400"/>
      <c r="P103" s="400"/>
      <c r="Q103" s="400"/>
    </row>
    <row r="104" spans="1:17">
      <c r="A104" s="1024"/>
      <c r="G104" s="1024"/>
      <c r="I104" s="404"/>
      <c r="J104" s="401"/>
      <c r="K104" s="400"/>
      <c r="L104" s="400"/>
      <c r="M104" s="400"/>
      <c r="N104" s="400"/>
      <c r="O104" s="400"/>
      <c r="P104" s="416"/>
      <c r="Q104" s="400"/>
    </row>
    <row r="105" spans="1:17">
      <c r="B105" s="1024"/>
      <c r="C105" s="1024"/>
      <c r="D105" s="1024"/>
      <c r="E105" s="1024"/>
      <c r="F105" s="1024"/>
      <c r="G105" s="1024"/>
      <c r="I105" s="1024"/>
      <c r="J105" s="401"/>
      <c r="K105" s="400"/>
      <c r="L105" s="400"/>
      <c r="M105" s="400"/>
      <c r="N105" s="400"/>
      <c r="O105" s="400"/>
      <c r="P105" s="400"/>
      <c r="Q105" s="400"/>
    </row>
    <row r="106" spans="1:17">
      <c r="B106" s="1024"/>
      <c r="C106" s="1024"/>
      <c r="D106" s="1024"/>
      <c r="E106" s="1024"/>
      <c r="F106" s="1024"/>
      <c r="G106" s="1024"/>
      <c r="I106" s="400"/>
      <c r="J106" s="401"/>
      <c r="K106" s="400"/>
      <c r="L106" s="400"/>
      <c r="M106" s="400"/>
      <c r="N106" s="400"/>
      <c r="O106" s="400"/>
      <c r="P106" s="418"/>
      <c r="Q106" s="400"/>
    </row>
    <row r="107" spans="1:17">
      <c r="A107" s="1024"/>
      <c r="B107" s="1024"/>
      <c r="C107" s="1024"/>
      <c r="D107" s="1024"/>
      <c r="E107" s="1024"/>
      <c r="F107" s="1024"/>
      <c r="G107" s="1024"/>
      <c r="I107" s="401"/>
      <c r="J107" s="401"/>
      <c r="K107" s="400"/>
      <c r="L107" s="400"/>
      <c r="M107" s="400"/>
      <c r="N107" s="400"/>
      <c r="O107" s="400"/>
      <c r="P107" s="400"/>
      <c r="Q107" s="400"/>
    </row>
    <row r="108" spans="1:17">
      <c r="A108" s="1024"/>
      <c r="B108" s="1024"/>
      <c r="C108" s="1024"/>
      <c r="D108" s="1024"/>
      <c r="E108" s="1024"/>
      <c r="F108" s="1024"/>
      <c r="G108" s="1024"/>
      <c r="I108" s="401"/>
      <c r="J108" s="401"/>
      <c r="K108" s="400"/>
      <c r="L108" s="400"/>
      <c r="M108" s="400"/>
      <c r="N108" s="400"/>
      <c r="O108" s="400"/>
      <c r="P108" s="400"/>
      <c r="Q108" s="400"/>
    </row>
    <row r="109" spans="1:17">
      <c r="A109" s="1024"/>
      <c r="B109" s="1024"/>
      <c r="C109" s="1024"/>
      <c r="D109" s="1024"/>
      <c r="E109" s="1024"/>
      <c r="F109" s="1024"/>
      <c r="G109" s="1024"/>
      <c r="I109" s="401"/>
      <c r="J109" s="401"/>
      <c r="K109" s="400"/>
      <c r="L109" s="400"/>
      <c r="M109" s="400"/>
      <c r="N109" s="400"/>
      <c r="O109" s="400"/>
      <c r="P109" s="400"/>
    </row>
    <row r="110" spans="1:17">
      <c r="A110" s="1024"/>
      <c r="B110" s="1024"/>
      <c r="C110" s="1024"/>
      <c r="D110" s="1024"/>
      <c r="E110" s="1024"/>
      <c r="F110" s="1024"/>
      <c r="G110" s="1024"/>
      <c r="I110" s="401"/>
      <c r="J110" s="401"/>
      <c r="K110" s="400"/>
      <c r="L110" s="400"/>
      <c r="M110" s="400"/>
      <c r="N110" s="400"/>
      <c r="O110" s="400"/>
      <c r="P110" s="400"/>
      <c r="Q110" s="400"/>
    </row>
    <row r="111" spans="1:17">
      <c r="A111" s="1024"/>
      <c r="B111" s="1024"/>
      <c r="C111" s="1024"/>
      <c r="D111" s="1024"/>
      <c r="E111" s="1024"/>
      <c r="F111" s="1024"/>
      <c r="G111" s="1024"/>
      <c r="I111" s="401"/>
      <c r="J111" s="401"/>
      <c r="K111" s="400"/>
      <c r="L111" s="400"/>
      <c r="M111" s="400"/>
      <c r="N111" s="400"/>
      <c r="P111" s="400"/>
      <c r="Q111" s="416"/>
    </row>
    <row r="112" spans="1:17">
      <c r="A112" s="1024"/>
      <c r="B112" s="1024"/>
      <c r="C112" s="1024"/>
      <c r="D112" s="1024"/>
      <c r="E112" s="1024"/>
      <c r="F112" s="1024"/>
      <c r="G112" s="1024"/>
      <c r="I112" s="401"/>
      <c r="J112" s="401"/>
      <c r="K112" s="400"/>
      <c r="L112" s="400"/>
      <c r="M112" s="400"/>
      <c r="N112" s="400"/>
      <c r="O112" s="400"/>
      <c r="P112" s="400"/>
      <c r="Q112" s="400"/>
    </row>
    <row r="113" spans="1:17">
      <c r="A113" s="1024"/>
      <c r="B113" s="1024"/>
      <c r="C113" s="1024"/>
      <c r="D113" s="1024"/>
      <c r="E113" s="1024"/>
      <c r="F113" s="1024"/>
      <c r="G113" s="1024"/>
      <c r="I113" s="401"/>
      <c r="J113" s="401"/>
      <c r="K113" s="400"/>
      <c r="L113" s="400"/>
      <c r="M113" s="400"/>
      <c r="N113" s="400"/>
      <c r="O113" s="400"/>
      <c r="P113" s="417"/>
      <c r="Q113" s="400"/>
    </row>
    <row r="114" spans="1:17">
      <c r="A114" s="1024"/>
      <c r="B114" s="1024"/>
      <c r="C114" s="1024"/>
      <c r="D114" s="1024"/>
      <c r="E114" s="1024"/>
      <c r="F114" s="1024"/>
      <c r="G114" s="1024"/>
      <c r="I114" s="401"/>
      <c r="J114" s="401"/>
      <c r="K114" s="400"/>
      <c r="L114" s="419"/>
      <c r="O114" s="400"/>
      <c r="Q114" s="400"/>
    </row>
    <row r="115" spans="1:17">
      <c r="A115" s="1024"/>
      <c r="B115" s="1024"/>
      <c r="C115" s="1024"/>
      <c r="D115" s="1024"/>
      <c r="E115" s="1024"/>
      <c r="F115" s="1024"/>
      <c r="G115" s="1024"/>
      <c r="I115" s="401"/>
      <c r="J115" s="401"/>
      <c r="K115" s="400"/>
      <c r="L115" s="419"/>
      <c r="M115" s="400"/>
      <c r="N115" s="410"/>
      <c r="O115" s="400"/>
    </row>
    <row r="116" spans="1:17">
      <c r="A116" s="1024"/>
      <c r="B116" s="1024"/>
      <c r="C116" s="1024"/>
      <c r="D116" s="1024"/>
      <c r="E116" s="1024"/>
      <c r="F116" s="1024"/>
      <c r="G116" s="1024"/>
      <c r="I116" s="400"/>
      <c r="J116" s="400"/>
      <c r="K116" s="419"/>
      <c r="L116" s="1024"/>
      <c r="M116" s="1024"/>
      <c r="N116" s="1024"/>
    </row>
    <row r="117" spans="1:17">
      <c r="A117" s="1024"/>
      <c r="B117" s="1024"/>
      <c r="C117" s="1024"/>
      <c r="D117" s="1024"/>
      <c r="E117" s="1024"/>
      <c r="F117" s="1024"/>
      <c r="I117" s="400"/>
      <c r="J117" s="400"/>
      <c r="K117" s="420"/>
      <c r="L117" s="1024"/>
      <c r="M117" s="1024"/>
      <c r="N117" s="1024"/>
    </row>
    <row r="118" spans="1:17">
      <c r="A118" s="1024"/>
      <c r="I118" s="400"/>
      <c r="J118" s="400"/>
      <c r="K118" s="400"/>
      <c r="L118" s="1024"/>
      <c r="M118" s="1024"/>
      <c r="N118" s="1024"/>
    </row>
    <row r="119" spans="1:17">
      <c r="A119" s="1024"/>
      <c r="I119" s="400"/>
      <c r="J119" s="400"/>
      <c r="K119" s="400"/>
      <c r="L119" s="1024"/>
      <c r="M119" s="1024"/>
      <c r="N119" s="1024"/>
    </row>
    <row r="120" spans="1:17">
      <c r="A120" s="1024"/>
      <c r="G120" s="1024"/>
      <c r="I120" s="400"/>
      <c r="J120" s="400"/>
      <c r="L120" s="1024"/>
      <c r="M120" s="1024"/>
      <c r="N120" s="1024"/>
    </row>
    <row r="121" spans="1:17">
      <c r="B121" s="1024"/>
      <c r="C121" s="1024"/>
      <c r="D121" s="1024"/>
      <c r="E121" s="1024"/>
      <c r="F121" s="1024"/>
      <c r="G121" s="1024"/>
    </row>
    <row r="122" spans="1:17">
      <c r="B122" s="1024"/>
      <c r="C122" s="1024"/>
      <c r="D122" s="1024"/>
      <c r="E122" s="1024"/>
      <c r="F122" s="1024"/>
      <c r="G122" s="1024"/>
    </row>
    <row r="123" spans="1:17">
      <c r="B123" s="1024"/>
      <c r="C123" s="1024"/>
      <c r="D123" s="1024"/>
      <c r="E123" s="1024"/>
      <c r="F123" s="1024"/>
      <c r="G123" s="1024"/>
    </row>
    <row r="124" spans="1:17">
      <c r="A124" s="1024"/>
      <c r="B124" s="1024"/>
      <c r="C124" s="1024"/>
      <c r="D124" s="1024"/>
      <c r="E124" s="1024"/>
      <c r="F124" s="1024"/>
      <c r="J124" s="1024"/>
      <c r="K124" s="1024"/>
      <c r="L124" s="1024"/>
      <c r="M124" s="1024"/>
      <c r="N124" s="1024"/>
    </row>
    <row r="125" spans="1:17">
      <c r="A125" s="1024"/>
      <c r="J125" s="1024"/>
      <c r="K125" s="1024"/>
      <c r="L125" s="1024"/>
      <c r="M125" s="1024"/>
      <c r="N125" s="1024"/>
    </row>
    <row r="126" spans="1:17">
      <c r="A126" s="1024"/>
      <c r="I126" s="1024"/>
      <c r="J126" s="1024"/>
      <c r="K126" s="1024"/>
      <c r="L126" s="1024"/>
      <c r="M126" s="1024"/>
      <c r="N126" s="1024"/>
    </row>
    <row r="127" spans="1:17">
      <c r="A127" s="1024"/>
      <c r="I127" s="1024"/>
      <c r="J127" s="1024"/>
      <c r="K127" s="1024"/>
      <c r="L127" s="1024"/>
      <c r="M127" s="1024"/>
      <c r="N127" s="1024"/>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A20 A80:A8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X61"/>
  <sheetViews>
    <sheetView showGridLines="0" zoomScale="90" workbookViewId="0"/>
  </sheetViews>
  <sheetFormatPr defaultColWidth="8.84375" defaultRowHeight="15.5"/>
  <cols>
    <col min="1" max="1" width="1.84375" style="844" customWidth="1"/>
    <col min="2" max="2" width="48" style="844" customWidth="1"/>
    <col min="3" max="3" width="4.53515625" style="845" customWidth="1"/>
    <col min="4" max="4" width="20.84375" style="845" customWidth="1"/>
    <col min="5" max="5" width="1.84375" style="845" customWidth="1"/>
    <col min="6" max="6" width="20.84375" style="845" customWidth="1"/>
    <col min="7" max="7" width="1.84375" style="845" customWidth="1"/>
    <col min="8" max="8" width="20.84375" style="845" customWidth="1"/>
    <col min="9" max="9" width="2.4609375" style="845" customWidth="1"/>
    <col min="10" max="10" width="20.84375" style="845" customWidth="1"/>
    <col min="11" max="11" width="2.4609375" style="845" customWidth="1"/>
    <col min="12" max="12" width="20.84375" style="845" customWidth="1"/>
    <col min="13" max="13" width="2.4609375" style="845" customWidth="1"/>
    <col min="14" max="14" width="20.84375" style="845" customWidth="1"/>
    <col min="15" max="16" width="1.84375" style="845" customWidth="1"/>
    <col min="17" max="17" width="19" style="845" customWidth="1"/>
    <col min="18" max="18" width="8.84375" style="845"/>
    <col min="19" max="19" width="10.07421875" style="845" customWidth="1"/>
    <col min="20" max="20" width="1.84375" style="845" customWidth="1"/>
    <col min="21" max="16384" width="8.84375" style="844"/>
  </cols>
  <sheetData>
    <row r="1" spans="1:45">
      <c r="B1" s="468" t="s">
        <v>868</v>
      </c>
    </row>
    <row r="3" spans="1:45" ht="18">
      <c r="Q3" s="910" t="s">
        <v>496</v>
      </c>
    </row>
    <row r="4" spans="1:45" s="848" customFormat="1" ht="18.75" customHeight="1">
      <c r="A4" s="846"/>
      <c r="B4" s="911" t="s">
        <v>482</v>
      </c>
      <c r="C4" s="915"/>
      <c r="D4" s="915"/>
      <c r="E4" s="915"/>
      <c r="F4" s="915"/>
      <c r="G4" s="915"/>
      <c r="H4" s="915"/>
      <c r="I4" s="915"/>
      <c r="J4" s="915"/>
      <c r="K4" s="915"/>
      <c r="L4" s="915"/>
      <c r="M4" s="915"/>
      <c r="N4" s="915"/>
      <c r="O4" s="859"/>
      <c r="P4" s="912"/>
      <c r="Q4" s="915"/>
      <c r="R4" s="847"/>
      <c r="S4" s="847"/>
      <c r="T4" s="847"/>
    </row>
    <row r="5" spans="1:45" s="848" customFormat="1" ht="18.75" customHeight="1">
      <c r="A5" s="846"/>
      <c r="B5" s="911" t="s">
        <v>887</v>
      </c>
      <c r="C5" s="849"/>
      <c r="D5" s="849"/>
      <c r="E5" s="849"/>
      <c r="F5" s="849"/>
      <c r="G5" s="849"/>
      <c r="H5" s="849"/>
      <c r="I5" s="849"/>
      <c r="J5" s="849"/>
      <c r="K5" s="849"/>
      <c r="L5" s="849"/>
      <c r="M5" s="849"/>
      <c r="N5" s="849"/>
      <c r="O5" s="911"/>
      <c r="P5" s="911"/>
      <c r="Q5" s="849"/>
      <c r="R5" s="847"/>
      <c r="S5" s="847"/>
      <c r="T5" s="847"/>
    </row>
    <row r="6" spans="1:45" s="848" customFormat="1" ht="18.75" customHeight="1">
      <c r="A6" s="846"/>
      <c r="B6" s="911" t="str">
        <f>'Public Goods '!A6</f>
        <v xml:space="preserve">FISCAL YEAR 2022-2023   </v>
      </c>
      <c r="C6" s="915"/>
      <c r="D6" s="915"/>
      <c r="E6" s="915"/>
      <c r="F6" s="915"/>
      <c r="G6" s="915"/>
      <c r="H6" s="915"/>
      <c r="I6" s="915"/>
      <c r="J6" s="915"/>
      <c r="K6" s="915"/>
      <c r="L6" s="915"/>
      <c r="M6" s="915"/>
      <c r="N6" s="915"/>
      <c r="O6" s="1228"/>
      <c r="P6" s="911"/>
      <c r="Q6" s="915"/>
      <c r="R6" s="847"/>
      <c r="S6" s="847"/>
      <c r="T6" s="847"/>
    </row>
    <row r="7" spans="1:45" s="848" customFormat="1" ht="18" customHeight="1">
      <c r="A7" s="846"/>
      <c r="B7" s="1230"/>
      <c r="C7" s="916"/>
      <c r="D7" s="916"/>
      <c r="E7" s="916"/>
      <c r="F7" s="916"/>
      <c r="G7" s="916"/>
      <c r="H7" s="916"/>
      <c r="I7" s="916"/>
      <c r="J7" s="916"/>
      <c r="K7" s="916"/>
      <c r="L7" s="916"/>
      <c r="M7" s="916"/>
      <c r="N7" s="916"/>
      <c r="O7" s="1229"/>
      <c r="P7" s="913"/>
      <c r="Q7" s="916"/>
      <c r="R7" s="847"/>
      <c r="S7" s="847"/>
      <c r="T7" s="847"/>
    </row>
    <row r="8" spans="1:45" s="848" customFormat="1" ht="18" customHeight="1">
      <c r="A8" s="846"/>
      <c r="B8" s="1230"/>
      <c r="C8" s="850"/>
      <c r="D8" s="850"/>
      <c r="E8" s="850"/>
      <c r="F8" s="850"/>
      <c r="G8" s="850"/>
      <c r="H8" s="850"/>
      <c r="I8" s="850"/>
      <c r="J8" s="850"/>
      <c r="K8" s="850"/>
      <c r="L8" s="850"/>
      <c r="M8" s="850"/>
      <c r="N8" s="850"/>
      <c r="O8" s="870"/>
      <c r="P8" s="914"/>
      <c r="Q8" s="850"/>
      <c r="R8" s="847"/>
      <c r="S8" s="847"/>
      <c r="T8" s="847"/>
    </row>
    <row r="9" spans="1:45" s="853" customFormat="1">
      <c r="A9" s="851"/>
      <c r="B9" s="851"/>
      <c r="C9" s="852"/>
      <c r="D9" s="1070" t="s">
        <v>1506</v>
      </c>
      <c r="E9" s="851"/>
      <c r="F9" s="1070" t="s">
        <v>1524</v>
      </c>
      <c r="G9" s="851"/>
      <c r="H9" s="1070" t="s">
        <v>1538</v>
      </c>
      <c r="I9" s="851"/>
      <c r="J9" s="1070">
        <v>2023</v>
      </c>
      <c r="K9" s="851"/>
      <c r="L9" s="1070">
        <v>2023</v>
      </c>
      <c r="M9" s="851"/>
      <c r="N9" s="1070">
        <v>2023</v>
      </c>
      <c r="O9" s="1070"/>
      <c r="P9" s="852"/>
      <c r="Q9" s="852"/>
      <c r="R9" s="852"/>
      <c r="S9" s="852"/>
      <c r="T9" s="852"/>
    </row>
    <row r="10" spans="1:45">
      <c r="D10" s="1234" t="s">
        <v>1507</v>
      </c>
      <c r="E10" s="844"/>
      <c r="F10" s="1234" t="s">
        <v>1525</v>
      </c>
      <c r="G10" s="844"/>
      <c r="H10" s="1234" t="s">
        <v>1539</v>
      </c>
      <c r="I10" s="844"/>
      <c r="J10" s="1234" t="s">
        <v>131</v>
      </c>
      <c r="K10" s="844"/>
      <c r="L10" s="1234" t="s">
        <v>132</v>
      </c>
      <c r="M10" s="844"/>
      <c r="N10" s="1234" t="s">
        <v>182</v>
      </c>
      <c r="O10" s="854"/>
      <c r="Q10" s="854" t="str">
        <f>'Public Goods '!Q10</f>
        <v>2022-2023</v>
      </c>
    </row>
    <row r="11" spans="1:45">
      <c r="Q11" s="1180"/>
    </row>
    <row r="12" spans="1:45" s="853" customFormat="1">
      <c r="B12" s="853" t="s">
        <v>460</v>
      </c>
      <c r="C12" s="852"/>
      <c r="D12" s="855">
        <v>66207.899999999994</v>
      </c>
      <c r="E12" s="852"/>
      <c r="F12" s="855">
        <f>D48</f>
        <v>2449.15</v>
      </c>
      <c r="G12" s="852"/>
      <c r="H12" s="855">
        <f>F48</f>
        <v>55472.9</v>
      </c>
      <c r="I12" s="852"/>
      <c r="J12" s="855">
        <f>H48</f>
        <v>2579.0700000000002</v>
      </c>
      <c r="K12" s="852"/>
      <c r="L12" s="855">
        <f>J48</f>
        <v>66498761.82</v>
      </c>
      <c r="M12" s="852"/>
      <c r="N12" s="855">
        <f>L48</f>
        <v>12567.96</v>
      </c>
      <c r="O12" s="855"/>
      <c r="P12" s="871"/>
      <c r="Q12" s="855">
        <f>D12</f>
        <v>66207.899999999994</v>
      </c>
      <c r="R12" s="852"/>
      <c r="S12" s="852"/>
      <c r="T12" s="852"/>
      <c r="U12" s="856"/>
      <c r="V12" s="856"/>
      <c r="W12" s="856"/>
      <c r="X12" s="856"/>
      <c r="Y12" s="856"/>
      <c r="Z12" s="856"/>
      <c r="AA12" s="856"/>
      <c r="AB12" s="856"/>
      <c r="AC12" s="856"/>
      <c r="AD12" s="856"/>
      <c r="AE12" s="856"/>
      <c r="AF12" s="857"/>
      <c r="AG12" s="857"/>
      <c r="AH12" s="857"/>
      <c r="AI12" s="857"/>
      <c r="AJ12" s="857"/>
      <c r="AK12" s="857"/>
      <c r="AL12" s="857"/>
      <c r="AM12" s="857"/>
      <c r="AN12" s="857"/>
      <c r="AO12" s="857"/>
      <c r="AP12" s="857"/>
      <c r="AQ12" s="857"/>
      <c r="AR12" s="857"/>
      <c r="AS12" s="857"/>
    </row>
    <row r="13" spans="1:45" s="853" customFormat="1">
      <c r="C13" s="852"/>
      <c r="D13" s="855"/>
      <c r="E13" s="852"/>
      <c r="F13" s="855"/>
      <c r="G13" s="852"/>
      <c r="H13" s="855"/>
      <c r="I13" s="852"/>
      <c r="J13" s="855"/>
      <c r="K13" s="852"/>
      <c r="L13" s="855"/>
      <c r="M13" s="852"/>
      <c r="N13" s="855"/>
      <c r="O13" s="845"/>
      <c r="P13" s="872"/>
      <c r="Q13" s="855"/>
      <c r="R13" s="852"/>
      <c r="S13" s="852"/>
      <c r="T13" s="852"/>
      <c r="U13" s="856"/>
      <c r="V13" s="856"/>
      <c r="W13" s="856"/>
      <c r="X13" s="856"/>
      <c r="Y13" s="856"/>
      <c r="Z13" s="856"/>
      <c r="AA13" s="856"/>
      <c r="AB13" s="856"/>
      <c r="AC13" s="856"/>
      <c r="AD13" s="856"/>
      <c r="AE13" s="856"/>
      <c r="AF13" s="857"/>
      <c r="AG13" s="857"/>
      <c r="AH13" s="857"/>
      <c r="AI13" s="857"/>
      <c r="AJ13" s="857"/>
      <c r="AK13" s="857"/>
      <c r="AL13" s="857"/>
      <c r="AM13" s="857"/>
      <c r="AN13" s="857"/>
      <c r="AO13" s="857"/>
      <c r="AP13" s="857"/>
      <c r="AQ13" s="857"/>
      <c r="AR13" s="857"/>
      <c r="AS13" s="857"/>
    </row>
    <row r="14" spans="1:45">
      <c r="B14" s="853" t="s">
        <v>13</v>
      </c>
      <c r="O14" s="858"/>
      <c r="P14" s="873"/>
    </row>
    <row r="15" spans="1:45">
      <c r="B15" s="849" t="s">
        <v>502</v>
      </c>
      <c r="D15" s="858">
        <v>3531.12</v>
      </c>
      <c r="F15" s="858">
        <v>4164.0300000000007</v>
      </c>
      <c r="H15" s="858">
        <v>8639.67</v>
      </c>
      <c r="J15" s="858">
        <v>3706.28</v>
      </c>
      <c r="L15" s="858">
        <v>12567.96</v>
      </c>
      <c r="N15" s="858">
        <v>2937.89</v>
      </c>
      <c r="O15" s="858"/>
      <c r="P15" s="873"/>
      <c r="Q15" s="858">
        <f>ROUND(SUM(D15:O15),2)</f>
        <v>35546.949999999997</v>
      </c>
    </row>
    <row r="16" spans="1:45" s="853" customFormat="1">
      <c r="B16" s="853" t="s">
        <v>147</v>
      </c>
      <c r="C16" s="852"/>
      <c r="D16" s="1181">
        <f>ROUND(SUM(D15:D15),2)</f>
        <v>3531.12</v>
      </c>
      <c r="E16" s="852"/>
      <c r="F16" s="1181">
        <f>ROUND(SUM(F15:F15),2)</f>
        <v>4164.03</v>
      </c>
      <c r="G16" s="852"/>
      <c r="H16" s="1181">
        <f>ROUND(SUM(H15:H15),2)</f>
        <v>8639.67</v>
      </c>
      <c r="I16" s="852"/>
      <c r="J16" s="1181">
        <f>ROUND(SUM(J15:J15),2)</f>
        <v>3706.28</v>
      </c>
      <c r="K16" s="852"/>
      <c r="L16" s="1181">
        <f>ROUND(SUM(L15:L15),2)</f>
        <v>12567.96</v>
      </c>
      <c r="M16" s="852"/>
      <c r="N16" s="1181">
        <f>ROUND(SUM(N15:N15),2)</f>
        <v>2937.89</v>
      </c>
      <c r="O16" s="858"/>
      <c r="P16" s="873"/>
      <c r="Q16" s="1181">
        <f>ROUND(SUM(Q15:Q15),2)</f>
        <v>35546.949999999997</v>
      </c>
      <c r="R16" s="852"/>
      <c r="S16" s="845"/>
      <c r="T16" s="852"/>
    </row>
    <row r="17" spans="2:20">
      <c r="D17" s="858"/>
      <c r="F17" s="858"/>
      <c r="H17" s="858"/>
      <c r="J17" s="858"/>
      <c r="L17" s="858"/>
      <c r="N17" s="858"/>
      <c r="O17" s="858"/>
      <c r="P17" s="873"/>
      <c r="Q17" s="1182"/>
    </row>
    <row r="18" spans="2:20">
      <c r="B18" s="853" t="s">
        <v>838</v>
      </c>
      <c r="D18" s="858"/>
      <c r="F18" s="858"/>
      <c r="H18" s="858"/>
      <c r="J18" s="858"/>
      <c r="L18" s="858"/>
      <c r="N18" s="858"/>
      <c r="O18" s="858"/>
      <c r="P18" s="873"/>
      <c r="Q18" s="858"/>
    </row>
    <row r="19" spans="2:20">
      <c r="B19" s="849" t="s">
        <v>520</v>
      </c>
      <c r="D19" s="858">
        <v>-160019552.13999999</v>
      </c>
      <c r="F19" s="858">
        <v>-162403542.31</v>
      </c>
      <c r="H19" s="858">
        <v>-197673339.93000001</v>
      </c>
      <c r="J19" s="858">
        <v>0</v>
      </c>
      <c r="L19" s="858">
        <v>-107460250.65000001</v>
      </c>
      <c r="N19" s="858">
        <v>-49453791.93</v>
      </c>
      <c r="O19" s="573"/>
      <c r="P19" s="873"/>
      <c r="Q19" s="858">
        <f>ROUND(SUM(D19:O19),2)</f>
        <v>-677010476.96000004</v>
      </c>
    </row>
    <row r="20" spans="2:20">
      <c r="B20" s="849" t="s">
        <v>521</v>
      </c>
      <c r="D20" s="858">
        <v>0</v>
      </c>
      <c r="F20" s="858">
        <v>3613036.1</v>
      </c>
      <c r="H20" s="858">
        <v>2068166.06</v>
      </c>
      <c r="J20" s="858">
        <v>0</v>
      </c>
      <c r="L20" s="858">
        <v>-11648764.140000001</v>
      </c>
      <c r="N20" s="858">
        <v>255449.58</v>
      </c>
      <c r="O20" s="858"/>
      <c r="P20" s="873"/>
      <c r="Q20" s="858">
        <f>ROUND(SUM(D20:O20),2)</f>
        <v>-5712112.4000000004</v>
      </c>
    </row>
    <row r="21" spans="2:20">
      <c r="B21" s="849" t="s">
        <v>522</v>
      </c>
      <c r="D21" s="858">
        <v>2984242.74</v>
      </c>
      <c r="F21" s="858">
        <v>0</v>
      </c>
      <c r="H21" s="858">
        <v>0</v>
      </c>
      <c r="J21" s="858">
        <v>0</v>
      </c>
      <c r="L21" s="858">
        <v>0</v>
      </c>
      <c r="N21" s="858">
        <v>0</v>
      </c>
      <c r="O21" s="862"/>
      <c r="P21" s="874"/>
      <c r="Q21" s="858">
        <f>ROUND(SUM(D21:O21),2)</f>
        <v>2984242.74</v>
      </c>
    </row>
    <row r="22" spans="2:20" s="853" customFormat="1">
      <c r="B22" s="859" t="s">
        <v>855</v>
      </c>
      <c r="C22" s="852"/>
      <c r="D22" s="1183">
        <f>ROUND(SUM(D18:D21),2)</f>
        <v>-157035309.40000001</v>
      </c>
      <c r="E22" s="852"/>
      <c r="F22" s="1183">
        <f>ROUND(SUM(F18:F21),2)</f>
        <v>-158790506.21000001</v>
      </c>
      <c r="G22" s="852"/>
      <c r="H22" s="1183">
        <f>ROUND(SUM(H18:H21),2)</f>
        <v>-195605173.87</v>
      </c>
      <c r="I22" s="852"/>
      <c r="J22" s="1183">
        <f>ROUND(SUM(J18:J21),2)</f>
        <v>0</v>
      </c>
      <c r="K22" s="852"/>
      <c r="L22" s="1183">
        <f>ROUND(SUM(L18:L21),2)</f>
        <v>-119109014.79000001</v>
      </c>
      <c r="M22" s="852"/>
      <c r="N22" s="1183">
        <f>ROUND(SUM(N18:N21),2)</f>
        <v>-49198342.350000001</v>
      </c>
      <c r="O22" s="876"/>
      <c r="P22" s="875"/>
      <c r="Q22" s="1183">
        <f>ROUND(SUM(Q18:Q21),2)</f>
        <v>-679738346.62</v>
      </c>
      <c r="R22" s="852"/>
      <c r="S22" s="845"/>
      <c r="T22" s="852"/>
    </row>
    <row r="23" spans="2:20">
      <c r="B23" s="860"/>
      <c r="D23" s="1182"/>
      <c r="F23" s="1182"/>
      <c r="H23" s="1182"/>
      <c r="J23" s="1182"/>
      <c r="L23" s="1182"/>
      <c r="N23" s="1182"/>
      <c r="O23" s="858"/>
      <c r="P23" s="873"/>
      <c r="Q23" s="1182"/>
    </row>
    <row r="24" spans="2:20" s="853" customFormat="1">
      <c r="B24" s="853" t="s">
        <v>1097</v>
      </c>
      <c r="C24" s="852"/>
      <c r="D24" s="861">
        <f>ROUND(+D16+D22,2)</f>
        <v>-157031778.28</v>
      </c>
      <c r="E24" s="852"/>
      <c r="F24" s="861">
        <f>ROUND(+F16+F22,2)</f>
        <v>-158786342.18000001</v>
      </c>
      <c r="G24" s="852"/>
      <c r="H24" s="861">
        <f>ROUND(+H16+H22,2)</f>
        <v>-195596534.19999999</v>
      </c>
      <c r="I24" s="852"/>
      <c r="J24" s="861">
        <f>ROUND(+J16+J22,2)</f>
        <v>3706.28</v>
      </c>
      <c r="K24" s="852"/>
      <c r="L24" s="861">
        <f>ROUND(+L16+L22,2)</f>
        <v>-119096446.83</v>
      </c>
      <c r="M24" s="852"/>
      <c r="N24" s="861">
        <f>ROUND(+N16+N22,2)</f>
        <v>-49195404.460000001</v>
      </c>
      <c r="O24" s="877"/>
      <c r="P24" s="873"/>
      <c r="Q24" s="861">
        <f>ROUND(+Q16+Q22,2)</f>
        <v>-679702799.66999996</v>
      </c>
      <c r="R24" s="852"/>
      <c r="S24" s="845"/>
      <c r="T24" s="852"/>
    </row>
    <row r="25" spans="2:20">
      <c r="D25" s="1182"/>
      <c r="F25" s="1182"/>
      <c r="H25" s="1182"/>
      <c r="J25" s="1182"/>
      <c r="L25" s="1182"/>
      <c r="N25" s="1182"/>
      <c r="O25" s="858"/>
      <c r="P25" s="873"/>
      <c r="Q25" s="1182"/>
    </row>
    <row r="26" spans="2:20">
      <c r="B26" s="853" t="s">
        <v>45</v>
      </c>
      <c r="D26" s="858"/>
      <c r="F26" s="858"/>
      <c r="H26" s="858"/>
      <c r="J26" s="858"/>
      <c r="L26" s="858"/>
      <c r="N26" s="858"/>
      <c r="O26" s="858"/>
      <c r="P26" s="873"/>
      <c r="Q26" s="858"/>
    </row>
    <row r="27" spans="2:20">
      <c r="B27" s="853" t="s">
        <v>786</v>
      </c>
      <c r="D27" s="858"/>
      <c r="F27" s="858"/>
      <c r="H27" s="858"/>
      <c r="J27" s="858"/>
      <c r="L27" s="858"/>
      <c r="N27" s="858"/>
      <c r="O27" s="858"/>
      <c r="P27" s="874"/>
      <c r="Q27" s="858"/>
    </row>
    <row r="28" spans="2:20">
      <c r="B28" s="849" t="s">
        <v>523</v>
      </c>
      <c r="D28" s="858">
        <v>0</v>
      </c>
      <c r="F28" s="858">
        <v>0</v>
      </c>
      <c r="H28" s="858">
        <v>0</v>
      </c>
      <c r="J28" s="858">
        <v>0</v>
      </c>
      <c r="L28" s="858">
        <v>0</v>
      </c>
      <c r="N28" s="858">
        <v>0</v>
      </c>
      <c r="O28" s="876"/>
      <c r="P28" s="875"/>
      <c r="Q28" s="858">
        <f>ROUND(SUM(D28:O28),2)</f>
        <v>0</v>
      </c>
    </row>
    <row r="29" spans="2:20">
      <c r="B29" s="849" t="s">
        <v>513</v>
      </c>
      <c r="D29" s="858">
        <v>0</v>
      </c>
      <c r="F29" s="858">
        <v>0</v>
      </c>
      <c r="H29" s="858">
        <v>0</v>
      </c>
      <c r="J29" s="858">
        <v>0</v>
      </c>
      <c r="L29" s="858">
        <v>0</v>
      </c>
      <c r="N29" s="858">
        <v>0</v>
      </c>
      <c r="O29" s="858"/>
      <c r="P29" s="873"/>
      <c r="Q29" s="858">
        <f>ROUND(SUM(D29:O29),2)</f>
        <v>0</v>
      </c>
    </row>
    <row r="30" spans="2:20">
      <c r="B30" s="853" t="s">
        <v>510</v>
      </c>
      <c r="D30" s="858"/>
      <c r="F30" s="858"/>
      <c r="H30" s="858"/>
      <c r="J30" s="858"/>
      <c r="L30" s="858"/>
      <c r="N30" s="858"/>
      <c r="O30" s="876"/>
      <c r="P30" s="878"/>
      <c r="Q30" s="858"/>
    </row>
    <row r="31" spans="2:20">
      <c r="B31" s="849" t="s">
        <v>524</v>
      </c>
      <c r="D31" s="858">
        <v>70349336.180000007</v>
      </c>
      <c r="F31" s="858">
        <v>71132751.530000001</v>
      </c>
      <c r="H31" s="858">
        <v>84962091.140000001</v>
      </c>
      <c r="J31" s="858">
        <v>31859457.319999997</v>
      </c>
      <c r="L31" s="858">
        <v>23258946</v>
      </c>
      <c r="N31" s="858">
        <v>21660760.869999997</v>
      </c>
      <c r="O31" s="858"/>
      <c r="P31" s="873"/>
      <c r="Q31" s="858">
        <f>ROUND(SUM(D31:O31),2)</f>
        <v>303223343.04000002</v>
      </c>
    </row>
    <row r="32" spans="2:20">
      <c r="B32" s="849" t="s">
        <v>525</v>
      </c>
      <c r="D32" s="858">
        <v>-3645744.47</v>
      </c>
      <c r="F32" s="858">
        <v>-3558785.08</v>
      </c>
      <c r="H32" s="858">
        <v>1573545.8499999994</v>
      </c>
      <c r="J32" s="858">
        <v>-6243431.4699999979</v>
      </c>
      <c r="L32" s="858">
        <v>-488657.18000000005</v>
      </c>
      <c r="N32" s="858">
        <v>-205105.21999999994</v>
      </c>
      <c r="O32" s="858"/>
      <c r="P32" s="873"/>
      <c r="Q32" s="858">
        <f>ROUND(SUM(D32:O32),2)</f>
        <v>-12568177.57</v>
      </c>
    </row>
    <row r="33" spans="2:50">
      <c r="B33" s="849" t="s">
        <v>526</v>
      </c>
      <c r="D33" s="858">
        <v>90265586.590000004</v>
      </c>
      <c r="F33" s="858">
        <v>91270790.780000001</v>
      </c>
      <c r="H33" s="858">
        <v>109015285.86000001</v>
      </c>
      <c r="J33" s="858">
        <v>40879029.689999998</v>
      </c>
      <c r="L33" s="858">
        <v>29843670.429999996</v>
      </c>
      <c r="N33" s="858">
        <v>27793031.059999999</v>
      </c>
      <c r="O33" s="858"/>
      <c r="P33" s="873"/>
      <c r="Q33" s="858">
        <f>ROUND(SUM(D33:O33),2)</f>
        <v>389067394.41000003</v>
      </c>
    </row>
    <row r="34" spans="2:50">
      <c r="B34" s="849" t="s">
        <v>522</v>
      </c>
      <c r="D34" s="1233">
        <v>0</v>
      </c>
      <c r="F34" s="1233">
        <v>0</v>
      </c>
      <c r="H34" s="1233">
        <v>0</v>
      </c>
      <c r="J34" s="1233">
        <v>0</v>
      </c>
      <c r="L34" s="1233">
        <v>0</v>
      </c>
      <c r="N34" s="1233">
        <v>0</v>
      </c>
      <c r="O34" s="858"/>
      <c r="P34" s="873"/>
      <c r="Q34" s="858">
        <f>ROUND(SUM(D34:O34),2)</f>
        <v>0</v>
      </c>
    </row>
    <row r="35" spans="2:50" s="853" customFormat="1">
      <c r="B35" s="853" t="s">
        <v>512</v>
      </c>
      <c r="C35" s="852"/>
      <c r="D35" s="1184">
        <f>ROUND(SUM(D28:D34),2)</f>
        <v>156969178.30000001</v>
      </c>
      <c r="E35" s="852"/>
      <c r="F35" s="1184">
        <f>ROUND(SUM(F28:F34),2)</f>
        <v>158844757.22999999</v>
      </c>
      <c r="G35" s="852"/>
      <c r="H35" s="1184">
        <f>ROUND(SUM(H28:H34),2)</f>
        <v>195550922.84999999</v>
      </c>
      <c r="I35" s="852"/>
      <c r="J35" s="1184">
        <f>ROUND(SUM(J28:J34),2)</f>
        <v>66495055.539999999</v>
      </c>
      <c r="K35" s="852"/>
      <c r="L35" s="1184">
        <f>ROUND(SUM(L28:L34),2)</f>
        <v>52613959.25</v>
      </c>
      <c r="M35" s="852"/>
      <c r="N35" s="1184">
        <f>ROUND(SUM(N28:N34),2)</f>
        <v>49248686.710000001</v>
      </c>
      <c r="O35" s="858"/>
      <c r="P35" s="873"/>
      <c r="Q35" s="1184">
        <f>ROUND(SUM(Q28:Q34),2)</f>
        <v>679722559.88</v>
      </c>
      <c r="R35" s="852"/>
      <c r="S35" s="845"/>
      <c r="T35" s="852"/>
    </row>
    <row r="36" spans="2:50">
      <c r="D36" s="858"/>
      <c r="F36" s="858"/>
      <c r="H36" s="858"/>
      <c r="J36" s="858"/>
      <c r="L36" s="858"/>
      <c r="N36" s="858"/>
      <c r="O36" s="858"/>
      <c r="P36" s="873"/>
      <c r="Q36" s="858"/>
    </row>
    <row r="37" spans="2:50">
      <c r="B37" s="853" t="s">
        <v>836</v>
      </c>
      <c r="D37" s="858"/>
      <c r="F37" s="858"/>
      <c r="H37" s="858"/>
      <c r="J37" s="858"/>
      <c r="L37" s="858"/>
      <c r="N37" s="858"/>
      <c r="O37" s="858"/>
      <c r="P37" s="873"/>
      <c r="Q37" s="858"/>
    </row>
    <row r="38" spans="2:50">
      <c r="B38" s="844" t="s">
        <v>523</v>
      </c>
      <c r="D38" s="862">
        <v>0</v>
      </c>
      <c r="F38" s="862">
        <v>0</v>
      </c>
      <c r="H38" s="862">
        <v>0</v>
      </c>
      <c r="J38" s="862">
        <v>0</v>
      </c>
      <c r="L38" s="862">
        <v>0</v>
      </c>
      <c r="N38" s="862">
        <v>0</v>
      </c>
      <c r="O38" s="876"/>
      <c r="P38" s="875"/>
      <c r="Q38" s="858">
        <f>ROUND(SUM(D38:O38),2)</f>
        <v>0</v>
      </c>
    </row>
    <row r="39" spans="2:50">
      <c r="B39" s="844" t="s">
        <v>513</v>
      </c>
      <c r="D39" s="858">
        <v>0</v>
      </c>
      <c r="F39" s="858">
        <v>0</v>
      </c>
      <c r="H39" s="858">
        <v>0</v>
      </c>
      <c r="J39" s="858">
        <v>0</v>
      </c>
      <c r="L39" s="858">
        <v>0</v>
      </c>
      <c r="N39" s="858">
        <v>0</v>
      </c>
      <c r="O39" s="858"/>
      <c r="P39" s="873"/>
      <c r="Q39" s="858">
        <f>ROUND(SUM(D39:O39),2)</f>
        <v>0</v>
      </c>
    </row>
    <row r="40" spans="2:50">
      <c r="B40" s="853" t="s">
        <v>837</v>
      </c>
      <c r="D40" s="858"/>
      <c r="F40" s="858"/>
      <c r="H40" s="858"/>
      <c r="J40" s="858"/>
      <c r="L40" s="858"/>
      <c r="N40" s="858"/>
      <c r="O40" s="858"/>
      <c r="P40" s="873"/>
      <c r="Q40" s="858"/>
    </row>
    <row r="41" spans="2:50">
      <c r="B41" s="849" t="s">
        <v>527</v>
      </c>
      <c r="D41" s="858">
        <v>-1158.77</v>
      </c>
      <c r="F41" s="858">
        <v>-5391.3</v>
      </c>
      <c r="H41" s="858">
        <v>-7282.48</v>
      </c>
      <c r="J41" s="858">
        <v>-2579.0700000000002</v>
      </c>
      <c r="L41" s="858">
        <v>-3706.28</v>
      </c>
      <c r="N41" s="858">
        <v>0</v>
      </c>
      <c r="O41" s="858"/>
      <c r="P41" s="873"/>
      <c r="Q41" s="858">
        <f>ROUND(SUM(D41:O41),2)</f>
        <v>-20117.900000000001</v>
      </c>
    </row>
    <row r="42" spans="2:50">
      <c r="B42" s="2100" t="s">
        <v>1351</v>
      </c>
      <c r="D42" s="1233">
        <v>0</v>
      </c>
      <c r="F42" s="1233">
        <v>0</v>
      </c>
      <c r="H42" s="1233">
        <v>0</v>
      </c>
      <c r="J42" s="1233">
        <v>0</v>
      </c>
      <c r="L42" s="1233">
        <v>0</v>
      </c>
      <c r="N42" s="1233">
        <v>0</v>
      </c>
      <c r="O42" s="858"/>
      <c r="P42" s="873"/>
      <c r="Q42" s="858">
        <f>ROUND(SUM(D42:O42),2)</f>
        <v>0</v>
      </c>
    </row>
    <row r="43" spans="2:50" s="853" customFormat="1">
      <c r="B43" s="853" t="s">
        <v>514</v>
      </c>
      <c r="C43" s="852"/>
      <c r="D43" s="1184">
        <f>SUM(D38:D42)</f>
        <v>-1158.77</v>
      </c>
      <c r="E43" s="852"/>
      <c r="F43" s="1184">
        <f>SUM(F38:F42)</f>
        <v>-5391.3</v>
      </c>
      <c r="G43" s="852"/>
      <c r="H43" s="1184">
        <f>SUM(H38:H42)</f>
        <v>-7282.48</v>
      </c>
      <c r="I43" s="852"/>
      <c r="J43" s="1184">
        <f>SUM(J38:J42)</f>
        <v>-2579.0700000000002</v>
      </c>
      <c r="K43" s="852"/>
      <c r="L43" s="1184">
        <f>SUM(L38:L42)</f>
        <v>-3706.28</v>
      </c>
      <c r="M43" s="852"/>
      <c r="N43" s="1184">
        <f>SUM(N38:N42)</f>
        <v>0</v>
      </c>
      <c r="O43" s="858"/>
      <c r="P43" s="873"/>
      <c r="Q43" s="1184">
        <f>SUM(Q38:Q42)</f>
        <v>-20117.900000000001</v>
      </c>
      <c r="R43" s="852"/>
      <c r="S43" s="845"/>
      <c r="T43" s="852"/>
    </row>
    <row r="44" spans="2:50">
      <c r="D44" s="858"/>
      <c r="F44" s="858"/>
      <c r="H44" s="858"/>
      <c r="J44" s="858"/>
      <c r="L44" s="858"/>
      <c r="N44" s="858"/>
      <c r="O44" s="858"/>
      <c r="P44" s="873"/>
      <c r="Q44" s="858"/>
    </row>
    <row r="45" spans="2:50">
      <c r="B45" s="853" t="s">
        <v>528</v>
      </c>
      <c r="D45" s="858"/>
      <c r="F45" s="858"/>
      <c r="H45" s="858"/>
      <c r="J45" s="858"/>
      <c r="L45" s="858"/>
      <c r="N45" s="858"/>
      <c r="O45" s="858"/>
      <c r="P45" s="873"/>
      <c r="Q45" s="858"/>
    </row>
    <row r="46" spans="2:50">
      <c r="B46" s="853" t="s">
        <v>529</v>
      </c>
      <c r="D46" s="1235">
        <f>ROUND(+D24+D35+D43,2)</f>
        <v>-63758.75</v>
      </c>
      <c r="F46" s="1235">
        <f>ROUND(+F24+F35+F43,2)</f>
        <v>53023.75</v>
      </c>
      <c r="H46" s="1235">
        <f>ROUND(+H24+H35+H43,2)</f>
        <v>-52893.83</v>
      </c>
      <c r="J46" s="1235">
        <f>ROUND(+J24+J35+J43,2)</f>
        <v>66496182.75</v>
      </c>
      <c r="L46" s="1235">
        <f>ROUND(+L24+L35+L43,2)</f>
        <v>-66486193.859999999</v>
      </c>
      <c r="N46" s="1235">
        <f>ROUND(+N24+N35+N43,2)</f>
        <v>53282.25</v>
      </c>
      <c r="O46" s="858"/>
      <c r="P46" s="873"/>
      <c r="Q46" s="1235">
        <f>ROUND(+Q24+Q35+Q43,2)</f>
        <v>-357.69</v>
      </c>
    </row>
    <row r="47" spans="2:50">
      <c r="O47" s="876"/>
      <c r="P47" s="875"/>
      <c r="Q47" s="863"/>
    </row>
    <row r="48" spans="2:50" s="853" customFormat="1" ht="16" thickBot="1">
      <c r="B48" s="853" t="s">
        <v>517</v>
      </c>
      <c r="C48" s="864"/>
      <c r="D48" s="1185">
        <f>ROUND(D12+D46,2)</f>
        <v>2449.15</v>
      </c>
      <c r="E48" s="864"/>
      <c r="F48" s="1185">
        <f>ROUND(F12+F46,2)</f>
        <v>55472.9</v>
      </c>
      <c r="G48" s="2197"/>
      <c r="H48" s="1185">
        <f>ROUND(H12+H46,2)</f>
        <v>2579.0700000000002</v>
      </c>
      <c r="I48" s="2197"/>
      <c r="J48" s="1185">
        <f>ROUND(J12+J46,2)</f>
        <v>66498761.82</v>
      </c>
      <c r="K48" s="2197"/>
      <c r="L48" s="1185">
        <f>ROUND(L12+L46,2)</f>
        <v>12567.96</v>
      </c>
      <c r="M48" s="2197"/>
      <c r="N48" s="1185">
        <f>ROUND(N12+N46,2)</f>
        <v>65850.210000000006</v>
      </c>
      <c r="O48" s="858"/>
      <c r="P48" s="873"/>
      <c r="Q48" s="1185">
        <f>ROUND(Q12+Q46,2)</f>
        <v>65850.210000000006</v>
      </c>
      <c r="R48" s="852"/>
      <c r="S48" s="845"/>
      <c r="T48" s="852"/>
      <c r="U48" s="865"/>
      <c r="V48" s="865"/>
      <c r="W48" s="865"/>
      <c r="X48" s="865"/>
      <c r="Y48" s="865"/>
      <c r="Z48" s="865"/>
      <c r="AA48" s="865"/>
      <c r="AB48" s="865"/>
      <c r="AC48" s="865"/>
      <c r="AD48" s="865"/>
      <c r="AE48" s="865"/>
      <c r="AF48" s="865"/>
      <c r="AG48" s="865"/>
      <c r="AH48" s="865"/>
      <c r="AI48" s="865"/>
      <c r="AJ48" s="865"/>
      <c r="AK48" s="865"/>
      <c r="AL48" s="865"/>
      <c r="AM48" s="865"/>
      <c r="AN48" s="865"/>
      <c r="AO48" s="865"/>
      <c r="AP48" s="865"/>
      <c r="AQ48" s="865"/>
      <c r="AR48" s="865"/>
      <c r="AS48" s="865"/>
      <c r="AT48" s="865"/>
      <c r="AU48" s="865"/>
      <c r="AV48" s="865"/>
      <c r="AW48" s="865"/>
      <c r="AX48" s="865"/>
    </row>
    <row r="49" spans="2:16" ht="16" thickTop="1">
      <c r="B49" s="844" t="s">
        <v>14</v>
      </c>
      <c r="O49" s="858"/>
      <c r="P49" s="858"/>
    </row>
    <row r="50" spans="2:16">
      <c r="B50" s="849" t="s">
        <v>518</v>
      </c>
      <c r="O50" s="876"/>
      <c r="P50" s="876"/>
    </row>
    <row r="51" spans="2:16">
      <c r="B51" s="860"/>
    </row>
    <row r="52" spans="2:16">
      <c r="O52" s="855"/>
      <c r="P52" s="855"/>
    </row>
    <row r="59" spans="2:16">
      <c r="B59" s="866"/>
      <c r="C59" s="852"/>
      <c r="D59" s="852"/>
      <c r="E59" s="852"/>
      <c r="F59" s="852"/>
      <c r="G59" s="852"/>
      <c r="H59" s="852"/>
      <c r="I59" s="852"/>
      <c r="J59" s="852"/>
      <c r="K59" s="852"/>
      <c r="L59" s="852"/>
      <c r="M59" s="852"/>
      <c r="N59" s="852"/>
    </row>
    <row r="61" spans="2:16">
      <c r="C61" s="852"/>
      <c r="E61" s="852"/>
      <c r="G61" s="852"/>
      <c r="I61" s="852"/>
      <c r="K61" s="852"/>
      <c r="M61" s="852"/>
    </row>
  </sheetData>
  <printOptions horizontalCentered="1"/>
  <pageMargins left="0.24" right="0.24" top="0.5" bottom="0.5" header="0.18" footer="0.25"/>
  <pageSetup scale="53" firstPageNumber="51"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workbookViewId="0"/>
  </sheetViews>
  <sheetFormatPr defaultColWidth="8.84375" defaultRowHeight="12.5"/>
  <cols>
    <col min="1" max="1" width="54.84375" style="293" customWidth="1"/>
    <col min="2" max="2" width="1.84375" style="293" customWidth="1"/>
    <col min="3" max="3" width="10.84375" style="293" customWidth="1"/>
    <col min="4" max="4" width="1.84375" style="293" customWidth="1"/>
    <col min="5" max="5" width="10.84375" style="293" customWidth="1"/>
    <col min="6" max="6" width="1.84375" style="293" customWidth="1"/>
    <col min="7" max="7" width="10.84375" style="293" customWidth="1"/>
    <col min="8" max="8" width="1.84375" style="293" customWidth="1"/>
    <col min="9" max="9" width="10.84375" style="293" customWidth="1"/>
    <col min="10" max="10" width="1.84375" style="293" customWidth="1"/>
    <col min="11" max="11" width="10.84375" style="293" customWidth="1"/>
    <col min="12" max="12" width="1.84375" style="293" customWidth="1"/>
    <col min="13" max="13" width="14.84375" style="293" bestFit="1" customWidth="1"/>
    <col min="14" max="14" width="1.84375" style="293" customWidth="1"/>
    <col min="15" max="15" width="10.84375" style="293" customWidth="1"/>
    <col min="16" max="16" width="1.84375" style="293" customWidth="1"/>
    <col min="17" max="17" width="13.53515625" style="293" bestFit="1" customWidth="1"/>
    <col min="18" max="18" width="1.84375" style="293" customWidth="1"/>
    <col min="19" max="19" width="13.53515625" style="293" bestFit="1" customWidth="1"/>
    <col min="20" max="20" width="1.84375" style="293" customWidth="1"/>
    <col min="21" max="21" width="11" style="293" customWidth="1"/>
    <col min="22" max="22" width="1.84375" style="293" customWidth="1"/>
    <col min="23" max="23" width="10.84375" style="293" customWidth="1"/>
    <col min="24" max="24" width="1.84375" style="293" customWidth="1"/>
    <col min="25" max="25" width="10.84375" style="293" customWidth="1"/>
    <col min="26" max="26" width="1.84375" style="293" customWidth="1"/>
    <col min="27" max="27" width="14.07421875" style="294" customWidth="1"/>
    <col min="28" max="28" width="3.84375" style="293" customWidth="1"/>
    <col min="29" max="29" width="5.84375" style="293" customWidth="1"/>
    <col min="30" max="30" width="10.07421875" style="293" customWidth="1"/>
    <col min="31" max="31" width="2.84375" style="293" customWidth="1"/>
    <col min="32" max="16384" width="8.84375" style="293"/>
  </cols>
  <sheetData>
    <row r="1" spans="1:29" ht="15.5">
      <c r="A1" s="468" t="s">
        <v>868</v>
      </c>
    </row>
    <row r="2" spans="1:29" ht="20">
      <c r="A2" s="290"/>
      <c r="B2" s="837"/>
      <c r="C2" s="837"/>
      <c r="D2" s="837"/>
      <c r="E2" s="837"/>
      <c r="F2" s="837"/>
      <c r="G2" s="837"/>
      <c r="H2" s="837"/>
      <c r="I2" s="837"/>
      <c r="J2" s="837"/>
      <c r="K2" s="837"/>
      <c r="L2" s="291"/>
      <c r="M2" s="291"/>
      <c r="N2" s="837"/>
      <c r="O2" s="837"/>
      <c r="P2" s="837"/>
      <c r="Q2" s="837"/>
      <c r="R2" s="837"/>
      <c r="S2" s="837"/>
      <c r="T2" s="837"/>
      <c r="U2" s="837"/>
      <c r="V2" s="837"/>
      <c r="W2" s="837"/>
      <c r="X2" s="837"/>
      <c r="Y2" s="837"/>
      <c r="Z2" s="837"/>
      <c r="AA2" s="838"/>
      <c r="AB2" s="837"/>
      <c r="AC2" s="292"/>
    </row>
    <row r="3" spans="1:29" ht="15.5">
      <c r="A3"/>
      <c r="B3" s="469"/>
      <c r="C3" s="469"/>
      <c r="D3" s="469"/>
      <c r="E3" s="469"/>
      <c r="F3" s="469"/>
      <c r="G3" s="469"/>
      <c r="H3" s="469"/>
      <c r="I3" s="469"/>
      <c r="J3" s="469"/>
      <c r="K3" s="469"/>
      <c r="L3"/>
      <c r="M3" s="469"/>
      <c r="N3" s="469"/>
      <c r="O3" s="469"/>
      <c r="P3" s="469"/>
      <c r="Q3" s="469"/>
      <c r="R3" s="469"/>
      <c r="S3" s="469"/>
      <c r="T3" s="469"/>
      <c r="U3" s="469"/>
      <c r="V3" s="469"/>
      <c r="W3" s="469"/>
      <c r="X3" s="469"/>
      <c r="Y3" s="469"/>
      <c r="Z3" s="469"/>
      <c r="AA3" s="293"/>
      <c r="AB3" s="837"/>
      <c r="AC3" s="292"/>
    </row>
    <row r="4" spans="1:29" ht="20">
      <c r="A4" s="474" t="s">
        <v>0</v>
      </c>
      <c r="B4" s="469"/>
      <c r="C4" s="469"/>
      <c r="D4" s="469"/>
      <c r="E4" s="469"/>
      <c r="F4" s="469"/>
      <c r="G4" s="469"/>
      <c r="H4" s="469"/>
      <c r="I4" s="469"/>
      <c r="J4" s="469"/>
      <c r="K4" s="469"/>
      <c r="L4"/>
      <c r="M4" s="469"/>
      <c r="N4" s="469"/>
      <c r="O4" s="469"/>
      <c r="P4" s="469"/>
      <c r="Q4" s="469"/>
      <c r="R4" s="469"/>
      <c r="S4" s="469"/>
      <c r="T4" s="469"/>
      <c r="U4" s="469"/>
      <c r="V4" s="469"/>
      <c r="W4" s="469"/>
      <c r="X4" s="469"/>
      <c r="Y4" s="469"/>
      <c r="Z4" s="469"/>
      <c r="AA4" s="839" t="s">
        <v>519</v>
      </c>
      <c r="AB4" s="837"/>
      <c r="AC4" s="292"/>
    </row>
    <row r="5" spans="1:29" s="292" customFormat="1" ht="18">
      <c r="A5" s="474" t="s">
        <v>531</v>
      </c>
      <c r="B5" s="469"/>
      <c r="C5" s="469"/>
      <c r="D5" s="469"/>
      <c r="E5" s="469"/>
      <c r="F5" s="469"/>
      <c r="G5" s="469"/>
      <c r="H5" s="469"/>
      <c r="I5" s="469"/>
      <c r="J5" s="469"/>
      <c r="K5" s="469"/>
      <c r="L5" s="469"/>
      <c r="M5" s="469"/>
      <c r="N5" s="469"/>
      <c r="O5" s="469"/>
      <c r="P5" s="469"/>
      <c r="Q5" s="469"/>
      <c r="R5" s="469"/>
      <c r="S5" s="469"/>
      <c r="T5" s="469"/>
      <c r="U5" s="469"/>
      <c r="V5" s="469"/>
      <c r="W5" s="469"/>
      <c r="X5" s="469"/>
      <c r="Y5" s="469"/>
      <c r="Z5" s="469"/>
      <c r="AA5" s="469"/>
      <c r="AB5" s="837"/>
    </row>
    <row r="6" spans="1:29" s="292" customFormat="1" ht="18">
      <c r="A6" s="153" t="str">
        <f>'Exh D-Governmental  '!A5:E5</f>
        <v>FISCAL YEAR 2022-2023</v>
      </c>
      <c r="B6" s="469"/>
      <c r="C6" s="469"/>
      <c r="D6" s="469"/>
      <c r="E6" s="469"/>
      <c r="F6" s="469"/>
      <c r="G6" s="469"/>
      <c r="H6" s="469"/>
      <c r="I6" s="469"/>
      <c r="J6" s="469"/>
      <c r="K6" s="469"/>
      <c r="L6" s="469"/>
      <c r="M6" s="469"/>
      <c r="N6" s="469"/>
      <c r="O6" s="469"/>
      <c r="P6" s="469"/>
      <c r="Q6" s="469"/>
      <c r="R6" s="469"/>
      <c r="S6" s="469"/>
      <c r="T6" s="469"/>
      <c r="U6" s="469"/>
      <c r="V6" s="469"/>
      <c r="W6" s="469"/>
      <c r="X6" s="469"/>
      <c r="Y6" s="469"/>
      <c r="Z6" s="469"/>
      <c r="AA6" s="469"/>
      <c r="AB6" s="837"/>
    </row>
    <row r="7" spans="1:29" s="292" customFormat="1" ht="18">
      <c r="A7" s="474" t="s">
        <v>1252</v>
      </c>
      <c r="B7" s="470"/>
      <c r="C7" s="470"/>
      <c r="D7" s="470"/>
      <c r="E7" s="470"/>
      <c r="F7" s="470"/>
      <c r="G7" s="470"/>
      <c r="H7" s="470"/>
      <c r="I7" s="470"/>
      <c r="J7"/>
      <c r="K7"/>
      <c r="L7"/>
      <c r="M7"/>
      <c r="N7"/>
      <c r="O7"/>
      <c r="P7"/>
      <c r="Q7"/>
      <c r="R7" s="469"/>
      <c r="S7" s="469"/>
      <c r="T7" s="469"/>
      <c r="U7" s="469"/>
      <c r="V7" s="469"/>
      <c r="W7" s="469"/>
      <c r="X7" s="469"/>
      <c r="Y7" s="469"/>
      <c r="Z7" s="469"/>
      <c r="AA7"/>
      <c r="AB7" s="837"/>
    </row>
    <row r="8" spans="1:29" s="292" customFormat="1" ht="15.5">
      <c r="A8" s="471"/>
      <c r="B8" s="470"/>
      <c r="C8" s="558"/>
      <c r="D8" s="558"/>
      <c r="E8" s="558"/>
      <c r="F8" s="558"/>
      <c r="G8" s="558"/>
      <c r="H8" s="558"/>
      <c r="I8" s="558"/>
      <c r="J8" s="486"/>
      <c r="K8" s="486"/>
      <c r="L8" s="486"/>
      <c r="M8" s="486"/>
      <c r="N8" s="486"/>
      <c r="O8" s="486"/>
      <c r="P8" s="486"/>
      <c r="Q8" s="486"/>
      <c r="R8" s="486"/>
      <c r="S8" s="486"/>
      <c r="T8" s="486"/>
      <c r="U8" s="486"/>
      <c r="V8" s="486"/>
      <c r="W8" s="486"/>
      <c r="X8" s="486"/>
      <c r="Y8" s="486"/>
      <c r="Z8" s="486"/>
      <c r="AA8" s="486"/>
      <c r="AB8" s="837"/>
    </row>
    <row r="9" spans="1:29" s="292" customFormat="1" ht="15.5">
      <c r="A9" s="469"/>
      <c r="B9" s="469"/>
      <c r="C9" s="486"/>
      <c r="D9" s="486"/>
      <c r="E9" s="486"/>
      <c r="F9" s="486"/>
      <c r="G9" s="486"/>
      <c r="H9" s="486"/>
      <c r="I9" s="486"/>
      <c r="J9" s="486"/>
      <c r="K9" s="486"/>
      <c r="L9" s="486"/>
      <c r="M9" s="486"/>
      <c r="N9" s="486"/>
      <c r="O9" s="486"/>
      <c r="P9" s="486"/>
      <c r="Q9" s="486"/>
      <c r="R9" s="486"/>
      <c r="S9" s="486"/>
      <c r="T9" s="486"/>
      <c r="U9" s="486"/>
      <c r="V9" s="486"/>
      <c r="W9" s="486"/>
      <c r="X9" s="486"/>
      <c r="Y9" s="486"/>
      <c r="Z9" s="486"/>
      <c r="AA9" s="486"/>
      <c r="AB9" s="837"/>
    </row>
    <row r="10" spans="1:29" s="292" customFormat="1" ht="18">
      <c r="A10" s="469"/>
      <c r="B10" s="485"/>
      <c r="C10" s="559">
        <v>2022</v>
      </c>
      <c r="D10" s="559" t="s">
        <v>14</v>
      </c>
      <c r="E10" s="559">
        <f>C10</f>
        <v>2022</v>
      </c>
      <c r="F10" s="559" t="s">
        <v>14</v>
      </c>
      <c r="G10" s="559">
        <f>C10</f>
        <v>2022</v>
      </c>
      <c r="H10" s="559" t="s">
        <v>14</v>
      </c>
      <c r="I10" s="559">
        <f>C10</f>
        <v>2022</v>
      </c>
      <c r="J10" s="559" t="s">
        <v>14</v>
      </c>
      <c r="K10" s="559">
        <f>E10</f>
        <v>2022</v>
      </c>
      <c r="L10" s="559" t="s">
        <v>14</v>
      </c>
      <c r="M10" s="559">
        <f>G10</f>
        <v>2022</v>
      </c>
      <c r="N10" s="559" t="s">
        <v>14</v>
      </c>
      <c r="O10" s="559">
        <f>I10</f>
        <v>2022</v>
      </c>
      <c r="P10" s="559" t="s">
        <v>14</v>
      </c>
      <c r="Q10" s="559">
        <f>K10</f>
        <v>2022</v>
      </c>
      <c r="R10" s="559" t="s">
        <v>14</v>
      </c>
      <c r="S10" s="559">
        <f>M10</f>
        <v>2022</v>
      </c>
      <c r="T10" s="559"/>
      <c r="U10" s="559">
        <v>2023</v>
      </c>
      <c r="V10" s="559"/>
      <c r="W10" s="559">
        <f>U10</f>
        <v>2023</v>
      </c>
      <c r="X10" s="559"/>
      <c r="Y10" s="559">
        <f>W10</f>
        <v>2023</v>
      </c>
      <c r="Z10" s="474"/>
      <c r="AA10" s="560" t="str">
        <f>'Medicaid Disp Share'!Q10</f>
        <v>2022-2023</v>
      </c>
      <c r="AB10" s="840"/>
    </row>
    <row r="11" spans="1:29" s="292" customFormat="1" ht="18">
      <c r="A11" s="469"/>
      <c r="B11" s="485"/>
      <c r="C11" s="1326" t="s">
        <v>122</v>
      </c>
      <c r="D11" s="560"/>
      <c r="E11" s="1326" t="s">
        <v>123</v>
      </c>
      <c r="F11" s="560"/>
      <c r="G11" s="1326" t="s">
        <v>124</v>
      </c>
      <c r="H11" s="560"/>
      <c r="I11" s="1326" t="s">
        <v>125</v>
      </c>
      <c r="J11" s="560"/>
      <c r="K11" s="1326" t="s">
        <v>126</v>
      </c>
      <c r="L11" s="560"/>
      <c r="M11" s="1326" t="s">
        <v>141</v>
      </c>
      <c r="N11" s="560"/>
      <c r="O11" s="1326" t="s">
        <v>142</v>
      </c>
      <c r="P11" s="560"/>
      <c r="Q11" s="1326" t="s">
        <v>129</v>
      </c>
      <c r="R11" s="560"/>
      <c r="S11" s="1326" t="s">
        <v>130</v>
      </c>
      <c r="T11" s="560"/>
      <c r="U11" s="1326" t="s">
        <v>131</v>
      </c>
      <c r="V11" s="560"/>
      <c r="W11" s="1326" t="s">
        <v>132</v>
      </c>
      <c r="X11" s="560"/>
      <c r="Y11" s="1326" t="s">
        <v>182</v>
      </c>
      <c r="Z11" s="474"/>
      <c r="AA11" s="1326" t="s">
        <v>532</v>
      </c>
      <c r="AB11" s="837"/>
    </row>
    <row r="12" spans="1:29" s="292" customFormat="1" ht="17.5">
      <c r="A12"/>
      <c r="B12" s="485"/>
      <c r="C12" s="485"/>
      <c r="D12" s="485"/>
      <c r="E12" s="485"/>
      <c r="F12" s="485"/>
      <c r="G12" s="485"/>
      <c r="H12" s="485"/>
      <c r="I12" s="485"/>
      <c r="J12" s="485"/>
      <c r="K12" s="485"/>
      <c r="L12" s="485"/>
      <c r="M12" s="485"/>
      <c r="N12" s="485"/>
      <c r="O12" s="485"/>
      <c r="P12" s="485"/>
      <c r="Q12" s="485"/>
      <c r="R12" s="485"/>
      <c r="S12" s="485"/>
      <c r="T12" s="485"/>
      <c r="U12" s="485"/>
      <c r="V12" s="485"/>
      <c r="W12" s="485"/>
      <c r="X12" s="485"/>
      <c r="Y12" s="485"/>
      <c r="Z12" s="485"/>
      <c r="AA12" s="485"/>
      <c r="AB12" s="1175"/>
      <c r="AC12" s="1176"/>
    </row>
    <row r="13" spans="1:29" s="292" customFormat="1" ht="17.5">
      <c r="A13" s="486" t="s">
        <v>533</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1175"/>
      <c r="AC13" s="1177"/>
    </row>
    <row r="14" spans="1:29" s="292" customFormat="1" ht="17.5">
      <c r="A14" s="469" t="s">
        <v>534</v>
      </c>
      <c r="B14" s="485"/>
      <c r="C14" s="574">
        <v>0</v>
      </c>
      <c r="D14" s="574"/>
      <c r="E14" s="574">
        <v>0</v>
      </c>
      <c r="F14" s="574"/>
      <c r="G14" s="1335">
        <v>0</v>
      </c>
      <c r="H14" s="574"/>
      <c r="I14" s="1335">
        <v>0</v>
      </c>
      <c r="J14" s="575"/>
      <c r="K14" s="1335">
        <v>0</v>
      </c>
      <c r="L14" s="574"/>
      <c r="M14" s="1335">
        <v>0</v>
      </c>
      <c r="N14" s="575"/>
      <c r="O14" s="1335">
        <v>0</v>
      </c>
      <c r="P14" s="575"/>
      <c r="Q14" s="1335">
        <v>0</v>
      </c>
      <c r="R14" s="575"/>
      <c r="S14" s="1335">
        <v>0</v>
      </c>
      <c r="T14" s="575"/>
      <c r="U14" s="1335">
        <v>0</v>
      </c>
      <c r="V14" s="575"/>
      <c r="W14" s="1335">
        <v>0</v>
      </c>
      <c r="X14" s="575"/>
      <c r="Y14" s="1335">
        <v>0</v>
      </c>
      <c r="Z14" s="485"/>
      <c r="AA14" s="1703">
        <f>ROUND(SUM(C14:Z14),0)</f>
        <v>0</v>
      </c>
      <c r="AB14" s="1175"/>
      <c r="AC14" s="1177"/>
    </row>
    <row r="15" spans="1:29" s="292" customFormat="1" ht="17.5">
      <c r="A15" s="469" t="s">
        <v>535</v>
      </c>
      <c r="B15" s="485"/>
      <c r="C15" s="576">
        <v>0</v>
      </c>
      <c r="D15" s="577"/>
      <c r="E15" s="577">
        <v>389</v>
      </c>
      <c r="F15" s="577"/>
      <c r="G15" s="580">
        <v>364</v>
      </c>
      <c r="H15" s="577"/>
      <c r="I15" s="580">
        <v>115</v>
      </c>
      <c r="J15" s="578"/>
      <c r="K15" s="580">
        <v>34</v>
      </c>
      <c r="L15" s="577"/>
      <c r="M15" s="580">
        <v>0</v>
      </c>
      <c r="N15" s="578"/>
      <c r="O15" s="580">
        <v>0</v>
      </c>
      <c r="P15" s="578"/>
      <c r="Q15" s="580">
        <v>0</v>
      </c>
      <c r="R15" s="578"/>
      <c r="S15" s="580">
        <v>0</v>
      </c>
      <c r="T15" s="578"/>
      <c r="U15" s="580">
        <v>0</v>
      </c>
      <c r="V15" s="578"/>
      <c r="W15" s="580">
        <v>34</v>
      </c>
      <c r="X15" s="578"/>
      <c r="Y15" s="580">
        <v>389</v>
      </c>
      <c r="Z15" s="485"/>
      <c r="AA15" s="975">
        <f t="shared" ref="AA15:AA24" si="0">ROUND(SUM(C15:Z15),0)</f>
        <v>1325</v>
      </c>
      <c r="AB15" s="1175"/>
      <c r="AC15" s="1177"/>
    </row>
    <row r="16" spans="1:29" s="292" customFormat="1" ht="17.5">
      <c r="A16" s="469" t="s">
        <v>536</v>
      </c>
      <c r="B16" s="485"/>
      <c r="C16" s="576">
        <v>0</v>
      </c>
      <c r="D16" s="577"/>
      <c r="E16" s="577">
        <v>0</v>
      </c>
      <c r="F16" s="577"/>
      <c r="G16" s="580">
        <v>6</v>
      </c>
      <c r="H16" s="577"/>
      <c r="I16" s="580">
        <v>0</v>
      </c>
      <c r="J16" s="578"/>
      <c r="K16" s="580">
        <v>0</v>
      </c>
      <c r="L16" s="577"/>
      <c r="M16" s="580">
        <v>0</v>
      </c>
      <c r="N16" s="578"/>
      <c r="O16" s="580">
        <v>0</v>
      </c>
      <c r="P16" s="578"/>
      <c r="Q16" s="580">
        <v>0</v>
      </c>
      <c r="R16" s="578"/>
      <c r="S16" s="580">
        <v>4</v>
      </c>
      <c r="T16" s="578"/>
      <c r="U16" s="580">
        <v>0</v>
      </c>
      <c r="V16" s="578"/>
      <c r="W16" s="580">
        <v>0</v>
      </c>
      <c r="X16" s="578"/>
      <c r="Y16" s="580">
        <v>0</v>
      </c>
      <c r="Z16" s="485"/>
      <c r="AA16" s="975">
        <f t="shared" si="0"/>
        <v>10</v>
      </c>
      <c r="AB16" s="841"/>
      <c r="AC16" s="1177"/>
    </row>
    <row r="17" spans="1:29" s="292" customFormat="1" ht="17.5">
      <c r="A17" s="469" t="s">
        <v>892</v>
      </c>
      <c r="B17" s="485"/>
      <c r="C17" s="580">
        <v>0</v>
      </c>
      <c r="D17" s="577"/>
      <c r="E17" s="579">
        <v>0</v>
      </c>
      <c r="F17" s="577"/>
      <c r="G17" s="579">
        <v>0</v>
      </c>
      <c r="H17" s="577"/>
      <c r="I17" s="579">
        <v>0</v>
      </c>
      <c r="J17" s="578"/>
      <c r="K17" s="579">
        <v>0</v>
      </c>
      <c r="L17" s="577"/>
      <c r="M17" s="579">
        <v>0</v>
      </c>
      <c r="N17" s="578"/>
      <c r="O17" s="579">
        <v>0</v>
      </c>
      <c r="P17" s="578"/>
      <c r="Q17" s="579">
        <v>0</v>
      </c>
      <c r="R17" s="578"/>
      <c r="S17" s="579">
        <v>0</v>
      </c>
      <c r="T17" s="578"/>
      <c r="U17" s="579">
        <v>0</v>
      </c>
      <c r="V17" s="578"/>
      <c r="W17" s="579">
        <v>0</v>
      </c>
      <c r="X17" s="578"/>
      <c r="Y17" s="579">
        <v>0</v>
      </c>
      <c r="Z17" s="485"/>
      <c r="AA17" s="975">
        <f t="shared" si="0"/>
        <v>0</v>
      </c>
      <c r="AB17" s="841"/>
      <c r="AC17" s="1177"/>
    </row>
    <row r="18" spans="1:29" s="292" customFormat="1" ht="17.5">
      <c r="A18" s="469" t="s">
        <v>537</v>
      </c>
      <c r="B18" s="485"/>
      <c r="C18" s="577"/>
      <c r="D18" s="577"/>
      <c r="E18" s="581"/>
      <c r="F18" s="577"/>
      <c r="G18" s="581"/>
      <c r="H18" s="577"/>
      <c r="I18" s="581"/>
      <c r="J18" s="578"/>
      <c r="K18" s="581"/>
      <c r="L18" s="577"/>
      <c r="M18" s="581" t="s">
        <v>14</v>
      </c>
      <c r="N18" s="578"/>
      <c r="O18" s="581" t="s">
        <v>14</v>
      </c>
      <c r="P18" s="578"/>
      <c r="Q18" s="581"/>
      <c r="R18" s="578"/>
      <c r="S18" s="581"/>
      <c r="T18" s="578"/>
      <c r="U18" s="581"/>
      <c r="V18" s="578"/>
      <c r="W18" s="581"/>
      <c r="X18" s="578"/>
      <c r="Y18" s="581"/>
      <c r="Z18" s="485"/>
      <c r="AA18" s="975"/>
      <c r="AB18" s="841"/>
      <c r="AC18" s="1177"/>
    </row>
    <row r="19" spans="1:29" s="292" customFormat="1" ht="17.5">
      <c r="A19" s="469" t="s">
        <v>898</v>
      </c>
      <c r="B19" s="485"/>
      <c r="C19" s="576">
        <v>285</v>
      </c>
      <c r="D19" s="577"/>
      <c r="E19" s="577">
        <v>189</v>
      </c>
      <c r="F19" s="577"/>
      <c r="G19" s="580">
        <v>39</v>
      </c>
      <c r="H19" s="577"/>
      <c r="I19" s="580">
        <v>0</v>
      </c>
      <c r="J19" s="578"/>
      <c r="K19" s="580">
        <v>0</v>
      </c>
      <c r="L19" s="577"/>
      <c r="M19" s="580">
        <v>0</v>
      </c>
      <c r="N19" s="578"/>
      <c r="O19" s="580">
        <v>0</v>
      </c>
      <c r="P19" s="578"/>
      <c r="Q19" s="580">
        <v>0</v>
      </c>
      <c r="R19" s="578"/>
      <c r="S19" s="580">
        <v>0</v>
      </c>
      <c r="T19" s="578"/>
      <c r="U19" s="580">
        <v>0</v>
      </c>
      <c r="V19" s="578"/>
      <c r="W19" s="580">
        <v>0</v>
      </c>
      <c r="X19" s="578"/>
      <c r="Y19" s="580">
        <v>0</v>
      </c>
      <c r="Z19" s="485"/>
      <c r="AA19" s="975">
        <f t="shared" si="0"/>
        <v>513</v>
      </c>
      <c r="AB19" s="841"/>
      <c r="AC19" s="1177"/>
    </row>
    <row r="20" spans="1:29" s="292" customFormat="1" ht="17.5">
      <c r="A20" s="469" t="s">
        <v>538</v>
      </c>
      <c r="B20" s="485"/>
      <c r="C20" s="576">
        <v>0</v>
      </c>
      <c r="D20" s="577"/>
      <c r="E20" s="577">
        <v>0</v>
      </c>
      <c r="F20" s="577"/>
      <c r="G20" s="580">
        <v>0</v>
      </c>
      <c r="H20" s="577"/>
      <c r="I20" s="580">
        <v>0</v>
      </c>
      <c r="J20" s="578"/>
      <c r="K20" s="580">
        <v>0</v>
      </c>
      <c r="L20" s="577"/>
      <c r="M20" s="580">
        <v>0</v>
      </c>
      <c r="N20" s="578"/>
      <c r="O20" s="580">
        <v>0</v>
      </c>
      <c r="P20" s="578"/>
      <c r="Q20" s="580">
        <v>0</v>
      </c>
      <c r="R20" s="578"/>
      <c r="S20" s="580">
        <v>0</v>
      </c>
      <c r="T20" s="578"/>
      <c r="U20" s="580">
        <v>0</v>
      </c>
      <c r="V20" s="578"/>
      <c r="W20" s="580">
        <v>0</v>
      </c>
      <c r="X20" s="578"/>
      <c r="Y20" s="580">
        <v>0</v>
      </c>
      <c r="Z20" s="485"/>
      <c r="AA20" s="975">
        <f t="shared" si="0"/>
        <v>0</v>
      </c>
      <c r="AB20" s="841"/>
      <c r="AC20" s="1177"/>
    </row>
    <row r="21" spans="1:29" s="292" customFormat="1" ht="17.5">
      <c r="A21" s="469" t="s">
        <v>539</v>
      </c>
      <c r="B21" s="485"/>
      <c r="C21" s="576">
        <v>0</v>
      </c>
      <c r="D21" s="577"/>
      <c r="E21" s="577">
        <v>0</v>
      </c>
      <c r="F21" s="577"/>
      <c r="G21" s="580">
        <v>0</v>
      </c>
      <c r="H21" s="577"/>
      <c r="I21" s="580">
        <v>0</v>
      </c>
      <c r="J21" s="578"/>
      <c r="K21" s="580">
        <v>0</v>
      </c>
      <c r="L21" s="577"/>
      <c r="M21" s="580">
        <v>0</v>
      </c>
      <c r="N21" s="578"/>
      <c r="O21" s="580">
        <v>0</v>
      </c>
      <c r="P21" s="578"/>
      <c r="Q21" s="580">
        <v>0</v>
      </c>
      <c r="R21" s="578"/>
      <c r="S21" s="580">
        <v>0</v>
      </c>
      <c r="T21" s="578"/>
      <c r="U21" s="580">
        <v>0</v>
      </c>
      <c r="V21" s="578"/>
      <c r="W21" s="580">
        <v>0</v>
      </c>
      <c r="X21" s="578"/>
      <c r="Y21" s="580">
        <v>0</v>
      </c>
      <c r="Z21" s="485"/>
      <c r="AA21" s="975">
        <f t="shared" si="0"/>
        <v>0</v>
      </c>
      <c r="AB21" s="841"/>
      <c r="AC21" s="1177"/>
    </row>
    <row r="22" spans="1:29" s="292" customFormat="1" ht="17.5">
      <c r="A22" s="469" t="s">
        <v>540</v>
      </c>
      <c r="B22" s="485"/>
      <c r="C22" s="576">
        <v>0</v>
      </c>
      <c r="D22" s="577"/>
      <c r="E22" s="577">
        <v>0</v>
      </c>
      <c r="F22" s="577"/>
      <c r="G22" s="580">
        <v>0</v>
      </c>
      <c r="H22" s="577"/>
      <c r="I22" s="580">
        <v>0</v>
      </c>
      <c r="J22" s="578"/>
      <c r="K22" s="580">
        <v>0</v>
      </c>
      <c r="L22" s="577"/>
      <c r="M22" s="580">
        <v>0</v>
      </c>
      <c r="N22" s="578"/>
      <c r="O22" s="580">
        <v>0</v>
      </c>
      <c r="P22" s="578"/>
      <c r="Q22" s="580">
        <v>0</v>
      </c>
      <c r="R22" s="578"/>
      <c r="S22" s="580">
        <v>0</v>
      </c>
      <c r="T22" s="578"/>
      <c r="U22" s="580">
        <v>0</v>
      </c>
      <c r="V22" s="578"/>
      <c r="W22" s="580">
        <v>0</v>
      </c>
      <c r="X22" s="578"/>
      <c r="Y22" s="580">
        <v>0</v>
      </c>
      <c r="Z22" s="485"/>
      <c r="AA22" s="975">
        <f t="shared" si="0"/>
        <v>0</v>
      </c>
      <c r="AB22" s="841"/>
      <c r="AC22" s="1177"/>
    </row>
    <row r="23" spans="1:29" s="292" customFormat="1" ht="17.5">
      <c r="A23" s="469" t="s">
        <v>541</v>
      </c>
      <c r="B23" s="485"/>
      <c r="C23" s="576">
        <v>0</v>
      </c>
      <c r="D23" s="577"/>
      <c r="E23" s="577">
        <v>0</v>
      </c>
      <c r="F23" s="577"/>
      <c r="G23" s="580">
        <v>0</v>
      </c>
      <c r="H23" s="577"/>
      <c r="I23" s="580">
        <v>0</v>
      </c>
      <c r="J23" s="578"/>
      <c r="K23" s="580">
        <v>0</v>
      </c>
      <c r="L23" s="577"/>
      <c r="M23" s="580">
        <v>0</v>
      </c>
      <c r="N23" s="578"/>
      <c r="O23" s="580">
        <v>0</v>
      </c>
      <c r="P23" s="578"/>
      <c r="Q23" s="580">
        <v>0</v>
      </c>
      <c r="R23" s="578"/>
      <c r="S23" s="580">
        <v>0</v>
      </c>
      <c r="T23" s="578"/>
      <c r="U23" s="580">
        <v>0</v>
      </c>
      <c r="V23" s="578"/>
      <c r="W23" s="580">
        <v>0</v>
      </c>
      <c r="X23" s="578"/>
      <c r="Y23" s="580">
        <v>0</v>
      </c>
      <c r="Z23" s="485"/>
      <c r="AA23" s="975">
        <f>ROUND(SUM(C23:Z23),0)</f>
        <v>0</v>
      </c>
      <c r="AB23" s="841"/>
      <c r="AC23" s="1177"/>
    </row>
    <row r="24" spans="1:29" s="292" customFormat="1" ht="17.5">
      <c r="A24" s="469" t="s">
        <v>542</v>
      </c>
      <c r="B24" s="485"/>
      <c r="C24" s="577">
        <v>0</v>
      </c>
      <c r="D24" s="577"/>
      <c r="E24" s="577">
        <v>0</v>
      </c>
      <c r="F24" s="577"/>
      <c r="G24" s="576">
        <v>0</v>
      </c>
      <c r="H24" s="577"/>
      <c r="I24" s="580">
        <v>0</v>
      </c>
      <c r="J24" s="578"/>
      <c r="K24" s="580">
        <v>0</v>
      </c>
      <c r="L24" s="577"/>
      <c r="M24" s="580">
        <v>0</v>
      </c>
      <c r="N24" s="578"/>
      <c r="O24" s="580">
        <v>0</v>
      </c>
      <c r="P24" s="578"/>
      <c r="Q24" s="580">
        <v>0</v>
      </c>
      <c r="R24" s="578"/>
      <c r="S24" s="580">
        <v>0</v>
      </c>
      <c r="T24" s="578"/>
      <c r="U24" s="580">
        <v>0</v>
      </c>
      <c r="V24" s="578"/>
      <c r="W24" s="580">
        <v>0</v>
      </c>
      <c r="X24" s="578"/>
      <c r="Y24" s="580">
        <v>0</v>
      </c>
      <c r="Z24" s="485"/>
      <c r="AA24" s="975">
        <f t="shared" si="0"/>
        <v>0</v>
      </c>
      <c r="AB24" s="841"/>
      <c r="AC24" s="1177"/>
    </row>
    <row r="25" spans="1:29" s="292" customFormat="1" ht="17.5">
      <c r="A25" s="486" t="s">
        <v>789</v>
      </c>
      <c r="B25" s="485"/>
      <c r="C25" s="1328">
        <f>ROUND(SUM(C14:C24),0)</f>
        <v>285</v>
      </c>
      <c r="D25" s="469"/>
      <c r="E25" s="1328">
        <f>ROUND(SUM(E14:E24),0)</f>
        <v>578</v>
      </c>
      <c r="F25" s="469"/>
      <c r="G25" s="1328">
        <f>ROUND(SUM(G14:G24),0)</f>
        <v>409</v>
      </c>
      <c r="H25" s="469"/>
      <c r="I25" s="1328">
        <f>ROUND(SUM(I14:I24),0)</f>
        <v>115</v>
      </c>
      <c r="J25" s="469"/>
      <c r="K25" s="1328">
        <f>ROUND(SUM(K14:K24),0)</f>
        <v>34</v>
      </c>
      <c r="L25" s="469"/>
      <c r="M25" s="1328">
        <f>ROUND(SUM(M14:M24),0)</f>
        <v>0</v>
      </c>
      <c r="N25" s="469"/>
      <c r="O25" s="1328">
        <f>ROUND(SUM(O14:O24),0)</f>
        <v>0</v>
      </c>
      <c r="P25" s="469"/>
      <c r="Q25" s="1328">
        <f>ROUND(SUM(Q14:Q24),0)</f>
        <v>0</v>
      </c>
      <c r="R25" s="469"/>
      <c r="S25" s="1328">
        <f>ROUND(SUM(S14:S24),0)</f>
        <v>4</v>
      </c>
      <c r="T25" s="469"/>
      <c r="U25" s="1328">
        <f>ROUND(SUM(U14:U24),0)</f>
        <v>0</v>
      </c>
      <c r="V25" s="469"/>
      <c r="W25" s="1328">
        <f>ROUND(SUM(W14:W24),0)</f>
        <v>34</v>
      </c>
      <c r="X25" s="469"/>
      <c r="Y25" s="1328">
        <f>ROUND(SUM(Y14:Y24),0)</f>
        <v>389</v>
      </c>
      <c r="Z25" s="469"/>
      <c r="AA25" s="1328">
        <f>ROUND(SUM(AA14:AA24),0)</f>
        <v>1848</v>
      </c>
      <c r="AB25" s="841"/>
      <c r="AC25" s="1177"/>
    </row>
    <row r="26" spans="1:29" s="292" customFormat="1" ht="17.5">
      <c r="A26"/>
      <c r="B26" s="485"/>
      <c r="C26" s="485"/>
      <c r="D26" s="485"/>
      <c r="E26" s="485"/>
      <c r="F26" s="485"/>
      <c r="G26" s="485"/>
      <c r="H26" s="485"/>
      <c r="I26" s="485"/>
      <c r="J26" s="485"/>
      <c r="K26" s="485"/>
      <c r="L26" s="485"/>
      <c r="M26" s="485"/>
      <c r="N26" s="485"/>
      <c r="O26" s="485"/>
      <c r="P26" s="485"/>
      <c r="Q26" s="485"/>
      <c r="R26" s="485"/>
      <c r="S26" s="485"/>
      <c r="T26" s="485"/>
      <c r="U26" s="485"/>
      <c r="V26" s="485"/>
      <c r="W26" s="485"/>
      <c r="X26" s="485"/>
      <c r="Y26" s="485"/>
      <c r="Z26" s="485"/>
      <c r="AA26" s="469"/>
      <c r="AB26" s="841"/>
      <c r="AC26" s="1177"/>
    </row>
    <row r="27" spans="1:29" s="292" customFormat="1" ht="17.5">
      <c r="A27" s="469"/>
      <c r="B27" s="485"/>
      <c r="C27" s="485"/>
      <c r="D27" s="485"/>
      <c r="E27" s="485"/>
      <c r="F27" s="485"/>
      <c r="G27" s="485"/>
      <c r="H27" s="485"/>
      <c r="I27" s="485"/>
      <c r="J27" s="485"/>
      <c r="K27" s="485"/>
      <c r="L27" s="485"/>
      <c r="M27" s="485"/>
      <c r="N27" s="485"/>
      <c r="O27" s="485"/>
      <c r="P27" s="485"/>
      <c r="Q27" s="485"/>
      <c r="R27" s="485"/>
      <c r="S27" s="485"/>
      <c r="T27" s="485"/>
      <c r="U27" s="485"/>
      <c r="V27" s="485"/>
      <c r="W27" s="485"/>
      <c r="X27" s="485"/>
      <c r="Y27" s="485"/>
      <c r="Z27" s="485"/>
      <c r="AA27" s="469"/>
      <c r="AB27" s="841"/>
      <c r="AC27" s="1177"/>
    </row>
    <row r="28" spans="1:29" s="292" customFormat="1" ht="17.5">
      <c r="A28" s="486" t="s">
        <v>543</v>
      </c>
      <c r="B28" s="485"/>
      <c r="C28" s="485"/>
      <c r="D28" s="485"/>
      <c r="E28" s="485"/>
      <c r="F28" s="485"/>
      <c r="G28" s="485"/>
      <c r="H28" s="485"/>
      <c r="I28" s="485"/>
      <c r="J28" s="485"/>
      <c r="K28" s="485"/>
      <c r="L28" s="485"/>
      <c r="M28" s="485"/>
      <c r="N28" s="485"/>
      <c r="O28" s="485"/>
      <c r="P28" s="485"/>
      <c r="Q28" s="485"/>
      <c r="R28" s="485"/>
      <c r="S28" s="485"/>
      <c r="T28" s="485"/>
      <c r="U28" s="485"/>
      <c r="V28" s="485"/>
      <c r="W28" s="485"/>
      <c r="X28" s="485"/>
      <c r="Y28" s="485"/>
      <c r="Z28" s="485"/>
      <c r="AA28" s="469"/>
      <c r="AB28" s="841"/>
      <c r="AC28" s="1177"/>
    </row>
    <row r="29" spans="1:29" s="292" customFormat="1" ht="17.5">
      <c r="A29" s="469" t="s">
        <v>537</v>
      </c>
      <c r="B29" s="485"/>
      <c r="C29" s="485"/>
      <c r="D29" s="485"/>
      <c r="E29" s="485"/>
      <c r="F29" s="485"/>
      <c r="G29" s="485"/>
      <c r="H29" s="485"/>
      <c r="I29" s="485"/>
      <c r="J29" s="485"/>
      <c r="K29" s="485"/>
      <c r="L29" s="485"/>
      <c r="M29" s="485"/>
      <c r="N29" s="485"/>
      <c r="O29" s="485"/>
      <c r="P29" s="485"/>
      <c r="Q29" s="485"/>
      <c r="R29" s="485"/>
      <c r="S29" s="485"/>
      <c r="T29" s="485"/>
      <c r="U29" s="485"/>
      <c r="V29" s="485"/>
      <c r="W29" s="485"/>
      <c r="X29" s="485"/>
      <c r="Y29" s="485"/>
      <c r="Z29" s="485"/>
      <c r="AA29" s="469"/>
      <c r="AB29" s="841"/>
      <c r="AC29" s="1177"/>
    </row>
    <row r="30" spans="1:29" s="292" customFormat="1" ht="17.5">
      <c r="A30" s="469" t="s">
        <v>544</v>
      </c>
      <c r="B30" s="485"/>
      <c r="C30" s="579">
        <v>0</v>
      </c>
      <c r="D30" s="577"/>
      <c r="E30" s="579">
        <v>0</v>
      </c>
      <c r="F30" s="577"/>
      <c r="G30" s="579">
        <v>0</v>
      </c>
      <c r="H30" s="577"/>
      <c r="I30" s="579">
        <v>0</v>
      </c>
      <c r="J30" s="578"/>
      <c r="K30" s="579">
        <v>0</v>
      </c>
      <c r="L30" s="577"/>
      <c r="M30" s="579">
        <v>0</v>
      </c>
      <c r="N30" s="578"/>
      <c r="O30" s="579">
        <v>0</v>
      </c>
      <c r="P30" s="578"/>
      <c r="Q30" s="579">
        <v>0</v>
      </c>
      <c r="R30" s="578"/>
      <c r="S30" s="579">
        <v>0</v>
      </c>
      <c r="T30" s="578"/>
      <c r="U30" s="579">
        <v>0</v>
      </c>
      <c r="V30" s="578"/>
      <c r="W30" s="579">
        <v>0</v>
      </c>
      <c r="X30" s="578"/>
      <c r="Y30" s="579">
        <v>0</v>
      </c>
      <c r="Z30" s="485"/>
      <c r="AA30" s="975">
        <f>ROUND(SUM(C30:Z30),0)</f>
        <v>0</v>
      </c>
      <c r="AB30" s="841"/>
      <c r="AC30" s="1177"/>
    </row>
    <row r="31" spans="1:29" s="292" customFormat="1" ht="17.5">
      <c r="A31" s="469" t="s">
        <v>1088</v>
      </c>
      <c r="B31" s="485"/>
      <c r="C31" s="577">
        <v>0</v>
      </c>
      <c r="D31" s="577"/>
      <c r="E31" s="579">
        <v>0</v>
      </c>
      <c r="F31" s="577"/>
      <c r="G31" s="579">
        <v>0</v>
      </c>
      <c r="H31" s="577"/>
      <c r="I31" s="579">
        <v>0</v>
      </c>
      <c r="J31" s="578"/>
      <c r="K31" s="579">
        <v>0</v>
      </c>
      <c r="L31" s="577"/>
      <c r="M31" s="579">
        <v>0</v>
      </c>
      <c r="N31" s="578"/>
      <c r="O31" s="579">
        <v>0</v>
      </c>
      <c r="P31" s="578"/>
      <c r="Q31" s="579">
        <v>0</v>
      </c>
      <c r="R31" s="578"/>
      <c r="S31" s="579">
        <v>0</v>
      </c>
      <c r="T31" s="578"/>
      <c r="U31" s="579">
        <v>0</v>
      </c>
      <c r="V31" s="578"/>
      <c r="W31" s="579">
        <v>0</v>
      </c>
      <c r="X31" s="578"/>
      <c r="Y31" s="579">
        <v>0</v>
      </c>
      <c r="Z31" s="485"/>
      <c r="AA31" s="975">
        <f t="shared" ref="AA31:AA34" si="1">ROUND(SUM(C31:Z31),0)</f>
        <v>0</v>
      </c>
      <c r="AB31" s="841"/>
      <c r="AC31" s="1177"/>
    </row>
    <row r="32" spans="1:29" s="292" customFormat="1" ht="17.5">
      <c r="A32" s="469" t="s">
        <v>545</v>
      </c>
      <c r="B32" s="485"/>
      <c r="C32" s="579">
        <v>0</v>
      </c>
      <c r="D32" s="577"/>
      <c r="E32" s="579">
        <v>0</v>
      </c>
      <c r="F32" s="577"/>
      <c r="G32" s="579">
        <v>0</v>
      </c>
      <c r="H32" s="577"/>
      <c r="I32" s="579">
        <v>0</v>
      </c>
      <c r="J32" s="578"/>
      <c r="K32" s="579">
        <v>0</v>
      </c>
      <c r="L32" s="577"/>
      <c r="M32" s="579">
        <v>0</v>
      </c>
      <c r="N32" s="578"/>
      <c r="O32" s="579">
        <v>0</v>
      </c>
      <c r="P32" s="578"/>
      <c r="Q32" s="579">
        <v>0</v>
      </c>
      <c r="R32" s="578"/>
      <c r="S32" s="579">
        <v>0</v>
      </c>
      <c r="T32" s="578"/>
      <c r="U32" s="579">
        <v>0</v>
      </c>
      <c r="V32" s="578"/>
      <c r="W32" s="579">
        <v>0</v>
      </c>
      <c r="X32" s="578"/>
      <c r="Y32" s="579">
        <v>0</v>
      </c>
      <c r="Z32" s="485"/>
      <c r="AA32" s="975">
        <f t="shared" si="1"/>
        <v>0</v>
      </c>
      <c r="AB32" s="841"/>
      <c r="AC32" s="1177"/>
    </row>
    <row r="33" spans="1:29" s="292" customFormat="1" ht="17.5">
      <c r="A33" s="469" t="s">
        <v>892</v>
      </c>
      <c r="B33" s="485"/>
      <c r="C33" s="579">
        <v>0</v>
      </c>
      <c r="D33" s="577"/>
      <c r="E33" s="579">
        <v>0</v>
      </c>
      <c r="F33" s="582"/>
      <c r="G33" s="579">
        <v>0</v>
      </c>
      <c r="H33" s="582"/>
      <c r="I33" s="579">
        <v>0</v>
      </c>
      <c r="J33" s="583"/>
      <c r="K33" s="579">
        <v>0</v>
      </c>
      <c r="L33" s="582"/>
      <c r="M33" s="579">
        <v>0</v>
      </c>
      <c r="N33" s="583"/>
      <c r="O33" s="579">
        <v>0</v>
      </c>
      <c r="P33" s="583"/>
      <c r="Q33" s="579">
        <v>0</v>
      </c>
      <c r="R33" s="583"/>
      <c r="S33" s="579">
        <v>0</v>
      </c>
      <c r="T33" s="583"/>
      <c r="U33" s="579">
        <v>0</v>
      </c>
      <c r="V33" s="583"/>
      <c r="W33" s="579">
        <v>0</v>
      </c>
      <c r="X33" s="583"/>
      <c r="Y33" s="579">
        <v>0</v>
      </c>
      <c r="Z33" s="485"/>
      <c r="AA33" s="975">
        <f t="shared" si="1"/>
        <v>0</v>
      </c>
      <c r="AB33" s="841"/>
      <c r="AC33" s="1177"/>
    </row>
    <row r="34" spans="1:29" s="292" customFormat="1" ht="17.5">
      <c r="A34" s="469" t="s">
        <v>546</v>
      </c>
      <c r="B34" s="485"/>
      <c r="C34" s="1327">
        <v>0</v>
      </c>
      <c r="D34" s="577"/>
      <c r="E34" s="1327">
        <v>0</v>
      </c>
      <c r="F34" s="577"/>
      <c r="G34" s="1327">
        <v>0</v>
      </c>
      <c r="H34" s="577"/>
      <c r="I34" s="1327">
        <v>0</v>
      </c>
      <c r="J34" s="578"/>
      <c r="K34" s="1327">
        <v>0</v>
      </c>
      <c r="L34" s="577"/>
      <c r="M34" s="1327">
        <v>0</v>
      </c>
      <c r="N34" s="578"/>
      <c r="O34" s="1327">
        <v>0</v>
      </c>
      <c r="P34" s="578"/>
      <c r="Q34" s="1327">
        <v>0</v>
      </c>
      <c r="R34" s="578"/>
      <c r="S34" s="1327">
        <v>0</v>
      </c>
      <c r="T34" s="578"/>
      <c r="U34" s="1327">
        <v>0</v>
      </c>
      <c r="V34" s="578"/>
      <c r="W34" s="1327">
        <v>0</v>
      </c>
      <c r="X34" s="578"/>
      <c r="Y34" s="1327">
        <v>0</v>
      </c>
      <c r="Z34" s="485"/>
      <c r="AA34" s="975">
        <f t="shared" si="1"/>
        <v>0</v>
      </c>
      <c r="AB34" s="842"/>
      <c r="AC34" s="1177"/>
    </row>
    <row r="35" spans="1:29" s="292" customFormat="1" ht="17.5">
      <c r="A35" s="486" t="s">
        <v>788</v>
      </c>
      <c r="B35" s="485"/>
      <c r="C35" s="1328">
        <f>ROUND(SUM(C30:C34),0)</f>
        <v>0</v>
      </c>
      <c r="D35" s="469"/>
      <c r="E35" s="1328">
        <f>ROUND(SUM(E30:E34),0)</f>
        <v>0</v>
      </c>
      <c r="F35" s="469"/>
      <c r="G35" s="1328">
        <f>ROUND(SUM(G30:G34),0)</f>
        <v>0</v>
      </c>
      <c r="H35" s="469"/>
      <c r="I35" s="1328">
        <f>ROUND(SUM(I30:I34),0)</f>
        <v>0</v>
      </c>
      <c r="J35" s="469"/>
      <c r="K35" s="1328">
        <f>ROUND(SUM(K30:K34),0)</f>
        <v>0</v>
      </c>
      <c r="L35" s="469"/>
      <c r="M35" s="1328">
        <f>ROUND(SUM(M30:M34),0)</f>
        <v>0</v>
      </c>
      <c r="N35" s="469"/>
      <c r="O35" s="1328">
        <f>ROUND(SUM(O30:O34),0)</f>
        <v>0</v>
      </c>
      <c r="P35" s="469"/>
      <c r="Q35" s="1328">
        <f>ROUND(SUM(Q30:Q34),0)</f>
        <v>0</v>
      </c>
      <c r="R35" s="469"/>
      <c r="S35" s="1328">
        <f>ROUND(SUM(S30:S34),0)</f>
        <v>0</v>
      </c>
      <c r="T35" s="469"/>
      <c r="U35" s="1328">
        <f>ROUND(SUM(U30:U34),0)</f>
        <v>0</v>
      </c>
      <c r="V35" s="469"/>
      <c r="W35" s="1328">
        <f>ROUND(SUM(W30:W34),0)</f>
        <v>0</v>
      </c>
      <c r="X35" s="469"/>
      <c r="Y35" s="1328">
        <f>ROUND(SUM(Y30:Y34),0)</f>
        <v>0</v>
      </c>
      <c r="Z35" s="469"/>
      <c r="AA35" s="1328">
        <f>ROUND(SUM(AA30:AA34),0)</f>
        <v>0</v>
      </c>
      <c r="AB35" s="842"/>
      <c r="AC35" s="1177"/>
    </row>
    <row r="36" spans="1:29" ht="17.5">
      <c r="A36" s="469"/>
      <c r="B36" s="485"/>
      <c r="C36" s="485"/>
      <c r="D36" s="485"/>
      <c r="E36" s="485"/>
      <c r="F36" s="485"/>
      <c r="G36" s="485"/>
      <c r="H36" s="485"/>
      <c r="I36" s="485"/>
      <c r="J36" s="485"/>
      <c r="K36" s="485"/>
      <c r="L36" s="485"/>
      <c r="M36" s="485"/>
      <c r="N36" s="485"/>
      <c r="O36" s="485"/>
      <c r="P36" s="485"/>
      <c r="Q36" s="485"/>
      <c r="R36" s="485"/>
      <c r="S36" s="485"/>
      <c r="T36" s="485"/>
      <c r="U36" s="485"/>
      <c r="V36" s="485"/>
      <c r="W36" s="485"/>
      <c r="X36" s="485"/>
      <c r="Y36" s="485"/>
      <c r="Z36" s="485"/>
      <c r="AA36" s="469"/>
      <c r="AB36" s="842"/>
      <c r="AC36" s="1178"/>
    </row>
    <row r="37" spans="1:29" ht="17.5">
      <c r="A37" s="469"/>
      <c r="B37" s="485"/>
      <c r="C37" s="485"/>
      <c r="D37" s="485"/>
      <c r="E37" s="485"/>
      <c r="F37" s="485"/>
      <c r="G37" s="485"/>
      <c r="H37" s="485"/>
      <c r="I37" s="485"/>
      <c r="J37" s="485"/>
      <c r="K37" s="485"/>
      <c r="L37" s="485"/>
      <c r="M37" s="485"/>
      <c r="N37" s="485"/>
      <c r="O37" s="485"/>
      <c r="P37" s="485"/>
      <c r="Q37" s="485"/>
      <c r="R37" s="485"/>
      <c r="S37" s="1336"/>
      <c r="T37" s="485"/>
      <c r="U37" s="485"/>
      <c r="V37" s="485"/>
      <c r="W37" s="485"/>
      <c r="X37" s="485"/>
      <c r="Y37" s="485"/>
      <c r="Z37" s="485"/>
      <c r="AA37" s="469"/>
    </row>
    <row r="38" spans="1:29" s="295" customFormat="1" ht="18" thickBot="1">
      <c r="A38" s="486" t="s">
        <v>787</v>
      </c>
      <c r="B38" s="485"/>
      <c r="C38" s="1179">
        <f>ROUND(C25+C35,0)</f>
        <v>285</v>
      </c>
      <c r="D38" s="469"/>
      <c r="E38" s="1179">
        <f>ROUND(E25+E35,0)</f>
        <v>578</v>
      </c>
      <c r="F38" s="469"/>
      <c r="G38" s="1179">
        <f>ROUND(G25+G35,0)</f>
        <v>409</v>
      </c>
      <c r="H38" s="469"/>
      <c r="I38" s="1179">
        <f>ROUND(I25+I35,0)</f>
        <v>115</v>
      </c>
      <c r="J38" s="469"/>
      <c r="K38" s="1179">
        <f>ROUND(K25+K35,0)</f>
        <v>34</v>
      </c>
      <c r="L38" s="469"/>
      <c r="M38" s="1179">
        <f>ROUND(M25+M35,0)</f>
        <v>0</v>
      </c>
      <c r="N38" s="469"/>
      <c r="O38" s="1179">
        <f>ROUND(O25+O35,0)</f>
        <v>0</v>
      </c>
      <c r="P38" s="469"/>
      <c r="Q38" s="1179">
        <f>ROUND(Q25+Q35,0)</f>
        <v>0</v>
      </c>
      <c r="R38" s="469"/>
      <c r="S38" s="1179">
        <f>ROUND(S25+S35,0)</f>
        <v>4</v>
      </c>
      <c r="T38" s="469"/>
      <c r="U38" s="1179">
        <f>ROUND(U25+U35,0)</f>
        <v>0</v>
      </c>
      <c r="V38" s="469"/>
      <c r="W38" s="1179">
        <f>ROUND(W25+W35,0)</f>
        <v>34</v>
      </c>
      <c r="X38" s="469"/>
      <c r="Y38" s="1179">
        <f>ROUND(Y25+Y35,0)</f>
        <v>389</v>
      </c>
      <c r="Z38" s="469"/>
      <c r="AA38" s="1179">
        <f>ROUND(AA25+AA35,0)</f>
        <v>1848</v>
      </c>
    </row>
    <row r="39" spans="1:29" ht="16" thickTop="1">
      <c r="A39" s="843"/>
      <c r="C39" s="294"/>
      <c r="D39" s="294"/>
      <c r="E39" s="294"/>
      <c r="F39" s="294"/>
      <c r="G39" s="294"/>
      <c r="H39" s="294"/>
      <c r="I39" s="294"/>
      <c r="J39" s="294"/>
      <c r="K39" s="294"/>
      <c r="L39" s="294"/>
      <c r="M39" s="294"/>
      <c r="N39" s="294"/>
      <c r="O39" s="294"/>
      <c r="P39" s="294"/>
      <c r="Q39" s="294"/>
      <c r="R39" s="294"/>
      <c r="S39" s="294"/>
      <c r="T39" s="294"/>
      <c r="U39" s="294"/>
      <c r="V39" s="294"/>
      <c r="W39" s="294"/>
      <c r="X39" s="294"/>
      <c r="Y39" s="296"/>
    </row>
    <row r="40" spans="1:29" ht="13" thickBot="1"/>
    <row r="41" spans="1:29" ht="20.149999999999999" customHeight="1">
      <c r="A41" s="2338" t="s">
        <v>547</v>
      </c>
      <c r="B41" s="2339"/>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39"/>
      <c r="Y41" s="2339"/>
      <c r="Z41" s="2339"/>
      <c r="AA41" s="2340"/>
    </row>
    <row r="42" spans="1:29" ht="20.149999999999999" customHeight="1">
      <c r="A42" s="2341"/>
      <c r="B42" s="2342"/>
      <c r="C42" s="2342"/>
      <c r="D42" s="2342"/>
      <c r="E42" s="2342"/>
      <c r="F42" s="2342"/>
      <c r="G42" s="2342"/>
      <c r="H42" s="2342"/>
      <c r="I42" s="2342"/>
      <c r="J42" s="2342"/>
      <c r="K42" s="2342"/>
      <c r="L42" s="2342"/>
      <c r="M42" s="2342"/>
      <c r="N42" s="2342"/>
      <c r="O42" s="2342"/>
      <c r="P42" s="2342"/>
      <c r="Q42" s="2342"/>
      <c r="R42" s="2342"/>
      <c r="S42" s="2342"/>
      <c r="T42" s="2342"/>
      <c r="U42" s="2342"/>
      <c r="V42" s="2342"/>
      <c r="W42" s="2342"/>
      <c r="X42" s="2342"/>
      <c r="Y42" s="2342"/>
      <c r="Z42" s="2342"/>
      <c r="AA42" s="2343"/>
    </row>
    <row r="43" spans="1:29" ht="20.149999999999999" customHeight="1">
      <c r="A43" s="2341"/>
      <c r="B43" s="2342"/>
      <c r="C43" s="2342"/>
      <c r="D43" s="2342"/>
      <c r="E43" s="2342"/>
      <c r="F43" s="2342"/>
      <c r="G43" s="2342"/>
      <c r="H43" s="2342"/>
      <c r="I43" s="2342"/>
      <c r="J43" s="2342"/>
      <c r="K43" s="2342"/>
      <c r="L43" s="2342"/>
      <c r="M43" s="2342"/>
      <c r="N43" s="2342"/>
      <c r="O43" s="2342"/>
      <c r="P43" s="2342"/>
      <c r="Q43" s="2342"/>
      <c r="R43" s="2342"/>
      <c r="S43" s="2342"/>
      <c r="T43" s="2342"/>
      <c r="U43" s="2342"/>
      <c r="V43" s="2342"/>
      <c r="W43" s="2342"/>
      <c r="X43" s="2342"/>
      <c r="Y43" s="2342"/>
      <c r="Z43" s="2342"/>
      <c r="AA43" s="2343"/>
    </row>
    <row r="44" spans="1:29" ht="22.5" customHeight="1" thickBot="1">
      <c r="A44" s="2344"/>
      <c r="B44" s="2345"/>
      <c r="C44" s="2345"/>
      <c r="D44" s="2345"/>
      <c r="E44" s="2345"/>
      <c r="F44" s="2345"/>
      <c r="G44" s="2345"/>
      <c r="H44" s="2345"/>
      <c r="I44" s="2345"/>
      <c r="J44" s="2345"/>
      <c r="K44" s="2345"/>
      <c r="L44" s="2345"/>
      <c r="M44" s="2345"/>
      <c r="N44" s="2345"/>
      <c r="O44" s="2345"/>
      <c r="P44" s="2345"/>
      <c r="Q44" s="2345"/>
      <c r="R44" s="2345"/>
      <c r="S44" s="2345"/>
      <c r="T44" s="2345"/>
      <c r="U44" s="2345"/>
      <c r="V44" s="2345"/>
      <c r="W44" s="2345"/>
      <c r="X44" s="2345"/>
      <c r="Y44" s="2345"/>
      <c r="Z44" s="2345"/>
      <c r="AA44" s="2346"/>
    </row>
    <row r="46" spans="1:29" ht="14.9" customHeight="1"/>
    <row r="49" ht="14.15" customHeight="1"/>
  </sheetData>
  <mergeCells count="1">
    <mergeCell ref="A41:AA44"/>
  </mergeCells>
  <printOptions horizontalCentered="1"/>
  <pageMargins left="0.25" right="0.25" top="0.5" bottom="0.25" header="0" footer="0.25"/>
  <pageSetup scale="48" firstPageNumber="52"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Q294"/>
  <sheetViews>
    <sheetView showGridLines="0" zoomScale="80" workbookViewId="0"/>
  </sheetViews>
  <sheetFormatPr defaultRowHeight="14.5"/>
  <cols>
    <col min="1" max="1" width="2.07421875" style="1625" customWidth="1"/>
    <col min="2" max="2" width="10.07421875" style="1625" customWidth="1"/>
    <col min="3" max="3" width="2.07421875" style="1625" customWidth="1"/>
    <col min="4" max="4" width="50.4609375" style="1625" customWidth="1"/>
    <col min="5" max="5" width="8.84375" style="1625" customWidth="1"/>
    <col min="6" max="6" width="2.07421875" style="1700" customWidth="1"/>
    <col min="7" max="7" width="21.84375" style="1701" bestFit="1" customWidth="1"/>
    <col min="8" max="8" width="2.07421875" style="1625" customWidth="1"/>
    <col min="9" max="9" width="21.53515625" style="1625" bestFit="1" customWidth="1"/>
    <col min="10" max="10" width="2.07421875" style="1625" customWidth="1"/>
    <col min="11" max="11" width="21.84375" style="1625" bestFit="1" customWidth="1"/>
    <col min="12" max="12" width="2.07421875" style="1625" customWidth="1"/>
    <col min="13" max="13" width="20.84375" style="1625" customWidth="1"/>
    <col min="14" max="14" width="2.07421875" style="1625" customWidth="1"/>
    <col min="15" max="15" width="22.07421875" style="1625" bestFit="1" customWidth="1"/>
    <col min="16" max="16" width="6.07421875" style="1625" bestFit="1" customWidth="1"/>
    <col min="17" max="17" width="13.07421875" style="1625" bestFit="1" customWidth="1"/>
    <col min="18" max="255" width="8.84375" style="1625"/>
    <col min="256" max="257" width="8.84375" style="1625" customWidth="1"/>
    <col min="258" max="258" width="10.07421875" style="1625" customWidth="1"/>
    <col min="259" max="259" width="2.07421875" style="1625" customWidth="1"/>
    <col min="260" max="260" width="50.4609375" style="1625" customWidth="1"/>
    <col min="261" max="261" width="8.84375" style="1625"/>
    <col min="262" max="262" width="2.07421875" style="1625" customWidth="1"/>
    <col min="263" max="263" width="23.84375" style="1625" customWidth="1"/>
    <col min="264" max="264" width="2.07421875" style="1625" customWidth="1"/>
    <col min="265" max="265" width="23.84375" style="1625" customWidth="1"/>
    <col min="266" max="266" width="2.07421875" style="1625" customWidth="1"/>
    <col min="267" max="267" width="23.84375" style="1625" customWidth="1"/>
    <col min="268" max="268" width="2.07421875" style="1625" customWidth="1"/>
    <col min="269" max="269" width="23.84375" style="1625" customWidth="1"/>
    <col min="270" max="270" width="2.07421875" style="1625" customWidth="1"/>
    <col min="271" max="271" width="23.84375" style="1625" customWidth="1"/>
    <col min="272" max="272" width="2.84375" style="1625" bestFit="1" customWidth="1"/>
    <col min="273" max="511" width="8.84375" style="1625"/>
    <col min="512" max="513" width="8.84375" style="1625" customWidth="1"/>
    <col min="514" max="514" width="10.07421875" style="1625" customWidth="1"/>
    <col min="515" max="515" width="2.07421875" style="1625" customWidth="1"/>
    <col min="516" max="516" width="50.4609375" style="1625" customWidth="1"/>
    <col min="517" max="517" width="8.84375" style="1625"/>
    <col min="518" max="518" width="2.07421875" style="1625" customWidth="1"/>
    <col min="519" max="519" width="23.84375" style="1625" customWidth="1"/>
    <col min="520" max="520" width="2.07421875" style="1625" customWidth="1"/>
    <col min="521" max="521" width="23.84375" style="1625" customWidth="1"/>
    <col min="522" max="522" width="2.07421875" style="1625" customWidth="1"/>
    <col min="523" max="523" width="23.84375" style="1625" customWidth="1"/>
    <col min="524" max="524" width="2.07421875" style="1625" customWidth="1"/>
    <col min="525" max="525" width="23.84375" style="1625" customWidth="1"/>
    <col min="526" max="526" width="2.07421875" style="1625" customWidth="1"/>
    <col min="527" max="527" width="23.84375" style="1625" customWidth="1"/>
    <col min="528" max="528" width="2.84375" style="1625" bestFit="1" customWidth="1"/>
    <col min="529" max="767" width="8.84375" style="1625"/>
    <col min="768" max="769" width="8.84375" style="1625" customWidth="1"/>
    <col min="770" max="770" width="10.07421875" style="1625" customWidth="1"/>
    <col min="771" max="771" width="2.07421875" style="1625" customWidth="1"/>
    <col min="772" max="772" width="50.4609375" style="1625" customWidth="1"/>
    <col min="773" max="773" width="8.84375" style="1625"/>
    <col min="774" max="774" width="2.07421875" style="1625" customWidth="1"/>
    <col min="775" max="775" width="23.84375" style="1625" customWidth="1"/>
    <col min="776" max="776" width="2.07421875" style="1625" customWidth="1"/>
    <col min="777" max="777" width="23.84375" style="1625" customWidth="1"/>
    <col min="778" max="778" width="2.07421875" style="1625" customWidth="1"/>
    <col min="779" max="779" width="23.84375" style="1625" customWidth="1"/>
    <col min="780" max="780" width="2.07421875" style="1625" customWidth="1"/>
    <col min="781" max="781" width="23.84375" style="1625" customWidth="1"/>
    <col min="782" max="782" width="2.07421875" style="1625" customWidth="1"/>
    <col min="783" max="783" width="23.84375" style="1625" customWidth="1"/>
    <col min="784" max="784" width="2.84375" style="1625" bestFit="1" customWidth="1"/>
    <col min="785" max="1023" width="8.84375" style="1625"/>
    <col min="1024" max="1025" width="8.84375" style="1625" customWidth="1"/>
    <col min="1026" max="1026" width="10.07421875" style="1625" customWidth="1"/>
    <col min="1027" max="1027" width="2.07421875" style="1625" customWidth="1"/>
    <col min="1028" max="1028" width="50.4609375" style="1625" customWidth="1"/>
    <col min="1029" max="1029" width="8.84375" style="1625"/>
    <col min="1030" max="1030" width="2.07421875" style="1625" customWidth="1"/>
    <col min="1031" max="1031" width="23.84375" style="1625" customWidth="1"/>
    <col min="1032" max="1032" width="2.07421875" style="1625" customWidth="1"/>
    <col min="1033" max="1033" width="23.84375" style="1625" customWidth="1"/>
    <col min="1034" max="1034" width="2.07421875" style="1625" customWidth="1"/>
    <col min="1035" max="1035" width="23.84375" style="1625" customWidth="1"/>
    <col min="1036" max="1036" width="2.07421875" style="1625" customWidth="1"/>
    <col min="1037" max="1037" width="23.84375" style="1625" customWidth="1"/>
    <col min="1038" max="1038" width="2.07421875" style="1625" customWidth="1"/>
    <col min="1039" max="1039" width="23.84375" style="1625" customWidth="1"/>
    <col min="1040" max="1040" width="2.84375" style="1625" bestFit="1" customWidth="1"/>
    <col min="1041" max="1279" width="8.84375" style="1625"/>
    <col min="1280" max="1281" width="8.84375" style="1625" customWidth="1"/>
    <col min="1282" max="1282" width="10.07421875" style="1625" customWidth="1"/>
    <col min="1283" max="1283" width="2.07421875" style="1625" customWidth="1"/>
    <col min="1284" max="1284" width="50.4609375" style="1625" customWidth="1"/>
    <col min="1285" max="1285" width="8.84375" style="1625"/>
    <col min="1286" max="1286" width="2.07421875" style="1625" customWidth="1"/>
    <col min="1287" max="1287" width="23.84375" style="1625" customWidth="1"/>
    <col min="1288" max="1288" width="2.07421875" style="1625" customWidth="1"/>
    <col min="1289" max="1289" width="23.84375" style="1625" customWidth="1"/>
    <col min="1290" max="1290" width="2.07421875" style="1625" customWidth="1"/>
    <col min="1291" max="1291" width="23.84375" style="1625" customWidth="1"/>
    <col min="1292" max="1292" width="2.07421875" style="1625" customWidth="1"/>
    <col min="1293" max="1293" width="23.84375" style="1625" customWidth="1"/>
    <col min="1294" max="1294" width="2.07421875" style="1625" customWidth="1"/>
    <col min="1295" max="1295" width="23.84375" style="1625" customWidth="1"/>
    <col min="1296" max="1296" width="2.84375" style="1625" bestFit="1" customWidth="1"/>
    <col min="1297" max="1535" width="8.84375" style="1625"/>
    <col min="1536" max="1537" width="8.84375" style="1625" customWidth="1"/>
    <col min="1538" max="1538" width="10.07421875" style="1625" customWidth="1"/>
    <col min="1539" max="1539" width="2.07421875" style="1625" customWidth="1"/>
    <col min="1540" max="1540" width="50.4609375" style="1625" customWidth="1"/>
    <col min="1541" max="1541" width="8.84375" style="1625"/>
    <col min="1542" max="1542" width="2.07421875" style="1625" customWidth="1"/>
    <col min="1543" max="1543" width="23.84375" style="1625" customWidth="1"/>
    <col min="1544" max="1544" width="2.07421875" style="1625" customWidth="1"/>
    <col min="1545" max="1545" width="23.84375" style="1625" customWidth="1"/>
    <col min="1546" max="1546" width="2.07421875" style="1625" customWidth="1"/>
    <col min="1547" max="1547" width="23.84375" style="1625" customWidth="1"/>
    <col min="1548" max="1548" width="2.07421875" style="1625" customWidth="1"/>
    <col min="1549" max="1549" width="23.84375" style="1625" customWidth="1"/>
    <col min="1550" max="1550" width="2.07421875" style="1625" customWidth="1"/>
    <col min="1551" max="1551" width="23.84375" style="1625" customWidth="1"/>
    <col min="1552" max="1552" width="2.84375" style="1625" bestFit="1" customWidth="1"/>
    <col min="1553" max="1791" width="8.84375" style="1625"/>
    <col min="1792" max="1793" width="8.84375" style="1625" customWidth="1"/>
    <col min="1794" max="1794" width="10.07421875" style="1625" customWidth="1"/>
    <col min="1795" max="1795" width="2.07421875" style="1625" customWidth="1"/>
    <col min="1796" max="1796" width="50.4609375" style="1625" customWidth="1"/>
    <col min="1797" max="1797" width="8.84375" style="1625"/>
    <col min="1798" max="1798" width="2.07421875" style="1625" customWidth="1"/>
    <col min="1799" max="1799" width="23.84375" style="1625" customWidth="1"/>
    <col min="1800" max="1800" width="2.07421875" style="1625" customWidth="1"/>
    <col min="1801" max="1801" width="23.84375" style="1625" customWidth="1"/>
    <col min="1802" max="1802" width="2.07421875" style="1625" customWidth="1"/>
    <col min="1803" max="1803" width="23.84375" style="1625" customWidth="1"/>
    <col min="1804" max="1804" width="2.07421875" style="1625" customWidth="1"/>
    <col min="1805" max="1805" width="23.84375" style="1625" customWidth="1"/>
    <col min="1806" max="1806" width="2.07421875" style="1625" customWidth="1"/>
    <col min="1807" max="1807" width="23.84375" style="1625" customWidth="1"/>
    <col min="1808" max="1808" width="2.84375" style="1625" bestFit="1" customWidth="1"/>
    <col min="1809" max="2047" width="8.84375" style="1625"/>
    <col min="2048" max="2049" width="8.84375" style="1625" customWidth="1"/>
    <col min="2050" max="2050" width="10.07421875" style="1625" customWidth="1"/>
    <col min="2051" max="2051" width="2.07421875" style="1625" customWidth="1"/>
    <col min="2052" max="2052" width="50.4609375" style="1625" customWidth="1"/>
    <col min="2053" max="2053" width="8.84375" style="1625"/>
    <col min="2054" max="2054" width="2.07421875" style="1625" customWidth="1"/>
    <col min="2055" max="2055" width="23.84375" style="1625" customWidth="1"/>
    <col min="2056" max="2056" width="2.07421875" style="1625" customWidth="1"/>
    <col min="2057" max="2057" width="23.84375" style="1625" customWidth="1"/>
    <col min="2058" max="2058" width="2.07421875" style="1625" customWidth="1"/>
    <col min="2059" max="2059" width="23.84375" style="1625" customWidth="1"/>
    <col min="2060" max="2060" width="2.07421875" style="1625" customWidth="1"/>
    <col min="2061" max="2061" width="23.84375" style="1625" customWidth="1"/>
    <col min="2062" max="2062" width="2.07421875" style="1625" customWidth="1"/>
    <col min="2063" max="2063" width="23.84375" style="1625" customWidth="1"/>
    <col min="2064" max="2064" width="2.84375" style="1625" bestFit="1" customWidth="1"/>
    <col min="2065" max="2303" width="8.84375" style="1625"/>
    <col min="2304" max="2305" width="8.84375" style="1625" customWidth="1"/>
    <col min="2306" max="2306" width="10.07421875" style="1625" customWidth="1"/>
    <col min="2307" max="2307" width="2.07421875" style="1625" customWidth="1"/>
    <col min="2308" max="2308" width="50.4609375" style="1625" customWidth="1"/>
    <col min="2309" max="2309" width="8.84375" style="1625"/>
    <col min="2310" max="2310" width="2.07421875" style="1625" customWidth="1"/>
    <col min="2311" max="2311" width="23.84375" style="1625" customWidth="1"/>
    <col min="2312" max="2312" width="2.07421875" style="1625" customWidth="1"/>
    <col min="2313" max="2313" width="23.84375" style="1625" customWidth="1"/>
    <col min="2314" max="2314" width="2.07421875" style="1625" customWidth="1"/>
    <col min="2315" max="2315" width="23.84375" style="1625" customWidth="1"/>
    <col min="2316" max="2316" width="2.07421875" style="1625" customWidth="1"/>
    <col min="2317" max="2317" width="23.84375" style="1625" customWidth="1"/>
    <col min="2318" max="2318" width="2.07421875" style="1625" customWidth="1"/>
    <col min="2319" max="2319" width="23.84375" style="1625" customWidth="1"/>
    <col min="2320" max="2320" width="2.84375" style="1625" bestFit="1" customWidth="1"/>
    <col min="2321" max="2559" width="8.84375" style="1625"/>
    <col min="2560" max="2561" width="8.84375" style="1625" customWidth="1"/>
    <col min="2562" max="2562" width="10.07421875" style="1625" customWidth="1"/>
    <col min="2563" max="2563" width="2.07421875" style="1625" customWidth="1"/>
    <col min="2564" max="2564" width="50.4609375" style="1625" customWidth="1"/>
    <col min="2565" max="2565" width="8.84375" style="1625"/>
    <col min="2566" max="2566" width="2.07421875" style="1625" customWidth="1"/>
    <col min="2567" max="2567" width="23.84375" style="1625" customWidth="1"/>
    <col min="2568" max="2568" width="2.07421875" style="1625" customWidth="1"/>
    <col min="2569" max="2569" width="23.84375" style="1625" customWidth="1"/>
    <col min="2570" max="2570" width="2.07421875" style="1625" customWidth="1"/>
    <col min="2571" max="2571" width="23.84375" style="1625" customWidth="1"/>
    <col min="2572" max="2572" width="2.07421875" style="1625" customWidth="1"/>
    <col min="2573" max="2573" width="23.84375" style="1625" customWidth="1"/>
    <col min="2574" max="2574" width="2.07421875" style="1625" customWidth="1"/>
    <col min="2575" max="2575" width="23.84375" style="1625" customWidth="1"/>
    <col min="2576" max="2576" width="2.84375" style="1625" bestFit="1" customWidth="1"/>
    <col min="2577" max="2815" width="8.84375" style="1625"/>
    <col min="2816" max="2817" width="8.84375" style="1625" customWidth="1"/>
    <col min="2818" max="2818" width="10.07421875" style="1625" customWidth="1"/>
    <col min="2819" max="2819" width="2.07421875" style="1625" customWidth="1"/>
    <col min="2820" max="2820" width="50.4609375" style="1625" customWidth="1"/>
    <col min="2821" max="2821" width="8.84375" style="1625"/>
    <col min="2822" max="2822" width="2.07421875" style="1625" customWidth="1"/>
    <col min="2823" max="2823" width="23.84375" style="1625" customWidth="1"/>
    <col min="2824" max="2824" width="2.07421875" style="1625" customWidth="1"/>
    <col min="2825" max="2825" width="23.84375" style="1625" customWidth="1"/>
    <col min="2826" max="2826" width="2.07421875" style="1625" customWidth="1"/>
    <col min="2827" max="2827" width="23.84375" style="1625" customWidth="1"/>
    <col min="2828" max="2828" width="2.07421875" style="1625" customWidth="1"/>
    <col min="2829" max="2829" width="23.84375" style="1625" customWidth="1"/>
    <col min="2830" max="2830" width="2.07421875" style="1625" customWidth="1"/>
    <col min="2831" max="2831" width="23.84375" style="1625" customWidth="1"/>
    <col min="2832" max="2832" width="2.84375" style="1625" bestFit="1" customWidth="1"/>
    <col min="2833" max="3071" width="8.84375" style="1625"/>
    <col min="3072" max="3073" width="8.84375" style="1625" customWidth="1"/>
    <col min="3074" max="3074" width="10.07421875" style="1625" customWidth="1"/>
    <col min="3075" max="3075" width="2.07421875" style="1625" customWidth="1"/>
    <col min="3076" max="3076" width="50.4609375" style="1625" customWidth="1"/>
    <col min="3077" max="3077" width="8.84375" style="1625"/>
    <col min="3078" max="3078" width="2.07421875" style="1625" customWidth="1"/>
    <col min="3079" max="3079" width="23.84375" style="1625" customWidth="1"/>
    <col min="3080" max="3080" width="2.07421875" style="1625" customWidth="1"/>
    <col min="3081" max="3081" width="23.84375" style="1625" customWidth="1"/>
    <col min="3082" max="3082" width="2.07421875" style="1625" customWidth="1"/>
    <col min="3083" max="3083" width="23.84375" style="1625" customWidth="1"/>
    <col min="3084" max="3084" width="2.07421875" style="1625" customWidth="1"/>
    <col min="3085" max="3085" width="23.84375" style="1625" customWidth="1"/>
    <col min="3086" max="3086" width="2.07421875" style="1625" customWidth="1"/>
    <col min="3087" max="3087" width="23.84375" style="1625" customWidth="1"/>
    <col min="3088" max="3088" width="2.84375" style="1625" bestFit="1" customWidth="1"/>
    <col min="3089" max="3327" width="8.84375" style="1625"/>
    <col min="3328" max="3329" width="8.84375" style="1625" customWidth="1"/>
    <col min="3330" max="3330" width="10.07421875" style="1625" customWidth="1"/>
    <col min="3331" max="3331" width="2.07421875" style="1625" customWidth="1"/>
    <col min="3332" max="3332" width="50.4609375" style="1625" customWidth="1"/>
    <col min="3333" max="3333" width="8.84375" style="1625"/>
    <col min="3334" max="3334" width="2.07421875" style="1625" customWidth="1"/>
    <col min="3335" max="3335" width="23.84375" style="1625" customWidth="1"/>
    <col min="3336" max="3336" width="2.07421875" style="1625" customWidth="1"/>
    <col min="3337" max="3337" width="23.84375" style="1625" customWidth="1"/>
    <col min="3338" max="3338" width="2.07421875" style="1625" customWidth="1"/>
    <col min="3339" max="3339" width="23.84375" style="1625" customWidth="1"/>
    <col min="3340" max="3340" width="2.07421875" style="1625" customWidth="1"/>
    <col min="3341" max="3341" width="23.84375" style="1625" customWidth="1"/>
    <col min="3342" max="3342" width="2.07421875" style="1625" customWidth="1"/>
    <col min="3343" max="3343" width="23.84375" style="1625" customWidth="1"/>
    <col min="3344" max="3344" width="2.84375" style="1625" bestFit="1" customWidth="1"/>
    <col min="3345" max="3583" width="8.84375" style="1625"/>
    <col min="3584" max="3585" width="8.84375" style="1625" customWidth="1"/>
    <col min="3586" max="3586" width="10.07421875" style="1625" customWidth="1"/>
    <col min="3587" max="3587" width="2.07421875" style="1625" customWidth="1"/>
    <col min="3588" max="3588" width="50.4609375" style="1625" customWidth="1"/>
    <col min="3589" max="3589" width="8.84375" style="1625"/>
    <col min="3590" max="3590" width="2.07421875" style="1625" customWidth="1"/>
    <col min="3591" max="3591" width="23.84375" style="1625" customWidth="1"/>
    <col min="3592" max="3592" width="2.07421875" style="1625" customWidth="1"/>
    <col min="3593" max="3593" width="23.84375" style="1625" customWidth="1"/>
    <col min="3594" max="3594" width="2.07421875" style="1625" customWidth="1"/>
    <col min="3595" max="3595" width="23.84375" style="1625" customWidth="1"/>
    <col min="3596" max="3596" width="2.07421875" style="1625" customWidth="1"/>
    <col min="3597" max="3597" width="23.84375" style="1625" customWidth="1"/>
    <col min="3598" max="3598" width="2.07421875" style="1625" customWidth="1"/>
    <col min="3599" max="3599" width="23.84375" style="1625" customWidth="1"/>
    <col min="3600" max="3600" width="2.84375" style="1625" bestFit="1" customWidth="1"/>
    <col min="3601" max="3839" width="8.84375" style="1625"/>
    <col min="3840" max="3841" width="8.84375" style="1625" customWidth="1"/>
    <col min="3842" max="3842" width="10.07421875" style="1625" customWidth="1"/>
    <col min="3843" max="3843" width="2.07421875" style="1625" customWidth="1"/>
    <col min="3844" max="3844" width="50.4609375" style="1625" customWidth="1"/>
    <col min="3845" max="3845" width="8.84375" style="1625"/>
    <col min="3846" max="3846" width="2.07421875" style="1625" customWidth="1"/>
    <col min="3847" max="3847" width="23.84375" style="1625" customWidth="1"/>
    <col min="3848" max="3848" width="2.07421875" style="1625" customWidth="1"/>
    <col min="3849" max="3849" width="23.84375" style="1625" customWidth="1"/>
    <col min="3850" max="3850" width="2.07421875" style="1625" customWidth="1"/>
    <col min="3851" max="3851" width="23.84375" style="1625" customWidth="1"/>
    <col min="3852" max="3852" width="2.07421875" style="1625" customWidth="1"/>
    <col min="3853" max="3853" width="23.84375" style="1625" customWidth="1"/>
    <col min="3854" max="3854" width="2.07421875" style="1625" customWidth="1"/>
    <col min="3855" max="3855" width="23.84375" style="1625" customWidth="1"/>
    <col min="3856" max="3856" width="2.84375" style="1625" bestFit="1" customWidth="1"/>
    <col min="3857" max="4095" width="8.84375" style="1625"/>
    <col min="4096" max="4097" width="8.84375" style="1625" customWidth="1"/>
    <col min="4098" max="4098" width="10.07421875" style="1625" customWidth="1"/>
    <col min="4099" max="4099" width="2.07421875" style="1625" customWidth="1"/>
    <col min="4100" max="4100" width="50.4609375" style="1625" customWidth="1"/>
    <col min="4101" max="4101" width="8.84375" style="1625"/>
    <col min="4102" max="4102" width="2.07421875" style="1625" customWidth="1"/>
    <col min="4103" max="4103" width="23.84375" style="1625" customWidth="1"/>
    <col min="4104" max="4104" width="2.07421875" style="1625" customWidth="1"/>
    <col min="4105" max="4105" width="23.84375" style="1625" customWidth="1"/>
    <col min="4106" max="4106" width="2.07421875" style="1625" customWidth="1"/>
    <col min="4107" max="4107" width="23.84375" style="1625" customWidth="1"/>
    <col min="4108" max="4108" width="2.07421875" style="1625" customWidth="1"/>
    <col min="4109" max="4109" width="23.84375" style="1625" customWidth="1"/>
    <col min="4110" max="4110" width="2.07421875" style="1625" customWidth="1"/>
    <col min="4111" max="4111" width="23.84375" style="1625" customWidth="1"/>
    <col min="4112" max="4112" width="2.84375" style="1625" bestFit="1" customWidth="1"/>
    <col min="4113" max="4351" width="8.84375" style="1625"/>
    <col min="4352" max="4353" width="8.84375" style="1625" customWidth="1"/>
    <col min="4354" max="4354" width="10.07421875" style="1625" customWidth="1"/>
    <col min="4355" max="4355" width="2.07421875" style="1625" customWidth="1"/>
    <col min="4356" max="4356" width="50.4609375" style="1625" customWidth="1"/>
    <col min="4357" max="4357" width="8.84375" style="1625"/>
    <col min="4358" max="4358" width="2.07421875" style="1625" customWidth="1"/>
    <col min="4359" max="4359" width="23.84375" style="1625" customWidth="1"/>
    <col min="4360" max="4360" width="2.07421875" style="1625" customWidth="1"/>
    <col min="4361" max="4361" width="23.84375" style="1625" customWidth="1"/>
    <col min="4362" max="4362" width="2.07421875" style="1625" customWidth="1"/>
    <col min="4363" max="4363" width="23.84375" style="1625" customWidth="1"/>
    <col min="4364" max="4364" width="2.07421875" style="1625" customWidth="1"/>
    <col min="4365" max="4365" width="23.84375" style="1625" customWidth="1"/>
    <col min="4366" max="4366" width="2.07421875" style="1625" customWidth="1"/>
    <col min="4367" max="4367" width="23.84375" style="1625" customWidth="1"/>
    <col min="4368" max="4368" width="2.84375" style="1625" bestFit="1" customWidth="1"/>
    <col min="4369" max="4607" width="8.84375" style="1625"/>
    <col min="4608" max="4609" width="8.84375" style="1625" customWidth="1"/>
    <col min="4610" max="4610" width="10.07421875" style="1625" customWidth="1"/>
    <col min="4611" max="4611" width="2.07421875" style="1625" customWidth="1"/>
    <col min="4612" max="4612" width="50.4609375" style="1625" customWidth="1"/>
    <col min="4613" max="4613" width="8.84375" style="1625"/>
    <col min="4614" max="4614" width="2.07421875" style="1625" customWidth="1"/>
    <col min="4615" max="4615" width="23.84375" style="1625" customWidth="1"/>
    <col min="4616" max="4616" width="2.07421875" style="1625" customWidth="1"/>
    <col min="4617" max="4617" width="23.84375" style="1625" customWidth="1"/>
    <col min="4618" max="4618" width="2.07421875" style="1625" customWidth="1"/>
    <col min="4619" max="4619" width="23.84375" style="1625" customWidth="1"/>
    <col min="4620" max="4620" width="2.07421875" style="1625" customWidth="1"/>
    <col min="4621" max="4621" width="23.84375" style="1625" customWidth="1"/>
    <col min="4622" max="4622" width="2.07421875" style="1625" customWidth="1"/>
    <col min="4623" max="4623" width="23.84375" style="1625" customWidth="1"/>
    <col min="4624" max="4624" width="2.84375" style="1625" bestFit="1" customWidth="1"/>
    <col min="4625" max="4863" width="8.84375" style="1625"/>
    <col min="4864" max="4865" width="8.84375" style="1625" customWidth="1"/>
    <col min="4866" max="4866" width="10.07421875" style="1625" customWidth="1"/>
    <col min="4867" max="4867" width="2.07421875" style="1625" customWidth="1"/>
    <col min="4868" max="4868" width="50.4609375" style="1625" customWidth="1"/>
    <col min="4869" max="4869" width="8.84375" style="1625"/>
    <col min="4870" max="4870" width="2.07421875" style="1625" customWidth="1"/>
    <col min="4871" max="4871" width="23.84375" style="1625" customWidth="1"/>
    <col min="4872" max="4872" width="2.07421875" style="1625" customWidth="1"/>
    <col min="4873" max="4873" width="23.84375" style="1625" customWidth="1"/>
    <col min="4874" max="4874" width="2.07421875" style="1625" customWidth="1"/>
    <col min="4875" max="4875" width="23.84375" style="1625" customWidth="1"/>
    <col min="4876" max="4876" width="2.07421875" style="1625" customWidth="1"/>
    <col min="4877" max="4877" width="23.84375" style="1625" customWidth="1"/>
    <col min="4878" max="4878" width="2.07421875" style="1625" customWidth="1"/>
    <col min="4879" max="4879" width="23.84375" style="1625" customWidth="1"/>
    <col min="4880" max="4880" width="2.84375" style="1625" bestFit="1" customWidth="1"/>
    <col min="4881" max="5119" width="8.84375" style="1625"/>
    <col min="5120" max="5121" width="8.84375" style="1625" customWidth="1"/>
    <col min="5122" max="5122" width="10.07421875" style="1625" customWidth="1"/>
    <col min="5123" max="5123" width="2.07421875" style="1625" customWidth="1"/>
    <col min="5124" max="5124" width="50.4609375" style="1625" customWidth="1"/>
    <col min="5125" max="5125" width="8.84375" style="1625"/>
    <col min="5126" max="5126" width="2.07421875" style="1625" customWidth="1"/>
    <col min="5127" max="5127" width="23.84375" style="1625" customWidth="1"/>
    <col min="5128" max="5128" width="2.07421875" style="1625" customWidth="1"/>
    <col min="5129" max="5129" width="23.84375" style="1625" customWidth="1"/>
    <col min="5130" max="5130" width="2.07421875" style="1625" customWidth="1"/>
    <col min="5131" max="5131" width="23.84375" style="1625" customWidth="1"/>
    <col min="5132" max="5132" width="2.07421875" style="1625" customWidth="1"/>
    <col min="5133" max="5133" width="23.84375" style="1625" customWidth="1"/>
    <col min="5134" max="5134" width="2.07421875" style="1625" customWidth="1"/>
    <col min="5135" max="5135" width="23.84375" style="1625" customWidth="1"/>
    <col min="5136" max="5136" width="2.84375" style="1625" bestFit="1" customWidth="1"/>
    <col min="5137" max="5375" width="8.84375" style="1625"/>
    <col min="5376" max="5377" width="8.84375" style="1625" customWidth="1"/>
    <col min="5378" max="5378" width="10.07421875" style="1625" customWidth="1"/>
    <col min="5379" max="5379" width="2.07421875" style="1625" customWidth="1"/>
    <col min="5380" max="5380" width="50.4609375" style="1625" customWidth="1"/>
    <col min="5381" max="5381" width="8.84375" style="1625"/>
    <col min="5382" max="5382" width="2.07421875" style="1625" customWidth="1"/>
    <col min="5383" max="5383" width="23.84375" style="1625" customWidth="1"/>
    <col min="5384" max="5384" width="2.07421875" style="1625" customWidth="1"/>
    <col min="5385" max="5385" width="23.84375" style="1625" customWidth="1"/>
    <col min="5386" max="5386" width="2.07421875" style="1625" customWidth="1"/>
    <col min="5387" max="5387" width="23.84375" style="1625" customWidth="1"/>
    <col min="5388" max="5388" width="2.07421875" style="1625" customWidth="1"/>
    <col min="5389" max="5389" width="23.84375" style="1625" customWidth="1"/>
    <col min="5390" max="5390" width="2.07421875" style="1625" customWidth="1"/>
    <col min="5391" max="5391" width="23.84375" style="1625" customWidth="1"/>
    <col min="5392" max="5392" width="2.84375" style="1625" bestFit="1" customWidth="1"/>
    <col min="5393" max="5631" width="8.84375" style="1625"/>
    <col min="5632" max="5633" width="8.84375" style="1625" customWidth="1"/>
    <col min="5634" max="5634" width="10.07421875" style="1625" customWidth="1"/>
    <col min="5635" max="5635" width="2.07421875" style="1625" customWidth="1"/>
    <col min="5636" max="5636" width="50.4609375" style="1625" customWidth="1"/>
    <col min="5637" max="5637" width="8.84375" style="1625"/>
    <col min="5638" max="5638" width="2.07421875" style="1625" customWidth="1"/>
    <col min="5639" max="5639" width="23.84375" style="1625" customWidth="1"/>
    <col min="5640" max="5640" width="2.07421875" style="1625" customWidth="1"/>
    <col min="5641" max="5641" width="23.84375" style="1625" customWidth="1"/>
    <col min="5642" max="5642" width="2.07421875" style="1625" customWidth="1"/>
    <col min="5643" max="5643" width="23.84375" style="1625" customWidth="1"/>
    <col min="5644" max="5644" width="2.07421875" style="1625" customWidth="1"/>
    <col min="5645" max="5645" width="23.84375" style="1625" customWidth="1"/>
    <col min="5646" max="5646" width="2.07421875" style="1625" customWidth="1"/>
    <col min="5647" max="5647" width="23.84375" style="1625" customWidth="1"/>
    <col min="5648" max="5648" width="2.84375" style="1625" bestFit="1" customWidth="1"/>
    <col min="5649" max="5887" width="8.84375" style="1625"/>
    <col min="5888" max="5889" width="8.84375" style="1625" customWidth="1"/>
    <col min="5890" max="5890" width="10.07421875" style="1625" customWidth="1"/>
    <col min="5891" max="5891" width="2.07421875" style="1625" customWidth="1"/>
    <col min="5892" max="5892" width="50.4609375" style="1625" customWidth="1"/>
    <col min="5893" max="5893" width="8.84375" style="1625"/>
    <col min="5894" max="5894" width="2.07421875" style="1625" customWidth="1"/>
    <col min="5895" max="5895" width="23.84375" style="1625" customWidth="1"/>
    <col min="5896" max="5896" width="2.07421875" style="1625" customWidth="1"/>
    <col min="5897" max="5897" width="23.84375" style="1625" customWidth="1"/>
    <col min="5898" max="5898" width="2.07421875" style="1625" customWidth="1"/>
    <col min="5899" max="5899" width="23.84375" style="1625" customWidth="1"/>
    <col min="5900" max="5900" width="2.07421875" style="1625" customWidth="1"/>
    <col min="5901" max="5901" width="23.84375" style="1625" customWidth="1"/>
    <col min="5902" max="5902" width="2.07421875" style="1625" customWidth="1"/>
    <col min="5903" max="5903" width="23.84375" style="1625" customWidth="1"/>
    <col min="5904" max="5904" width="2.84375" style="1625" bestFit="1" customWidth="1"/>
    <col min="5905" max="6143" width="8.84375" style="1625"/>
    <col min="6144" max="6145" width="8.84375" style="1625" customWidth="1"/>
    <col min="6146" max="6146" width="10.07421875" style="1625" customWidth="1"/>
    <col min="6147" max="6147" width="2.07421875" style="1625" customWidth="1"/>
    <col min="6148" max="6148" width="50.4609375" style="1625" customWidth="1"/>
    <col min="6149" max="6149" width="8.84375" style="1625"/>
    <col min="6150" max="6150" width="2.07421875" style="1625" customWidth="1"/>
    <col min="6151" max="6151" width="23.84375" style="1625" customWidth="1"/>
    <col min="6152" max="6152" width="2.07421875" style="1625" customWidth="1"/>
    <col min="6153" max="6153" width="23.84375" style="1625" customWidth="1"/>
    <col min="6154" max="6154" width="2.07421875" style="1625" customWidth="1"/>
    <col min="6155" max="6155" width="23.84375" style="1625" customWidth="1"/>
    <col min="6156" max="6156" width="2.07421875" style="1625" customWidth="1"/>
    <col min="6157" max="6157" width="23.84375" style="1625" customWidth="1"/>
    <col min="6158" max="6158" width="2.07421875" style="1625" customWidth="1"/>
    <col min="6159" max="6159" width="23.84375" style="1625" customWidth="1"/>
    <col min="6160" max="6160" width="2.84375" style="1625" bestFit="1" customWidth="1"/>
    <col min="6161" max="6399" width="8.84375" style="1625"/>
    <col min="6400" max="6401" width="8.84375" style="1625" customWidth="1"/>
    <col min="6402" max="6402" width="10.07421875" style="1625" customWidth="1"/>
    <col min="6403" max="6403" width="2.07421875" style="1625" customWidth="1"/>
    <col min="6404" max="6404" width="50.4609375" style="1625" customWidth="1"/>
    <col min="6405" max="6405" width="8.84375" style="1625"/>
    <col min="6406" max="6406" width="2.07421875" style="1625" customWidth="1"/>
    <col min="6407" max="6407" width="23.84375" style="1625" customWidth="1"/>
    <col min="6408" max="6408" width="2.07421875" style="1625" customWidth="1"/>
    <col min="6409" max="6409" width="23.84375" style="1625" customWidth="1"/>
    <col min="6410" max="6410" width="2.07421875" style="1625" customWidth="1"/>
    <col min="6411" max="6411" width="23.84375" style="1625" customWidth="1"/>
    <col min="6412" max="6412" width="2.07421875" style="1625" customWidth="1"/>
    <col min="6413" max="6413" width="23.84375" style="1625" customWidth="1"/>
    <col min="6414" max="6414" width="2.07421875" style="1625" customWidth="1"/>
    <col min="6415" max="6415" width="23.84375" style="1625" customWidth="1"/>
    <col min="6416" max="6416" width="2.84375" style="1625" bestFit="1" customWidth="1"/>
    <col min="6417" max="6655" width="8.84375" style="1625"/>
    <col min="6656" max="6657" width="8.84375" style="1625" customWidth="1"/>
    <col min="6658" max="6658" width="10.07421875" style="1625" customWidth="1"/>
    <col min="6659" max="6659" width="2.07421875" style="1625" customWidth="1"/>
    <col min="6660" max="6660" width="50.4609375" style="1625" customWidth="1"/>
    <col min="6661" max="6661" width="8.84375" style="1625"/>
    <col min="6662" max="6662" width="2.07421875" style="1625" customWidth="1"/>
    <col min="6663" max="6663" width="23.84375" style="1625" customWidth="1"/>
    <col min="6664" max="6664" width="2.07421875" style="1625" customWidth="1"/>
    <col min="6665" max="6665" width="23.84375" style="1625" customWidth="1"/>
    <col min="6666" max="6666" width="2.07421875" style="1625" customWidth="1"/>
    <col min="6667" max="6667" width="23.84375" style="1625" customWidth="1"/>
    <col min="6668" max="6668" width="2.07421875" style="1625" customWidth="1"/>
    <col min="6669" max="6669" width="23.84375" style="1625" customWidth="1"/>
    <col min="6670" max="6670" width="2.07421875" style="1625" customWidth="1"/>
    <col min="6671" max="6671" width="23.84375" style="1625" customWidth="1"/>
    <col min="6672" max="6672" width="2.84375" style="1625" bestFit="1" customWidth="1"/>
    <col min="6673" max="6911" width="8.84375" style="1625"/>
    <col min="6912" max="6913" width="8.84375" style="1625" customWidth="1"/>
    <col min="6914" max="6914" width="10.07421875" style="1625" customWidth="1"/>
    <col min="6915" max="6915" width="2.07421875" style="1625" customWidth="1"/>
    <col min="6916" max="6916" width="50.4609375" style="1625" customWidth="1"/>
    <col min="6917" max="6917" width="8.84375" style="1625"/>
    <col min="6918" max="6918" width="2.07421875" style="1625" customWidth="1"/>
    <col min="6919" max="6919" width="23.84375" style="1625" customWidth="1"/>
    <col min="6920" max="6920" width="2.07421875" style="1625" customWidth="1"/>
    <col min="6921" max="6921" width="23.84375" style="1625" customWidth="1"/>
    <col min="6922" max="6922" width="2.07421875" style="1625" customWidth="1"/>
    <col min="6923" max="6923" width="23.84375" style="1625" customWidth="1"/>
    <col min="6924" max="6924" width="2.07421875" style="1625" customWidth="1"/>
    <col min="6925" max="6925" width="23.84375" style="1625" customWidth="1"/>
    <col min="6926" max="6926" width="2.07421875" style="1625" customWidth="1"/>
    <col min="6927" max="6927" width="23.84375" style="1625" customWidth="1"/>
    <col min="6928" max="6928" width="2.84375" style="1625" bestFit="1" customWidth="1"/>
    <col min="6929" max="7167" width="8.84375" style="1625"/>
    <col min="7168" max="7169" width="8.84375" style="1625" customWidth="1"/>
    <col min="7170" max="7170" width="10.07421875" style="1625" customWidth="1"/>
    <col min="7171" max="7171" width="2.07421875" style="1625" customWidth="1"/>
    <col min="7172" max="7172" width="50.4609375" style="1625" customWidth="1"/>
    <col min="7173" max="7173" width="8.84375" style="1625"/>
    <col min="7174" max="7174" width="2.07421875" style="1625" customWidth="1"/>
    <col min="7175" max="7175" width="23.84375" style="1625" customWidth="1"/>
    <col min="7176" max="7176" width="2.07421875" style="1625" customWidth="1"/>
    <col min="7177" max="7177" width="23.84375" style="1625" customWidth="1"/>
    <col min="7178" max="7178" width="2.07421875" style="1625" customWidth="1"/>
    <col min="7179" max="7179" width="23.84375" style="1625" customWidth="1"/>
    <col min="7180" max="7180" width="2.07421875" style="1625" customWidth="1"/>
    <col min="7181" max="7181" width="23.84375" style="1625" customWidth="1"/>
    <col min="7182" max="7182" width="2.07421875" style="1625" customWidth="1"/>
    <col min="7183" max="7183" width="23.84375" style="1625" customWidth="1"/>
    <col min="7184" max="7184" width="2.84375" style="1625" bestFit="1" customWidth="1"/>
    <col min="7185" max="7423" width="8.84375" style="1625"/>
    <col min="7424" max="7425" width="8.84375" style="1625" customWidth="1"/>
    <col min="7426" max="7426" width="10.07421875" style="1625" customWidth="1"/>
    <col min="7427" max="7427" width="2.07421875" style="1625" customWidth="1"/>
    <col min="7428" max="7428" width="50.4609375" style="1625" customWidth="1"/>
    <col min="7429" max="7429" width="8.84375" style="1625"/>
    <col min="7430" max="7430" width="2.07421875" style="1625" customWidth="1"/>
    <col min="7431" max="7431" width="23.84375" style="1625" customWidth="1"/>
    <col min="7432" max="7432" width="2.07421875" style="1625" customWidth="1"/>
    <col min="7433" max="7433" width="23.84375" style="1625" customWidth="1"/>
    <col min="7434" max="7434" width="2.07421875" style="1625" customWidth="1"/>
    <col min="7435" max="7435" width="23.84375" style="1625" customWidth="1"/>
    <col min="7436" max="7436" width="2.07421875" style="1625" customWidth="1"/>
    <col min="7437" max="7437" width="23.84375" style="1625" customWidth="1"/>
    <col min="7438" max="7438" width="2.07421875" style="1625" customWidth="1"/>
    <col min="7439" max="7439" width="23.84375" style="1625" customWidth="1"/>
    <col min="7440" max="7440" width="2.84375" style="1625" bestFit="1" customWidth="1"/>
    <col min="7441" max="7679" width="8.84375" style="1625"/>
    <col min="7680" max="7681" width="8.84375" style="1625" customWidth="1"/>
    <col min="7682" max="7682" width="10.07421875" style="1625" customWidth="1"/>
    <col min="7683" max="7683" width="2.07421875" style="1625" customWidth="1"/>
    <col min="7684" max="7684" width="50.4609375" style="1625" customWidth="1"/>
    <col min="7685" max="7685" width="8.84375" style="1625"/>
    <col min="7686" max="7686" width="2.07421875" style="1625" customWidth="1"/>
    <col min="7687" max="7687" width="23.84375" style="1625" customWidth="1"/>
    <col min="7688" max="7688" width="2.07421875" style="1625" customWidth="1"/>
    <col min="7689" max="7689" width="23.84375" style="1625" customWidth="1"/>
    <col min="7690" max="7690" width="2.07421875" style="1625" customWidth="1"/>
    <col min="7691" max="7691" width="23.84375" style="1625" customWidth="1"/>
    <col min="7692" max="7692" width="2.07421875" style="1625" customWidth="1"/>
    <col min="7693" max="7693" width="23.84375" style="1625" customWidth="1"/>
    <col min="7694" max="7694" width="2.07421875" style="1625" customWidth="1"/>
    <col min="7695" max="7695" width="23.84375" style="1625" customWidth="1"/>
    <col min="7696" max="7696" width="2.84375" style="1625" bestFit="1" customWidth="1"/>
    <col min="7697" max="7935" width="8.84375" style="1625"/>
    <col min="7936" max="7937" width="8.84375" style="1625" customWidth="1"/>
    <col min="7938" max="7938" width="10.07421875" style="1625" customWidth="1"/>
    <col min="7939" max="7939" width="2.07421875" style="1625" customWidth="1"/>
    <col min="7940" max="7940" width="50.4609375" style="1625" customWidth="1"/>
    <col min="7941" max="7941" width="8.84375" style="1625"/>
    <col min="7942" max="7942" width="2.07421875" style="1625" customWidth="1"/>
    <col min="7943" max="7943" width="23.84375" style="1625" customWidth="1"/>
    <col min="7944" max="7944" width="2.07421875" style="1625" customWidth="1"/>
    <col min="7945" max="7945" width="23.84375" style="1625" customWidth="1"/>
    <col min="7946" max="7946" width="2.07421875" style="1625" customWidth="1"/>
    <col min="7947" max="7947" width="23.84375" style="1625" customWidth="1"/>
    <col min="7948" max="7948" width="2.07421875" style="1625" customWidth="1"/>
    <col min="7949" max="7949" width="23.84375" style="1625" customWidth="1"/>
    <col min="7950" max="7950" width="2.07421875" style="1625" customWidth="1"/>
    <col min="7951" max="7951" width="23.84375" style="1625" customWidth="1"/>
    <col min="7952" max="7952" width="2.84375" style="1625" bestFit="1" customWidth="1"/>
    <col min="7953" max="8191" width="8.84375" style="1625"/>
    <col min="8192" max="8193" width="8.84375" style="1625" customWidth="1"/>
    <col min="8194" max="8194" width="10.07421875" style="1625" customWidth="1"/>
    <col min="8195" max="8195" width="2.07421875" style="1625" customWidth="1"/>
    <col min="8196" max="8196" width="50.4609375" style="1625" customWidth="1"/>
    <col min="8197" max="8197" width="8.84375" style="1625"/>
    <col min="8198" max="8198" width="2.07421875" style="1625" customWidth="1"/>
    <col min="8199" max="8199" width="23.84375" style="1625" customWidth="1"/>
    <col min="8200" max="8200" width="2.07421875" style="1625" customWidth="1"/>
    <col min="8201" max="8201" width="23.84375" style="1625" customWidth="1"/>
    <col min="8202" max="8202" width="2.07421875" style="1625" customWidth="1"/>
    <col min="8203" max="8203" width="23.84375" style="1625" customWidth="1"/>
    <col min="8204" max="8204" width="2.07421875" style="1625" customWidth="1"/>
    <col min="8205" max="8205" width="23.84375" style="1625" customWidth="1"/>
    <col min="8206" max="8206" width="2.07421875" style="1625" customWidth="1"/>
    <col min="8207" max="8207" width="23.84375" style="1625" customWidth="1"/>
    <col min="8208" max="8208" width="2.84375" style="1625" bestFit="1" customWidth="1"/>
    <col min="8209" max="8447" width="8.84375" style="1625"/>
    <col min="8448" max="8449" width="8.84375" style="1625" customWidth="1"/>
    <col min="8450" max="8450" width="10.07421875" style="1625" customWidth="1"/>
    <col min="8451" max="8451" width="2.07421875" style="1625" customWidth="1"/>
    <col min="8452" max="8452" width="50.4609375" style="1625" customWidth="1"/>
    <col min="8453" max="8453" width="8.84375" style="1625"/>
    <col min="8454" max="8454" width="2.07421875" style="1625" customWidth="1"/>
    <col min="8455" max="8455" width="23.84375" style="1625" customWidth="1"/>
    <col min="8456" max="8456" width="2.07421875" style="1625" customWidth="1"/>
    <col min="8457" max="8457" width="23.84375" style="1625" customWidth="1"/>
    <col min="8458" max="8458" width="2.07421875" style="1625" customWidth="1"/>
    <col min="8459" max="8459" width="23.84375" style="1625" customWidth="1"/>
    <col min="8460" max="8460" width="2.07421875" style="1625" customWidth="1"/>
    <col min="8461" max="8461" width="23.84375" style="1625" customWidth="1"/>
    <col min="8462" max="8462" width="2.07421875" style="1625" customWidth="1"/>
    <col min="8463" max="8463" width="23.84375" style="1625" customWidth="1"/>
    <col min="8464" max="8464" width="2.84375" style="1625" bestFit="1" customWidth="1"/>
    <col min="8465" max="8703" width="8.84375" style="1625"/>
    <col min="8704" max="8705" width="8.84375" style="1625" customWidth="1"/>
    <col min="8706" max="8706" width="10.07421875" style="1625" customWidth="1"/>
    <col min="8707" max="8707" width="2.07421875" style="1625" customWidth="1"/>
    <col min="8708" max="8708" width="50.4609375" style="1625" customWidth="1"/>
    <col min="8709" max="8709" width="8.84375" style="1625"/>
    <col min="8710" max="8710" width="2.07421875" style="1625" customWidth="1"/>
    <col min="8711" max="8711" width="23.84375" style="1625" customWidth="1"/>
    <col min="8712" max="8712" width="2.07421875" style="1625" customWidth="1"/>
    <col min="8713" max="8713" width="23.84375" style="1625" customWidth="1"/>
    <col min="8714" max="8714" width="2.07421875" style="1625" customWidth="1"/>
    <col min="8715" max="8715" width="23.84375" style="1625" customWidth="1"/>
    <col min="8716" max="8716" width="2.07421875" style="1625" customWidth="1"/>
    <col min="8717" max="8717" width="23.84375" style="1625" customWidth="1"/>
    <col min="8718" max="8718" width="2.07421875" style="1625" customWidth="1"/>
    <col min="8719" max="8719" width="23.84375" style="1625" customWidth="1"/>
    <col min="8720" max="8720" width="2.84375" style="1625" bestFit="1" customWidth="1"/>
    <col min="8721" max="8959" width="8.84375" style="1625"/>
    <col min="8960" max="8961" width="8.84375" style="1625" customWidth="1"/>
    <col min="8962" max="8962" width="10.07421875" style="1625" customWidth="1"/>
    <col min="8963" max="8963" width="2.07421875" style="1625" customWidth="1"/>
    <col min="8964" max="8964" width="50.4609375" style="1625" customWidth="1"/>
    <col min="8965" max="8965" width="8.84375" style="1625"/>
    <col min="8966" max="8966" width="2.07421875" style="1625" customWidth="1"/>
    <col min="8967" max="8967" width="23.84375" style="1625" customWidth="1"/>
    <col min="8968" max="8968" width="2.07421875" style="1625" customWidth="1"/>
    <col min="8969" max="8969" width="23.84375" style="1625" customWidth="1"/>
    <col min="8970" max="8970" width="2.07421875" style="1625" customWidth="1"/>
    <col min="8971" max="8971" width="23.84375" style="1625" customWidth="1"/>
    <col min="8972" max="8972" width="2.07421875" style="1625" customWidth="1"/>
    <col min="8973" max="8973" width="23.84375" style="1625" customWidth="1"/>
    <col min="8974" max="8974" width="2.07421875" style="1625" customWidth="1"/>
    <col min="8975" max="8975" width="23.84375" style="1625" customWidth="1"/>
    <col min="8976" max="8976" width="2.84375" style="1625" bestFit="1" customWidth="1"/>
    <col min="8977" max="9215" width="8.84375" style="1625"/>
    <col min="9216" max="9217" width="8.84375" style="1625" customWidth="1"/>
    <col min="9218" max="9218" width="10.07421875" style="1625" customWidth="1"/>
    <col min="9219" max="9219" width="2.07421875" style="1625" customWidth="1"/>
    <col min="9220" max="9220" width="50.4609375" style="1625" customWidth="1"/>
    <col min="9221" max="9221" width="8.84375" style="1625"/>
    <col min="9222" max="9222" width="2.07421875" style="1625" customWidth="1"/>
    <col min="9223" max="9223" width="23.84375" style="1625" customWidth="1"/>
    <col min="9224" max="9224" width="2.07421875" style="1625" customWidth="1"/>
    <col min="9225" max="9225" width="23.84375" style="1625" customWidth="1"/>
    <col min="9226" max="9226" width="2.07421875" style="1625" customWidth="1"/>
    <col min="9227" max="9227" width="23.84375" style="1625" customWidth="1"/>
    <col min="9228" max="9228" width="2.07421875" style="1625" customWidth="1"/>
    <col min="9229" max="9229" width="23.84375" style="1625" customWidth="1"/>
    <col min="9230" max="9230" width="2.07421875" style="1625" customWidth="1"/>
    <col min="9231" max="9231" width="23.84375" style="1625" customWidth="1"/>
    <col min="9232" max="9232" width="2.84375" style="1625" bestFit="1" customWidth="1"/>
    <col min="9233" max="9471" width="8.84375" style="1625"/>
    <col min="9472" max="9473" width="8.84375" style="1625" customWidth="1"/>
    <col min="9474" max="9474" width="10.07421875" style="1625" customWidth="1"/>
    <col min="9475" max="9475" width="2.07421875" style="1625" customWidth="1"/>
    <col min="9476" max="9476" width="50.4609375" style="1625" customWidth="1"/>
    <col min="9477" max="9477" width="8.84375" style="1625"/>
    <col min="9478" max="9478" width="2.07421875" style="1625" customWidth="1"/>
    <col min="9479" max="9479" width="23.84375" style="1625" customWidth="1"/>
    <col min="9480" max="9480" width="2.07421875" style="1625" customWidth="1"/>
    <col min="9481" max="9481" width="23.84375" style="1625" customWidth="1"/>
    <col min="9482" max="9482" width="2.07421875" style="1625" customWidth="1"/>
    <col min="9483" max="9483" width="23.84375" style="1625" customWidth="1"/>
    <col min="9484" max="9484" width="2.07421875" style="1625" customWidth="1"/>
    <col min="9485" max="9485" width="23.84375" style="1625" customWidth="1"/>
    <col min="9486" max="9486" width="2.07421875" style="1625" customWidth="1"/>
    <col min="9487" max="9487" width="23.84375" style="1625" customWidth="1"/>
    <col min="9488" max="9488" width="2.84375" style="1625" bestFit="1" customWidth="1"/>
    <col min="9489" max="9727" width="8.84375" style="1625"/>
    <col min="9728" max="9729" width="8.84375" style="1625" customWidth="1"/>
    <col min="9730" max="9730" width="10.07421875" style="1625" customWidth="1"/>
    <col min="9731" max="9731" width="2.07421875" style="1625" customWidth="1"/>
    <col min="9732" max="9732" width="50.4609375" style="1625" customWidth="1"/>
    <col min="9733" max="9733" width="8.84375" style="1625"/>
    <col min="9734" max="9734" width="2.07421875" style="1625" customWidth="1"/>
    <col min="9735" max="9735" width="23.84375" style="1625" customWidth="1"/>
    <col min="9736" max="9736" width="2.07421875" style="1625" customWidth="1"/>
    <col min="9737" max="9737" width="23.84375" style="1625" customWidth="1"/>
    <col min="9738" max="9738" width="2.07421875" style="1625" customWidth="1"/>
    <col min="9739" max="9739" width="23.84375" style="1625" customWidth="1"/>
    <col min="9740" max="9740" width="2.07421875" style="1625" customWidth="1"/>
    <col min="9741" max="9741" width="23.84375" style="1625" customWidth="1"/>
    <col min="9742" max="9742" width="2.07421875" style="1625" customWidth="1"/>
    <col min="9743" max="9743" width="23.84375" style="1625" customWidth="1"/>
    <col min="9744" max="9744" width="2.84375" style="1625" bestFit="1" customWidth="1"/>
    <col min="9745" max="9983" width="8.84375" style="1625"/>
    <col min="9984" max="9985" width="8.84375" style="1625" customWidth="1"/>
    <col min="9986" max="9986" width="10.07421875" style="1625" customWidth="1"/>
    <col min="9987" max="9987" width="2.07421875" style="1625" customWidth="1"/>
    <col min="9988" max="9988" width="50.4609375" style="1625" customWidth="1"/>
    <col min="9989" max="9989" width="8.84375" style="1625"/>
    <col min="9990" max="9990" width="2.07421875" style="1625" customWidth="1"/>
    <col min="9991" max="9991" width="23.84375" style="1625" customWidth="1"/>
    <col min="9992" max="9992" width="2.07421875" style="1625" customWidth="1"/>
    <col min="9993" max="9993" width="23.84375" style="1625" customWidth="1"/>
    <col min="9994" max="9994" width="2.07421875" style="1625" customWidth="1"/>
    <col min="9995" max="9995" width="23.84375" style="1625" customWidth="1"/>
    <col min="9996" max="9996" width="2.07421875" style="1625" customWidth="1"/>
    <col min="9997" max="9997" width="23.84375" style="1625" customWidth="1"/>
    <col min="9998" max="9998" width="2.07421875" style="1625" customWidth="1"/>
    <col min="9999" max="9999" width="23.84375" style="1625" customWidth="1"/>
    <col min="10000" max="10000" width="2.84375" style="1625" bestFit="1" customWidth="1"/>
    <col min="10001" max="10239" width="8.84375" style="1625"/>
    <col min="10240" max="10241" width="8.84375" style="1625" customWidth="1"/>
    <col min="10242" max="10242" width="10.07421875" style="1625" customWidth="1"/>
    <col min="10243" max="10243" width="2.07421875" style="1625" customWidth="1"/>
    <col min="10244" max="10244" width="50.4609375" style="1625" customWidth="1"/>
    <col min="10245" max="10245" width="8.84375" style="1625"/>
    <col min="10246" max="10246" width="2.07421875" style="1625" customWidth="1"/>
    <col min="10247" max="10247" width="23.84375" style="1625" customWidth="1"/>
    <col min="10248" max="10248" width="2.07421875" style="1625" customWidth="1"/>
    <col min="10249" max="10249" width="23.84375" style="1625" customWidth="1"/>
    <col min="10250" max="10250" width="2.07421875" style="1625" customWidth="1"/>
    <col min="10251" max="10251" width="23.84375" style="1625" customWidth="1"/>
    <col min="10252" max="10252" width="2.07421875" style="1625" customWidth="1"/>
    <col min="10253" max="10253" width="23.84375" style="1625" customWidth="1"/>
    <col min="10254" max="10254" width="2.07421875" style="1625" customWidth="1"/>
    <col min="10255" max="10255" width="23.84375" style="1625" customWidth="1"/>
    <col min="10256" max="10256" width="2.84375" style="1625" bestFit="1" customWidth="1"/>
    <col min="10257" max="10495" width="8.84375" style="1625"/>
    <col min="10496" max="10497" width="8.84375" style="1625" customWidth="1"/>
    <col min="10498" max="10498" width="10.07421875" style="1625" customWidth="1"/>
    <col min="10499" max="10499" width="2.07421875" style="1625" customWidth="1"/>
    <col min="10500" max="10500" width="50.4609375" style="1625" customWidth="1"/>
    <col min="10501" max="10501" width="8.84375" style="1625"/>
    <col min="10502" max="10502" width="2.07421875" style="1625" customWidth="1"/>
    <col min="10503" max="10503" width="23.84375" style="1625" customWidth="1"/>
    <col min="10504" max="10504" width="2.07421875" style="1625" customWidth="1"/>
    <col min="10505" max="10505" width="23.84375" style="1625" customWidth="1"/>
    <col min="10506" max="10506" width="2.07421875" style="1625" customWidth="1"/>
    <col min="10507" max="10507" width="23.84375" style="1625" customWidth="1"/>
    <col min="10508" max="10508" width="2.07421875" style="1625" customWidth="1"/>
    <col min="10509" max="10509" width="23.84375" style="1625" customWidth="1"/>
    <col min="10510" max="10510" width="2.07421875" style="1625" customWidth="1"/>
    <col min="10511" max="10511" width="23.84375" style="1625" customWidth="1"/>
    <col min="10512" max="10512" width="2.84375" style="1625" bestFit="1" customWidth="1"/>
    <col min="10513" max="10751" width="8.84375" style="1625"/>
    <col min="10752" max="10753" width="8.84375" style="1625" customWidth="1"/>
    <col min="10754" max="10754" width="10.07421875" style="1625" customWidth="1"/>
    <col min="10755" max="10755" width="2.07421875" style="1625" customWidth="1"/>
    <col min="10756" max="10756" width="50.4609375" style="1625" customWidth="1"/>
    <col min="10757" max="10757" width="8.84375" style="1625"/>
    <col min="10758" max="10758" width="2.07421875" style="1625" customWidth="1"/>
    <col min="10759" max="10759" width="23.84375" style="1625" customWidth="1"/>
    <col min="10760" max="10760" width="2.07421875" style="1625" customWidth="1"/>
    <col min="10761" max="10761" width="23.84375" style="1625" customWidth="1"/>
    <col min="10762" max="10762" width="2.07421875" style="1625" customWidth="1"/>
    <col min="10763" max="10763" width="23.84375" style="1625" customWidth="1"/>
    <col min="10764" max="10764" width="2.07421875" style="1625" customWidth="1"/>
    <col min="10765" max="10765" width="23.84375" style="1625" customWidth="1"/>
    <col min="10766" max="10766" width="2.07421875" style="1625" customWidth="1"/>
    <col min="10767" max="10767" width="23.84375" style="1625" customWidth="1"/>
    <col min="10768" max="10768" width="2.84375" style="1625" bestFit="1" customWidth="1"/>
    <col min="10769" max="11007" width="8.84375" style="1625"/>
    <col min="11008" max="11009" width="8.84375" style="1625" customWidth="1"/>
    <col min="11010" max="11010" width="10.07421875" style="1625" customWidth="1"/>
    <col min="11011" max="11011" width="2.07421875" style="1625" customWidth="1"/>
    <col min="11012" max="11012" width="50.4609375" style="1625" customWidth="1"/>
    <col min="11013" max="11013" width="8.84375" style="1625"/>
    <col min="11014" max="11014" width="2.07421875" style="1625" customWidth="1"/>
    <col min="11015" max="11015" width="23.84375" style="1625" customWidth="1"/>
    <col min="11016" max="11016" width="2.07421875" style="1625" customWidth="1"/>
    <col min="11017" max="11017" width="23.84375" style="1625" customWidth="1"/>
    <col min="11018" max="11018" width="2.07421875" style="1625" customWidth="1"/>
    <col min="11019" max="11019" width="23.84375" style="1625" customWidth="1"/>
    <col min="11020" max="11020" width="2.07421875" style="1625" customWidth="1"/>
    <col min="11021" max="11021" width="23.84375" style="1625" customWidth="1"/>
    <col min="11022" max="11022" width="2.07421875" style="1625" customWidth="1"/>
    <col min="11023" max="11023" width="23.84375" style="1625" customWidth="1"/>
    <col min="11024" max="11024" width="2.84375" style="1625" bestFit="1" customWidth="1"/>
    <col min="11025" max="11263" width="8.84375" style="1625"/>
    <col min="11264" max="11265" width="8.84375" style="1625" customWidth="1"/>
    <col min="11266" max="11266" width="10.07421875" style="1625" customWidth="1"/>
    <col min="11267" max="11267" width="2.07421875" style="1625" customWidth="1"/>
    <col min="11268" max="11268" width="50.4609375" style="1625" customWidth="1"/>
    <col min="11269" max="11269" width="8.84375" style="1625"/>
    <col min="11270" max="11270" width="2.07421875" style="1625" customWidth="1"/>
    <col min="11271" max="11271" width="23.84375" style="1625" customWidth="1"/>
    <col min="11272" max="11272" width="2.07421875" style="1625" customWidth="1"/>
    <col min="11273" max="11273" width="23.84375" style="1625" customWidth="1"/>
    <col min="11274" max="11274" width="2.07421875" style="1625" customWidth="1"/>
    <col min="11275" max="11275" width="23.84375" style="1625" customWidth="1"/>
    <col min="11276" max="11276" width="2.07421875" style="1625" customWidth="1"/>
    <col min="11277" max="11277" width="23.84375" style="1625" customWidth="1"/>
    <col min="11278" max="11278" width="2.07421875" style="1625" customWidth="1"/>
    <col min="11279" max="11279" width="23.84375" style="1625" customWidth="1"/>
    <col min="11280" max="11280" width="2.84375" style="1625" bestFit="1" customWidth="1"/>
    <col min="11281" max="11519" width="8.84375" style="1625"/>
    <col min="11520" max="11521" width="8.84375" style="1625" customWidth="1"/>
    <col min="11522" max="11522" width="10.07421875" style="1625" customWidth="1"/>
    <col min="11523" max="11523" width="2.07421875" style="1625" customWidth="1"/>
    <col min="11524" max="11524" width="50.4609375" style="1625" customWidth="1"/>
    <col min="11525" max="11525" width="8.84375" style="1625"/>
    <col min="11526" max="11526" width="2.07421875" style="1625" customWidth="1"/>
    <col min="11527" max="11527" width="23.84375" style="1625" customWidth="1"/>
    <col min="11528" max="11528" width="2.07421875" style="1625" customWidth="1"/>
    <col min="11529" max="11529" width="23.84375" style="1625" customWidth="1"/>
    <col min="11530" max="11530" width="2.07421875" style="1625" customWidth="1"/>
    <col min="11531" max="11531" width="23.84375" style="1625" customWidth="1"/>
    <col min="11532" max="11532" width="2.07421875" style="1625" customWidth="1"/>
    <col min="11533" max="11533" width="23.84375" style="1625" customWidth="1"/>
    <col min="11534" max="11534" width="2.07421875" style="1625" customWidth="1"/>
    <col min="11535" max="11535" width="23.84375" style="1625" customWidth="1"/>
    <col min="11536" max="11536" width="2.84375" style="1625" bestFit="1" customWidth="1"/>
    <col min="11537" max="11775" width="8.84375" style="1625"/>
    <col min="11776" max="11777" width="8.84375" style="1625" customWidth="1"/>
    <col min="11778" max="11778" width="10.07421875" style="1625" customWidth="1"/>
    <col min="11779" max="11779" width="2.07421875" style="1625" customWidth="1"/>
    <col min="11780" max="11780" width="50.4609375" style="1625" customWidth="1"/>
    <col min="11781" max="11781" width="8.84375" style="1625"/>
    <col min="11782" max="11782" width="2.07421875" style="1625" customWidth="1"/>
    <col min="11783" max="11783" width="23.84375" style="1625" customWidth="1"/>
    <col min="11784" max="11784" width="2.07421875" style="1625" customWidth="1"/>
    <col min="11785" max="11785" width="23.84375" style="1625" customWidth="1"/>
    <col min="11786" max="11786" width="2.07421875" style="1625" customWidth="1"/>
    <col min="11787" max="11787" width="23.84375" style="1625" customWidth="1"/>
    <col min="11788" max="11788" width="2.07421875" style="1625" customWidth="1"/>
    <col min="11789" max="11789" width="23.84375" style="1625" customWidth="1"/>
    <col min="11790" max="11790" width="2.07421875" style="1625" customWidth="1"/>
    <col min="11791" max="11791" width="23.84375" style="1625" customWidth="1"/>
    <col min="11792" max="11792" width="2.84375" style="1625" bestFit="1" customWidth="1"/>
    <col min="11793" max="12031" width="8.84375" style="1625"/>
    <col min="12032" max="12033" width="8.84375" style="1625" customWidth="1"/>
    <col min="12034" max="12034" width="10.07421875" style="1625" customWidth="1"/>
    <col min="12035" max="12035" width="2.07421875" style="1625" customWidth="1"/>
    <col min="12036" max="12036" width="50.4609375" style="1625" customWidth="1"/>
    <col min="12037" max="12037" width="8.84375" style="1625"/>
    <col min="12038" max="12038" width="2.07421875" style="1625" customWidth="1"/>
    <col min="12039" max="12039" width="23.84375" style="1625" customWidth="1"/>
    <col min="12040" max="12040" width="2.07421875" style="1625" customWidth="1"/>
    <col min="12041" max="12041" width="23.84375" style="1625" customWidth="1"/>
    <col min="12042" max="12042" width="2.07421875" style="1625" customWidth="1"/>
    <col min="12043" max="12043" width="23.84375" style="1625" customWidth="1"/>
    <col min="12044" max="12044" width="2.07421875" style="1625" customWidth="1"/>
    <col min="12045" max="12045" width="23.84375" style="1625" customWidth="1"/>
    <col min="12046" max="12046" width="2.07421875" style="1625" customWidth="1"/>
    <col min="12047" max="12047" width="23.84375" style="1625" customWidth="1"/>
    <col min="12048" max="12048" width="2.84375" style="1625" bestFit="1" customWidth="1"/>
    <col min="12049" max="12287" width="8.84375" style="1625"/>
    <col min="12288" max="12289" width="8.84375" style="1625" customWidth="1"/>
    <col min="12290" max="12290" width="10.07421875" style="1625" customWidth="1"/>
    <col min="12291" max="12291" width="2.07421875" style="1625" customWidth="1"/>
    <col min="12292" max="12292" width="50.4609375" style="1625" customWidth="1"/>
    <col min="12293" max="12293" width="8.84375" style="1625"/>
    <col min="12294" max="12294" width="2.07421875" style="1625" customWidth="1"/>
    <col min="12295" max="12295" width="23.84375" style="1625" customWidth="1"/>
    <col min="12296" max="12296" width="2.07421875" style="1625" customWidth="1"/>
    <col min="12297" max="12297" width="23.84375" style="1625" customWidth="1"/>
    <col min="12298" max="12298" width="2.07421875" style="1625" customWidth="1"/>
    <col min="12299" max="12299" width="23.84375" style="1625" customWidth="1"/>
    <col min="12300" max="12300" width="2.07421875" style="1625" customWidth="1"/>
    <col min="12301" max="12301" width="23.84375" style="1625" customWidth="1"/>
    <col min="12302" max="12302" width="2.07421875" style="1625" customWidth="1"/>
    <col min="12303" max="12303" width="23.84375" style="1625" customWidth="1"/>
    <col min="12304" max="12304" width="2.84375" style="1625" bestFit="1" customWidth="1"/>
    <col min="12305" max="12543" width="8.84375" style="1625"/>
    <col min="12544" max="12545" width="8.84375" style="1625" customWidth="1"/>
    <col min="12546" max="12546" width="10.07421875" style="1625" customWidth="1"/>
    <col min="12547" max="12547" width="2.07421875" style="1625" customWidth="1"/>
    <col min="12548" max="12548" width="50.4609375" style="1625" customWidth="1"/>
    <col min="12549" max="12549" width="8.84375" style="1625"/>
    <col min="12550" max="12550" width="2.07421875" style="1625" customWidth="1"/>
    <col min="12551" max="12551" width="23.84375" style="1625" customWidth="1"/>
    <col min="12552" max="12552" width="2.07421875" style="1625" customWidth="1"/>
    <col min="12553" max="12553" width="23.84375" style="1625" customWidth="1"/>
    <col min="12554" max="12554" width="2.07421875" style="1625" customWidth="1"/>
    <col min="12555" max="12555" width="23.84375" style="1625" customWidth="1"/>
    <col min="12556" max="12556" width="2.07421875" style="1625" customWidth="1"/>
    <col min="12557" max="12557" width="23.84375" style="1625" customWidth="1"/>
    <col min="12558" max="12558" width="2.07421875" style="1625" customWidth="1"/>
    <col min="12559" max="12559" width="23.84375" style="1625" customWidth="1"/>
    <col min="12560" max="12560" width="2.84375" style="1625" bestFit="1" customWidth="1"/>
    <col min="12561" max="12799" width="8.84375" style="1625"/>
    <col min="12800" max="12801" width="8.84375" style="1625" customWidth="1"/>
    <col min="12802" max="12802" width="10.07421875" style="1625" customWidth="1"/>
    <col min="12803" max="12803" width="2.07421875" style="1625" customWidth="1"/>
    <col min="12804" max="12804" width="50.4609375" style="1625" customWidth="1"/>
    <col min="12805" max="12805" width="8.84375" style="1625"/>
    <col min="12806" max="12806" width="2.07421875" style="1625" customWidth="1"/>
    <col min="12807" max="12807" width="23.84375" style="1625" customWidth="1"/>
    <col min="12808" max="12808" width="2.07421875" style="1625" customWidth="1"/>
    <col min="12809" max="12809" width="23.84375" style="1625" customWidth="1"/>
    <col min="12810" max="12810" width="2.07421875" style="1625" customWidth="1"/>
    <col min="12811" max="12811" width="23.84375" style="1625" customWidth="1"/>
    <col min="12812" max="12812" width="2.07421875" style="1625" customWidth="1"/>
    <col min="12813" max="12813" width="23.84375" style="1625" customWidth="1"/>
    <col min="12814" max="12814" width="2.07421875" style="1625" customWidth="1"/>
    <col min="12815" max="12815" width="23.84375" style="1625" customWidth="1"/>
    <col min="12816" max="12816" width="2.84375" style="1625" bestFit="1" customWidth="1"/>
    <col min="12817" max="13055" width="8.84375" style="1625"/>
    <col min="13056" max="13057" width="8.84375" style="1625" customWidth="1"/>
    <col min="13058" max="13058" width="10.07421875" style="1625" customWidth="1"/>
    <col min="13059" max="13059" width="2.07421875" style="1625" customWidth="1"/>
    <col min="13060" max="13060" width="50.4609375" style="1625" customWidth="1"/>
    <col min="13061" max="13061" width="8.84375" style="1625"/>
    <col min="13062" max="13062" width="2.07421875" style="1625" customWidth="1"/>
    <col min="13063" max="13063" width="23.84375" style="1625" customWidth="1"/>
    <col min="13064" max="13064" width="2.07421875" style="1625" customWidth="1"/>
    <col min="13065" max="13065" width="23.84375" style="1625" customWidth="1"/>
    <col min="13066" max="13066" width="2.07421875" style="1625" customWidth="1"/>
    <col min="13067" max="13067" width="23.84375" style="1625" customWidth="1"/>
    <col min="13068" max="13068" width="2.07421875" style="1625" customWidth="1"/>
    <col min="13069" max="13069" width="23.84375" style="1625" customWidth="1"/>
    <col min="13070" max="13070" width="2.07421875" style="1625" customWidth="1"/>
    <col min="13071" max="13071" width="23.84375" style="1625" customWidth="1"/>
    <col min="13072" max="13072" width="2.84375" style="1625" bestFit="1" customWidth="1"/>
    <col min="13073" max="13311" width="8.84375" style="1625"/>
    <col min="13312" max="13313" width="8.84375" style="1625" customWidth="1"/>
    <col min="13314" max="13314" width="10.07421875" style="1625" customWidth="1"/>
    <col min="13315" max="13315" width="2.07421875" style="1625" customWidth="1"/>
    <col min="13316" max="13316" width="50.4609375" style="1625" customWidth="1"/>
    <col min="13317" max="13317" width="8.84375" style="1625"/>
    <col min="13318" max="13318" width="2.07421875" style="1625" customWidth="1"/>
    <col min="13319" max="13319" width="23.84375" style="1625" customWidth="1"/>
    <col min="13320" max="13320" width="2.07421875" style="1625" customWidth="1"/>
    <col min="13321" max="13321" width="23.84375" style="1625" customWidth="1"/>
    <col min="13322" max="13322" width="2.07421875" style="1625" customWidth="1"/>
    <col min="13323" max="13323" width="23.84375" style="1625" customWidth="1"/>
    <col min="13324" max="13324" width="2.07421875" style="1625" customWidth="1"/>
    <col min="13325" max="13325" width="23.84375" style="1625" customWidth="1"/>
    <col min="13326" max="13326" width="2.07421875" style="1625" customWidth="1"/>
    <col min="13327" max="13327" width="23.84375" style="1625" customWidth="1"/>
    <col min="13328" max="13328" width="2.84375" style="1625" bestFit="1" customWidth="1"/>
    <col min="13329" max="13567" width="8.84375" style="1625"/>
    <col min="13568" max="13569" width="8.84375" style="1625" customWidth="1"/>
    <col min="13570" max="13570" width="10.07421875" style="1625" customWidth="1"/>
    <col min="13571" max="13571" width="2.07421875" style="1625" customWidth="1"/>
    <col min="13572" max="13572" width="50.4609375" style="1625" customWidth="1"/>
    <col min="13573" max="13573" width="8.84375" style="1625"/>
    <col min="13574" max="13574" width="2.07421875" style="1625" customWidth="1"/>
    <col min="13575" max="13575" width="23.84375" style="1625" customWidth="1"/>
    <col min="13576" max="13576" width="2.07421875" style="1625" customWidth="1"/>
    <col min="13577" max="13577" width="23.84375" style="1625" customWidth="1"/>
    <col min="13578" max="13578" width="2.07421875" style="1625" customWidth="1"/>
    <col min="13579" max="13579" width="23.84375" style="1625" customWidth="1"/>
    <col min="13580" max="13580" width="2.07421875" style="1625" customWidth="1"/>
    <col min="13581" max="13581" width="23.84375" style="1625" customWidth="1"/>
    <col min="13582" max="13582" width="2.07421875" style="1625" customWidth="1"/>
    <col min="13583" max="13583" width="23.84375" style="1625" customWidth="1"/>
    <col min="13584" max="13584" width="2.84375" style="1625" bestFit="1" customWidth="1"/>
    <col min="13585" max="13823" width="8.84375" style="1625"/>
    <col min="13824" max="13825" width="8.84375" style="1625" customWidth="1"/>
    <col min="13826" max="13826" width="10.07421875" style="1625" customWidth="1"/>
    <col min="13827" max="13827" width="2.07421875" style="1625" customWidth="1"/>
    <col min="13828" max="13828" width="50.4609375" style="1625" customWidth="1"/>
    <col min="13829" max="13829" width="8.84375" style="1625"/>
    <col min="13830" max="13830" width="2.07421875" style="1625" customWidth="1"/>
    <col min="13831" max="13831" width="23.84375" style="1625" customWidth="1"/>
    <col min="13832" max="13832" width="2.07421875" style="1625" customWidth="1"/>
    <col min="13833" max="13833" width="23.84375" style="1625" customWidth="1"/>
    <col min="13834" max="13834" width="2.07421875" style="1625" customWidth="1"/>
    <col min="13835" max="13835" width="23.84375" style="1625" customWidth="1"/>
    <col min="13836" max="13836" width="2.07421875" style="1625" customWidth="1"/>
    <col min="13837" max="13837" width="23.84375" style="1625" customWidth="1"/>
    <col min="13838" max="13838" width="2.07421875" style="1625" customWidth="1"/>
    <col min="13839" max="13839" width="23.84375" style="1625" customWidth="1"/>
    <col min="13840" max="13840" width="2.84375" style="1625" bestFit="1" customWidth="1"/>
    <col min="13841" max="14079" width="8.84375" style="1625"/>
    <col min="14080" max="14081" width="8.84375" style="1625" customWidth="1"/>
    <col min="14082" max="14082" width="10.07421875" style="1625" customWidth="1"/>
    <col min="14083" max="14083" width="2.07421875" style="1625" customWidth="1"/>
    <col min="14084" max="14084" width="50.4609375" style="1625" customWidth="1"/>
    <col min="14085" max="14085" width="8.84375" style="1625"/>
    <col min="14086" max="14086" width="2.07421875" style="1625" customWidth="1"/>
    <col min="14087" max="14087" width="23.84375" style="1625" customWidth="1"/>
    <col min="14088" max="14088" width="2.07421875" style="1625" customWidth="1"/>
    <col min="14089" max="14089" width="23.84375" style="1625" customWidth="1"/>
    <col min="14090" max="14090" width="2.07421875" style="1625" customWidth="1"/>
    <col min="14091" max="14091" width="23.84375" style="1625" customWidth="1"/>
    <col min="14092" max="14092" width="2.07421875" style="1625" customWidth="1"/>
    <col min="14093" max="14093" width="23.84375" style="1625" customWidth="1"/>
    <col min="14094" max="14094" width="2.07421875" style="1625" customWidth="1"/>
    <col min="14095" max="14095" width="23.84375" style="1625" customWidth="1"/>
    <col min="14096" max="14096" width="2.84375" style="1625" bestFit="1" customWidth="1"/>
    <col min="14097" max="14335" width="8.84375" style="1625"/>
    <col min="14336" max="14337" width="8.84375" style="1625" customWidth="1"/>
    <col min="14338" max="14338" width="10.07421875" style="1625" customWidth="1"/>
    <col min="14339" max="14339" width="2.07421875" style="1625" customWidth="1"/>
    <col min="14340" max="14340" width="50.4609375" style="1625" customWidth="1"/>
    <col min="14341" max="14341" width="8.84375" style="1625"/>
    <col min="14342" max="14342" width="2.07421875" style="1625" customWidth="1"/>
    <col min="14343" max="14343" width="23.84375" style="1625" customWidth="1"/>
    <col min="14344" max="14344" width="2.07421875" style="1625" customWidth="1"/>
    <col min="14345" max="14345" width="23.84375" style="1625" customWidth="1"/>
    <col min="14346" max="14346" width="2.07421875" style="1625" customWidth="1"/>
    <col min="14347" max="14347" width="23.84375" style="1625" customWidth="1"/>
    <col min="14348" max="14348" width="2.07421875" style="1625" customWidth="1"/>
    <col min="14349" max="14349" width="23.84375" style="1625" customWidth="1"/>
    <col min="14350" max="14350" width="2.07421875" style="1625" customWidth="1"/>
    <col min="14351" max="14351" width="23.84375" style="1625" customWidth="1"/>
    <col min="14352" max="14352" width="2.84375" style="1625" bestFit="1" customWidth="1"/>
    <col min="14353" max="14591" width="8.84375" style="1625"/>
    <col min="14592" max="14593" width="8.84375" style="1625" customWidth="1"/>
    <col min="14594" max="14594" width="10.07421875" style="1625" customWidth="1"/>
    <col min="14595" max="14595" width="2.07421875" style="1625" customWidth="1"/>
    <col min="14596" max="14596" width="50.4609375" style="1625" customWidth="1"/>
    <col min="14597" max="14597" width="8.84375" style="1625"/>
    <col min="14598" max="14598" width="2.07421875" style="1625" customWidth="1"/>
    <col min="14599" max="14599" width="23.84375" style="1625" customWidth="1"/>
    <col min="14600" max="14600" width="2.07421875" style="1625" customWidth="1"/>
    <col min="14601" max="14601" width="23.84375" style="1625" customWidth="1"/>
    <col min="14602" max="14602" width="2.07421875" style="1625" customWidth="1"/>
    <col min="14603" max="14603" width="23.84375" style="1625" customWidth="1"/>
    <col min="14604" max="14604" width="2.07421875" style="1625" customWidth="1"/>
    <col min="14605" max="14605" width="23.84375" style="1625" customWidth="1"/>
    <col min="14606" max="14606" width="2.07421875" style="1625" customWidth="1"/>
    <col min="14607" max="14607" width="23.84375" style="1625" customWidth="1"/>
    <col min="14608" max="14608" width="2.84375" style="1625" bestFit="1" customWidth="1"/>
    <col min="14609" max="14847" width="8.84375" style="1625"/>
    <col min="14848" max="14849" width="8.84375" style="1625" customWidth="1"/>
    <col min="14850" max="14850" width="10.07421875" style="1625" customWidth="1"/>
    <col min="14851" max="14851" width="2.07421875" style="1625" customWidth="1"/>
    <col min="14852" max="14852" width="50.4609375" style="1625" customWidth="1"/>
    <col min="14853" max="14853" width="8.84375" style="1625"/>
    <col min="14854" max="14854" width="2.07421875" style="1625" customWidth="1"/>
    <col min="14855" max="14855" width="23.84375" style="1625" customWidth="1"/>
    <col min="14856" max="14856" width="2.07421875" style="1625" customWidth="1"/>
    <col min="14857" max="14857" width="23.84375" style="1625" customWidth="1"/>
    <col min="14858" max="14858" width="2.07421875" style="1625" customWidth="1"/>
    <col min="14859" max="14859" width="23.84375" style="1625" customWidth="1"/>
    <col min="14860" max="14860" width="2.07421875" style="1625" customWidth="1"/>
    <col min="14861" max="14861" width="23.84375" style="1625" customWidth="1"/>
    <col min="14862" max="14862" width="2.07421875" style="1625" customWidth="1"/>
    <col min="14863" max="14863" width="23.84375" style="1625" customWidth="1"/>
    <col min="14864" max="14864" width="2.84375" style="1625" bestFit="1" customWidth="1"/>
    <col min="14865" max="15103" width="8.84375" style="1625"/>
    <col min="15104" max="15105" width="8.84375" style="1625" customWidth="1"/>
    <col min="15106" max="15106" width="10.07421875" style="1625" customWidth="1"/>
    <col min="15107" max="15107" width="2.07421875" style="1625" customWidth="1"/>
    <col min="15108" max="15108" width="50.4609375" style="1625" customWidth="1"/>
    <col min="15109" max="15109" width="8.84375" style="1625"/>
    <col min="15110" max="15110" width="2.07421875" style="1625" customWidth="1"/>
    <col min="15111" max="15111" width="23.84375" style="1625" customWidth="1"/>
    <col min="15112" max="15112" width="2.07421875" style="1625" customWidth="1"/>
    <col min="15113" max="15113" width="23.84375" style="1625" customWidth="1"/>
    <col min="15114" max="15114" width="2.07421875" style="1625" customWidth="1"/>
    <col min="15115" max="15115" width="23.84375" style="1625" customWidth="1"/>
    <col min="15116" max="15116" width="2.07421875" style="1625" customWidth="1"/>
    <col min="15117" max="15117" width="23.84375" style="1625" customWidth="1"/>
    <col min="15118" max="15118" width="2.07421875" style="1625" customWidth="1"/>
    <col min="15119" max="15119" width="23.84375" style="1625" customWidth="1"/>
    <col min="15120" max="15120" width="2.84375" style="1625" bestFit="1" customWidth="1"/>
    <col min="15121" max="15359" width="8.84375" style="1625"/>
    <col min="15360" max="15361" width="8.84375" style="1625" customWidth="1"/>
    <col min="15362" max="15362" width="10.07421875" style="1625" customWidth="1"/>
    <col min="15363" max="15363" width="2.07421875" style="1625" customWidth="1"/>
    <col min="15364" max="15364" width="50.4609375" style="1625" customWidth="1"/>
    <col min="15365" max="15365" width="8.84375" style="1625"/>
    <col min="15366" max="15366" width="2.07421875" style="1625" customWidth="1"/>
    <col min="15367" max="15367" width="23.84375" style="1625" customWidth="1"/>
    <col min="15368" max="15368" width="2.07421875" style="1625" customWidth="1"/>
    <col min="15369" max="15369" width="23.84375" style="1625" customWidth="1"/>
    <col min="15370" max="15370" width="2.07421875" style="1625" customWidth="1"/>
    <col min="15371" max="15371" width="23.84375" style="1625" customWidth="1"/>
    <col min="15372" max="15372" width="2.07421875" style="1625" customWidth="1"/>
    <col min="15373" max="15373" width="23.84375" style="1625" customWidth="1"/>
    <col min="15374" max="15374" width="2.07421875" style="1625" customWidth="1"/>
    <col min="15375" max="15375" width="23.84375" style="1625" customWidth="1"/>
    <col min="15376" max="15376" width="2.84375" style="1625" bestFit="1" customWidth="1"/>
    <col min="15377" max="15615" width="8.84375" style="1625"/>
    <col min="15616" max="15617" width="8.84375" style="1625" customWidth="1"/>
    <col min="15618" max="15618" width="10.07421875" style="1625" customWidth="1"/>
    <col min="15619" max="15619" width="2.07421875" style="1625" customWidth="1"/>
    <col min="15620" max="15620" width="50.4609375" style="1625" customWidth="1"/>
    <col min="15621" max="15621" width="8.84375" style="1625"/>
    <col min="15622" max="15622" width="2.07421875" style="1625" customWidth="1"/>
    <col min="15623" max="15623" width="23.84375" style="1625" customWidth="1"/>
    <col min="15624" max="15624" width="2.07421875" style="1625" customWidth="1"/>
    <col min="15625" max="15625" width="23.84375" style="1625" customWidth="1"/>
    <col min="15626" max="15626" width="2.07421875" style="1625" customWidth="1"/>
    <col min="15627" max="15627" width="23.84375" style="1625" customWidth="1"/>
    <col min="15628" max="15628" width="2.07421875" style="1625" customWidth="1"/>
    <col min="15629" max="15629" width="23.84375" style="1625" customWidth="1"/>
    <col min="15630" max="15630" width="2.07421875" style="1625" customWidth="1"/>
    <col min="15631" max="15631" width="23.84375" style="1625" customWidth="1"/>
    <col min="15632" max="15632" width="2.84375" style="1625" bestFit="1" customWidth="1"/>
    <col min="15633" max="15871" width="8.84375" style="1625"/>
    <col min="15872" max="15873" width="8.84375" style="1625" customWidth="1"/>
    <col min="15874" max="15874" width="10.07421875" style="1625" customWidth="1"/>
    <col min="15875" max="15875" width="2.07421875" style="1625" customWidth="1"/>
    <col min="15876" max="15876" width="50.4609375" style="1625" customWidth="1"/>
    <col min="15877" max="15877" width="8.84375" style="1625"/>
    <col min="15878" max="15878" width="2.07421875" style="1625" customWidth="1"/>
    <col min="15879" max="15879" width="23.84375" style="1625" customWidth="1"/>
    <col min="15880" max="15880" width="2.07421875" style="1625" customWidth="1"/>
    <col min="15881" max="15881" width="23.84375" style="1625" customWidth="1"/>
    <col min="15882" max="15882" width="2.07421875" style="1625" customWidth="1"/>
    <col min="15883" max="15883" width="23.84375" style="1625" customWidth="1"/>
    <col min="15884" max="15884" width="2.07421875" style="1625" customWidth="1"/>
    <col min="15885" max="15885" width="23.84375" style="1625" customWidth="1"/>
    <col min="15886" max="15886" width="2.07421875" style="1625" customWidth="1"/>
    <col min="15887" max="15887" width="23.84375" style="1625" customWidth="1"/>
    <col min="15888" max="15888" width="2.84375" style="1625" bestFit="1" customWidth="1"/>
    <col min="15889" max="16127" width="8.84375" style="1625"/>
    <col min="16128" max="16129" width="8.84375" style="1625" customWidth="1"/>
    <col min="16130" max="16130" width="10.07421875" style="1625" customWidth="1"/>
    <col min="16131" max="16131" width="2.07421875" style="1625" customWidth="1"/>
    <col min="16132" max="16132" width="50.4609375" style="1625" customWidth="1"/>
    <col min="16133" max="16133" width="8.84375" style="1625"/>
    <col min="16134" max="16134" width="2.07421875" style="1625" customWidth="1"/>
    <col min="16135" max="16135" width="23.84375" style="1625" customWidth="1"/>
    <col min="16136" max="16136" width="2.07421875" style="1625" customWidth="1"/>
    <col min="16137" max="16137" width="23.84375" style="1625" customWidth="1"/>
    <col min="16138" max="16138" width="2.07421875" style="1625" customWidth="1"/>
    <col min="16139" max="16139" width="23.84375" style="1625" customWidth="1"/>
    <col min="16140" max="16140" width="2.07421875" style="1625" customWidth="1"/>
    <col min="16141" max="16141" width="23.84375" style="1625" customWidth="1"/>
    <col min="16142" max="16142" width="2.07421875" style="1625" customWidth="1"/>
    <col min="16143" max="16143" width="23.84375" style="1625" customWidth="1"/>
    <col min="16144" max="16144" width="2.84375" style="1625" bestFit="1" customWidth="1"/>
    <col min="16145" max="16384" width="8.84375" style="1625"/>
  </cols>
  <sheetData>
    <row r="1" spans="2:17" ht="15.5">
      <c r="B1" s="834"/>
      <c r="C1" s="834"/>
      <c r="D1" s="489" t="s">
        <v>868</v>
      </c>
      <c r="E1" s="834"/>
      <c r="F1" s="1624"/>
      <c r="G1" s="834"/>
      <c r="H1" s="834"/>
      <c r="I1" s="834"/>
      <c r="J1" s="834"/>
      <c r="K1" s="834"/>
      <c r="L1" s="834"/>
      <c r="M1" s="834"/>
      <c r="N1" s="834"/>
      <c r="P1" s="1626"/>
    </row>
    <row r="2" spans="2:17" ht="15.5">
      <c r="B2" s="834"/>
      <c r="C2" s="834"/>
      <c r="D2" s="834"/>
      <c r="E2" s="834"/>
      <c r="F2" s="1624"/>
      <c r="G2" s="834"/>
      <c r="H2" s="834"/>
      <c r="I2" s="834"/>
      <c r="J2" s="834"/>
      <c r="K2" s="834"/>
      <c r="L2" s="834"/>
      <c r="M2" s="834"/>
      <c r="N2" s="834"/>
      <c r="O2" s="1970" t="s">
        <v>530</v>
      </c>
      <c r="P2" s="1626"/>
    </row>
    <row r="3" spans="2:17" ht="15.5">
      <c r="B3" s="834"/>
      <c r="C3" s="834"/>
      <c r="D3" s="834"/>
      <c r="E3" s="834"/>
      <c r="F3" s="1624"/>
      <c r="G3" s="834"/>
      <c r="H3" s="834"/>
      <c r="I3" s="834"/>
      <c r="J3" s="834"/>
      <c r="K3" s="834"/>
      <c r="L3" s="834"/>
      <c r="M3" s="834"/>
      <c r="N3" s="834"/>
      <c r="O3" s="1971"/>
      <c r="P3" s="1627"/>
    </row>
    <row r="4" spans="2:17" ht="18">
      <c r="B4" s="1628"/>
      <c r="C4" s="1629"/>
      <c r="D4" s="1630" t="s">
        <v>0</v>
      </c>
      <c r="E4" s="1629"/>
      <c r="F4" s="1629"/>
      <c r="G4"/>
      <c r="H4"/>
      <c r="I4"/>
      <c r="J4"/>
      <c r="K4"/>
      <c r="L4"/>
      <c r="M4" s="1631"/>
      <c r="N4" s="1631"/>
      <c r="O4" s="1631"/>
      <c r="P4" s="1632"/>
    </row>
    <row r="5" spans="2:17" ht="18">
      <c r="B5" s="1628"/>
      <c r="C5" s="1629"/>
      <c r="D5" s="1630" t="s">
        <v>766</v>
      </c>
      <c r="E5" s="1629"/>
      <c r="F5" s="1629"/>
      <c r="G5"/>
      <c r="H5"/>
      <c r="I5"/>
      <c r="J5"/>
      <c r="K5"/>
      <c r="L5"/>
      <c r="M5" s="1633"/>
      <c r="N5" s="1633"/>
      <c r="O5" s="1633"/>
      <c r="P5" s="1634"/>
    </row>
    <row r="6" spans="2:17" ht="15.5">
      <c r="B6" s="1628"/>
      <c r="C6" s="1629"/>
      <c r="D6" s="1635"/>
      <c r="E6" s="1629"/>
      <c r="F6" s="1629"/>
      <c r="G6"/>
      <c r="H6"/>
      <c r="I6"/>
      <c r="J6"/>
      <c r="K6"/>
      <c r="L6"/>
      <c r="M6" s="1636"/>
      <c r="N6" s="1636"/>
      <c r="O6" s="1636"/>
      <c r="P6" s="1637"/>
    </row>
    <row r="7" spans="2:17" ht="15.5">
      <c r="B7" s="1628"/>
      <c r="C7" s="1626"/>
      <c r="D7" s="1626"/>
      <c r="E7" s="1638"/>
      <c r="F7" s="1638"/>
      <c r="G7"/>
      <c r="H7"/>
      <c r="I7"/>
      <c r="J7"/>
      <c r="K7"/>
      <c r="L7"/>
      <c r="M7" s="1639"/>
      <c r="N7" s="1639"/>
      <c r="O7" s="1639"/>
      <c r="P7" s="1640"/>
    </row>
    <row r="8" spans="2:17" s="1647" customFormat="1" ht="16" thickBot="1">
      <c r="B8" s="1641" t="s">
        <v>549</v>
      </c>
      <c r="C8" s="1642"/>
      <c r="D8" s="1643" t="s">
        <v>550</v>
      </c>
      <c r="E8" s="1643"/>
      <c r="F8" s="1643"/>
      <c r="G8" s="1972" t="s">
        <v>1533</v>
      </c>
      <c r="H8" s="1644"/>
      <c r="I8" s="1972" t="s">
        <v>1535</v>
      </c>
      <c r="J8" s="1644"/>
      <c r="K8" s="1972" t="s">
        <v>1544</v>
      </c>
      <c r="L8" s="1644"/>
      <c r="M8" s="1644" t="s">
        <v>551</v>
      </c>
      <c r="N8" s="1645"/>
      <c r="O8" s="1972" t="s">
        <v>1550</v>
      </c>
      <c r="P8" s="1646"/>
    </row>
    <row r="9" spans="2:17" s="1647" customFormat="1" ht="15.5">
      <c r="B9" s="1648"/>
      <c r="C9" s="1649"/>
      <c r="D9" s="1650" t="s">
        <v>143</v>
      </c>
      <c r="E9" s="1651"/>
      <c r="F9" s="1651"/>
      <c r="G9" s="1973"/>
      <c r="H9" s="2188"/>
      <c r="I9" s="1973"/>
      <c r="J9" s="2188"/>
      <c r="K9" s="1973"/>
      <c r="L9" s="2188"/>
      <c r="M9" s="1973"/>
      <c r="N9" s="1973"/>
      <c r="O9" s="1973"/>
      <c r="P9" s="1652"/>
    </row>
    <row r="10" spans="2:17" s="1647" customFormat="1" ht="15.5">
      <c r="B10" s="1653">
        <v>10050</v>
      </c>
      <c r="C10" s="1648"/>
      <c r="D10" s="1654" t="s">
        <v>869</v>
      </c>
      <c r="E10"/>
      <c r="F10" s="1655"/>
      <c r="G10" s="1656">
        <v>0</v>
      </c>
      <c r="H10" s="1656"/>
      <c r="I10" s="1656">
        <v>0</v>
      </c>
      <c r="J10" s="1656"/>
      <c r="K10" s="1656">
        <v>0</v>
      </c>
      <c r="L10" s="1656"/>
      <c r="M10" s="1656">
        <f>ROUND(SUM(O10)-SUM(K10),2)</f>
        <v>0</v>
      </c>
      <c r="N10" s="1656"/>
      <c r="O10" s="1656">
        <v>0</v>
      </c>
      <c r="P10" s="1657" t="s">
        <v>763</v>
      </c>
      <c r="Q10" s="1658"/>
    </row>
    <row r="11" spans="2:17" s="1647" customFormat="1" ht="16" thickBot="1">
      <c r="B11" s="1657"/>
      <c r="C11" s="1649"/>
      <c r="D11" s="1659" t="s">
        <v>552</v>
      </c>
      <c r="E11" s="1651"/>
      <c r="F11" s="1651"/>
      <c r="G11" s="1974">
        <f>ROUND(SUM(G10),2)</f>
        <v>0</v>
      </c>
      <c r="H11" s="1975"/>
      <c r="I11" s="1974">
        <f>ROUND(SUM(I10),2)</f>
        <v>0</v>
      </c>
      <c r="J11" s="1975"/>
      <c r="K11" s="1974">
        <f>ROUND(SUM(K10),2)</f>
        <v>0</v>
      </c>
      <c r="L11" s="1975"/>
      <c r="M11" s="1974">
        <f>ROUND(SUM(M10),2)</f>
        <v>0</v>
      </c>
      <c r="N11" s="1975"/>
      <c r="O11" s="1974">
        <f>ROUND(SUM(O10),2)</f>
        <v>0</v>
      </c>
      <c r="P11" s="1657"/>
      <c r="Q11" s="1658"/>
    </row>
    <row r="12" spans="2:17" s="1647" customFormat="1" ht="16" thickTop="1">
      <c r="B12" s="1657"/>
      <c r="C12" s="1649"/>
      <c r="D12" s="1660"/>
      <c r="E12" s="1651"/>
      <c r="F12" s="1651"/>
      <c r="G12" s="1975"/>
      <c r="H12" s="1976"/>
      <c r="I12" s="1975"/>
      <c r="J12" s="1976"/>
      <c r="K12" s="1975"/>
      <c r="L12" s="1976"/>
      <c r="M12" s="1975"/>
      <c r="N12" s="1975"/>
      <c r="O12" s="1975"/>
      <c r="P12" s="1657"/>
      <c r="Q12" s="1658"/>
    </row>
    <row r="13" spans="2:17" s="1647" customFormat="1" ht="15.5">
      <c r="B13" s="1657"/>
      <c r="C13" s="1649"/>
      <c r="D13" s="1650" t="s">
        <v>553</v>
      </c>
      <c r="E13" s="1651"/>
      <c r="F13" s="1651"/>
      <c r="G13" s="1976"/>
      <c r="H13"/>
      <c r="I13" s="1976"/>
      <c r="J13"/>
      <c r="K13" s="1976"/>
      <c r="L13"/>
      <c r="M13" s="1976"/>
      <c r="N13" s="1976"/>
      <c r="O13" s="1976"/>
      <c r="P13" s="1657"/>
      <c r="Q13" s="1658"/>
    </row>
    <row r="14" spans="2:17" s="1647" customFormat="1" ht="15.5">
      <c r="B14" s="1653">
        <v>30051</v>
      </c>
      <c r="C14" s="834"/>
      <c r="D14" s="1654" t="s">
        <v>554</v>
      </c>
      <c r="E14" s="834"/>
      <c r="F14" s="830">
        <v>227042324.13</v>
      </c>
      <c r="G14" s="830">
        <v>71694019.548999995</v>
      </c>
      <c r="H14" s="830"/>
      <c r="I14" s="830">
        <v>1468235.6189999999</v>
      </c>
      <c r="J14" s="830"/>
      <c r="K14" s="830">
        <v>0</v>
      </c>
      <c r="L14" s="830"/>
      <c r="M14" s="830">
        <f>ROUND(SUM(O14)-SUM(K14),2)</f>
        <v>11315094.07</v>
      </c>
      <c r="N14" s="830"/>
      <c r="O14" s="830">
        <v>11315094.069</v>
      </c>
      <c r="P14" s="1657"/>
      <c r="Q14" s="1658"/>
    </row>
    <row r="15" spans="2:17" s="1647" customFormat="1" ht="15.5">
      <c r="B15" s="1653">
        <v>30053</v>
      </c>
      <c r="C15" s="834"/>
      <c r="D15" s="1654" t="s">
        <v>1156</v>
      </c>
      <c r="E15" s="834"/>
      <c r="F15" s="830"/>
      <c r="G15" s="830">
        <v>0</v>
      </c>
      <c r="H15" s="830"/>
      <c r="I15" s="830">
        <v>0</v>
      </c>
      <c r="J15" s="830"/>
      <c r="K15" s="830">
        <v>0</v>
      </c>
      <c r="L15" s="830"/>
      <c r="M15" s="830">
        <f>ROUND(SUM(O15)-SUM(K15),2)</f>
        <v>0</v>
      </c>
      <c r="N15" s="830"/>
      <c r="O15" s="830">
        <v>0</v>
      </c>
      <c r="P15" s="1657"/>
      <c r="Q15" s="1658"/>
    </row>
    <row r="16" spans="2:17" s="1647" customFormat="1" ht="15.5">
      <c r="B16" s="1653">
        <v>30101</v>
      </c>
      <c r="C16" s="1624"/>
      <c r="D16" s="1654" t="s">
        <v>1402</v>
      </c>
      <c r="E16" s="834"/>
      <c r="F16" s="830"/>
      <c r="G16" s="830">
        <v>0</v>
      </c>
      <c r="H16" s="830"/>
      <c r="I16" s="830">
        <v>0</v>
      </c>
      <c r="J16" s="830"/>
      <c r="K16" s="830">
        <v>0</v>
      </c>
      <c r="L16" s="830"/>
      <c r="M16" s="830">
        <f t="shared" ref="M16:M61" si="0">ROUND(SUM(O16)-SUM(K16),2)</f>
        <v>0</v>
      </c>
      <c r="N16" s="830"/>
      <c r="O16" s="830">
        <v>0</v>
      </c>
      <c r="P16" s="1657"/>
      <c r="Q16" s="1658"/>
    </row>
    <row r="17" spans="2:17" s="1647" customFormat="1" ht="15.5">
      <c r="B17" s="1653">
        <v>30102</v>
      </c>
      <c r="C17" s="834"/>
      <c r="D17" s="1654" t="s">
        <v>1357</v>
      </c>
      <c r="E17" s="834"/>
      <c r="F17" s="830"/>
      <c r="G17" s="830">
        <v>0</v>
      </c>
      <c r="H17" s="830"/>
      <c r="I17" s="830">
        <v>0</v>
      </c>
      <c r="J17" s="830"/>
      <c r="K17" s="830">
        <v>0</v>
      </c>
      <c r="L17" s="830"/>
      <c r="M17" s="830">
        <f t="shared" si="0"/>
        <v>0</v>
      </c>
      <c r="N17" s="830"/>
      <c r="O17" s="830">
        <v>0</v>
      </c>
      <c r="P17" s="1657"/>
      <c r="Q17" s="1658"/>
    </row>
    <row r="18" spans="2:17" s="1647" customFormat="1" ht="15.5">
      <c r="B18" s="1653">
        <v>30103</v>
      </c>
      <c r="C18" s="834"/>
      <c r="D18" s="1654" t="s">
        <v>1358</v>
      </c>
      <c r="E18" s="834"/>
      <c r="F18" s="830"/>
      <c r="G18" s="830">
        <v>0</v>
      </c>
      <c r="H18" s="830"/>
      <c r="I18" s="830">
        <v>0</v>
      </c>
      <c r="J18" s="830"/>
      <c r="K18" s="830">
        <v>0</v>
      </c>
      <c r="L18" s="830"/>
      <c r="M18" s="830">
        <f t="shared" si="0"/>
        <v>0</v>
      </c>
      <c r="N18" s="830"/>
      <c r="O18" s="830">
        <v>0</v>
      </c>
      <c r="P18" s="1657"/>
      <c r="Q18" s="1658"/>
    </row>
    <row r="19" spans="2:17" s="1647" customFormat="1" ht="15.5">
      <c r="B19" s="1653">
        <v>30104</v>
      </c>
      <c r="C19" s="834"/>
      <c r="D19" s="1654" t="s">
        <v>1359</v>
      </c>
      <c r="E19" s="834"/>
      <c r="F19" s="830"/>
      <c r="G19" s="830">
        <v>0</v>
      </c>
      <c r="H19" s="830"/>
      <c r="I19" s="830">
        <v>0</v>
      </c>
      <c r="J19" s="830"/>
      <c r="K19" s="830">
        <v>0</v>
      </c>
      <c r="L19" s="830"/>
      <c r="M19" s="830">
        <f t="shared" si="0"/>
        <v>0</v>
      </c>
      <c r="N19" s="830"/>
      <c r="O19" s="830">
        <v>0</v>
      </c>
      <c r="P19" s="1657"/>
      <c r="Q19" s="1658"/>
    </row>
    <row r="20" spans="2:17" s="1647" customFormat="1" ht="15.5">
      <c r="B20" s="1653">
        <v>30105</v>
      </c>
      <c r="C20" s="834"/>
      <c r="D20" s="1654" t="s">
        <v>1360</v>
      </c>
      <c r="E20" s="834"/>
      <c r="F20" s="830"/>
      <c r="G20" s="830">
        <v>0</v>
      </c>
      <c r="H20" s="830"/>
      <c r="I20" s="830">
        <v>0</v>
      </c>
      <c r="J20" s="830"/>
      <c r="K20" s="830">
        <v>0</v>
      </c>
      <c r="L20" s="830"/>
      <c r="M20" s="830">
        <f t="shared" si="0"/>
        <v>0</v>
      </c>
      <c r="N20" s="830"/>
      <c r="O20" s="830">
        <v>0</v>
      </c>
      <c r="P20" s="1657"/>
      <c r="Q20" s="1658"/>
    </row>
    <row r="21" spans="2:17" s="1647" customFormat="1" ht="15.5">
      <c r="B21" s="1653">
        <v>30106</v>
      </c>
      <c r="C21" s="834"/>
      <c r="D21" s="1654" t="s">
        <v>1361</v>
      </c>
      <c r="E21" s="834"/>
      <c r="F21" s="830"/>
      <c r="G21" s="830">
        <v>0</v>
      </c>
      <c r="H21" s="830"/>
      <c r="I21" s="830">
        <v>0</v>
      </c>
      <c r="J21" s="830"/>
      <c r="K21" s="830">
        <v>0</v>
      </c>
      <c r="L21" s="830"/>
      <c r="M21" s="830">
        <f t="shared" si="0"/>
        <v>0</v>
      </c>
      <c r="N21" s="830"/>
      <c r="O21" s="830">
        <v>0</v>
      </c>
      <c r="P21" s="1657"/>
      <c r="Q21" s="1658"/>
    </row>
    <row r="22" spans="2:17" s="1647" customFormat="1" ht="15.5">
      <c r="B22" s="1653">
        <v>30107</v>
      </c>
      <c r="C22" s="834"/>
      <c r="D22" s="1654" t="s">
        <v>1362</v>
      </c>
      <c r="E22" s="834"/>
      <c r="F22" s="830"/>
      <c r="G22" s="830">
        <v>0</v>
      </c>
      <c r="H22" s="830"/>
      <c r="I22" s="830">
        <v>0</v>
      </c>
      <c r="J22" s="830"/>
      <c r="K22" s="830">
        <v>0</v>
      </c>
      <c r="L22" s="830"/>
      <c r="M22" s="830">
        <f t="shared" si="0"/>
        <v>0</v>
      </c>
      <c r="N22" s="830"/>
      <c r="O22" s="830">
        <v>0</v>
      </c>
      <c r="P22" s="1657"/>
      <c r="Q22" s="1658"/>
    </row>
    <row r="23" spans="2:17" s="1647" customFormat="1" ht="15.5">
      <c r="B23" s="1653">
        <v>30108</v>
      </c>
      <c r="C23" s="834"/>
      <c r="D23" s="1654" t="s">
        <v>1363</v>
      </c>
      <c r="E23" s="834"/>
      <c r="F23" s="830"/>
      <c r="G23" s="830">
        <v>0</v>
      </c>
      <c r="H23" s="830"/>
      <c r="I23" s="830">
        <v>0</v>
      </c>
      <c r="J23" s="830"/>
      <c r="K23" s="830">
        <v>0</v>
      </c>
      <c r="L23" s="830"/>
      <c r="M23" s="830">
        <f t="shared" si="0"/>
        <v>0</v>
      </c>
      <c r="N23" s="830"/>
      <c r="O23" s="830">
        <v>0</v>
      </c>
      <c r="P23" s="1657"/>
      <c r="Q23" s="1658"/>
    </row>
    <row r="24" spans="2:17" s="1647" customFormat="1" ht="15.5">
      <c r="B24" s="1653">
        <v>30109</v>
      </c>
      <c r="C24" s="834"/>
      <c r="D24" s="1654" t="s">
        <v>1364</v>
      </c>
      <c r="E24" s="834"/>
      <c r="F24" s="830"/>
      <c r="G24" s="830">
        <v>0</v>
      </c>
      <c r="H24" s="830"/>
      <c r="I24" s="830">
        <v>0</v>
      </c>
      <c r="J24" s="830"/>
      <c r="K24" s="830">
        <v>0</v>
      </c>
      <c r="L24" s="830"/>
      <c r="M24" s="830">
        <f t="shared" si="0"/>
        <v>0</v>
      </c>
      <c r="N24" s="830"/>
      <c r="O24" s="830">
        <v>0</v>
      </c>
      <c r="P24" s="1657"/>
      <c r="Q24" s="1658"/>
    </row>
    <row r="25" spans="2:17" s="1647" customFormat="1" ht="15.5">
      <c r="B25" s="1653">
        <v>30110</v>
      </c>
      <c r="C25" s="834"/>
      <c r="D25" s="1654" t="s">
        <v>1365</v>
      </c>
      <c r="E25" s="834"/>
      <c r="F25" s="830"/>
      <c r="G25" s="830">
        <v>0</v>
      </c>
      <c r="H25" s="830"/>
      <c r="I25" s="830">
        <v>0</v>
      </c>
      <c r="J25" s="830"/>
      <c r="K25" s="830">
        <v>0</v>
      </c>
      <c r="L25" s="830"/>
      <c r="M25" s="830">
        <f t="shared" si="0"/>
        <v>0</v>
      </c>
      <c r="N25" s="830"/>
      <c r="O25" s="830">
        <v>0</v>
      </c>
      <c r="P25" s="1657"/>
      <c r="Q25" s="1658"/>
    </row>
    <row r="26" spans="2:17" s="1647" customFormat="1" ht="15.5">
      <c r="B26" s="1653">
        <v>30111</v>
      </c>
      <c r="C26" s="834"/>
      <c r="D26" s="1654" t="s">
        <v>1366</v>
      </c>
      <c r="E26" s="834"/>
      <c r="F26" s="830"/>
      <c r="G26" s="830">
        <v>0</v>
      </c>
      <c r="H26" s="830"/>
      <c r="I26" s="830">
        <v>0</v>
      </c>
      <c r="J26" s="830"/>
      <c r="K26" s="830">
        <v>0</v>
      </c>
      <c r="L26" s="830"/>
      <c r="M26" s="830">
        <f t="shared" si="0"/>
        <v>0</v>
      </c>
      <c r="N26" s="830"/>
      <c r="O26" s="830">
        <v>0</v>
      </c>
      <c r="P26" s="1657"/>
      <c r="Q26" s="1658"/>
    </row>
    <row r="27" spans="2:17" s="1647" customFormat="1" ht="15.5">
      <c r="B27" s="1653">
        <v>30112</v>
      </c>
      <c r="C27" s="834"/>
      <c r="D27" s="1654" t="s">
        <v>1367</v>
      </c>
      <c r="E27" s="834"/>
      <c r="F27" s="830"/>
      <c r="G27" s="830">
        <v>0</v>
      </c>
      <c r="H27" s="830"/>
      <c r="I27" s="830">
        <v>0</v>
      </c>
      <c r="J27" s="830"/>
      <c r="K27" s="830">
        <v>0</v>
      </c>
      <c r="L27" s="830"/>
      <c r="M27" s="830">
        <f t="shared" si="0"/>
        <v>0</v>
      </c>
      <c r="N27" s="830"/>
      <c r="O27" s="830">
        <v>0</v>
      </c>
      <c r="P27" s="1657"/>
      <c r="Q27" s="1658"/>
    </row>
    <row r="28" spans="2:17" s="1647" customFormat="1" ht="15.5">
      <c r="B28" s="1653">
        <v>30113</v>
      </c>
      <c r="C28" s="834"/>
      <c r="D28" s="1654" t="s">
        <v>1368</v>
      </c>
      <c r="E28" s="834"/>
      <c r="F28" s="830"/>
      <c r="G28" s="830">
        <v>0</v>
      </c>
      <c r="H28" s="830"/>
      <c r="I28" s="830">
        <v>0</v>
      </c>
      <c r="J28" s="830"/>
      <c r="K28" s="830">
        <v>0</v>
      </c>
      <c r="L28" s="830"/>
      <c r="M28" s="830">
        <f t="shared" si="0"/>
        <v>0</v>
      </c>
      <c r="N28" s="830"/>
      <c r="O28" s="830">
        <v>0</v>
      </c>
      <c r="P28" s="1657"/>
      <c r="Q28" s="1658"/>
    </row>
    <row r="29" spans="2:17" s="1647" customFormat="1" ht="15.5">
      <c r="B29" s="1653">
        <v>30114</v>
      </c>
      <c r="C29" s="834"/>
      <c r="D29" s="1654" t="s">
        <v>1369</v>
      </c>
      <c r="E29" s="834"/>
      <c r="F29" s="830"/>
      <c r="G29" s="830">
        <v>0</v>
      </c>
      <c r="H29" s="830"/>
      <c r="I29" s="830">
        <v>0</v>
      </c>
      <c r="J29" s="830"/>
      <c r="K29" s="830">
        <v>0</v>
      </c>
      <c r="L29" s="830"/>
      <c r="M29" s="830">
        <f t="shared" si="0"/>
        <v>0</v>
      </c>
      <c r="N29" s="830"/>
      <c r="O29" s="830">
        <v>0</v>
      </c>
      <c r="P29" s="1657"/>
      <c r="Q29" s="1658"/>
    </row>
    <row r="30" spans="2:17" s="1647" customFormat="1" ht="15.5">
      <c r="B30" s="1653">
        <v>30115</v>
      </c>
      <c r="C30" s="834"/>
      <c r="D30" s="1654" t="s">
        <v>1370</v>
      </c>
      <c r="E30" s="834"/>
      <c r="F30" s="830"/>
      <c r="G30" s="830">
        <v>0</v>
      </c>
      <c r="H30" s="830"/>
      <c r="I30" s="830">
        <v>0</v>
      </c>
      <c r="J30" s="830"/>
      <c r="K30" s="830">
        <v>0</v>
      </c>
      <c r="L30" s="830"/>
      <c r="M30" s="830">
        <f t="shared" si="0"/>
        <v>0</v>
      </c>
      <c r="N30" s="830"/>
      <c r="O30" s="830">
        <v>0</v>
      </c>
      <c r="P30" s="1657"/>
      <c r="Q30" s="1658"/>
    </row>
    <row r="31" spans="2:17" s="1647" customFormat="1" ht="15.5">
      <c r="B31" s="1653">
        <v>30116</v>
      </c>
      <c r="C31" s="834"/>
      <c r="D31" s="1654" t="s">
        <v>1371</v>
      </c>
      <c r="E31" s="834"/>
      <c r="F31" s="830"/>
      <c r="G31" s="830">
        <v>0</v>
      </c>
      <c r="H31" s="830"/>
      <c r="I31" s="830">
        <v>0</v>
      </c>
      <c r="J31" s="830"/>
      <c r="K31" s="830">
        <v>0</v>
      </c>
      <c r="L31" s="830"/>
      <c r="M31" s="830">
        <f t="shared" si="0"/>
        <v>0</v>
      </c>
      <c r="N31" s="830"/>
      <c r="O31" s="830">
        <v>0</v>
      </c>
      <c r="P31" s="1657"/>
      <c r="Q31" s="1658"/>
    </row>
    <row r="32" spans="2:17" s="1647" customFormat="1" ht="15.5">
      <c r="B32" s="1653">
        <v>30117</v>
      </c>
      <c r="C32" s="834"/>
      <c r="D32" s="1654" t="s">
        <v>1372</v>
      </c>
      <c r="E32" s="834"/>
      <c r="F32" s="830"/>
      <c r="G32" s="830">
        <v>0</v>
      </c>
      <c r="H32" s="830"/>
      <c r="I32" s="830">
        <v>0</v>
      </c>
      <c r="J32" s="830"/>
      <c r="K32" s="830">
        <v>0</v>
      </c>
      <c r="L32" s="830"/>
      <c r="M32" s="830">
        <f t="shared" si="0"/>
        <v>0</v>
      </c>
      <c r="N32" s="830"/>
      <c r="O32" s="830">
        <v>0</v>
      </c>
      <c r="P32" s="1657"/>
      <c r="Q32" s="1658"/>
    </row>
    <row r="33" spans="2:17" s="1647" customFormat="1" ht="15.5">
      <c r="B33" s="1653">
        <v>30118</v>
      </c>
      <c r="C33" s="834"/>
      <c r="D33" s="1654" t="s">
        <v>1373</v>
      </c>
      <c r="E33" s="834"/>
      <c r="F33" s="830"/>
      <c r="G33" s="830">
        <v>0</v>
      </c>
      <c r="H33" s="830"/>
      <c r="I33" s="830">
        <v>0</v>
      </c>
      <c r="J33" s="830"/>
      <c r="K33" s="830">
        <v>0</v>
      </c>
      <c r="L33" s="830"/>
      <c r="M33" s="830">
        <f t="shared" si="0"/>
        <v>0</v>
      </c>
      <c r="N33" s="830"/>
      <c r="O33" s="830">
        <v>0</v>
      </c>
      <c r="P33" s="1657"/>
      <c r="Q33" s="1658"/>
    </row>
    <row r="34" spans="2:17" s="1647" customFormat="1" ht="15.5">
      <c r="B34" s="1653">
        <v>30119</v>
      </c>
      <c r="C34" s="834"/>
      <c r="D34" s="1654" t="s">
        <v>1374</v>
      </c>
      <c r="E34" s="834"/>
      <c r="F34" s="830"/>
      <c r="G34" s="830">
        <v>0</v>
      </c>
      <c r="H34" s="830"/>
      <c r="I34" s="830">
        <v>0</v>
      </c>
      <c r="J34" s="830"/>
      <c r="K34" s="830">
        <v>0</v>
      </c>
      <c r="L34" s="830"/>
      <c r="M34" s="830">
        <f t="shared" si="0"/>
        <v>0</v>
      </c>
      <c r="N34" s="830"/>
      <c r="O34" s="830">
        <v>0</v>
      </c>
      <c r="P34" s="1657"/>
      <c r="Q34" s="1658"/>
    </row>
    <row r="35" spans="2:17" s="1647" customFormat="1" ht="15.5">
      <c r="B35" s="1653">
        <v>30120</v>
      </c>
      <c r="C35" s="834"/>
      <c r="D35" s="1654" t="s">
        <v>1375</v>
      </c>
      <c r="E35" s="834"/>
      <c r="F35" s="830"/>
      <c r="G35" s="830">
        <v>0</v>
      </c>
      <c r="H35" s="830"/>
      <c r="I35" s="830">
        <v>0</v>
      </c>
      <c r="J35" s="830"/>
      <c r="K35" s="830">
        <v>0</v>
      </c>
      <c r="L35" s="830"/>
      <c r="M35" s="830">
        <f t="shared" si="0"/>
        <v>0</v>
      </c>
      <c r="N35" s="830"/>
      <c r="O35" s="830">
        <v>0</v>
      </c>
      <c r="P35" s="1657"/>
      <c r="Q35" s="1658"/>
    </row>
    <row r="36" spans="2:17" s="1647" customFormat="1" ht="15.5">
      <c r="B36" s="1653">
        <v>30121</v>
      </c>
      <c r="C36" s="834"/>
      <c r="D36" s="1654" t="s">
        <v>1376</v>
      </c>
      <c r="E36" s="834"/>
      <c r="F36" s="830"/>
      <c r="G36" s="830">
        <v>0</v>
      </c>
      <c r="H36" s="830"/>
      <c r="I36" s="830">
        <v>0</v>
      </c>
      <c r="J36" s="830"/>
      <c r="K36" s="830">
        <v>0</v>
      </c>
      <c r="L36" s="830"/>
      <c r="M36" s="830">
        <f t="shared" si="0"/>
        <v>0</v>
      </c>
      <c r="N36" s="830"/>
      <c r="O36" s="830">
        <v>0</v>
      </c>
      <c r="P36" s="1657"/>
      <c r="Q36" s="1658"/>
    </row>
    <row r="37" spans="2:17" s="1647" customFormat="1" ht="15.5">
      <c r="B37" s="1653">
        <v>30122</v>
      </c>
      <c r="C37" s="834"/>
      <c r="D37" s="1654" t="s">
        <v>1377</v>
      </c>
      <c r="E37" s="834"/>
      <c r="F37" s="830"/>
      <c r="G37" s="830">
        <v>0</v>
      </c>
      <c r="H37" s="830"/>
      <c r="I37" s="830">
        <v>0</v>
      </c>
      <c r="J37" s="830"/>
      <c r="K37" s="830">
        <v>0</v>
      </c>
      <c r="L37" s="830"/>
      <c r="M37" s="830">
        <f t="shared" si="0"/>
        <v>0</v>
      </c>
      <c r="N37" s="830"/>
      <c r="O37" s="830">
        <v>0</v>
      </c>
      <c r="P37" s="1657"/>
      <c r="Q37" s="1658"/>
    </row>
    <row r="38" spans="2:17" s="1647" customFormat="1" ht="15.5">
      <c r="B38" s="1653">
        <v>30123</v>
      </c>
      <c r="C38" s="834"/>
      <c r="D38" s="1654" t="s">
        <v>1378</v>
      </c>
      <c r="E38" s="834"/>
      <c r="F38" s="830"/>
      <c r="G38" s="830">
        <v>0</v>
      </c>
      <c r="H38" s="830"/>
      <c r="I38" s="830">
        <v>0</v>
      </c>
      <c r="J38" s="830"/>
      <c r="K38" s="830">
        <v>0</v>
      </c>
      <c r="L38" s="830"/>
      <c r="M38" s="830">
        <f t="shared" si="0"/>
        <v>0</v>
      </c>
      <c r="N38" s="830"/>
      <c r="O38" s="830">
        <v>0</v>
      </c>
      <c r="P38" s="1657"/>
      <c r="Q38" s="1658"/>
    </row>
    <row r="39" spans="2:17" s="1647" customFormat="1" ht="15.5">
      <c r="B39" s="1653">
        <v>30124</v>
      </c>
      <c r="C39" s="834"/>
      <c r="D39" s="1654" t="s">
        <v>1379</v>
      </c>
      <c r="E39" s="834"/>
      <c r="F39" s="830"/>
      <c r="G39" s="830">
        <v>0</v>
      </c>
      <c r="H39" s="830"/>
      <c r="I39" s="830">
        <v>0</v>
      </c>
      <c r="J39" s="830"/>
      <c r="K39" s="830">
        <v>0</v>
      </c>
      <c r="L39" s="830"/>
      <c r="M39" s="830">
        <f t="shared" si="0"/>
        <v>0</v>
      </c>
      <c r="N39" s="830"/>
      <c r="O39" s="830">
        <v>0</v>
      </c>
      <c r="P39" s="1657"/>
      <c r="Q39" s="1658"/>
    </row>
    <row r="40" spans="2:17" s="1647" customFormat="1" ht="15.5">
      <c r="B40" s="1653">
        <v>30125</v>
      </c>
      <c r="C40" s="834"/>
      <c r="D40" s="1654" t="s">
        <v>1380</v>
      </c>
      <c r="E40" s="834"/>
      <c r="F40" s="830"/>
      <c r="G40" s="830">
        <v>0</v>
      </c>
      <c r="H40" s="830"/>
      <c r="I40" s="830">
        <v>0</v>
      </c>
      <c r="J40" s="830"/>
      <c r="K40" s="830">
        <v>0</v>
      </c>
      <c r="L40" s="830"/>
      <c r="M40" s="830">
        <f t="shared" si="0"/>
        <v>0</v>
      </c>
      <c r="N40" s="830"/>
      <c r="O40" s="830">
        <v>0</v>
      </c>
      <c r="P40" s="1657"/>
      <c r="Q40" s="1658"/>
    </row>
    <row r="41" spans="2:17" s="1647" customFormat="1" ht="15.5">
      <c r="B41" s="1653">
        <v>30126</v>
      </c>
      <c r="C41" s="834"/>
      <c r="D41" s="1654" t="s">
        <v>1381</v>
      </c>
      <c r="E41" s="834"/>
      <c r="F41" s="830"/>
      <c r="G41" s="830">
        <v>0</v>
      </c>
      <c r="H41" s="830"/>
      <c r="I41" s="830">
        <v>0</v>
      </c>
      <c r="J41" s="830"/>
      <c r="K41" s="830">
        <v>0</v>
      </c>
      <c r="L41" s="830"/>
      <c r="M41" s="830">
        <f t="shared" si="0"/>
        <v>0</v>
      </c>
      <c r="N41" s="830"/>
      <c r="O41" s="830">
        <v>0</v>
      </c>
      <c r="P41" s="1657"/>
      <c r="Q41" s="1658"/>
    </row>
    <row r="42" spans="2:17" s="1647" customFormat="1" ht="15.5">
      <c r="B42" s="1653">
        <v>30127</v>
      </c>
      <c r="C42" s="834"/>
      <c r="D42" s="1654" t="s">
        <v>1382</v>
      </c>
      <c r="E42" s="834"/>
      <c r="F42" s="830"/>
      <c r="G42" s="830">
        <v>0</v>
      </c>
      <c r="H42" s="830"/>
      <c r="I42" s="830">
        <v>0</v>
      </c>
      <c r="J42" s="830"/>
      <c r="K42" s="830">
        <v>0</v>
      </c>
      <c r="L42" s="830"/>
      <c r="M42" s="830">
        <f t="shared" si="0"/>
        <v>0</v>
      </c>
      <c r="N42" s="830"/>
      <c r="O42" s="830">
        <v>0</v>
      </c>
      <c r="P42" s="1657"/>
      <c r="Q42" s="1658"/>
    </row>
    <row r="43" spans="2:17" s="1647" customFormat="1" ht="15.5">
      <c r="B43" s="1653">
        <v>30128</v>
      </c>
      <c r="C43" s="834"/>
      <c r="D43" s="1654" t="s">
        <v>1383</v>
      </c>
      <c r="E43" s="834"/>
      <c r="F43" s="830"/>
      <c r="G43" s="830">
        <v>0</v>
      </c>
      <c r="H43" s="830"/>
      <c r="I43" s="830">
        <v>0</v>
      </c>
      <c r="J43" s="830"/>
      <c r="K43" s="830">
        <v>0</v>
      </c>
      <c r="L43" s="830"/>
      <c r="M43" s="830">
        <f t="shared" si="0"/>
        <v>0</v>
      </c>
      <c r="N43" s="830"/>
      <c r="O43" s="830">
        <v>0</v>
      </c>
      <c r="P43" s="1657"/>
      <c r="Q43" s="1658"/>
    </row>
    <row r="44" spans="2:17" s="1647" customFormat="1" ht="15.5">
      <c r="B44" s="1653">
        <v>30129</v>
      </c>
      <c r="C44" s="834"/>
      <c r="D44" s="1654" t="s">
        <v>1384</v>
      </c>
      <c r="E44" s="834"/>
      <c r="F44" s="830"/>
      <c r="G44" s="830">
        <v>0</v>
      </c>
      <c r="H44" s="830"/>
      <c r="I44" s="830">
        <v>0</v>
      </c>
      <c r="J44" s="830"/>
      <c r="K44" s="830">
        <v>0</v>
      </c>
      <c r="L44" s="830"/>
      <c r="M44" s="830">
        <f t="shared" si="0"/>
        <v>0</v>
      </c>
      <c r="N44" s="830"/>
      <c r="O44" s="830">
        <v>0</v>
      </c>
      <c r="P44" s="1657"/>
      <c r="Q44" s="1658"/>
    </row>
    <row r="45" spans="2:17" s="1647" customFormat="1" ht="15.5">
      <c r="B45" s="1653">
        <v>30130</v>
      </c>
      <c r="C45" s="834"/>
      <c r="D45" s="1654" t="s">
        <v>1385</v>
      </c>
      <c r="E45" s="834"/>
      <c r="F45" s="830"/>
      <c r="G45" s="830">
        <v>0</v>
      </c>
      <c r="H45" s="830"/>
      <c r="I45" s="830">
        <v>0</v>
      </c>
      <c r="J45" s="830"/>
      <c r="K45" s="830">
        <v>0</v>
      </c>
      <c r="L45" s="830"/>
      <c r="M45" s="830">
        <f t="shared" si="0"/>
        <v>0</v>
      </c>
      <c r="N45" s="830"/>
      <c r="O45" s="830">
        <v>0</v>
      </c>
      <c r="P45" s="1657"/>
      <c r="Q45" s="1658"/>
    </row>
    <row r="46" spans="2:17" s="1647" customFormat="1" ht="15.5">
      <c r="B46" s="1653">
        <v>30131</v>
      </c>
      <c r="C46" s="834"/>
      <c r="D46" s="1654" t="s">
        <v>1386</v>
      </c>
      <c r="E46" s="834"/>
      <c r="F46" s="830"/>
      <c r="G46" s="830">
        <v>0</v>
      </c>
      <c r="H46" s="830"/>
      <c r="I46" s="830">
        <v>0</v>
      </c>
      <c r="J46" s="830"/>
      <c r="K46" s="830">
        <v>0</v>
      </c>
      <c r="L46" s="830"/>
      <c r="M46" s="830">
        <f t="shared" si="0"/>
        <v>0</v>
      </c>
      <c r="N46" s="830"/>
      <c r="O46" s="830">
        <v>0</v>
      </c>
      <c r="P46" s="1657"/>
      <c r="Q46" s="1658"/>
    </row>
    <row r="47" spans="2:17" s="1647" customFormat="1" ht="15.5">
      <c r="B47" s="1653">
        <v>30132</v>
      </c>
      <c r="C47" s="834"/>
      <c r="D47" s="1654" t="s">
        <v>1387</v>
      </c>
      <c r="E47" s="834"/>
      <c r="F47" s="830"/>
      <c r="G47" s="830">
        <v>0</v>
      </c>
      <c r="H47" s="830"/>
      <c r="I47" s="830">
        <v>0</v>
      </c>
      <c r="J47" s="830"/>
      <c r="K47" s="830">
        <v>0</v>
      </c>
      <c r="L47" s="830"/>
      <c r="M47" s="830">
        <f t="shared" si="0"/>
        <v>0</v>
      </c>
      <c r="N47" s="830"/>
      <c r="O47" s="830">
        <v>0</v>
      </c>
      <c r="P47" s="1657"/>
      <c r="Q47" s="1658"/>
    </row>
    <row r="48" spans="2:17" s="1647" customFormat="1" ht="15.5">
      <c r="B48" s="1653">
        <v>30133</v>
      </c>
      <c r="C48" s="834"/>
      <c r="D48" s="1654" t="s">
        <v>1388</v>
      </c>
      <c r="E48" s="834"/>
      <c r="F48" s="830"/>
      <c r="G48" s="830">
        <v>0</v>
      </c>
      <c r="H48" s="830"/>
      <c r="I48" s="830">
        <v>0</v>
      </c>
      <c r="J48" s="830"/>
      <c r="K48" s="830">
        <v>0</v>
      </c>
      <c r="L48" s="830"/>
      <c r="M48" s="830">
        <f t="shared" si="0"/>
        <v>0</v>
      </c>
      <c r="N48" s="830"/>
      <c r="O48" s="830">
        <v>0</v>
      </c>
      <c r="P48" s="1657"/>
      <c r="Q48" s="1658"/>
    </row>
    <row r="49" spans="2:17" s="1647" customFormat="1" ht="15.5">
      <c r="B49" s="1653">
        <v>30134</v>
      </c>
      <c r="C49" s="834"/>
      <c r="D49" s="1654" t="s">
        <v>1389</v>
      </c>
      <c r="E49" s="834"/>
      <c r="F49" s="830"/>
      <c r="G49" s="830">
        <v>0</v>
      </c>
      <c r="H49" s="830"/>
      <c r="I49" s="830">
        <v>0</v>
      </c>
      <c r="J49" s="830"/>
      <c r="K49" s="830">
        <v>0</v>
      </c>
      <c r="L49" s="830"/>
      <c r="M49" s="830">
        <f t="shared" si="0"/>
        <v>0</v>
      </c>
      <c r="N49" s="830"/>
      <c r="O49" s="830">
        <v>0</v>
      </c>
      <c r="P49" s="1657"/>
      <c r="Q49" s="1658"/>
    </row>
    <row r="50" spans="2:17" s="1647" customFormat="1" ht="15.5">
      <c r="B50" s="1653">
        <v>30135</v>
      </c>
      <c r="C50" s="834"/>
      <c r="D50" s="1654" t="s">
        <v>1390</v>
      </c>
      <c r="E50" s="834"/>
      <c r="F50" s="830"/>
      <c r="G50" s="830">
        <v>398061.23</v>
      </c>
      <c r="H50" s="830"/>
      <c r="I50" s="830">
        <v>399397.06</v>
      </c>
      <c r="J50" s="830"/>
      <c r="K50" s="830">
        <v>428568.9</v>
      </c>
      <c r="L50" s="830"/>
      <c r="M50" s="830">
        <f t="shared" si="0"/>
        <v>-428568.9</v>
      </c>
      <c r="N50" s="830"/>
      <c r="O50" s="830">
        <v>0</v>
      </c>
      <c r="P50" s="1657"/>
      <c r="Q50" s="1658"/>
    </row>
    <row r="51" spans="2:17" s="1647" customFormat="1" ht="15.5">
      <c r="B51" s="1653">
        <v>30136</v>
      </c>
      <c r="C51" s="834"/>
      <c r="D51" s="1654" t="s">
        <v>1391</v>
      </c>
      <c r="E51" s="834"/>
      <c r="F51" s="830"/>
      <c r="G51" s="830">
        <v>0</v>
      </c>
      <c r="H51" s="830"/>
      <c r="I51" s="830">
        <v>0</v>
      </c>
      <c r="J51" s="830"/>
      <c r="K51" s="830">
        <v>0</v>
      </c>
      <c r="L51" s="830"/>
      <c r="M51" s="830">
        <f t="shared" si="0"/>
        <v>0</v>
      </c>
      <c r="N51" s="830"/>
      <c r="O51" s="830">
        <v>0</v>
      </c>
      <c r="P51" s="1657"/>
      <c r="Q51" s="1658"/>
    </row>
    <row r="52" spans="2:17" s="1647" customFormat="1" ht="15.5">
      <c r="B52" s="1653">
        <v>30137</v>
      </c>
      <c r="C52" s="834"/>
      <c r="D52" s="1654" t="s">
        <v>1392</v>
      </c>
      <c r="E52" s="834"/>
      <c r="F52" s="830"/>
      <c r="G52" s="830">
        <v>0</v>
      </c>
      <c r="H52" s="830"/>
      <c r="I52" s="830">
        <v>0</v>
      </c>
      <c r="J52" s="830"/>
      <c r="K52" s="830">
        <v>0</v>
      </c>
      <c r="L52" s="830"/>
      <c r="M52" s="830">
        <f t="shared" si="0"/>
        <v>0</v>
      </c>
      <c r="N52" s="830"/>
      <c r="O52" s="830">
        <v>0</v>
      </c>
      <c r="P52" s="1657"/>
      <c r="Q52" s="1658"/>
    </row>
    <row r="53" spans="2:17" s="1647" customFormat="1" ht="15.5">
      <c r="B53" s="1653">
        <v>30138</v>
      </c>
      <c r="C53" s="834"/>
      <c r="D53" s="1654" t="s">
        <v>1393</v>
      </c>
      <c r="E53" s="834"/>
      <c r="F53" s="830"/>
      <c r="G53" s="830">
        <v>0</v>
      </c>
      <c r="H53" s="830"/>
      <c r="I53" s="830">
        <v>0</v>
      </c>
      <c r="J53" s="830"/>
      <c r="K53" s="830">
        <v>0</v>
      </c>
      <c r="L53" s="830"/>
      <c r="M53" s="830">
        <f t="shared" si="0"/>
        <v>0</v>
      </c>
      <c r="N53" s="830"/>
      <c r="O53" s="830">
        <v>0</v>
      </c>
      <c r="P53" s="1657"/>
      <c r="Q53" s="1658"/>
    </row>
    <row r="54" spans="2:17" s="1647" customFormat="1" ht="15.5">
      <c r="B54" s="1653">
        <v>30139</v>
      </c>
      <c r="C54" s="834"/>
      <c r="D54" s="1654" t="s">
        <v>1394</v>
      </c>
      <c r="E54" s="834"/>
      <c r="F54" s="830"/>
      <c r="G54" s="830">
        <v>0</v>
      </c>
      <c r="H54" s="830"/>
      <c r="I54" s="830">
        <v>0</v>
      </c>
      <c r="J54" s="830"/>
      <c r="K54" s="830">
        <v>0</v>
      </c>
      <c r="L54" s="830"/>
      <c r="M54" s="830">
        <f t="shared" si="0"/>
        <v>0</v>
      </c>
      <c r="N54" s="830"/>
      <c r="O54" s="830">
        <v>0</v>
      </c>
      <c r="P54" s="1657"/>
      <c r="Q54" s="1658"/>
    </row>
    <row r="55" spans="2:17" s="1647" customFormat="1" ht="15.5">
      <c r="B55" s="1653">
        <v>30140</v>
      </c>
      <c r="C55" s="834"/>
      <c r="D55" s="1654" t="s">
        <v>1395</v>
      </c>
      <c r="E55" s="834"/>
      <c r="F55" s="830"/>
      <c r="G55" s="830">
        <v>0</v>
      </c>
      <c r="H55" s="830"/>
      <c r="I55" s="830">
        <v>0</v>
      </c>
      <c r="J55" s="830"/>
      <c r="K55" s="830">
        <v>0</v>
      </c>
      <c r="L55" s="830"/>
      <c r="M55" s="830">
        <f t="shared" si="0"/>
        <v>0</v>
      </c>
      <c r="N55" s="830"/>
      <c r="O55" s="830">
        <v>0</v>
      </c>
      <c r="P55" s="1657"/>
      <c r="Q55" s="1658"/>
    </row>
    <row r="56" spans="2:17" s="1647" customFormat="1" ht="15.5">
      <c r="B56" s="1653">
        <v>30141</v>
      </c>
      <c r="C56" s="834"/>
      <c r="D56" s="1654" t="s">
        <v>1396</v>
      </c>
      <c r="E56" s="834"/>
      <c r="F56" s="830"/>
      <c r="G56" s="830">
        <v>0</v>
      </c>
      <c r="H56" s="830"/>
      <c r="I56" s="830">
        <v>0</v>
      </c>
      <c r="J56" s="830"/>
      <c r="K56" s="830">
        <v>0</v>
      </c>
      <c r="L56" s="830"/>
      <c r="M56" s="830">
        <f t="shared" si="0"/>
        <v>0</v>
      </c>
      <c r="N56" s="830"/>
      <c r="O56" s="830">
        <v>0</v>
      </c>
      <c r="P56" s="1657"/>
      <c r="Q56" s="1658"/>
    </row>
    <row r="57" spans="2:17" s="1647" customFormat="1" ht="15.5">
      <c r="B57" s="1653">
        <v>30142</v>
      </c>
      <c r="C57" s="834"/>
      <c r="D57" s="1654" t="s">
        <v>1397</v>
      </c>
      <c r="E57" s="834"/>
      <c r="F57" s="830"/>
      <c r="G57" s="830">
        <v>0</v>
      </c>
      <c r="H57" s="830"/>
      <c r="I57" s="830">
        <v>0</v>
      </c>
      <c r="J57" s="830"/>
      <c r="K57" s="830">
        <v>0</v>
      </c>
      <c r="L57" s="830"/>
      <c r="M57" s="830">
        <f t="shared" si="0"/>
        <v>0</v>
      </c>
      <c r="N57" s="830"/>
      <c r="O57" s="830">
        <v>0</v>
      </c>
      <c r="P57" s="1657"/>
      <c r="Q57" s="1658"/>
    </row>
    <row r="58" spans="2:17" s="1647" customFormat="1" ht="15.5">
      <c r="B58" s="1653">
        <v>30143</v>
      </c>
      <c r="C58" s="834"/>
      <c r="D58" s="1654" t="s">
        <v>1398</v>
      </c>
      <c r="E58" s="834"/>
      <c r="F58" s="830"/>
      <c r="G58" s="830">
        <v>0</v>
      </c>
      <c r="H58" s="830"/>
      <c r="I58" s="830">
        <v>0</v>
      </c>
      <c r="J58" s="830"/>
      <c r="K58" s="830">
        <v>0</v>
      </c>
      <c r="L58" s="830"/>
      <c r="M58" s="830">
        <f t="shared" si="0"/>
        <v>0</v>
      </c>
      <c r="N58" s="830"/>
      <c r="O58" s="830">
        <v>0</v>
      </c>
      <c r="P58" s="1657"/>
      <c r="Q58" s="1658"/>
    </row>
    <row r="59" spans="2:17" s="1647" customFormat="1" ht="15.5">
      <c r="B59" s="1653">
        <v>30144</v>
      </c>
      <c r="C59" s="834"/>
      <c r="D59" s="1654" t="s">
        <v>1399</v>
      </c>
      <c r="E59" s="834"/>
      <c r="F59" s="830"/>
      <c r="G59" s="830">
        <v>0</v>
      </c>
      <c r="H59" s="830"/>
      <c r="I59" s="830">
        <v>0</v>
      </c>
      <c r="J59" s="830"/>
      <c r="K59" s="830">
        <v>0</v>
      </c>
      <c r="L59" s="830"/>
      <c r="M59" s="830">
        <f t="shared" si="0"/>
        <v>0</v>
      </c>
      <c r="N59" s="830"/>
      <c r="O59" s="830">
        <v>0</v>
      </c>
      <c r="P59" s="1657"/>
      <c r="Q59" s="1658"/>
    </row>
    <row r="60" spans="2:17" s="1647" customFormat="1" ht="15.5">
      <c r="B60" s="1653">
        <v>30145</v>
      </c>
      <c r="C60" s="834"/>
      <c r="D60" s="1654" t="s">
        <v>1400</v>
      </c>
      <c r="E60" s="834"/>
      <c r="F60" s="830"/>
      <c r="G60" s="830">
        <v>0</v>
      </c>
      <c r="H60" s="830"/>
      <c r="I60" s="830">
        <v>0</v>
      </c>
      <c r="J60" s="830"/>
      <c r="K60" s="830">
        <v>0</v>
      </c>
      <c r="L60" s="830"/>
      <c r="M60" s="830">
        <f t="shared" si="0"/>
        <v>0</v>
      </c>
      <c r="N60" s="830"/>
      <c r="O60" s="830">
        <v>0</v>
      </c>
      <c r="P60" s="1657"/>
      <c r="Q60" s="1658"/>
    </row>
    <row r="61" spans="2:17" s="1647" customFormat="1" ht="15.5">
      <c r="B61" s="1653">
        <v>30146</v>
      </c>
      <c r="C61" s="834"/>
      <c r="D61" s="1654" t="s">
        <v>1401</v>
      </c>
      <c r="E61" s="834"/>
      <c r="F61" s="830"/>
      <c r="G61" s="830">
        <v>0</v>
      </c>
      <c r="H61" s="830"/>
      <c r="I61" s="830">
        <v>0</v>
      </c>
      <c r="J61" s="830"/>
      <c r="K61" s="830">
        <v>0</v>
      </c>
      <c r="L61" s="830"/>
      <c r="M61" s="830">
        <f t="shared" si="0"/>
        <v>0</v>
      </c>
      <c r="N61" s="830"/>
      <c r="O61" s="830">
        <v>0</v>
      </c>
      <c r="P61" s="1657"/>
      <c r="Q61" s="1658"/>
    </row>
    <row r="62" spans="2:17" s="1647" customFormat="1" ht="15.5">
      <c r="B62" s="1653">
        <v>30147</v>
      </c>
      <c r="C62" s="834"/>
      <c r="D62" s="1654" t="s">
        <v>555</v>
      </c>
      <c r="E62" s="834"/>
      <c r="F62" s="830">
        <v>0</v>
      </c>
      <c r="G62" s="830">
        <v>0</v>
      </c>
      <c r="H62" s="830"/>
      <c r="I62" s="830">
        <v>0</v>
      </c>
      <c r="J62" s="830"/>
      <c r="K62" s="830">
        <v>0</v>
      </c>
      <c r="L62" s="830"/>
      <c r="M62" s="830">
        <f t="shared" ref="M62:M75" si="1">ROUND(SUM(O62)-SUM(K62),2)</f>
        <v>0</v>
      </c>
      <c r="N62" s="830"/>
      <c r="O62" s="830">
        <v>0</v>
      </c>
      <c r="P62" s="1657"/>
      <c r="Q62" s="1658"/>
    </row>
    <row r="63" spans="2:17" s="1647" customFormat="1" ht="15.5">
      <c r="B63" s="1653">
        <v>30148</v>
      </c>
      <c r="C63" s="834"/>
      <c r="D63" s="1654" t="s">
        <v>1403</v>
      </c>
      <c r="E63" s="834"/>
      <c r="F63" s="830"/>
      <c r="G63" s="830">
        <v>0</v>
      </c>
      <c r="H63" s="830"/>
      <c r="I63" s="830">
        <v>0</v>
      </c>
      <c r="J63" s="830"/>
      <c r="K63" s="830">
        <v>0</v>
      </c>
      <c r="L63" s="830"/>
      <c r="M63" s="830">
        <f t="shared" ref="M63:M69" si="2">ROUND(SUM(O63)-SUM(K63),2)</f>
        <v>0</v>
      </c>
      <c r="N63" s="830"/>
      <c r="O63" s="830">
        <v>0</v>
      </c>
      <c r="P63" s="1657"/>
      <c r="Q63" s="1658"/>
    </row>
    <row r="64" spans="2:17" s="1647" customFormat="1" ht="15.5">
      <c r="B64" s="1653">
        <v>30149</v>
      </c>
      <c r="C64" s="834"/>
      <c r="D64" s="1654" t="s">
        <v>1404</v>
      </c>
      <c r="E64" s="834"/>
      <c r="F64" s="830"/>
      <c r="G64" s="830">
        <v>0</v>
      </c>
      <c r="H64" s="830"/>
      <c r="I64" s="830">
        <v>0</v>
      </c>
      <c r="J64" s="830"/>
      <c r="K64" s="830">
        <v>0</v>
      </c>
      <c r="L64" s="830"/>
      <c r="M64" s="830">
        <f t="shared" si="2"/>
        <v>0</v>
      </c>
      <c r="N64" s="830"/>
      <c r="O64" s="830">
        <v>0</v>
      </c>
      <c r="P64" s="1657"/>
      <c r="Q64" s="1658"/>
    </row>
    <row r="65" spans="2:17" s="1647" customFormat="1" ht="15.5">
      <c r="B65" s="1653">
        <v>30150</v>
      </c>
      <c r="C65" s="834"/>
      <c r="D65" s="1654" t="s">
        <v>1405</v>
      </c>
      <c r="E65" s="834"/>
      <c r="F65" s="830"/>
      <c r="G65" s="830">
        <v>0</v>
      </c>
      <c r="H65" s="830"/>
      <c r="I65" s="830">
        <v>0</v>
      </c>
      <c r="J65" s="830"/>
      <c r="K65" s="830">
        <v>0</v>
      </c>
      <c r="L65" s="830"/>
      <c r="M65" s="830">
        <f t="shared" si="2"/>
        <v>0</v>
      </c>
      <c r="N65" s="830"/>
      <c r="O65" s="830">
        <v>0</v>
      </c>
      <c r="P65" s="1657"/>
      <c r="Q65" s="1658"/>
    </row>
    <row r="66" spans="2:17" s="1647" customFormat="1" ht="15.5">
      <c r="B66" s="1653">
        <v>30151</v>
      </c>
      <c r="C66" s="834"/>
      <c r="D66" s="1654" t="s">
        <v>1406</v>
      </c>
      <c r="E66" s="834"/>
      <c r="F66" s="830"/>
      <c r="G66" s="830">
        <v>0</v>
      </c>
      <c r="H66" s="830"/>
      <c r="I66" s="830">
        <v>0</v>
      </c>
      <c r="J66" s="830"/>
      <c r="K66" s="830">
        <v>0</v>
      </c>
      <c r="L66" s="830"/>
      <c r="M66" s="830">
        <f t="shared" si="2"/>
        <v>0</v>
      </c>
      <c r="N66" s="830"/>
      <c r="O66" s="830">
        <v>0</v>
      </c>
      <c r="P66" s="1657"/>
      <c r="Q66" s="1658"/>
    </row>
    <row r="67" spans="2:17" s="1647" customFormat="1" ht="15.5">
      <c r="B67" s="1653">
        <v>30152</v>
      </c>
      <c r="C67" s="834"/>
      <c r="D67" s="1654" t="s">
        <v>1407</v>
      </c>
      <c r="E67" s="834"/>
      <c r="F67" s="830"/>
      <c r="G67" s="830">
        <v>0</v>
      </c>
      <c r="H67" s="830"/>
      <c r="I67" s="830">
        <v>0</v>
      </c>
      <c r="J67" s="830"/>
      <c r="K67" s="830">
        <v>0</v>
      </c>
      <c r="L67" s="830"/>
      <c r="M67" s="830">
        <f t="shared" si="2"/>
        <v>0</v>
      </c>
      <c r="N67" s="830"/>
      <c r="O67" s="830">
        <v>0</v>
      </c>
      <c r="P67" s="1657"/>
      <c r="Q67" s="1658"/>
    </row>
    <row r="68" spans="2:17" s="1647" customFormat="1" ht="15.5">
      <c r="B68" s="1653">
        <v>30153</v>
      </c>
      <c r="C68" s="834"/>
      <c r="D68" s="1654" t="s">
        <v>1408</v>
      </c>
      <c r="E68" s="834"/>
      <c r="F68" s="830"/>
      <c r="G68" s="830">
        <v>0</v>
      </c>
      <c r="H68" s="830"/>
      <c r="I68" s="830">
        <v>0</v>
      </c>
      <c r="J68" s="830"/>
      <c r="K68" s="830">
        <v>0</v>
      </c>
      <c r="L68" s="830"/>
      <c r="M68" s="830">
        <f t="shared" si="2"/>
        <v>0</v>
      </c>
      <c r="N68" s="830"/>
      <c r="O68" s="830">
        <v>0</v>
      </c>
      <c r="P68" s="1657"/>
      <c r="Q68" s="1658"/>
    </row>
    <row r="69" spans="2:17" s="1647" customFormat="1" ht="15.5">
      <c r="B69" s="1653">
        <v>30154</v>
      </c>
      <c r="C69" s="834"/>
      <c r="D69" s="1654" t="s">
        <v>1409</v>
      </c>
      <c r="E69" s="834"/>
      <c r="F69" s="830"/>
      <c r="G69" s="830">
        <v>0</v>
      </c>
      <c r="H69" s="830"/>
      <c r="I69" s="830">
        <v>0</v>
      </c>
      <c r="J69" s="830"/>
      <c r="K69" s="830">
        <v>0</v>
      </c>
      <c r="L69" s="830"/>
      <c r="M69" s="830">
        <f t="shared" si="2"/>
        <v>0</v>
      </c>
      <c r="N69" s="830"/>
      <c r="O69" s="830">
        <v>0</v>
      </c>
      <c r="P69" s="1657"/>
      <c r="Q69" s="1658"/>
    </row>
    <row r="70" spans="2:17" s="1647" customFormat="1" ht="15.5">
      <c r="B70" s="1653">
        <v>30351</v>
      </c>
      <c r="C70" s="834"/>
      <c r="D70" s="1654" t="s">
        <v>556</v>
      </c>
      <c r="E70" s="834"/>
      <c r="F70" s="830">
        <v>72792259.140000001</v>
      </c>
      <c r="G70" s="830">
        <v>121484257.15000001</v>
      </c>
      <c r="H70" s="830"/>
      <c r="I70" s="830">
        <v>132600332.31</v>
      </c>
      <c r="J70" s="830"/>
      <c r="K70" s="830">
        <v>146456067.53999999</v>
      </c>
      <c r="L70" s="830"/>
      <c r="M70" s="830">
        <f t="shared" si="1"/>
        <v>11242399.24</v>
      </c>
      <c r="N70" s="830"/>
      <c r="O70" s="830">
        <v>157698466.78</v>
      </c>
      <c r="P70" s="1657"/>
      <c r="Q70" s="1658"/>
    </row>
    <row r="71" spans="2:17" s="1647" customFormat="1" ht="15.5">
      <c r="B71" s="1653">
        <v>30501</v>
      </c>
      <c r="C71" s="834"/>
      <c r="D71" s="1654" t="s">
        <v>1410</v>
      </c>
      <c r="E71" s="834"/>
      <c r="F71" s="830"/>
      <c r="G71" s="830">
        <v>0</v>
      </c>
      <c r="H71" s="830"/>
      <c r="I71" s="830">
        <v>0</v>
      </c>
      <c r="J71" s="830"/>
      <c r="K71" s="830">
        <v>0</v>
      </c>
      <c r="L71" s="830"/>
      <c r="M71" s="830">
        <f>ROUND(SUM(O71)-SUM(K71),2)</f>
        <v>0</v>
      </c>
      <c r="N71" s="830"/>
      <c r="O71" s="830">
        <v>0</v>
      </c>
      <c r="P71" s="1657"/>
      <c r="Q71" s="1658"/>
    </row>
    <row r="72" spans="2:17" s="1647" customFormat="1" ht="15.5">
      <c r="B72" s="1653">
        <v>30502</v>
      </c>
      <c r="C72" s="834"/>
      <c r="D72" s="1654" t="s">
        <v>1411</v>
      </c>
      <c r="E72" s="834"/>
      <c r="F72" s="830"/>
      <c r="G72" s="830">
        <v>0</v>
      </c>
      <c r="H72" s="830"/>
      <c r="I72" s="830">
        <v>0</v>
      </c>
      <c r="J72" s="830"/>
      <c r="K72" s="830">
        <v>0</v>
      </c>
      <c r="L72" s="830"/>
      <c r="M72" s="830">
        <f>ROUND(SUM(O72)-SUM(K72),2)</f>
        <v>0</v>
      </c>
      <c r="N72" s="830"/>
      <c r="O72" s="830">
        <v>0</v>
      </c>
      <c r="P72" s="1657"/>
      <c r="Q72" s="1658"/>
    </row>
    <row r="73" spans="2:17" s="1647" customFormat="1" ht="15.5">
      <c r="B73" s="1653">
        <v>30503</v>
      </c>
      <c r="C73" s="834"/>
      <c r="D73" s="1654" t="s">
        <v>1412</v>
      </c>
      <c r="E73" s="834"/>
      <c r="F73" s="830"/>
      <c r="G73" s="830">
        <v>0</v>
      </c>
      <c r="H73" s="830"/>
      <c r="I73" s="830">
        <v>0</v>
      </c>
      <c r="J73" s="830"/>
      <c r="K73" s="830">
        <v>0</v>
      </c>
      <c r="L73" s="830"/>
      <c r="M73" s="830">
        <f>ROUND(SUM(O73)-SUM(K73),2)</f>
        <v>0</v>
      </c>
      <c r="N73" s="830"/>
      <c r="O73" s="830">
        <v>0</v>
      </c>
      <c r="P73" s="1657"/>
      <c r="Q73" s="1658"/>
    </row>
    <row r="74" spans="2:17" s="1647" customFormat="1" ht="15.5">
      <c r="B74" s="1653">
        <v>30504</v>
      </c>
      <c r="C74" s="834"/>
      <c r="D74" s="1654" t="s">
        <v>1413</v>
      </c>
      <c r="E74" s="834"/>
      <c r="F74" s="830"/>
      <c r="G74" s="830">
        <v>0</v>
      </c>
      <c r="H74" s="830"/>
      <c r="I74" s="830">
        <v>0</v>
      </c>
      <c r="J74" s="830"/>
      <c r="K74" s="830">
        <v>0</v>
      </c>
      <c r="L74" s="830"/>
      <c r="M74" s="830">
        <f>ROUND(SUM(O74)-SUM(K74),2)</f>
        <v>0</v>
      </c>
      <c r="N74" s="830"/>
      <c r="O74" s="830">
        <v>0</v>
      </c>
      <c r="P74" s="1657"/>
      <c r="Q74" s="1658"/>
    </row>
    <row r="75" spans="2:17" s="1647" customFormat="1" ht="15.5">
      <c r="B75" s="1653">
        <v>31506</v>
      </c>
      <c r="C75" s="1662"/>
      <c r="D75" s="1661" t="s">
        <v>557</v>
      </c>
      <c r="E75" s="1663"/>
      <c r="F75" s="830">
        <v>109849194.79000001</v>
      </c>
      <c r="G75" s="830">
        <v>206517653.30000001</v>
      </c>
      <c r="H75" s="830"/>
      <c r="I75" s="830">
        <v>214303629.34999999</v>
      </c>
      <c r="J75" s="830"/>
      <c r="K75" s="830">
        <v>221784561.84</v>
      </c>
      <c r="L75" s="830"/>
      <c r="M75" s="830">
        <f t="shared" si="1"/>
        <v>12815280.689999999</v>
      </c>
      <c r="N75" s="830"/>
      <c r="O75" s="830">
        <v>234599842.53</v>
      </c>
      <c r="P75" s="1657"/>
      <c r="Q75" s="1658"/>
    </row>
    <row r="76" spans="2:17" s="1647" customFormat="1" ht="15.5">
      <c r="B76" s="1653">
        <v>31701</v>
      </c>
      <c r="C76" s="834"/>
      <c r="D76" s="1654" t="s">
        <v>558</v>
      </c>
      <c r="E76" s="834"/>
      <c r="F76" s="830">
        <v>7423246.6200000001</v>
      </c>
      <c r="G76" s="830">
        <v>15733056.98</v>
      </c>
      <c r="H76" s="830"/>
      <c r="I76" s="830">
        <v>15991341.039999999</v>
      </c>
      <c r="J76" s="830"/>
      <c r="K76" s="830">
        <v>17258838.52</v>
      </c>
      <c r="L76" s="830"/>
      <c r="M76" s="830">
        <f t="shared" ref="M76:M83" si="3">ROUND(SUM(O76)-SUM(K76),2)</f>
        <v>1619928.37</v>
      </c>
      <c r="N76" s="830"/>
      <c r="O76" s="830">
        <v>18878766.890000001</v>
      </c>
      <c r="P76" s="1657"/>
      <c r="Q76" s="1658"/>
    </row>
    <row r="77" spans="2:17" s="1647" customFormat="1" ht="15.5">
      <c r="B77" s="1653">
        <v>31801</v>
      </c>
      <c r="C77" s="834"/>
      <c r="D77" s="1654" t="s">
        <v>559</v>
      </c>
      <c r="E77" s="834"/>
      <c r="F77" s="830">
        <v>13150846.050000001</v>
      </c>
      <c r="G77" s="830">
        <v>12941967.060000001</v>
      </c>
      <c r="H77" s="830"/>
      <c r="I77" s="830">
        <v>12941967.060000001</v>
      </c>
      <c r="J77" s="830"/>
      <c r="K77" s="830">
        <v>12941967.060000001</v>
      </c>
      <c r="L77" s="830"/>
      <c r="M77" s="830">
        <f t="shared" si="3"/>
        <v>0</v>
      </c>
      <c r="N77" s="830"/>
      <c r="O77" s="830">
        <v>12941967.060000001</v>
      </c>
      <c r="P77" s="1657"/>
      <c r="Q77" s="1658"/>
    </row>
    <row r="78" spans="2:17" s="1647" customFormat="1" ht="15.5">
      <c r="B78" s="1653">
        <v>31851</v>
      </c>
      <c r="C78" s="834"/>
      <c r="D78" s="1661" t="s">
        <v>560</v>
      </c>
      <c r="E78" s="834"/>
      <c r="F78" s="830">
        <v>0</v>
      </c>
      <c r="G78" s="830">
        <v>64341394.310000002</v>
      </c>
      <c r="H78" s="830"/>
      <c r="I78" s="830">
        <v>122581586.31</v>
      </c>
      <c r="J78" s="830"/>
      <c r="K78" s="830">
        <v>161007374.65000001</v>
      </c>
      <c r="L78" s="830"/>
      <c r="M78" s="830">
        <f t="shared" si="3"/>
        <v>65535390.479999997</v>
      </c>
      <c r="N78" s="830"/>
      <c r="O78" s="830">
        <v>226542765.13</v>
      </c>
      <c r="P78" s="1657"/>
      <c r="Q78" s="1658"/>
    </row>
    <row r="79" spans="2:17" s="1647" customFormat="1" ht="15.5">
      <c r="B79" s="1653">
        <v>31852</v>
      </c>
      <c r="C79" s="834"/>
      <c r="D79" s="1654" t="s">
        <v>561</v>
      </c>
      <c r="E79" s="834"/>
      <c r="F79" s="830">
        <v>40679225.310000002</v>
      </c>
      <c r="G79" s="830">
        <v>22447795.25</v>
      </c>
      <c r="H79" s="830"/>
      <c r="I79" s="830">
        <v>22447795.25</v>
      </c>
      <c r="J79" s="830"/>
      <c r="K79" s="830">
        <v>38535336.25</v>
      </c>
      <c r="L79" s="830"/>
      <c r="M79" s="830">
        <f t="shared" si="3"/>
        <v>0</v>
      </c>
      <c r="N79" s="830"/>
      <c r="O79" s="830">
        <v>38535336.25</v>
      </c>
      <c r="P79" s="1657"/>
      <c r="Q79" s="1658"/>
    </row>
    <row r="80" spans="2:17" s="1647" customFormat="1" ht="15.5">
      <c r="B80" s="1653">
        <v>31853</v>
      </c>
      <c r="C80" s="834"/>
      <c r="D80" s="1661" t="s">
        <v>562</v>
      </c>
      <c r="E80" s="834"/>
      <c r="F80" s="830">
        <v>76297899.909999996</v>
      </c>
      <c r="G80" s="830">
        <v>174022710.25</v>
      </c>
      <c r="H80" s="830"/>
      <c r="I80" s="830">
        <v>199314710.25</v>
      </c>
      <c r="J80" s="830"/>
      <c r="K80" s="830">
        <v>199314710.25</v>
      </c>
      <c r="L80" s="830"/>
      <c r="M80" s="830">
        <f t="shared" si="3"/>
        <v>25292000</v>
      </c>
      <c r="N80" s="830"/>
      <c r="O80" s="830">
        <v>224606710.25</v>
      </c>
      <c r="P80" s="1657"/>
      <c r="Q80" s="1658"/>
    </row>
    <row r="81" spans="2:17" s="1647" customFormat="1" ht="15.5">
      <c r="B81" s="1653">
        <v>31854</v>
      </c>
      <c r="C81" s="834"/>
      <c r="D81" s="1661" t="s">
        <v>1414</v>
      </c>
      <c r="E81" s="834"/>
      <c r="F81" s="830"/>
      <c r="G81" s="830">
        <v>0</v>
      </c>
      <c r="H81" s="830"/>
      <c r="I81" s="830">
        <v>0</v>
      </c>
      <c r="J81" s="830"/>
      <c r="K81" s="830">
        <v>0</v>
      </c>
      <c r="L81" s="830"/>
      <c r="M81" s="830">
        <f t="shared" ref="M81" si="4">ROUND(SUM(O81)-SUM(K81),2)</f>
        <v>0</v>
      </c>
      <c r="N81" s="830"/>
      <c r="O81" s="830">
        <v>0</v>
      </c>
      <c r="P81" s="1657"/>
      <c r="Q81" s="1658"/>
    </row>
    <row r="82" spans="2:17" s="1647" customFormat="1" ht="15.5">
      <c r="B82" s="1653">
        <v>31951</v>
      </c>
      <c r="C82" s="834"/>
      <c r="D82" s="1661" t="s">
        <v>563</v>
      </c>
      <c r="E82" s="834"/>
      <c r="F82" s="830">
        <v>12348115.710000001</v>
      </c>
      <c r="G82" s="830">
        <v>12015920.550000001</v>
      </c>
      <c r="H82" s="830"/>
      <c r="I82" s="830">
        <v>12015920.550000001</v>
      </c>
      <c r="J82" s="830"/>
      <c r="K82" s="830">
        <v>12015920.550000001</v>
      </c>
      <c r="L82" s="830"/>
      <c r="M82" s="830">
        <f t="shared" si="3"/>
        <v>0</v>
      </c>
      <c r="N82" s="830"/>
      <c r="O82" s="830">
        <v>12015920.550000001</v>
      </c>
      <c r="P82" s="1657"/>
      <c r="Q82" s="1658"/>
    </row>
    <row r="83" spans="2:17" s="1647" customFormat="1" ht="15.5">
      <c r="B83" s="1653">
        <v>32213</v>
      </c>
      <c r="C83" s="834"/>
      <c r="D83" s="1654" t="s">
        <v>564</v>
      </c>
      <c r="E83" s="834"/>
      <c r="F83" s="830">
        <v>153750</v>
      </c>
      <c r="G83" s="830">
        <v>153750</v>
      </c>
      <c r="H83" s="830"/>
      <c r="I83" s="830">
        <v>153750</v>
      </c>
      <c r="J83" s="830"/>
      <c r="K83" s="830">
        <v>153750</v>
      </c>
      <c r="L83" s="830"/>
      <c r="M83" s="830">
        <f t="shared" si="3"/>
        <v>0</v>
      </c>
      <c r="N83" s="830"/>
      <c r="O83" s="830">
        <v>153750</v>
      </c>
      <c r="P83" s="1657"/>
      <c r="Q83" s="1658"/>
    </row>
    <row r="84" spans="2:17" s="1647" customFormat="1" ht="15.5">
      <c r="B84" s="1653">
        <v>32214</v>
      </c>
      <c r="C84" s="834"/>
      <c r="D84" s="1654" t="s">
        <v>1157</v>
      </c>
      <c r="E84" s="834"/>
      <c r="F84" s="830"/>
      <c r="G84" s="830">
        <v>0</v>
      </c>
      <c r="H84" s="830"/>
      <c r="I84" s="830">
        <v>0</v>
      </c>
      <c r="J84" s="830"/>
      <c r="K84" s="830">
        <v>0</v>
      </c>
      <c r="L84" s="830"/>
      <c r="M84" s="830">
        <f t="shared" ref="M84" si="5">ROUND(SUM(O84)-SUM(K84),2)</f>
        <v>0</v>
      </c>
      <c r="N84" s="830"/>
      <c r="O84" s="830">
        <v>0</v>
      </c>
      <c r="P84" s="1657"/>
      <c r="Q84" s="1658"/>
    </row>
    <row r="85" spans="2:17" s="1647" customFormat="1" ht="15.5">
      <c r="B85" s="1653">
        <v>32215</v>
      </c>
      <c r="C85" s="834"/>
      <c r="D85" s="1654" t="s">
        <v>1134</v>
      </c>
      <c r="E85" s="834"/>
      <c r="F85" s="830"/>
      <c r="G85" s="830">
        <v>998.61000000033505</v>
      </c>
      <c r="H85" s="830"/>
      <c r="I85" s="830">
        <v>1002.00999999978</v>
      </c>
      <c r="J85" s="830"/>
      <c r="K85" s="830">
        <v>1005.69000000041</v>
      </c>
      <c r="L85" s="830"/>
      <c r="M85" s="830">
        <f>ROUND(SUM(O85)-SUM(K85),2)</f>
        <v>3.47</v>
      </c>
      <c r="N85" s="830"/>
      <c r="O85" s="830">
        <v>1009.16000000015</v>
      </c>
      <c r="P85" s="1657"/>
      <c r="Q85" s="1658"/>
    </row>
    <row r="86" spans="2:17" s="1647" customFormat="1" ht="15.5">
      <c r="B86" s="1653">
        <v>32219</v>
      </c>
      <c r="C86" s="834"/>
      <c r="D86" s="1654" t="s">
        <v>1186</v>
      </c>
      <c r="E86" s="834"/>
      <c r="F86" s="830"/>
      <c r="G86" s="830">
        <v>0</v>
      </c>
      <c r="H86" s="830"/>
      <c r="I86" s="830">
        <v>0</v>
      </c>
      <c r="J86" s="830"/>
      <c r="K86" s="830">
        <v>0</v>
      </c>
      <c r="L86" s="830"/>
      <c r="M86" s="830">
        <f>ROUND(SUM(O86)-SUM(K86),2)</f>
        <v>0</v>
      </c>
      <c r="N86" s="830"/>
      <c r="O86" s="830">
        <v>0</v>
      </c>
      <c r="P86" s="1657"/>
      <c r="Q86" s="1658"/>
    </row>
    <row r="87" spans="2:17" s="1647" customFormat="1" ht="15.5">
      <c r="B87" s="1653">
        <v>32301</v>
      </c>
      <c r="C87" s="834"/>
      <c r="D87" s="1654" t="s">
        <v>1415</v>
      </c>
      <c r="E87" s="834"/>
      <c r="F87" s="830"/>
      <c r="G87" s="830">
        <v>0</v>
      </c>
      <c r="H87" s="830"/>
      <c r="I87" s="830">
        <v>0</v>
      </c>
      <c r="J87" s="830"/>
      <c r="K87" s="830">
        <v>0</v>
      </c>
      <c r="L87" s="830"/>
      <c r="M87" s="830">
        <f t="shared" ref="M87:M88" si="6">ROUND(SUM(O87)-SUM(K87),2)</f>
        <v>0</v>
      </c>
      <c r="N87" s="830"/>
      <c r="O87" s="830">
        <v>0</v>
      </c>
      <c r="P87" s="1657"/>
      <c r="Q87" s="1658"/>
    </row>
    <row r="88" spans="2:17" s="1647" customFormat="1" ht="15.5">
      <c r="B88" s="1653">
        <v>32302</v>
      </c>
      <c r="C88" s="834"/>
      <c r="D88" s="1654" t="s">
        <v>1416</v>
      </c>
      <c r="E88" s="834"/>
      <c r="F88" s="830"/>
      <c r="G88" s="830">
        <v>0</v>
      </c>
      <c r="H88" s="830"/>
      <c r="I88" s="830">
        <v>0</v>
      </c>
      <c r="J88" s="830"/>
      <c r="K88" s="830">
        <v>0</v>
      </c>
      <c r="L88" s="830"/>
      <c r="M88" s="830">
        <f t="shared" si="6"/>
        <v>0</v>
      </c>
      <c r="N88" s="830"/>
      <c r="O88" s="830">
        <v>0</v>
      </c>
      <c r="P88" s="1657"/>
      <c r="Q88" s="1658"/>
    </row>
    <row r="89" spans="2:17" s="1647" customFormat="1" ht="15.5">
      <c r="B89" s="1653">
        <v>32303</v>
      </c>
      <c r="C89" s="834"/>
      <c r="D89" s="1654" t="s">
        <v>565</v>
      </c>
      <c r="E89" s="1663"/>
      <c r="F89" s="830">
        <v>87723047.260000005</v>
      </c>
      <c r="G89" s="830">
        <v>115984714.26000001</v>
      </c>
      <c r="H89" s="830"/>
      <c r="I89" s="830">
        <v>117249025.83</v>
      </c>
      <c r="J89" s="830"/>
      <c r="K89" s="830">
        <v>119101843.03</v>
      </c>
      <c r="L89" s="830"/>
      <c r="M89" s="830">
        <f>ROUND(SUM(O89)-SUM(K89),2)</f>
        <v>1941397.43</v>
      </c>
      <c r="N89" s="830"/>
      <c r="O89" s="830">
        <v>121043240.45999999</v>
      </c>
      <c r="P89" s="1657"/>
      <c r="Q89" s="1658"/>
    </row>
    <row r="90" spans="2:17" s="1647" customFormat="1" ht="15.5">
      <c r="B90" s="1653">
        <v>32304</v>
      </c>
      <c r="C90" s="834"/>
      <c r="D90" s="1654" t="s">
        <v>1417</v>
      </c>
      <c r="E90" s="1663"/>
      <c r="F90" s="830"/>
      <c r="G90" s="830">
        <v>0</v>
      </c>
      <c r="H90" s="830"/>
      <c r="I90" s="830">
        <v>0</v>
      </c>
      <c r="J90" s="830"/>
      <c r="K90" s="830">
        <v>0</v>
      </c>
      <c r="L90" s="830"/>
      <c r="M90" s="830">
        <f>ROUND(SUM(O90)-SUM(K90),2)</f>
        <v>0</v>
      </c>
      <c r="N90" s="830"/>
      <c r="O90" s="830">
        <v>0</v>
      </c>
      <c r="P90" s="1657"/>
      <c r="Q90" s="1658"/>
    </row>
    <row r="91" spans="2:17" s="1647" customFormat="1" ht="15.5">
      <c r="B91" s="1653">
        <v>32305</v>
      </c>
      <c r="C91" s="834"/>
      <c r="D91" s="1654" t="s">
        <v>910</v>
      </c>
      <c r="E91" s="1663"/>
      <c r="F91" s="830">
        <v>172362230.61000001</v>
      </c>
      <c r="G91" s="830">
        <v>209319717.41</v>
      </c>
      <c r="H91" s="830"/>
      <c r="I91" s="830">
        <v>215914717.41</v>
      </c>
      <c r="J91" s="830"/>
      <c r="K91" s="830">
        <v>220456806.16999999</v>
      </c>
      <c r="L91" s="830"/>
      <c r="M91" s="830">
        <f t="shared" ref="M91:M101" si="7">ROUND(SUM(O91)-SUM(K91),2)</f>
        <v>3747357.89</v>
      </c>
      <c r="N91" s="830"/>
      <c r="O91" s="830">
        <v>224204164.06</v>
      </c>
      <c r="P91" s="1657"/>
      <c r="Q91" s="1658"/>
    </row>
    <row r="92" spans="2:17" s="1647" customFormat="1" ht="15.5">
      <c r="B92" s="1653">
        <v>32306</v>
      </c>
      <c r="C92" s="834"/>
      <c r="D92" s="1654" t="s">
        <v>1418</v>
      </c>
      <c r="E92" s="1663"/>
      <c r="F92" s="830"/>
      <c r="G92" s="830">
        <v>0</v>
      </c>
      <c r="H92" s="830"/>
      <c r="I92" s="830">
        <v>0</v>
      </c>
      <c r="J92" s="830"/>
      <c r="K92" s="830">
        <v>0</v>
      </c>
      <c r="L92" s="830"/>
      <c r="M92" s="830">
        <f t="shared" ref="M92" si="8">ROUND(SUM(O92)-SUM(K92),2)</f>
        <v>0</v>
      </c>
      <c r="N92" s="830"/>
      <c r="O92" s="830">
        <v>0</v>
      </c>
      <c r="P92" s="1657"/>
      <c r="Q92" s="1658"/>
    </row>
    <row r="93" spans="2:17" s="1647" customFormat="1" ht="15.5">
      <c r="B93" s="1653">
        <v>32307</v>
      </c>
      <c r="C93" s="834"/>
      <c r="D93" s="1661" t="s">
        <v>566</v>
      </c>
      <c r="E93" s="1663"/>
      <c r="F93" s="830">
        <v>5430710.0300000003</v>
      </c>
      <c r="G93" s="830">
        <v>8770017.0399999991</v>
      </c>
      <c r="H93" s="830"/>
      <c r="I93" s="830">
        <v>8770017.0399999991</v>
      </c>
      <c r="J93" s="830"/>
      <c r="K93" s="830">
        <v>9895902.0399999991</v>
      </c>
      <c r="L93" s="830"/>
      <c r="M93" s="830">
        <f t="shared" si="7"/>
        <v>0</v>
      </c>
      <c r="N93" s="830"/>
      <c r="O93" s="830">
        <v>9895902.0399999991</v>
      </c>
      <c r="P93" s="1657"/>
      <c r="Q93" s="1658"/>
    </row>
    <row r="94" spans="2:17" s="1647" customFormat="1" ht="15.5">
      <c r="B94" s="1653">
        <v>32308</v>
      </c>
      <c r="C94" s="834"/>
      <c r="D94" s="1661" t="s">
        <v>567</v>
      </c>
      <c r="E94" s="1663"/>
      <c r="F94" s="830">
        <v>539890.44999999995</v>
      </c>
      <c r="G94" s="830">
        <v>652133.16</v>
      </c>
      <c r="H94" s="830"/>
      <c r="I94" s="830">
        <v>652133.16</v>
      </c>
      <c r="J94" s="830"/>
      <c r="K94" s="830">
        <v>652133.16</v>
      </c>
      <c r="L94" s="830"/>
      <c r="M94" s="830">
        <f t="shared" si="7"/>
        <v>0</v>
      </c>
      <c r="N94" s="830"/>
      <c r="O94" s="830">
        <v>652133.16</v>
      </c>
      <c r="P94" s="1657"/>
      <c r="Q94" s="1658"/>
    </row>
    <row r="95" spans="2:17" s="1647" customFormat="1" ht="15.5">
      <c r="B95" s="1653">
        <v>32309</v>
      </c>
      <c r="C95" s="834"/>
      <c r="D95" s="1661" t="s">
        <v>568</v>
      </c>
      <c r="E95" s="1663"/>
      <c r="F95" s="830">
        <v>104401100.42</v>
      </c>
      <c r="G95" s="830">
        <v>231964021.38</v>
      </c>
      <c r="H95" s="830"/>
      <c r="I95" s="830">
        <v>252405579.03</v>
      </c>
      <c r="J95" s="830"/>
      <c r="K95" s="830">
        <v>261805451.88999999</v>
      </c>
      <c r="L95" s="830"/>
      <c r="M95" s="830">
        <f t="shared" si="7"/>
        <v>27393006.859999999</v>
      </c>
      <c r="N95" s="830"/>
      <c r="O95" s="830">
        <v>289198458.75</v>
      </c>
      <c r="P95" s="1657"/>
      <c r="Q95" s="1658"/>
    </row>
    <row r="96" spans="2:17" s="1647" customFormat="1" ht="15.5">
      <c r="B96" s="1653">
        <v>32310</v>
      </c>
      <c r="C96" s="834"/>
      <c r="D96" s="1661" t="s">
        <v>569</v>
      </c>
      <c r="E96" s="1663"/>
      <c r="F96" s="830">
        <v>0</v>
      </c>
      <c r="G96" s="830">
        <v>46477521.5</v>
      </c>
      <c r="H96" s="830"/>
      <c r="I96" s="830">
        <v>47293538.100000001</v>
      </c>
      <c r="J96" s="830"/>
      <c r="K96" s="830">
        <v>50329271.030000001</v>
      </c>
      <c r="L96" s="830"/>
      <c r="M96" s="830">
        <f t="shared" si="7"/>
        <v>2646890.6800000002</v>
      </c>
      <c r="N96" s="830"/>
      <c r="O96" s="830">
        <v>52976161.710000001</v>
      </c>
      <c r="P96" s="1657"/>
      <c r="Q96" s="1658"/>
    </row>
    <row r="97" spans="2:17" s="1647" customFormat="1" ht="15.5">
      <c r="B97" s="1653">
        <v>32311</v>
      </c>
      <c r="C97" s="834"/>
      <c r="D97" s="2109" t="s">
        <v>570</v>
      </c>
      <c r="E97" s="1663"/>
      <c r="F97" s="830">
        <v>2486315.4700000002</v>
      </c>
      <c r="G97" s="830">
        <v>7287784.2999999998</v>
      </c>
      <c r="H97" s="830"/>
      <c r="I97" s="830">
        <v>7805365.3799999999</v>
      </c>
      <c r="J97" s="830"/>
      <c r="K97" s="830">
        <v>7805365.3799999999</v>
      </c>
      <c r="L97" s="830"/>
      <c r="M97" s="830">
        <f t="shared" si="7"/>
        <v>578708.01</v>
      </c>
      <c r="N97" s="830"/>
      <c r="O97" s="830">
        <v>8384073.3899999997</v>
      </c>
      <c r="P97" s="1657"/>
      <c r="Q97" s="1658"/>
    </row>
    <row r="98" spans="2:17" s="1647" customFormat="1" ht="15.5">
      <c r="B98" s="1653">
        <v>32351</v>
      </c>
      <c r="C98" s="1624"/>
      <c r="D98" s="1661" t="s">
        <v>571</v>
      </c>
      <c r="E98" s="1663"/>
      <c r="F98" s="830"/>
      <c r="G98" s="830">
        <v>0</v>
      </c>
      <c r="H98" s="830"/>
      <c r="I98" s="830">
        <v>0</v>
      </c>
      <c r="J98" s="830"/>
      <c r="K98" s="830">
        <v>0</v>
      </c>
      <c r="L98" s="830"/>
      <c r="M98" s="830">
        <f t="shared" si="7"/>
        <v>0</v>
      </c>
      <c r="N98" s="830"/>
      <c r="O98" s="830">
        <v>0</v>
      </c>
      <c r="P98" s="1657"/>
      <c r="Q98" s="1658"/>
    </row>
    <row r="99" spans="2:17" s="1647" customFormat="1" ht="15.5">
      <c r="B99" s="1653">
        <v>32352</v>
      </c>
      <c r="C99" s="834"/>
      <c r="D99" s="1654" t="s">
        <v>572</v>
      </c>
      <c r="E99" s="1663"/>
      <c r="F99" s="830">
        <v>65245293.57</v>
      </c>
      <c r="G99" s="830">
        <v>214116293.13</v>
      </c>
      <c r="H99" s="830"/>
      <c r="I99" s="830">
        <v>246243418.61000001</v>
      </c>
      <c r="J99" s="830"/>
      <c r="K99" s="830">
        <v>270389227.49000001</v>
      </c>
      <c r="L99" s="830"/>
      <c r="M99" s="830">
        <f t="shared" ref="M99" si="9">ROUND(SUM(O99)-SUM(K99),2)</f>
        <v>-31532964.100000001</v>
      </c>
      <c r="N99" s="830"/>
      <c r="O99" s="830">
        <v>238856263.38999999</v>
      </c>
      <c r="P99" s="1657"/>
      <c r="Q99" s="1658"/>
    </row>
    <row r="100" spans="2:17" s="1647" customFormat="1" ht="15.5">
      <c r="B100" s="1653">
        <v>32353</v>
      </c>
      <c r="C100" s="1624"/>
      <c r="D100" s="1654" t="s">
        <v>1419</v>
      </c>
      <c r="E100" s="1663"/>
      <c r="F100" s="830"/>
      <c r="G100" s="830">
        <v>0</v>
      </c>
      <c r="H100" s="830"/>
      <c r="I100" s="830">
        <v>0</v>
      </c>
      <c r="J100" s="830"/>
      <c r="K100" s="830">
        <v>0</v>
      </c>
      <c r="L100" s="830"/>
      <c r="M100" s="830">
        <f t="shared" ref="M100" si="10">ROUND(SUM(O100)-SUM(K100),2)</f>
        <v>0</v>
      </c>
      <c r="N100" s="830"/>
      <c r="O100" s="830">
        <v>0</v>
      </c>
      <c r="P100" s="1657"/>
      <c r="Q100" s="1658"/>
    </row>
    <row r="101" spans="2:17" s="1647" customFormat="1" ht="15.5">
      <c r="B101" s="1653">
        <v>33001</v>
      </c>
      <c r="C101" s="834"/>
      <c r="D101" s="1654" t="s">
        <v>573</v>
      </c>
      <c r="E101" s="1663"/>
      <c r="F101" s="830">
        <v>10000000</v>
      </c>
      <c r="G101" s="830">
        <v>70485268.620000005</v>
      </c>
      <c r="H101" s="830"/>
      <c r="I101" s="830">
        <v>71070697.599999994</v>
      </c>
      <c r="J101" s="830"/>
      <c r="K101" s="830">
        <v>70703932.609999999</v>
      </c>
      <c r="L101" s="830"/>
      <c r="M101" s="830">
        <f t="shared" si="7"/>
        <v>-17077701</v>
      </c>
      <c r="N101" s="830"/>
      <c r="O101" s="830">
        <v>53626231.609999999</v>
      </c>
      <c r="P101" s="1657"/>
      <c r="Q101" s="1658"/>
    </row>
    <row r="102" spans="2:17" s="1647" customFormat="1" ht="16" thickBot="1">
      <c r="B102" s="1664"/>
      <c r="C102" s="1665"/>
      <c r="D102" s="1659" t="s">
        <v>574</v>
      </c>
      <c r="E102" s="1651"/>
      <c r="F102" s="1651"/>
      <c r="G102" s="1038">
        <f>ROUND(SUM(G14:G101),2)</f>
        <v>1606809055.04</v>
      </c>
      <c r="H102" s="1309"/>
      <c r="I102" s="1038">
        <f>ROUND(SUM(I14:I101),2)</f>
        <v>1701624158.97</v>
      </c>
      <c r="J102" s="1309"/>
      <c r="K102" s="1038">
        <f>ROUND(SUM(K14:K101),2)</f>
        <v>1821038034.05</v>
      </c>
      <c r="L102"/>
      <c r="M102" s="832">
        <f>ROUND(SUM(M14:M101),2)</f>
        <v>115088223.19</v>
      </c>
      <c r="N102"/>
      <c r="O102" s="1038">
        <f>ROUND(SUM(O14:O101),2)</f>
        <v>1936126257.24</v>
      </c>
      <c r="P102" s="1657"/>
      <c r="Q102" s="1658"/>
    </row>
    <row r="103" spans="2:17" s="1647" customFormat="1" ht="16" thickTop="1">
      <c r="B103" s="1652"/>
      <c r="C103" s="1652"/>
      <c r="D103" s="1666"/>
      <c r="E103" s="1652"/>
      <c r="F103" s="1652"/>
      <c r="G103" s="1977"/>
      <c r="H103" s="469"/>
      <c r="I103" s="1977"/>
      <c r="J103" s="469"/>
      <c r="K103" s="1977"/>
      <c r="L103" s="469"/>
      <c r="M103" s="2189"/>
      <c r="N103" s="469"/>
      <c r="O103" s="1977"/>
      <c r="P103" s="1667"/>
      <c r="Q103" s="1658"/>
    </row>
    <row r="104" spans="2:17" s="1647" customFormat="1" ht="15.5">
      <c r="B104" s="1648"/>
      <c r="C104" s="1665"/>
      <c r="D104" s="1668" t="s">
        <v>575</v>
      </c>
      <c r="E104" s="1669"/>
      <c r="F104" s="1669"/>
      <c r="G104" s="1978"/>
      <c r="H104" s="1759"/>
      <c r="I104" s="1978"/>
      <c r="J104" s="1759"/>
      <c r="K104" s="1978"/>
      <c r="L104" s="1759"/>
      <c r="M104" s="1309"/>
      <c r="N104" s="1309"/>
      <c r="O104" s="1978"/>
      <c r="P104" s="1652"/>
      <c r="Q104" s="1658"/>
    </row>
    <row r="105" spans="2:17" s="1647" customFormat="1" ht="15.5">
      <c r="B105" s="1653">
        <v>20401</v>
      </c>
      <c r="C105" s="1665"/>
      <c r="D105" s="1654" t="s">
        <v>1240</v>
      </c>
      <c r="E105" s="1669"/>
      <c r="F105" s="1669"/>
      <c r="G105" s="830">
        <v>0</v>
      </c>
      <c r="H105" s="1759"/>
      <c r="I105" s="830">
        <v>0</v>
      </c>
      <c r="J105" s="1759"/>
      <c r="K105" s="830">
        <v>0</v>
      </c>
      <c r="L105" s="1759"/>
      <c r="M105" s="830">
        <f t="shared" ref="M105:M165" si="11">ROUND(SUM(O105)-SUM(K105),2)</f>
        <v>0</v>
      </c>
      <c r="N105" s="1309"/>
      <c r="O105" s="830">
        <v>0</v>
      </c>
      <c r="P105" s="1652"/>
      <c r="Q105" s="1658"/>
    </row>
    <row r="106" spans="2:17" s="1647" customFormat="1" ht="15.5">
      <c r="B106" s="1653">
        <v>20501</v>
      </c>
      <c r="C106" s="1670"/>
      <c r="D106" s="1654" t="s">
        <v>576</v>
      </c>
      <c r="E106" s="1671"/>
      <c r="F106" s="1671"/>
      <c r="G106" s="830">
        <v>0</v>
      </c>
      <c r="H106" s="830"/>
      <c r="I106" s="830">
        <v>0</v>
      </c>
      <c r="J106" s="830"/>
      <c r="K106" s="830">
        <v>0</v>
      </c>
      <c r="L106" s="830"/>
      <c r="M106" s="830">
        <f t="shared" si="11"/>
        <v>0</v>
      </c>
      <c r="N106" s="830"/>
      <c r="O106" s="830">
        <v>0</v>
      </c>
      <c r="P106" s="1657"/>
      <c r="Q106" s="1658"/>
    </row>
    <row r="107" spans="2:17" s="1647" customFormat="1" ht="15.5">
      <c r="B107" s="1653">
        <v>20810</v>
      </c>
      <c r="C107" s="1662"/>
      <c r="D107" s="1654" t="s">
        <v>577</v>
      </c>
      <c r="E107" s="1663"/>
      <c r="F107" s="1663"/>
      <c r="G107" s="830">
        <v>0</v>
      </c>
      <c r="H107" s="830"/>
      <c r="I107" s="830">
        <v>9791066.0500000007</v>
      </c>
      <c r="J107" s="830"/>
      <c r="K107" s="830">
        <v>61819702.109999999</v>
      </c>
      <c r="L107" s="830"/>
      <c r="M107" s="830">
        <f t="shared" si="11"/>
        <v>-61819702.109999999</v>
      </c>
      <c r="N107" s="830"/>
      <c r="O107" s="830">
        <v>0</v>
      </c>
      <c r="P107" s="1329"/>
      <c r="Q107" s="1658"/>
    </row>
    <row r="108" spans="2:17" s="1647" customFormat="1" ht="15.5">
      <c r="B108" s="1653">
        <v>20818</v>
      </c>
      <c r="C108" s="1662"/>
      <c r="D108" s="1654" t="s">
        <v>578</v>
      </c>
      <c r="E108" s="1663"/>
      <c r="F108" s="1663"/>
      <c r="G108" s="830">
        <v>0</v>
      </c>
      <c r="H108" s="830"/>
      <c r="I108" s="830">
        <v>0</v>
      </c>
      <c r="J108" s="830"/>
      <c r="K108" s="830">
        <v>6251148.71</v>
      </c>
      <c r="L108" s="830"/>
      <c r="M108" s="830">
        <f t="shared" si="11"/>
        <v>-6251148.71</v>
      </c>
      <c r="N108" s="830"/>
      <c r="O108" s="830">
        <v>0</v>
      </c>
      <c r="P108" s="1329"/>
      <c r="Q108" s="1658"/>
    </row>
    <row r="109" spans="2:17" s="1647" customFormat="1" ht="15.5">
      <c r="B109" s="1653">
        <v>20901</v>
      </c>
      <c r="C109" s="1662"/>
      <c r="D109" s="1654" t="s">
        <v>579</v>
      </c>
      <c r="E109" s="1663"/>
      <c r="F109" s="1663"/>
      <c r="G109" s="830">
        <v>799733312.29999995</v>
      </c>
      <c r="H109" s="830"/>
      <c r="I109" s="830">
        <v>604029678.34000003</v>
      </c>
      <c r="J109" s="830"/>
      <c r="K109" s="830">
        <v>435302104.88999999</v>
      </c>
      <c r="L109" s="830"/>
      <c r="M109" s="830">
        <f t="shared" si="11"/>
        <v>-435302104.88999999</v>
      </c>
      <c r="N109" s="830"/>
      <c r="O109" s="830">
        <v>0</v>
      </c>
      <c r="P109" s="1329"/>
      <c r="Q109" s="1658"/>
    </row>
    <row r="110" spans="2:17" s="1647" customFormat="1" ht="15.5">
      <c r="B110" s="1653">
        <v>20904</v>
      </c>
      <c r="C110" s="1662"/>
      <c r="D110" s="1654" t="s">
        <v>580</v>
      </c>
      <c r="E110" s="1663"/>
      <c r="F110" s="1663"/>
      <c r="G110" s="830">
        <v>0</v>
      </c>
      <c r="H110" s="830"/>
      <c r="I110" s="830">
        <v>0</v>
      </c>
      <c r="J110" s="830"/>
      <c r="K110" s="830">
        <v>0</v>
      </c>
      <c r="L110" s="830"/>
      <c r="M110" s="830">
        <f t="shared" si="11"/>
        <v>0</v>
      </c>
      <c r="N110" s="830"/>
      <c r="O110" s="830">
        <v>0</v>
      </c>
      <c r="P110" s="1329"/>
      <c r="Q110" s="1658"/>
    </row>
    <row r="111" spans="2:17" s="1647" customFormat="1" ht="15.5">
      <c r="B111" s="1653">
        <v>21001</v>
      </c>
      <c r="C111" s="1662"/>
      <c r="D111" s="1654" t="s">
        <v>1420</v>
      </c>
      <c r="E111" s="1663"/>
      <c r="F111" s="1663"/>
      <c r="G111" s="830">
        <v>0</v>
      </c>
      <c r="H111" s="830"/>
      <c r="I111" s="830">
        <v>0</v>
      </c>
      <c r="J111" s="830"/>
      <c r="K111" s="830">
        <v>0</v>
      </c>
      <c r="L111" s="830"/>
      <c r="M111" s="830">
        <f>ROUND(SUM(O111)-SUM(K111),2)</f>
        <v>0</v>
      </c>
      <c r="N111" s="830"/>
      <c r="O111" s="830">
        <v>0</v>
      </c>
      <c r="P111" s="1329"/>
      <c r="Q111" s="1658"/>
    </row>
    <row r="112" spans="2:17" s="1647" customFormat="1" ht="15.5">
      <c r="B112" s="1653">
        <v>21002</v>
      </c>
      <c r="C112" s="1662"/>
      <c r="D112" s="1654" t="s">
        <v>1197</v>
      </c>
      <c r="E112" s="1663"/>
      <c r="F112" s="1663"/>
      <c r="G112" s="830">
        <v>498380.33</v>
      </c>
      <c r="H112" s="830"/>
      <c r="I112" s="830">
        <v>546764.61</v>
      </c>
      <c r="J112" s="830"/>
      <c r="K112" s="830">
        <v>595148.89</v>
      </c>
      <c r="L112" s="830"/>
      <c r="M112" s="830">
        <f t="shared" si="11"/>
        <v>-595148.89</v>
      </c>
      <c r="N112" s="830"/>
      <c r="O112" s="830">
        <v>0</v>
      </c>
      <c r="P112" s="1329"/>
      <c r="Q112" s="1658"/>
    </row>
    <row r="113" spans="2:17" s="1647" customFormat="1" ht="15.5">
      <c r="B113" s="1653">
        <v>21061</v>
      </c>
      <c r="C113" s="1662"/>
      <c r="D113" s="1654" t="s">
        <v>581</v>
      </c>
      <c r="E113" s="1663"/>
      <c r="F113" s="1663"/>
      <c r="G113" s="830">
        <v>0</v>
      </c>
      <c r="H113" s="830"/>
      <c r="I113" s="830">
        <v>0</v>
      </c>
      <c r="J113" s="830"/>
      <c r="K113" s="830">
        <v>0</v>
      </c>
      <c r="L113" s="830"/>
      <c r="M113" s="830">
        <f t="shared" si="11"/>
        <v>0</v>
      </c>
      <c r="N113" s="830"/>
      <c r="O113" s="830">
        <v>0</v>
      </c>
      <c r="P113" s="1329"/>
      <c r="Q113" s="1658"/>
    </row>
    <row r="114" spans="2:17" s="1647" customFormat="1" ht="15.5">
      <c r="B114" s="1653">
        <v>21064</v>
      </c>
      <c r="C114" s="1662"/>
      <c r="D114" s="1654" t="s">
        <v>1187</v>
      </c>
      <c r="E114" s="1663"/>
      <c r="F114" s="1663"/>
      <c r="G114" s="830">
        <v>399.98</v>
      </c>
      <c r="H114" s="830"/>
      <c r="I114" s="830">
        <v>988199.98</v>
      </c>
      <c r="J114" s="830"/>
      <c r="K114" s="830">
        <v>1650618.66</v>
      </c>
      <c r="L114" s="830"/>
      <c r="M114" s="830">
        <f t="shared" ref="M114" si="12">ROUND(SUM(O114)-SUM(K114),2)</f>
        <v>-1650000</v>
      </c>
      <c r="N114" s="830"/>
      <c r="O114" s="830">
        <v>618.66</v>
      </c>
      <c r="P114" s="1329"/>
      <c r="Q114" s="1658"/>
    </row>
    <row r="115" spans="2:17" s="1647" customFormat="1" ht="15.5">
      <c r="B115" s="1653">
        <v>21065</v>
      </c>
      <c r="C115" s="1662"/>
      <c r="D115" s="1654" t="s">
        <v>582</v>
      </c>
      <c r="E115" s="1663"/>
      <c r="F115" s="1663"/>
      <c r="G115" s="830">
        <v>3340316.61</v>
      </c>
      <c r="H115" s="830"/>
      <c r="I115" s="830">
        <v>1030736.05</v>
      </c>
      <c r="J115" s="830"/>
      <c r="K115" s="830">
        <v>0</v>
      </c>
      <c r="L115" s="830"/>
      <c r="M115" s="830">
        <f t="shared" si="11"/>
        <v>0</v>
      </c>
      <c r="N115" s="830"/>
      <c r="O115" s="830">
        <v>0</v>
      </c>
      <c r="P115" s="1329"/>
      <c r="Q115" s="1658"/>
    </row>
    <row r="116" spans="2:17" s="1647" customFormat="1" ht="15.5">
      <c r="B116" s="1653">
        <v>21066</v>
      </c>
      <c r="C116" s="1662"/>
      <c r="D116" s="1661" t="s">
        <v>583</v>
      </c>
      <c r="E116" s="1663"/>
      <c r="F116" s="1663"/>
      <c r="G116" s="830">
        <v>227244.73</v>
      </c>
      <c r="H116" s="830"/>
      <c r="I116" s="830">
        <v>0</v>
      </c>
      <c r="J116" s="830"/>
      <c r="K116" s="830">
        <v>0</v>
      </c>
      <c r="L116" s="830"/>
      <c r="M116" s="830">
        <f t="shared" si="11"/>
        <v>537689.56000000006</v>
      </c>
      <c r="N116" s="830"/>
      <c r="O116" s="830">
        <v>537689.56000000006</v>
      </c>
      <c r="P116" s="1329"/>
      <c r="Q116" s="1658"/>
    </row>
    <row r="117" spans="2:17" s="1647" customFormat="1" ht="15.5">
      <c r="B117" s="1653">
        <v>21067</v>
      </c>
      <c r="C117" s="1662"/>
      <c r="D117" s="1661" t="s">
        <v>584</v>
      </c>
      <c r="E117" s="1663"/>
      <c r="F117" s="1663"/>
      <c r="G117" s="830">
        <v>0</v>
      </c>
      <c r="H117" s="830"/>
      <c r="I117" s="830">
        <v>0</v>
      </c>
      <c r="J117" s="830"/>
      <c r="K117" s="830">
        <v>0</v>
      </c>
      <c r="L117" s="830"/>
      <c r="M117" s="830">
        <f t="shared" si="11"/>
        <v>0</v>
      </c>
      <c r="N117" s="830"/>
      <c r="O117" s="830">
        <v>0</v>
      </c>
      <c r="P117" s="1329"/>
      <c r="Q117" s="1658"/>
    </row>
    <row r="118" spans="2:17" s="1647" customFormat="1" ht="15.5">
      <c r="B118" s="1653">
        <v>21077</v>
      </c>
      <c r="C118" s="1662"/>
      <c r="D118" s="1654" t="s">
        <v>585</v>
      </c>
      <c r="E118" s="1663"/>
      <c r="F118" s="1663"/>
      <c r="G118" s="830">
        <v>0</v>
      </c>
      <c r="H118" s="830"/>
      <c r="I118" s="830">
        <v>0</v>
      </c>
      <c r="J118" s="830"/>
      <c r="K118" s="830">
        <v>0</v>
      </c>
      <c r="L118" s="830"/>
      <c r="M118" s="830">
        <f t="shared" si="11"/>
        <v>0</v>
      </c>
      <c r="N118" s="830"/>
      <c r="O118" s="830">
        <v>0</v>
      </c>
      <c r="P118" s="1329"/>
      <c r="Q118" s="1658"/>
    </row>
    <row r="119" spans="2:17" s="1647" customFormat="1" ht="15.5">
      <c r="B119" s="1653">
        <v>21081</v>
      </c>
      <c r="C119" s="1662"/>
      <c r="D119" s="1661" t="s">
        <v>586</v>
      </c>
      <c r="E119" s="1663"/>
      <c r="F119" s="1663"/>
      <c r="G119" s="830">
        <v>79108377.620000005</v>
      </c>
      <c r="H119" s="830"/>
      <c r="I119" s="830">
        <v>79312444.829999998</v>
      </c>
      <c r="J119" s="830"/>
      <c r="K119" s="830">
        <v>79539867.420000002</v>
      </c>
      <c r="L119" s="830"/>
      <c r="M119" s="830">
        <f t="shared" si="11"/>
        <v>-323793.34999999998</v>
      </c>
      <c r="N119" s="830"/>
      <c r="O119" s="830">
        <v>79216074.069999993</v>
      </c>
      <c r="P119" s="1329"/>
      <c r="Q119" s="1658"/>
    </row>
    <row r="120" spans="2:17" s="1647" customFormat="1" ht="15.5">
      <c r="B120" s="1653">
        <v>21082</v>
      </c>
      <c r="C120" s="1662"/>
      <c r="D120" s="1654" t="s">
        <v>587</v>
      </c>
      <c r="E120" s="1663"/>
      <c r="F120" s="1663"/>
      <c r="G120" s="830">
        <v>2689080.14</v>
      </c>
      <c r="H120" s="830"/>
      <c r="I120" s="830">
        <v>2576324.86</v>
      </c>
      <c r="J120" s="830"/>
      <c r="K120" s="830">
        <v>2426038.1800000002</v>
      </c>
      <c r="L120" s="830"/>
      <c r="M120" s="830">
        <f t="shared" si="11"/>
        <v>10441.18</v>
      </c>
      <c r="N120" s="830"/>
      <c r="O120" s="830">
        <v>2436479.36</v>
      </c>
      <c r="P120" s="1329"/>
      <c r="Q120" s="1658"/>
    </row>
    <row r="121" spans="2:17" s="1647" customFormat="1" ht="15.5">
      <c r="B121" s="1653">
        <v>21084</v>
      </c>
      <c r="C121" s="1662"/>
      <c r="D121" s="1654" t="s">
        <v>588</v>
      </c>
      <c r="E121" s="1663"/>
      <c r="F121" s="1663"/>
      <c r="G121" s="830">
        <v>0</v>
      </c>
      <c r="H121" s="830"/>
      <c r="I121" s="830">
        <v>0</v>
      </c>
      <c r="J121" s="830"/>
      <c r="K121" s="830">
        <v>0</v>
      </c>
      <c r="L121" s="830"/>
      <c r="M121" s="830">
        <f t="shared" si="11"/>
        <v>0</v>
      </c>
      <c r="N121" s="830"/>
      <c r="O121" s="830">
        <v>0</v>
      </c>
      <c r="P121" s="1329"/>
      <c r="Q121" s="1658"/>
    </row>
    <row r="122" spans="2:17" s="1647" customFormat="1" ht="15.5">
      <c r="B122" s="1653">
        <v>21087</v>
      </c>
      <c r="C122" s="1662"/>
      <c r="D122" s="1654" t="s">
        <v>589</v>
      </c>
      <c r="E122" s="1663"/>
      <c r="F122" s="1663"/>
      <c r="G122" s="830">
        <v>0</v>
      </c>
      <c r="H122" s="830"/>
      <c r="I122" s="830">
        <v>0</v>
      </c>
      <c r="J122" s="830"/>
      <c r="K122" s="830">
        <v>0</v>
      </c>
      <c r="L122" s="830"/>
      <c r="M122" s="830">
        <f t="shared" si="11"/>
        <v>0</v>
      </c>
      <c r="N122" s="830"/>
      <c r="O122" s="830">
        <v>0</v>
      </c>
      <c r="P122" s="1329"/>
      <c r="Q122" s="1658"/>
    </row>
    <row r="123" spans="2:17" s="1647" customFormat="1" ht="15.5">
      <c r="B123" s="1653">
        <v>21201</v>
      </c>
      <c r="C123" s="1662"/>
      <c r="D123" s="1654" t="s">
        <v>590</v>
      </c>
      <c r="E123" s="1663"/>
      <c r="F123" s="1663"/>
      <c r="G123" s="830">
        <v>0</v>
      </c>
      <c r="H123" s="830"/>
      <c r="I123" s="830">
        <v>0</v>
      </c>
      <c r="J123" s="830"/>
      <c r="K123" s="830">
        <v>0</v>
      </c>
      <c r="L123" s="830"/>
      <c r="M123" s="830">
        <f t="shared" si="11"/>
        <v>0</v>
      </c>
      <c r="N123" s="830"/>
      <c r="O123" s="830">
        <v>0</v>
      </c>
      <c r="P123" s="1329"/>
      <c r="Q123" s="1658"/>
    </row>
    <row r="124" spans="2:17" s="1647" customFormat="1" ht="15.5">
      <c r="B124" s="1653">
        <v>21202</v>
      </c>
      <c r="C124" s="1662"/>
      <c r="D124" s="1654" t="s">
        <v>591</v>
      </c>
      <c r="E124" s="1663"/>
      <c r="F124" s="1663"/>
      <c r="G124" s="830">
        <v>0</v>
      </c>
      <c r="H124" s="830"/>
      <c r="I124" s="830">
        <v>0</v>
      </c>
      <c r="J124" s="830"/>
      <c r="K124" s="830">
        <v>0</v>
      </c>
      <c r="L124" s="830"/>
      <c r="M124" s="830">
        <f t="shared" si="11"/>
        <v>0</v>
      </c>
      <c r="N124" s="830"/>
      <c r="O124" s="830">
        <v>0</v>
      </c>
      <c r="P124" s="1329"/>
      <c r="Q124" s="1658"/>
    </row>
    <row r="125" spans="2:17" s="1647" customFormat="1" ht="15.5">
      <c r="B125" s="1653">
        <v>21203</v>
      </c>
      <c r="C125" s="1662"/>
      <c r="D125" s="1654" t="s">
        <v>592</v>
      </c>
      <c r="E125" s="1663"/>
      <c r="F125" s="1663"/>
      <c r="G125" s="830">
        <v>4941.4799999999996</v>
      </c>
      <c r="H125" s="830"/>
      <c r="I125" s="830">
        <v>87455.26</v>
      </c>
      <c r="J125" s="830"/>
      <c r="K125" s="830">
        <v>105.32999999994399</v>
      </c>
      <c r="L125" s="830"/>
      <c r="M125" s="830">
        <f t="shared" si="11"/>
        <v>-105.33</v>
      </c>
      <c r="N125" s="830"/>
      <c r="O125" s="830">
        <v>0</v>
      </c>
      <c r="P125" s="1329"/>
      <c r="Q125" s="1658"/>
    </row>
    <row r="126" spans="2:17" s="1647" customFormat="1" ht="15.5">
      <c r="B126" s="1653">
        <v>21204</v>
      </c>
      <c r="C126" s="1662"/>
      <c r="D126" s="1654" t="s">
        <v>1421</v>
      </c>
      <c r="E126" s="1663"/>
      <c r="F126" s="1663"/>
      <c r="G126" s="830">
        <v>0</v>
      </c>
      <c r="H126" s="830"/>
      <c r="I126" s="830">
        <v>0</v>
      </c>
      <c r="J126" s="830"/>
      <c r="K126" s="830">
        <v>0</v>
      </c>
      <c r="L126" s="830"/>
      <c r="M126" s="830">
        <f t="shared" ref="M126:M127" si="13">ROUND(SUM(O126)-SUM(K126),2)</f>
        <v>0</v>
      </c>
      <c r="N126" s="830"/>
      <c r="O126" s="830">
        <v>0</v>
      </c>
      <c r="P126" s="1329"/>
      <c r="Q126" s="1658"/>
    </row>
    <row r="127" spans="2:17" s="1647" customFormat="1" ht="15.5">
      <c r="B127" s="1653">
        <v>21205</v>
      </c>
      <c r="C127" s="1662"/>
      <c r="D127" s="1654" t="s">
        <v>1422</v>
      </c>
      <c r="E127" s="1663"/>
      <c r="F127" s="1663"/>
      <c r="G127" s="830">
        <v>0</v>
      </c>
      <c r="H127" s="830"/>
      <c r="I127" s="830">
        <v>0</v>
      </c>
      <c r="J127" s="830"/>
      <c r="K127" s="830">
        <v>0</v>
      </c>
      <c r="L127" s="830"/>
      <c r="M127" s="830">
        <f t="shared" si="13"/>
        <v>0</v>
      </c>
      <c r="N127" s="830"/>
      <c r="O127" s="830">
        <v>0</v>
      </c>
      <c r="P127" s="1329"/>
      <c r="Q127" s="1658"/>
    </row>
    <row r="128" spans="2:17" s="1647" customFormat="1" ht="15.5">
      <c r="B128" s="1653">
        <v>21206</v>
      </c>
      <c r="C128" s="1662"/>
      <c r="D128" s="1654" t="s">
        <v>1521</v>
      </c>
      <c r="E128" s="1663"/>
      <c r="F128" s="1663"/>
      <c r="G128" s="830">
        <v>0</v>
      </c>
      <c r="H128" s="830"/>
      <c r="I128" s="830">
        <v>0</v>
      </c>
      <c r="J128" s="830"/>
      <c r="K128" s="830">
        <v>0</v>
      </c>
      <c r="L128" s="830"/>
      <c r="M128" s="830">
        <f t="shared" ref="M128" si="14">ROUND(SUM(O128)-SUM(K128),2)</f>
        <v>0</v>
      </c>
      <c r="N128" s="830"/>
      <c r="O128" s="830">
        <v>0</v>
      </c>
      <c r="P128" s="1329"/>
      <c r="Q128" s="1658"/>
    </row>
    <row r="129" spans="2:17" s="1647" customFormat="1" ht="15.5">
      <c r="B129" s="1653">
        <v>21401</v>
      </c>
      <c r="C129" s="1662"/>
      <c r="D129" s="1661" t="s">
        <v>593</v>
      </c>
      <c r="E129" s="1663"/>
      <c r="F129" s="1663"/>
      <c r="G129" s="830">
        <v>0</v>
      </c>
      <c r="H129" s="830"/>
      <c r="I129" s="830">
        <v>0</v>
      </c>
      <c r="J129" s="830"/>
      <c r="K129" s="830">
        <v>7875995.7999999998</v>
      </c>
      <c r="L129" s="830"/>
      <c r="M129" s="830">
        <f t="shared" si="11"/>
        <v>-7875995.7999999998</v>
      </c>
      <c r="N129" s="830"/>
      <c r="O129" s="830">
        <v>0</v>
      </c>
      <c r="P129" s="1329"/>
      <c r="Q129" s="1658"/>
    </row>
    <row r="130" spans="2:17" s="1647" customFormat="1" ht="15.5">
      <c r="B130" s="1653">
        <v>21402</v>
      </c>
      <c r="C130" s="1662"/>
      <c r="D130" s="1661" t="s">
        <v>594</v>
      </c>
      <c r="E130" s="1663"/>
      <c r="F130" s="1663"/>
      <c r="G130" s="830">
        <v>53754408.909999996</v>
      </c>
      <c r="H130" s="830"/>
      <c r="I130" s="830">
        <v>0</v>
      </c>
      <c r="J130" s="830"/>
      <c r="K130" s="830">
        <v>0</v>
      </c>
      <c r="L130" s="830"/>
      <c r="M130" s="830">
        <f t="shared" si="11"/>
        <v>0</v>
      </c>
      <c r="N130" s="830"/>
      <c r="O130" s="830">
        <v>0</v>
      </c>
      <c r="P130" s="1329"/>
      <c r="Q130" s="1658"/>
    </row>
    <row r="131" spans="2:17" s="1647" customFormat="1" ht="15.5">
      <c r="B131" s="1653">
        <v>21451</v>
      </c>
      <c r="C131" s="1662"/>
      <c r="D131" s="1661" t="s">
        <v>595</v>
      </c>
      <c r="E131" s="1663"/>
      <c r="F131" s="1663"/>
      <c r="G131" s="830">
        <v>39528453.810000002</v>
      </c>
      <c r="H131" s="830"/>
      <c r="I131" s="830">
        <v>40019331.640000001</v>
      </c>
      <c r="J131" s="830"/>
      <c r="K131" s="830">
        <v>40645782.630000003</v>
      </c>
      <c r="L131" s="830"/>
      <c r="M131" s="830">
        <f t="shared" si="11"/>
        <v>801990.68</v>
      </c>
      <c r="N131" s="830"/>
      <c r="O131" s="830">
        <v>41447773.310000002</v>
      </c>
      <c r="P131" s="1329"/>
      <c r="Q131" s="1658"/>
    </row>
    <row r="132" spans="2:17" s="1647" customFormat="1" ht="15.5">
      <c r="B132" s="1653">
        <v>21452</v>
      </c>
      <c r="C132" s="1662"/>
      <c r="D132" s="1654" t="s">
        <v>596</v>
      </c>
      <c r="E132" s="1663"/>
      <c r="F132" s="1663"/>
      <c r="G132" s="830">
        <v>0</v>
      </c>
      <c r="H132" s="830"/>
      <c r="I132" s="830">
        <v>0</v>
      </c>
      <c r="J132" s="830"/>
      <c r="K132" s="830">
        <v>0</v>
      </c>
      <c r="L132" s="830"/>
      <c r="M132" s="830">
        <f t="shared" si="11"/>
        <v>0</v>
      </c>
      <c r="N132" s="830"/>
      <c r="O132" s="830">
        <v>0</v>
      </c>
      <c r="P132" s="1329"/>
      <c r="Q132" s="1658"/>
    </row>
    <row r="133" spans="2:17" s="1647" customFormat="1" ht="15.5">
      <c r="B133" s="1653">
        <v>21902</v>
      </c>
      <c r="C133" s="1662"/>
      <c r="D133" s="1661" t="s">
        <v>1135</v>
      </c>
      <c r="E133" s="1663"/>
      <c r="F133" s="1663"/>
      <c r="G133" s="830">
        <v>0</v>
      </c>
      <c r="H133" s="830"/>
      <c r="I133" s="830">
        <v>0</v>
      </c>
      <c r="J133" s="830"/>
      <c r="K133" s="830">
        <v>0</v>
      </c>
      <c r="L133" s="830"/>
      <c r="M133" s="830">
        <f t="shared" si="11"/>
        <v>0</v>
      </c>
      <c r="N133" s="830"/>
      <c r="O133" s="830">
        <v>0</v>
      </c>
      <c r="P133" s="1329"/>
      <c r="Q133" s="1658"/>
    </row>
    <row r="134" spans="2:17" s="1647" customFormat="1" ht="15.5">
      <c r="B134" s="1653">
        <v>21905</v>
      </c>
      <c r="C134" s="1662"/>
      <c r="D134" s="1757" t="s">
        <v>1138</v>
      </c>
      <c r="E134" s="1663"/>
      <c r="F134" s="1663"/>
      <c r="G134" s="830">
        <v>2548744.23999999</v>
      </c>
      <c r="H134" s="830"/>
      <c r="I134" s="830">
        <v>2373671.27</v>
      </c>
      <c r="J134" s="830"/>
      <c r="K134" s="830">
        <v>542072.68000000704</v>
      </c>
      <c r="L134" s="830"/>
      <c r="M134" s="830">
        <f t="shared" si="11"/>
        <v>1214793.8799999999</v>
      </c>
      <c r="N134" s="830"/>
      <c r="O134" s="830">
        <v>1756866.5600000001</v>
      </c>
      <c r="P134" s="1329"/>
      <c r="Q134" s="1658"/>
    </row>
    <row r="135" spans="2:17" s="1647" customFormat="1" ht="15.5">
      <c r="B135" s="1653">
        <v>21907</v>
      </c>
      <c r="C135" s="1662"/>
      <c r="D135" s="1654" t="s">
        <v>597</v>
      </c>
      <c r="E135" s="1663"/>
      <c r="F135" s="1663"/>
      <c r="G135" s="830">
        <v>0</v>
      </c>
      <c r="H135" s="830"/>
      <c r="I135" s="830">
        <v>0</v>
      </c>
      <c r="J135" s="830"/>
      <c r="K135" s="830">
        <v>0</v>
      </c>
      <c r="L135" s="830"/>
      <c r="M135" s="830">
        <f t="shared" si="11"/>
        <v>0</v>
      </c>
      <c r="N135" s="830"/>
      <c r="O135" s="830">
        <v>0</v>
      </c>
      <c r="P135" s="1329"/>
      <c r="Q135" s="1658"/>
    </row>
    <row r="136" spans="2:17" s="1647" customFormat="1" ht="15.5">
      <c r="B136" s="1653">
        <v>21909</v>
      </c>
      <c r="C136" s="1662"/>
      <c r="D136" s="1654" t="s">
        <v>598</v>
      </c>
      <c r="E136" s="1663"/>
      <c r="F136" s="1663"/>
      <c r="G136" s="830">
        <v>0</v>
      </c>
      <c r="H136" s="830"/>
      <c r="I136" s="830">
        <v>0</v>
      </c>
      <c r="J136" s="830"/>
      <c r="K136" s="830">
        <v>0</v>
      </c>
      <c r="L136" s="830"/>
      <c r="M136" s="830">
        <f t="shared" si="11"/>
        <v>0</v>
      </c>
      <c r="N136" s="830"/>
      <c r="O136" s="830">
        <v>0</v>
      </c>
      <c r="P136" s="1329"/>
      <c r="Q136" s="1658"/>
    </row>
    <row r="137" spans="2:17" s="1647" customFormat="1" ht="15.5">
      <c r="B137" s="1653">
        <v>21911</v>
      </c>
      <c r="C137" s="1662"/>
      <c r="D137" s="1654" t="s">
        <v>599</v>
      </c>
      <c r="E137" s="1663"/>
      <c r="F137" s="1663"/>
      <c r="G137" s="830">
        <v>549054.02</v>
      </c>
      <c r="H137" s="830"/>
      <c r="I137" s="830">
        <v>198008.6</v>
      </c>
      <c r="J137" s="830"/>
      <c r="K137" s="830">
        <v>396768.5</v>
      </c>
      <c r="L137" s="830"/>
      <c r="M137" s="830">
        <f t="shared" si="11"/>
        <v>305157.67</v>
      </c>
      <c r="N137" s="830"/>
      <c r="O137" s="830">
        <v>701926.17</v>
      </c>
      <c r="P137" s="1329"/>
      <c r="Q137" s="1658"/>
    </row>
    <row r="138" spans="2:17" s="1647" customFormat="1" ht="15.5">
      <c r="B138" s="1653">
        <v>21912</v>
      </c>
      <c r="C138" s="1662"/>
      <c r="D138" s="1661" t="s">
        <v>600</v>
      </c>
      <c r="E138" s="1663"/>
      <c r="F138" s="1663"/>
      <c r="G138" s="830">
        <v>4373164.71</v>
      </c>
      <c r="H138" s="830"/>
      <c r="I138" s="830">
        <v>4327133.42</v>
      </c>
      <c r="J138" s="830"/>
      <c r="K138" s="830">
        <v>4211972.22</v>
      </c>
      <c r="L138" s="830"/>
      <c r="M138" s="830">
        <f t="shared" si="11"/>
        <v>196241.95</v>
      </c>
      <c r="N138" s="830"/>
      <c r="O138" s="830">
        <v>4408214.17</v>
      </c>
      <c r="P138" s="1329"/>
      <c r="Q138" s="1658"/>
    </row>
    <row r="139" spans="2:17" s="1647" customFormat="1" ht="15.5">
      <c r="B139" s="1653">
        <v>21937</v>
      </c>
      <c r="C139" s="1662"/>
      <c r="D139" s="1654" t="s">
        <v>601</v>
      </c>
      <c r="E139" s="1663"/>
      <c r="F139" s="1663"/>
      <c r="G139" s="830">
        <v>197759.7</v>
      </c>
      <c r="H139" s="830"/>
      <c r="I139" s="830">
        <v>555658.76</v>
      </c>
      <c r="J139" s="830"/>
      <c r="K139" s="830">
        <v>1160118.8</v>
      </c>
      <c r="L139" s="830"/>
      <c r="M139" s="830">
        <f>ROUND(SUM(O139)-SUM(K139),2)</f>
        <v>-1160118.79</v>
      </c>
      <c r="N139" s="830"/>
      <c r="O139" s="830">
        <v>0.01</v>
      </c>
      <c r="P139" s="1329"/>
      <c r="Q139" s="1658"/>
    </row>
    <row r="140" spans="2:17" s="1647" customFormat="1" ht="15.5">
      <c r="B140" s="1653">
        <v>21945</v>
      </c>
      <c r="C140" s="1662"/>
      <c r="D140" s="1661" t="s">
        <v>602</v>
      </c>
      <c r="E140" s="1663"/>
      <c r="F140" s="1663"/>
      <c r="G140" s="830">
        <v>0</v>
      </c>
      <c r="H140" s="830"/>
      <c r="I140" s="830">
        <v>0</v>
      </c>
      <c r="J140" s="830"/>
      <c r="K140" s="830">
        <v>0</v>
      </c>
      <c r="L140" s="830"/>
      <c r="M140" s="830">
        <f t="shared" si="11"/>
        <v>0</v>
      </c>
      <c r="N140" s="830"/>
      <c r="O140" s="830">
        <v>0</v>
      </c>
      <c r="P140" s="1329"/>
      <c r="Q140" s="1658"/>
    </row>
    <row r="141" spans="2:17" s="1647" customFormat="1" ht="15.5">
      <c r="B141" s="1653">
        <v>21959</v>
      </c>
      <c r="C141" s="1662"/>
      <c r="D141" s="1654" t="s">
        <v>603</v>
      </c>
      <c r="E141" s="1663"/>
      <c r="F141" s="1663"/>
      <c r="G141" s="830">
        <v>0</v>
      </c>
      <c r="H141" s="830"/>
      <c r="I141" s="830">
        <v>0</v>
      </c>
      <c r="J141" s="830"/>
      <c r="K141" s="830">
        <v>0</v>
      </c>
      <c r="L141" s="830"/>
      <c r="M141" s="830">
        <f t="shared" si="11"/>
        <v>0</v>
      </c>
      <c r="N141" s="830"/>
      <c r="O141" s="830">
        <v>0</v>
      </c>
      <c r="P141" s="1329"/>
      <c r="Q141" s="1658"/>
    </row>
    <row r="142" spans="2:17" s="1647" customFormat="1" ht="15.5">
      <c r="B142" s="1653">
        <v>21961</v>
      </c>
      <c r="C142" s="1662"/>
      <c r="D142" s="1654" t="s">
        <v>1241</v>
      </c>
      <c r="E142" s="1663"/>
      <c r="F142" s="1663"/>
      <c r="G142" s="830">
        <v>148744.44</v>
      </c>
      <c r="H142" s="830"/>
      <c r="I142" s="830">
        <v>183307.9</v>
      </c>
      <c r="J142" s="830"/>
      <c r="K142" s="830">
        <v>6908.96</v>
      </c>
      <c r="L142" s="830"/>
      <c r="M142" s="830">
        <f t="shared" si="11"/>
        <v>133382.53</v>
      </c>
      <c r="N142" s="830"/>
      <c r="O142" s="830">
        <v>140291.49</v>
      </c>
      <c r="P142" s="1329"/>
      <c r="Q142" s="1658"/>
    </row>
    <row r="143" spans="2:17" s="1647" customFormat="1" ht="15.5">
      <c r="B143" s="1653">
        <v>21962</v>
      </c>
      <c r="C143" s="1662"/>
      <c r="D143" s="1654" t="s">
        <v>604</v>
      </c>
      <c r="E143" s="1663"/>
      <c r="F143" s="1663"/>
      <c r="G143" s="830">
        <v>11132721.310000001</v>
      </c>
      <c r="H143" s="830"/>
      <c r="I143" s="830">
        <v>9934450.5899999999</v>
      </c>
      <c r="J143" s="830"/>
      <c r="K143" s="830">
        <v>9798831.0399999991</v>
      </c>
      <c r="L143" s="830"/>
      <c r="M143" s="830">
        <f t="shared" si="11"/>
        <v>1412609.67</v>
      </c>
      <c r="N143" s="830"/>
      <c r="O143" s="830">
        <v>11211440.710000001</v>
      </c>
      <c r="P143" s="1329"/>
      <c r="Q143" s="1658"/>
    </row>
    <row r="144" spans="2:17" s="1647" customFormat="1" ht="15.5">
      <c r="B144" s="1653">
        <v>21978</v>
      </c>
      <c r="C144" s="1662"/>
      <c r="D144" s="1661" t="s">
        <v>605</v>
      </c>
      <c r="E144" s="1663"/>
      <c r="F144" s="1663"/>
      <c r="G144" s="830">
        <v>0</v>
      </c>
      <c r="H144" s="830"/>
      <c r="I144" s="830">
        <v>0</v>
      </c>
      <c r="J144" s="830"/>
      <c r="K144" s="830">
        <v>0</v>
      </c>
      <c r="L144" s="830"/>
      <c r="M144" s="830">
        <f t="shared" si="11"/>
        <v>0</v>
      </c>
      <c r="N144" s="830"/>
      <c r="O144" s="830">
        <v>0</v>
      </c>
      <c r="P144" s="1329"/>
      <c r="Q144" s="1658"/>
    </row>
    <row r="145" spans="2:17" s="1647" customFormat="1" ht="15.5">
      <c r="B145" s="1653">
        <v>21989</v>
      </c>
      <c r="C145" s="1662"/>
      <c r="D145" s="1661" t="s">
        <v>606</v>
      </c>
      <c r="E145" s="1663"/>
      <c r="F145" s="1663"/>
      <c r="G145" s="830">
        <v>0</v>
      </c>
      <c r="H145" s="830"/>
      <c r="I145" s="830">
        <v>0</v>
      </c>
      <c r="J145" s="830"/>
      <c r="K145" s="830">
        <v>0</v>
      </c>
      <c r="L145" s="830"/>
      <c r="M145" s="830">
        <f t="shared" si="11"/>
        <v>0</v>
      </c>
      <c r="N145" s="830"/>
      <c r="O145" s="830">
        <v>0</v>
      </c>
      <c r="P145" s="1329"/>
      <c r="Q145" s="1658"/>
    </row>
    <row r="146" spans="2:17" s="1647" customFormat="1" ht="15.5">
      <c r="B146" s="1653">
        <v>22003</v>
      </c>
      <c r="C146" s="1662"/>
      <c r="D146" s="1661" t="s">
        <v>607</v>
      </c>
      <c r="E146" s="1663"/>
      <c r="F146" s="1663"/>
      <c r="G146" s="830">
        <v>0</v>
      </c>
      <c r="H146" s="830"/>
      <c r="I146" s="830">
        <v>0</v>
      </c>
      <c r="J146" s="830"/>
      <c r="K146" s="830">
        <v>0</v>
      </c>
      <c r="L146" s="830"/>
      <c r="M146" s="830">
        <f t="shared" si="11"/>
        <v>0</v>
      </c>
      <c r="N146" s="830"/>
      <c r="O146" s="830">
        <v>0</v>
      </c>
      <c r="P146" s="1329"/>
      <c r="Q146" s="1658"/>
    </row>
    <row r="147" spans="2:17" s="1647" customFormat="1" ht="15.5">
      <c r="B147" s="1653">
        <v>22004</v>
      </c>
      <c r="C147" s="1662"/>
      <c r="D147" s="1654" t="s">
        <v>608</v>
      </c>
      <c r="E147" s="1663"/>
      <c r="F147" s="1663"/>
      <c r="G147" s="830">
        <v>0</v>
      </c>
      <c r="H147" s="830"/>
      <c r="I147" s="830">
        <v>0</v>
      </c>
      <c r="J147" s="830"/>
      <c r="K147" s="830">
        <v>0</v>
      </c>
      <c r="L147" s="830"/>
      <c r="M147" s="830">
        <f t="shared" si="11"/>
        <v>0</v>
      </c>
      <c r="N147" s="830"/>
      <c r="O147" s="830">
        <v>0</v>
      </c>
      <c r="P147" s="1329"/>
      <c r="Q147" s="1658"/>
    </row>
    <row r="148" spans="2:17" s="1647" customFormat="1" ht="15.5">
      <c r="B148" s="1653">
        <v>22006</v>
      </c>
      <c r="C148" s="1662"/>
      <c r="D148" s="1661" t="s">
        <v>609</v>
      </c>
      <c r="E148" s="1663"/>
      <c r="F148" s="1663"/>
      <c r="G148" s="830">
        <v>0</v>
      </c>
      <c r="H148" s="830"/>
      <c r="I148" s="830">
        <v>0</v>
      </c>
      <c r="J148" s="830"/>
      <c r="K148" s="830">
        <v>0</v>
      </c>
      <c r="L148" s="830"/>
      <c r="M148" s="830">
        <f t="shared" si="11"/>
        <v>0</v>
      </c>
      <c r="N148" s="830"/>
      <c r="O148" s="830">
        <v>0</v>
      </c>
      <c r="P148" s="1329"/>
      <c r="Q148" s="1658"/>
    </row>
    <row r="149" spans="2:17" s="1647" customFormat="1" ht="15.5">
      <c r="B149" s="1653">
        <v>22007</v>
      </c>
      <c r="C149" s="1662"/>
      <c r="D149" s="1654" t="s">
        <v>610</v>
      </c>
      <c r="E149" s="1663"/>
      <c r="F149" s="1663"/>
      <c r="G149" s="830">
        <v>2522322.4300000002</v>
      </c>
      <c r="H149" s="830"/>
      <c r="I149" s="830">
        <v>2630311.52</v>
      </c>
      <c r="J149" s="830"/>
      <c r="K149" s="830">
        <v>2582690.08</v>
      </c>
      <c r="L149" s="830"/>
      <c r="M149" s="830">
        <f t="shared" si="11"/>
        <v>146689.14000000001</v>
      </c>
      <c r="N149" s="830"/>
      <c r="O149" s="830">
        <v>2729379.22</v>
      </c>
      <c r="P149" s="1329"/>
      <c r="Q149" s="1658"/>
    </row>
    <row r="150" spans="2:17" s="1647" customFormat="1" ht="15.5">
      <c r="B150" s="1653">
        <v>22008</v>
      </c>
      <c r="C150" s="1662"/>
      <c r="D150" s="1654" t="s">
        <v>1188</v>
      </c>
      <c r="E150" s="1663"/>
      <c r="F150" s="1663"/>
      <c r="G150" s="830">
        <v>0</v>
      </c>
      <c r="H150" s="830"/>
      <c r="I150" s="830">
        <v>0</v>
      </c>
      <c r="J150" s="830"/>
      <c r="K150" s="830">
        <v>0</v>
      </c>
      <c r="L150" s="830"/>
      <c r="M150" s="830">
        <f t="shared" ref="M150" si="15">ROUND(SUM(O150)-SUM(K150),2)</f>
        <v>0</v>
      </c>
      <c r="N150" s="830"/>
      <c r="O150" s="830">
        <v>0</v>
      </c>
      <c r="P150" s="1329"/>
      <c r="Q150" s="1658"/>
    </row>
    <row r="151" spans="2:17" s="1647" customFormat="1" ht="15.5">
      <c r="B151" s="1653">
        <v>22009</v>
      </c>
      <c r="C151" s="1662"/>
      <c r="D151" s="1654" t="s">
        <v>611</v>
      </c>
      <c r="E151" s="1663"/>
      <c r="F151" s="1663"/>
      <c r="G151" s="830">
        <v>0</v>
      </c>
      <c r="H151" s="830"/>
      <c r="I151" s="830">
        <v>0</v>
      </c>
      <c r="J151" s="830"/>
      <c r="K151" s="830">
        <v>0</v>
      </c>
      <c r="L151" s="830"/>
      <c r="M151" s="830">
        <f t="shared" si="11"/>
        <v>0</v>
      </c>
      <c r="N151" s="830"/>
      <c r="O151" s="830">
        <v>0</v>
      </c>
      <c r="P151" s="1329"/>
      <c r="Q151" s="1658"/>
    </row>
    <row r="152" spans="2:17" s="1647" customFormat="1" ht="15.5">
      <c r="B152" s="1653">
        <v>22017</v>
      </c>
      <c r="C152" s="1662"/>
      <c r="D152" s="1654" t="s">
        <v>1242</v>
      </c>
      <c r="E152" s="1663"/>
      <c r="F152" s="1663"/>
      <c r="G152" s="830">
        <v>0</v>
      </c>
      <c r="H152" s="830"/>
      <c r="I152" s="830">
        <v>0</v>
      </c>
      <c r="J152" s="830"/>
      <c r="K152" s="830">
        <v>0</v>
      </c>
      <c r="L152" s="830"/>
      <c r="M152" s="830">
        <f t="shared" si="11"/>
        <v>0</v>
      </c>
      <c r="N152" s="830"/>
      <c r="O152" s="830">
        <v>0</v>
      </c>
      <c r="P152" s="1329"/>
      <c r="Q152" s="1658"/>
    </row>
    <row r="153" spans="2:17" s="1647" customFormat="1" ht="15.5">
      <c r="B153" s="1653">
        <v>22032</v>
      </c>
      <c r="C153" s="1662"/>
      <c r="D153" s="1654" t="s">
        <v>612</v>
      </c>
      <c r="E153" s="1663"/>
      <c r="F153" s="1663"/>
      <c r="G153" s="830">
        <v>12596712.300000001</v>
      </c>
      <c r="H153" s="830"/>
      <c r="I153" s="830">
        <v>13436759.779999999</v>
      </c>
      <c r="J153" s="830"/>
      <c r="K153" s="830">
        <v>14186565.140000001</v>
      </c>
      <c r="L153" s="830"/>
      <c r="M153" s="830">
        <f t="shared" si="11"/>
        <v>-4813859.8099999996</v>
      </c>
      <c r="N153" s="830"/>
      <c r="O153" s="830">
        <v>9372705.3300000001</v>
      </c>
      <c r="P153" s="1329"/>
      <c r="Q153" s="1658"/>
    </row>
    <row r="154" spans="2:17" s="1647" customFormat="1" ht="15.5">
      <c r="B154" s="1653">
        <v>22034</v>
      </c>
      <c r="C154" s="1662"/>
      <c r="D154" s="1654" t="s">
        <v>613</v>
      </c>
      <c r="E154" s="1663"/>
      <c r="F154" s="1663"/>
      <c r="G154" s="830">
        <v>0</v>
      </c>
      <c r="H154" s="830"/>
      <c r="I154" s="830">
        <v>0</v>
      </c>
      <c r="J154" s="830"/>
      <c r="K154" s="830">
        <v>0</v>
      </c>
      <c r="L154" s="830"/>
      <c r="M154" s="830">
        <f t="shared" si="11"/>
        <v>0</v>
      </c>
      <c r="N154" s="830"/>
      <c r="O154" s="830">
        <v>0</v>
      </c>
      <c r="P154" s="1329"/>
      <c r="Q154" s="1658"/>
    </row>
    <row r="155" spans="2:17" s="1647" customFormat="1" ht="15.5">
      <c r="B155" s="1653">
        <v>22036</v>
      </c>
      <c r="C155" s="1662"/>
      <c r="D155" s="1654" t="s">
        <v>614</v>
      </c>
      <c r="E155" s="1663"/>
      <c r="F155" s="1663"/>
      <c r="G155" s="830">
        <v>0</v>
      </c>
      <c r="H155" s="830"/>
      <c r="I155" s="830">
        <v>0</v>
      </c>
      <c r="J155" s="830"/>
      <c r="K155" s="830">
        <v>0</v>
      </c>
      <c r="L155" s="830"/>
      <c r="M155" s="830">
        <f t="shared" si="11"/>
        <v>0</v>
      </c>
      <c r="N155" s="830"/>
      <c r="O155" s="830">
        <v>0</v>
      </c>
      <c r="P155" s="1329"/>
      <c r="Q155" s="1658"/>
    </row>
    <row r="156" spans="2:17" s="1647" customFormat="1" ht="15.5">
      <c r="B156" s="1653">
        <v>22039</v>
      </c>
      <c r="C156" s="1662"/>
      <c r="D156" s="1654" t="s">
        <v>615</v>
      </c>
      <c r="E156" s="1663"/>
      <c r="F156" s="1663"/>
      <c r="G156" s="830">
        <v>938704.28</v>
      </c>
      <c r="H156" s="830"/>
      <c r="I156" s="830">
        <v>338077.25</v>
      </c>
      <c r="J156" s="830"/>
      <c r="K156" s="830">
        <v>607918.39</v>
      </c>
      <c r="L156" s="830"/>
      <c r="M156" s="830">
        <f t="shared" si="11"/>
        <v>405075.42</v>
      </c>
      <c r="N156" s="830"/>
      <c r="O156" s="830">
        <v>1012993.81</v>
      </c>
      <c r="P156" s="1329"/>
      <c r="Q156" s="1658"/>
    </row>
    <row r="157" spans="2:17" s="1647" customFormat="1" ht="15.5">
      <c r="B157" s="1653">
        <v>22046</v>
      </c>
      <c r="C157" s="1662"/>
      <c r="D157" s="1654" t="s">
        <v>616</v>
      </c>
      <c r="E157" s="1663"/>
      <c r="F157" s="1663"/>
      <c r="G157" s="830">
        <v>113923797.22</v>
      </c>
      <c r="H157" s="830"/>
      <c r="I157" s="830">
        <v>114870558.86</v>
      </c>
      <c r="J157" s="830"/>
      <c r="K157" s="830">
        <v>115663165.3</v>
      </c>
      <c r="L157" s="830"/>
      <c r="M157" s="830">
        <f t="shared" si="11"/>
        <v>-27873.61</v>
      </c>
      <c r="N157" s="830"/>
      <c r="O157" s="830">
        <v>115635291.69</v>
      </c>
      <c r="P157" s="1329"/>
      <c r="Q157" s="1658"/>
    </row>
    <row r="158" spans="2:17" s="1647" customFormat="1" ht="15.5">
      <c r="B158" s="1653">
        <v>22053</v>
      </c>
      <c r="C158" s="1662"/>
      <c r="D158" s="1654" t="s">
        <v>617</v>
      </c>
      <c r="E158" s="1663"/>
      <c r="F158" s="1663"/>
      <c r="G158" s="830">
        <v>6839098.46</v>
      </c>
      <c r="H158" s="830"/>
      <c r="I158" s="830">
        <v>7446729.5099999998</v>
      </c>
      <c r="J158" s="830"/>
      <c r="K158" s="830">
        <v>8052345.7599999998</v>
      </c>
      <c r="L158" s="830"/>
      <c r="M158" s="830">
        <f t="shared" si="11"/>
        <v>-3305576.74</v>
      </c>
      <c r="N158" s="830"/>
      <c r="O158" s="830">
        <v>4746769.0199999996</v>
      </c>
      <c r="P158" s="1329"/>
      <c r="Q158" s="1658"/>
    </row>
    <row r="159" spans="2:17" s="1647" customFormat="1" ht="15.5">
      <c r="B159" s="1653">
        <v>22054</v>
      </c>
      <c r="C159" s="1662"/>
      <c r="D159" s="1654" t="s">
        <v>618</v>
      </c>
      <c r="E159" s="1663"/>
      <c r="F159" s="1663"/>
      <c r="G159" s="830">
        <v>0</v>
      </c>
      <c r="H159" s="830"/>
      <c r="I159" s="830">
        <v>0</v>
      </c>
      <c r="J159" s="830"/>
      <c r="K159" s="830">
        <v>0</v>
      </c>
      <c r="L159" s="830"/>
      <c r="M159" s="830">
        <f t="shared" si="11"/>
        <v>0</v>
      </c>
      <c r="N159" s="830"/>
      <c r="O159" s="830">
        <v>0</v>
      </c>
      <c r="P159" s="1329"/>
      <c r="Q159" s="1658"/>
    </row>
    <row r="160" spans="2:17" s="1647" customFormat="1" ht="15.5">
      <c r="B160" s="1653">
        <v>22055</v>
      </c>
      <c r="C160" s="1662"/>
      <c r="D160" s="1654" t="s">
        <v>619</v>
      </c>
      <c r="E160" s="1663"/>
      <c r="F160" s="1663"/>
      <c r="G160" s="830">
        <v>56301938.079999998</v>
      </c>
      <c r="H160" s="830"/>
      <c r="I160" s="830">
        <v>59269412.259999998</v>
      </c>
      <c r="J160" s="830"/>
      <c r="K160" s="830">
        <v>57372292.719999999</v>
      </c>
      <c r="L160" s="830"/>
      <c r="M160" s="830">
        <f t="shared" si="11"/>
        <v>-382665.74</v>
      </c>
      <c r="N160" s="830"/>
      <c r="O160" s="830">
        <v>56989626.979999997</v>
      </c>
      <c r="P160" s="1329"/>
      <c r="Q160" s="1658"/>
    </row>
    <row r="161" spans="2:17" s="1647" customFormat="1" ht="15.5">
      <c r="B161" s="1653">
        <v>22062</v>
      </c>
      <c r="C161" s="1662"/>
      <c r="D161" s="1654" t="s">
        <v>620</v>
      </c>
      <c r="E161" s="1663"/>
      <c r="F161" s="1663"/>
      <c r="G161" s="830">
        <v>0</v>
      </c>
      <c r="H161" s="830"/>
      <c r="I161" s="830">
        <v>0</v>
      </c>
      <c r="J161" s="830"/>
      <c r="K161" s="830">
        <v>0</v>
      </c>
      <c r="L161" s="830"/>
      <c r="M161" s="830">
        <f t="shared" si="11"/>
        <v>0</v>
      </c>
      <c r="N161" s="830"/>
      <c r="O161" s="830">
        <v>0</v>
      </c>
      <c r="P161" s="1329"/>
      <c r="Q161" s="1658"/>
    </row>
    <row r="162" spans="2:17" s="1647" customFormat="1" ht="15.5">
      <c r="B162" s="1653">
        <v>22063</v>
      </c>
      <c r="C162" s="1662"/>
      <c r="D162" s="1654" t="s">
        <v>621</v>
      </c>
      <c r="E162" s="1663"/>
      <c r="F162" s="1663"/>
      <c r="G162" s="830">
        <v>0</v>
      </c>
      <c r="H162" s="830"/>
      <c r="I162" s="830">
        <v>0</v>
      </c>
      <c r="J162" s="830"/>
      <c r="K162" s="830">
        <v>0</v>
      </c>
      <c r="L162" s="830"/>
      <c r="M162" s="830">
        <f t="shared" si="11"/>
        <v>0</v>
      </c>
      <c r="N162" s="830"/>
      <c r="O162" s="830">
        <v>0</v>
      </c>
      <c r="P162" s="1329"/>
      <c r="Q162" s="1658"/>
    </row>
    <row r="163" spans="2:17" s="1647" customFormat="1" ht="15.5">
      <c r="B163" s="1653">
        <v>22078</v>
      </c>
      <c r="C163" s="1662"/>
      <c r="D163" s="1654" t="s">
        <v>622</v>
      </c>
      <c r="E163" s="1663"/>
      <c r="F163" s="1663"/>
      <c r="G163" s="830">
        <v>0</v>
      </c>
      <c r="H163" s="830"/>
      <c r="I163" s="830">
        <v>0</v>
      </c>
      <c r="J163" s="830"/>
      <c r="K163" s="830">
        <v>0</v>
      </c>
      <c r="L163" s="830"/>
      <c r="M163" s="830">
        <f t="shared" si="11"/>
        <v>0</v>
      </c>
      <c r="N163" s="830"/>
      <c r="O163" s="830">
        <v>0</v>
      </c>
      <c r="P163" s="1329"/>
      <c r="Q163" s="1658"/>
    </row>
    <row r="164" spans="2:17" s="1647" customFormat="1" ht="15.5">
      <c r="B164" s="1653">
        <v>22085</v>
      </c>
      <c r="C164" s="1662"/>
      <c r="D164" s="1654" t="s">
        <v>623</v>
      </c>
      <c r="E164" s="1663"/>
      <c r="F164" s="1663"/>
      <c r="G164" s="830">
        <v>0</v>
      </c>
      <c r="H164" s="830"/>
      <c r="I164" s="830">
        <v>40941.090000000797</v>
      </c>
      <c r="J164" s="830"/>
      <c r="K164" s="830">
        <v>155211.010000001</v>
      </c>
      <c r="L164" s="830"/>
      <c r="M164" s="830">
        <f>ROUND(SUM(O164)-SUM(K164),2)</f>
        <v>-155211.01</v>
      </c>
      <c r="N164" s="830"/>
      <c r="O164" s="830">
        <v>0</v>
      </c>
      <c r="P164" s="1329"/>
      <c r="Q164" s="1658"/>
    </row>
    <row r="165" spans="2:17" s="1647" customFormat="1" ht="15.5">
      <c r="B165" s="1653">
        <v>22090</v>
      </c>
      <c r="C165" s="1662"/>
      <c r="D165" s="1654" t="s">
        <v>624</v>
      </c>
      <c r="E165" s="1663"/>
      <c r="F165" s="1663"/>
      <c r="G165" s="830">
        <v>0</v>
      </c>
      <c r="H165" s="830"/>
      <c r="I165" s="830">
        <v>0</v>
      </c>
      <c r="J165" s="830"/>
      <c r="K165" s="830">
        <v>0</v>
      </c>
      <c r="L165" s="830"/>
      <c r="M165" s="830">
        <f t="shared" si="11"/>
        <v>0</v>
      </c>
      <c r="N165" s="830"/>
      <c r="O165" s="830">
        <v>0</v>
      </c>
      <c r="P165" s="1329"/>
      <c r="Q165" s="1658"/>
    </row>
    <row r="166" spans="2:17" s="1647" customFormat="1" ht="15.5">
      <c r="B166" s="1653">
        <v>22100</v>
      </c>
      <c r="C166" s="1662"/>
      <c r="D166" s="1654" t="s">
        <v>625</v>
      </c>
      <c r="E166" s="1663"/>
      <c r="F166" s="1663"/>
      <c r="G166" s="830">
        <v>16460899.710000001</v>
      </c>
      <c r="H166" s="830"/>
      <c r="I166" s="830">
        <v>16169254.25</v>
      </c>
      <c r="J166" s="830"/>
      <c r="K166" s="830">
        <v>16237205.109999999</v>
      </c>
      <c r="L166" s="830"/>
      <c r="M166" s="830">
        <f t="shared" ref="M166:M183" si="16">ROUND(SUM(O166)-SUM(K166),2)</f>
        <v>-596415.36</v>
      </c>
      <c r="N166" s="830"/>
      <c r="O166" s="830">
        <v>15640789.75</v>
      </c>
      <c r="P166" s="1329"/>
      <c r="Q166" s="1658"/>
    </row>
    <row r="167" spans="2:17" s="1647" customFormat="1" ht="15.5">
      <c r="B167" s="1653">
        <v>22130</v>
      </c>
      <c r="C167" s="1662"/>
      <c r="D167" s="1661" t="s">
        <v>626</v>
      </c>
      <c r="E167" s="1663"/>
      <c r="F167" s="1663"/>
      <c r="G167" s="830">
        <v>0</v>
      </c>
      <c r="H167" s="830"/>
      <c r="I167" s="830">
        <v>0</v>
      </c>
      <c r="J167" s="830"/>
      <c r="K167" s="830">
        <v>0</v>
      </c>
      <c r="L167" s="830"/>
      <c r="M167" s="830">
        <f t="shared" si="16"/>
        <v>0</v>
      </c>
      <c r="N167" s="830"/>
      <c r="O167" s="830">
        <v>0</v>
      </c>
      <c r="P167" s="1329"/>
      <c r="Q167" s="1658"/>
    </row>
    <row r="168" spans="2:17" s="1647" customFormat="1" ht="15.5">
      <c r="B168" s="1653">
        <v>22135</v>
      </c>
      <c r="C168" s="1662"/>
      <c r="D168" s="1661" t="s">
        <v>627</v>
      </c>
      <c r="E168" s="1663"/>
      <c r="F168" s="1663"/>
      <c r="G168" s="830">
        <v>0</v>
      </c>
      <c r="H168" s="830"/>
      <c r="I168" s="830">
        <v>0</v>
      </c>
      <c r="J168" s="830"/>
      <c r="K168" s="830">
        <v>0</v>
      </c>
      <c r="L168" s="830"/>
      <c r="M168" s="830">
        <f t="shared" si="16"/>
        <v>0</v>
      </c>
      <c r="N168" s="830"/>
      <c r="O168" s="830">
        <v>0</v>
      </c>
      <c r="P168" s="1329"/>
      <c r="Q168" s="1658"/>
    </row>
    <row r="169" spans="2:17" s="1647" customFormat="1" ht="15.5">
      <c r="B169" s="1653">
        <v>22144</v>
      </c>
      <c r="C169" s="1662"/>
      <c r="D169" s="1654" t="s">
        <v>628</v>
      </c>
      <c r="E169" s="1663"/>
      <c r="F169" s="1663"/>
      <c r="G169" s="830">
        <v>0</v>
      </c>
      <c r="H169" s="830"/>
      <c r="I169" s="830">
        <v>0</v>
      </c>
      <c r="J169" s="830"/>
      <c r="K169" s="830">
        <v>0</v>
      </c>
      <c r="L169" s="830"/>
      <c r="M169" s="830">
        <f t="shared" si="16"/>
        <v>0</v>
      </c>
      <c r="N169" s="830"/>
      <c r="O169" s="830">
        <v>0</v>
      </c>
      <c r="P169" s="1329"/>
      <c r="Q169" s="1658"/>
    </row>
    <row r="170" spans="2:17" s="1647" customFormat="1" ht="15.5">
      <c r="B170" s="1653">
        <v>22151</v>
      </c>
      <c r="C170" s="1662"/>
      <c r="D170" s="1661" t="s">
        <v>629</v>
      </c>
      <c r="E170" s="1663"/>
      <c r="F170" s="1663"/>
      <c r="G170" s="830">
        <v>133855.07999999999</v>
      </c>
      <c r="H170" s="830"/>
      <c r="I170" s="830">
        <v>190837.85</v>
      </c>
      <c r="J170" s="830"/>
      <c r="K170" s="830">
        <v>247742.54</v>
      </c>
      <c r="L170" s="830"/>
      <c r="M170" s="830">
        <f t="shared" si="16"/>
        <v>88211.6</v>
      </c>
      <c r="N170" s="830"/>
      <c r="O170" s="830">
        <v>335954.14</v>
      </c>
      <c r="P170" s="1329"/>
      <c r="Q170" s="1658"/>
    </row>
    <row r="171" spans="2:17" s="1647" customFormat="1" ht="15.5">
      <c r="B171" s="1653">
        <v>22156</v>
      </c>
      <c r="C171" s="1662"/>
      <c r="D171" s="1661" t="s">
        <v>630</v>
      </c>
      <c r="E171" s="1663"/>
      <c r="F171" s="1663"/>
      <c r="G171" s="830">
        <v>0</v>
      </c>
      <c r="H171" s="830"/>
      <c r="I171" s="830">
        <v>0</v>
      </c>
      <c r="J171" s="830"/>
      <c r="K171" s="830">
        <v>0</v>
      </c>
      <c r="L171" s="830"/>
      <c r="M171" s="830">
        <f t="shared" si="16"/>
        <v>0</v>
      </c>
      <c r="N171" s="830"/>
      <c r="O171" s="830">
        <v>0</v>
      </c>
      <c r="P171" s="1329"/>
      <c r="Q171" s="1658"/>
    </row>
    <row r="172" spans="2:17" s="1647" customFormat="1" ht="15.5">
      <c r="B172" s="1653">
        <v>22158</v>
      </c>
      <c r="C172" s="1662"/>
      <c r="D172" s="1654" t="s">
        <v>631</v>
      </c>
      <c r="E172" s="1663"/>
      <c r="F172" s="1663"/>
      <c r="G172" s="830">
        <v>0</v>
      </c>
      <c r="H172" s="830"/>
      <c r="I172" s="830">
        <v>0</v>
      </c>
      <c r="J172" s="830"/>
      <c r="K172" s="830">
        <v>0</v>
      </c>
      <c r="L172" s="830"/>
      <c r="M172" s="830">
        <f t="shared" si="16"/>
        <v>0</v>
      </c>
      <c r="N172" s="830"/>
      <c r="O172" s="830">
        <v>0</v>
      </c>
      <c r="P172" s="1329"/>
      <c r="Q172" s="1658"/>
    </row>
    <row r="173" spans="2:17" s="1647" customFormat="1" ht="15.5">
      <c r="B173" s="1653">
        <v>22165</v>
      </c>
      <c r="C173" s="1662"/>
      <c r="D173" s="1654" t="s">
        <v>1468</v>
      </c>
      <c r="E173" s="1663"/>
      <c r="F173" s="1663"/>
      <c r="G173" s="830">
        <v>0</v>
      </c>
      <c r="H173" s="830"/>
      <c r="I173" s="830">
        <v>0</v>
      </c>
      <c r="J173" s="830"/>
      <c r="K173" s="830">
        <v>0</v>
      </c>
      <c r="L173" s="830"/>
      <c r="M173" s="830">
        <f t="shared" ref="M173" si="17">ROUND(SUM(O173)-SUM(K173),2)</f>
        <v>0</v>
      </c>
      <c r="N173" s="830"/>
      <c r="O173" s="830">
        <v>0</v>
      </c>
      <c r="P173" s="1329"/>
      <c r="Q173" s="1658"/>
    </row>
    <row r="174" spans="2:17" s="1647" customFormat="1" ht="15.5">
      <c r="B174" s="1653">
        <v>22168</v>
      </c>
      <c r="C174" s="1662"/>
      <c r="D174" s="1654" t="s">
        <v>632</v>
      </c>
      <c r="E174" s="1663"/>
      <c r="F174" s="1663"/>
      <c r="G174" s="830">
        <v>0</v>
      </c>
      <c r="H174" s="830"/>
      <c r="I174" s="830">
        <v>0</v>
      </c>
      <c r="J174" s="830"/>
      <c r="K174" s="830">
        <v>0</v>
      </c>
      <c r="L174" s="830"/>
      <c r="M174" s="830">
        <f t="shared" si="16"/>
        <v>0</v>
      </c>
      <c r="N174" s="830"/>
      <c r="O174" s="830">
        <v>0</v>
      </c>
      <c r="P174" s="1329"/>
      <c r="Q174" s="1658"/>
    </row>
    <row r="175" spans="2:17" s="1647" customFormat="1" ht="15.5">
      <c r="B175" s="1653">
        <v>22240</v>
      </c>
      <c r="C175" s="1662"/>
      <c r="D175" s="1654" t="s">
        <v>1243</v>
      </c>
      <c r="E175" s="1663"/>
      <c r="F175" s="1663"/>
      <c r="G175" s="830">
        <v>3055675.36</v>
      </c>
      <c r="H175" s="830" t="s">
        <v>14</v>
      </c>
      <c r="I175" s="830">
        <v>3183643.5</v>
      </c>
      <c r="J175" s="830" t="s">
        <v>14</v>
      </c>
      <c r="K175" s="830">
        <v>3280331.78</v>
      </c>
      <c r="L175" s="830" t="s">
        <v>14</v>
      </c>
      <c r="M175" s="830">
        <f t="shared" si="16"/>
        <v>-734276.43</v>
      </c>
      <c r="N175" s="830" t="s">
        <v>14</v>
      </c>
      <c r="O175" s="830">
        <v>2546055.35</v>
      </c>
      <c r="P175" s="1329"/>
      <c r="Q175" s="1658"/>
    </row>
    <row r="176" spans="2:17" s="1647" customFormat="1" ht="15.5">
      <c r="B176" s="1653">
        <v>22246</v>
      </c>
      <c r="C176" s="1662"/>
      <c r="D176" s="1654" t="s">
        <v>1355</v>
      </c>
      <c r="E176" s="1663"/>
      <c r="F176" s="1663"/>
      <c r="G176" s="830">
        <v>0</v>
      </c>
      <c r="H176" s="830" t="s">
        <v>14</v>
      </c>
      <c r="I176" s="830">
        <v>0</v>
      </c>
      <c r="J176" s="830" t="s">
        <v>14</v>
      </c>
      <c r="K176" s="830">
        <v>0</v>
      </c>
      <c r="L176" s="830" t="s">
        <v>14</v>
      </c>
      <c r="M176" s="830">
        <v>0</v>
      </c>
      <c r="N176" s="830" t="s">
        <v>14</v>
      </c>
      <c r="O176" s="830">
        <v>0</v>
      </c>
      <c r="P176" s="1329"/>
      <c r="Q176" s="1658"/>
    </row>
    <row r="177" spans="2:17" s="1647" customFormat="1" ht="15.5">
      <c r="B177" s="1653">
        <v>22654</v>
      </c>
      <c r="C177" s="1662"/>
      <c r="D177" s="1661" t="s">
        <v>633</v>
      </c>
      <c r="E177" s="1663"/>
      <c r="F177" s="1663"/>
      <c r="G177" s="830">
        <v>20941905.640000001</v>
      </c>
      <c r="H177" s="830"/>
      <c r="I177" s="830">
        <v>21013123.760000002</v>
      </c>
      <c r="J177" s="830"/>
      <c r="K177" s="830">
        <v>21090501.82</v>
      </c>
      <c r="L177" s="830"/>
      <c r="M177" s="830">
        <f t="shared" si="16"/>
        <v>72405.33</v>
      </c>
      <c r="N177" s="830"/>
      <c r="O177" s="830">
        <v>21162907.149999999</v>
      </c>
      <c r="P177" s="1329"/>
      <c r="Q177" s="1658"/>
    </row>
    <row r="178" spans="2:17" s="1647" customFormat="1" ht="15.5">
      <c r="B178" s="1653">
        <v>22751</v>
      </c>
      <c r="C178" s="1662"/>
      <c r="D178" s="1661" t="s">
        <v>1150</v>
      </c>
      <c r="E178" s="1663"/>
      <c r="F178" s="1663"/>
      <c r="G178" s="830">
        <v>0</v>
      </c>
      <c r="H178" s="830"/>
      <c r="I178" s="830">
        <v>0</v>
      </c>
      <c r="J178" s="830"/>
      <c r="K178" s="830">
        <v>0</v>
      </c>
      <c r="L178" s="830"/>
      <c r="M178" s="830">
        <f>ROUND(SUM(O178)-SUM(K178),2)</f>
        <v>0</v>
      </c>
      <c r="N178" s="830"/>
      <c r="O178" s="830">
        <v>0</v>
      </c>
      <c r="P178" s="1329"/>
      <c r="Q178" s="1658"/>
    </row>
    <row r="179" spans="2:17" s="1647" customFormat="1" ht="15.5">
      <c r="B179" s="1653">
        <v>22802</v>
      </c>
      <c r="C179" s="1662"/>
      <c r="D179" s="1654" t="s">
        <v>634</v>
      </c>
      <c r="E179" s="1663"/>
      <c r="F179" s="1663"/>
      <c r="G179" s="830">
        <v>0</v>
      </c>
      <c r="H179" s="830"/>
      <c r="I179" s="830">
        <v>0</v>
      </c>
      <c r="J179" s="830"/>
      <c r="K179" s="830">
        <v>0</v>
      </c>
      <c r="L179" s="830"/>
      <c r="M179" s="830">
        <f t="shared" si="16"/>
        <v>0</v>
      </c>
      <c r="N179" s="830"/>
      <c r="O179" s="830">
        <v>0</v>
      </c>
      <c r="P179" s="1329"/>
      <c r="Q179" s="1658"/>
    </row>
    <row r="180" spans="2:17" s="1647" customFormat="1" ht="15.5">
      <c r="B180" s="1653">
        <v>23001</v>
      </c>
      <c r="C180" s="1662"/>
      <c r="D180" s="1661" t="s">
        <v>635</v>
      </c>
      <c r="E180" s="1663"/>
      <c r="F180" s="1663"/>
      <c r="G180" s="830">
        <v>21078363.629999999</v>
      </c>
      <c r="H180" s="830"/>
      <c r="I180" s="830">
        <v>21379632.399999999</v>
      </c>
      <c r="J180" s="830"/>
      <c r="K180" s="830">
        <v>21707199.100000001</v>
      </c>
      <c r="L180" s="830"/>
      <c r="M180" s="830">
        <f t="shared" si="16"/>
        <v>510448.42</v>
      </c>
      <c r="N180" s="830"/>
      <c r="O180" s="830">
        <v>22217647.52</v>
      </c>
      <c r="P180" s="1329"/>
      <c r="Q180" s="1658"/>
    </row>
    <row r="181" spans="2:17" s="1647" customFormat="1" ht="15.5">
      <c r="B181" s="1653">
        <v>23102</v>
      </c>
      <c r="C181" s="1662"/>
      <c r="D181" s="1654" t="s">
        <v>636</v>
      </c>
      <c r="E181" s="1663"/>
      <c r="F181" s="1663"/>
      <c r="G181" s="830">
        <v>0</v>
      </c>
      <c r="H181" s="830"/>
      <c r="I181" s="830">
        <v>0</v>
      </c>
      <c r="J181" s="830"/>
      <c r="K181" s="830">
        <v>0</v>
      </c>
      <c r="L181" s="830"/>
      <c r="M181" s="830">
        <f t="shared" si="16"/>
        <v>0</v>
      </c>
      <c r="N181" s="830"/>
      <c r="O181" s="830">
        <v>0</v>
      </c>
      <c r="P181" s="1329"/>
      <c r="Q181" s="1658"/>
    </row>
    <row r="182" spans="2:17" s="1647" customFormat="1" ht="15.5">
      <c r="B182" s="1653">
        <v>23151</v>
      </c>
      <c r="C182" s="1662"/>
      <c r="D182" s="1661" t="s">
        <v>637</v>
      </c>
      <c r="E182" s="1663"/>
      <c r="F182" s="1663"/>
      <c r="G182" s="830">
        <v>53388347.729999997</v>
      </c>
      <c r="H182" s="830"/>
      <c r="I182" s="830">
        <v>56033710.649999999</v>
      </c>
      <c r="J182" s="830"/>
      <c r="K182" s="830">
        <v>23693861.530000001</v>
      </c>
      <c r="L182" s="830"/>
      <c r="M182" s="830">
        <f t="shared" si="16"/>
        <v>6077343.5800000001</v>
      </c>
      <c r="N182" s="830"/>
      <c r="O182" s="830">
        <v>29771205.109999999</v>
      </c>
      <c r="P182" s="1329"/>
      <c r="Q182" s="1658"/>
    </row>
    <row r="183" spans="2:17" s="1647" customFormat="1" ht="15.5">
      <c r="B183" s="1672">
        <v>23702</v>
      </c>
      <c r="C183" s="1662"/>
      <c r="D183" s="1654" t="s">
        <v>846</v>
      </c>
      <c r="E183" s="1663"/>
      <c r="F183" s="1663"/>
      <c r="G183" s="830">
        <v>25135593.739999998</v>
      </c>
      <c r="H183" s="830"/>
      <c r="I183" s="830">
        <v>25485465.43</v>
      </c>
      <c r="J183" s="830"/>
      <c r="K183" s="830">
        <v>25784241.510000002</v>
      </c>
      <c r="L183" s="830"/>
      <c r="M183" s="830">
        <f t="shared" si="16"/>
        <v>504897.14</v>
      </c>
      <c r="N183" s="830"/>
      <c r="O183" s="830">
        <v>26289138.649999999</v>
      </c>
      <c r="P183" s="1329"/>
      <c r="Q183" s="1658"/>
    </row>
    <row r="184" spans="2:17" s="1647" customFormat="1" ht="15.5">
      <c r="B184" s="1672">
        <v>23801</v>
      </c>
      <c r="C184" s="1662"/>
      <c r="D184" s="1654" t="s">
        <v>1158</v>
      </c>
      <c r="E184" s="1663"/>
      <c r="F184" s="1663"/>
      <c r="G184" s="830">
        <v>0</v>
      </c>
      <c r="H184" s="830"/>
      <c r="I184" s="830">
        <v>0</v>
      </c>
      <c r="J184" s="830"/>
      <c r="K184" s="830">
        <v>0</v>
      </c>
      <c r="L184" s="830"/>
      <c r="M184" s="830">
        <f>ROUND(SUM(O184)-SUM(K184),2)</f>
        <v>0</v>
      </c>
      <c r="N184" s="830"/>
      <c r="O184" s="830">
        <v>0</v>
      </c>
      <c r="P184" s="1657"/>
      <c r="Q184" s="1658"/>
    </row>
    <row r="185" spans="2:17" s="1647" customFormat="1" ht="15.5">
      <c r="B185" s="1672">
        <v>23806</v>
      </c>
      <c r="C185" s="1662"/>
      <c r="D185" s="1654" t="s">
        <v>1189</v>
      </c>
      <c r="E185" s="1663"/>
      <c r="F185" s="1663"/>
      <c r="G185" s="830">
        <v>95876.71</v>
      </c>
      <c r="H185" s="830"/>
      <c r="I185" s="830">
        <v>95876.71</v>
      </c>
      <c r="J185" s="830"/>
      <c r="K185" s="830">
        <v>315722.96000000002</v>
      </c>
      <c r="L185" s="830"/>
      <c r="M185" s="830">
        <f t="shared" ref="M185:M187" si="18">ROUND(SUM(O185)-SUM(K185),2)</f>
        <v>57490.99</v>
      </c>
      <c r="N185" s="830"/>
      <c r="O185" s="830">
        <v>373213.95</v>
      </c>
      <c r="P185" s="1657"/>
      <c r="Q185" s="1658"/>
    </row>
    <row r="186" spans="2:17" s="1647" customFormat="1" ht="15.5">
      <c r="B186" s="1672">
        <v>24800</v>
      </c>
      <c r="C186" s="1662"/>
      <c r="D186" s="1654" t="s">
        <v>1479</v>
      </c>
      <c r="E186" s="1663"/>
      <c r="F186" s="1663"/>
      <c r="G186" s="830">
        <v>3253637.61</v>
      </c>
      <c r="H186" s="830"/>
      <c r="I186" s="830">
        <v>4794499.92</v>
      </c>
      <c r="J186" s="830"/>
      <c r="K186" s="830">
        <v>6606285.4100000001</v>
      </c>
      <c r="L186" s="830"/>
      <c r="M186" s="830">
        <f t="shared" si="18"/>
        <v>6244952.0999999996</v>
      </c>
      <c r="N186" s="830"/>
      <c r="O186" s="830">
        <v>12851237.51</v>
      </c>
      <c r="P186" s="1657"/>
      <c r="Q186" s="1658"/>
    </row>
    <row r="187" spans="2:17" s="1647" customFormat="1" ht="15.5">
      <c r="B187" s="1672">
        <v>24951</v>
      </c>
      <c r="C187" s="1662"/>
      <c r="D187" s="1654" t="s">
        <v>1190</v>
      </c>
      <c r="E187" s="1663"/>
      <c r="F187" s="1663"/>
      <c r="G187" s="830">
        <v>101892.11</v>
      </c>
      <c r="H187" s="830"/>
      <c r="I187" s="830">
        <v>101892.11</v>
      </c>
      <c r="J187" s="830"/>
      <c r="K187" s="830">
        <v>50793.15</v>
      </c>
      <c r="L187" s="830"/>
      <c r="M187" s="830">
        <f t="shared" si="18"/>
        <v>-2190.5</v>
      </c>
      <c r="N187" s="830"/>
      <c r="O187" s="830">
        <v>48602.65</v>
      </c>
      <c r="P187" s="1657"/>
      <c r="Q187" s="1658"/>
    </row>
    <row r="188" spans="2:17" s="1647" customFormat="1" ht="16" thickBot="1">
      <c r="B188" s="1664"/>
      <c r="C188" s="1649"/>
      <c r="D188" s="1659" t="s">
        <v>638</v>
      </c>
      <c r="E188" s="1651"/>
      <c r="F188" s="1651"/>
      <c r="G188" s="1038">
        <f>ROUND(SUM(G105:G187),2)</f>
        <v>1334603724.4200001</v>
      </c>
      <c r="H188" s="1309"/>
      <c r="I188" s="1038">
        <f>ROUND(SUM(I105:I187),2)</f>
        <v>1102434959.01</v>
      </c>
      <c r="J188" s="1309"/>
      <c r="K188" s="1038">
        <f>ROUND(SUM(K105:K187),2)</f>
        <v>969857258.13</v>
      </c>
      <c r="L188"/>
      <c r="M188" s="1038">
        <f>ROUND(SUM(M105:M187),2)</f>
        <v>-506276366.23000002</v>
      </c>
      <c r="N188"/>
      <c r="O188" s="1038">
        <f>ROUND(SUM(O105:O187),2)</f>
        <v>463580891.89999998</v>
      </c>
      <c r="P188" s="1657"/>
      <c r="Q188" s="1658"/>
    </row>
    <row r="189" spans="2:17" s="1647" customFormat="1" ht="16" thickTop="1">
      <c r="B189" s="1666"/>
      <c r="C189" s="1652"/>
      <c r="D189" s="1673"/>
      <c r="E189" s="1662"/>
      <c r="F189" s="1662"/>
      <c r="G189" s="1329"/>
      <c r="H189" s="1759"/>
      <c r="I189" s="1329"/>
      <c r="J189" s="1759"/>
      <c r="K189" s="1329"/>
      <c r="L189" s="1759"/>
      <c r="M189" s="830"/>
      <c r="N189" s="1759"/>
      <c r="O189" s="1329"/>
      <c r="P189" s="1657"/>
      <c r="Q189" s="1658"/>
    </row>
    <row r="190" spans="2:17" s="1647" customFormat="1" ht="15.5">
      <c r="B190" s="1666"/>
      <c r="C190" s="1649"/>
      <c r="D190" s="1659" t="s">
        <v>639</v>
      </c>
      <c r="E190" s="1651"/>
      <c r="F190" s="1651"/>
      <c r="G190" s="1329"/>
      <c r="H190" s="1759"/>
      <c r="I190" s="1329"/>
      <c r="J190" s="1759"/>
      <c r="K190" s="1329"/>
      <c r="L190" s="1759"/>
      <c r="M190" s="831"/>
      <c r="N190" s="1309"/>
      <c r="O190" s="1329"/>
      <c r="P190" s="1657"/>
      <c r="Q190" s="1658"/>
    </row>
    <row r="191" spans="2:17" s="1647" customFormat="1" ht="15.5">
      <c r="B191" s="1674" t="s">
        <v>640</v>
      </c>
      <c r="C191" s="2139"/>
      <c r="D191" s="1661" t="s">
        <v>641</v>
      </c>
      <c r="E191" s="1749"/>
      <c r="F191" s="1749"/>
      <c r="G191" s="2140">
        <v>125225516.65000001</v>
      </c>
      <c r="H191" s="830"/>
      <c r="I191" s="2140">
        <v>48365144.689999998</v>
      </c>
      <c r="J191" s="830"/>
      <c r="K191" s="2140">
        <v>55885977.539999999</v>
      </c>
      <c r="L191" s="830"/>
      <c r="M191" s="830">
        <f>ROUND(SUM(O191)-SUM(K191),2)</f>
        <v>-11725579.359999999</v>
      </c>
      <c r="N191" s="830"/>
      <c r="O191" s="2140">
        <v>44160398.18</v>
      </c>
      <c r="P191" s="1657"/>
      <c r="Q191" s="1658"/>
    </row>
    <row r="192" spans="2:17" s="1647" customFormat="1" ht="15.5">
      <c r="B192" s="1674" t="s">
        <v>642</v>
      </c>
      <c r="C192" s="2139"/>
      <c r="D192" s="1661" t="s">
        <v>643</v>
      </c>
      <c r="E192" s="1749"/>
      <c r="F192" s="1749"/>
      <c r="G192" s="2140">
        <v>272125098.82999998</v>
      </c>
      <c r="H192" s="830"/>
      <c r="I192" s="2140">
        <v>1240193894.29</v>
      </c>
      <c r="J192" s="830"/>
      <c r="K192" s="2140">
        <v>2409092514.2199998</v>
      </c>
      <c r="L192" s="830"/>
      <c r="M192" s="830">
        <f t="shared" ref="M192:M195" si="19">ROUND(SUM(O192)-SUM(K192),2)</f>
        <v>-350562648.99000001</v>
      </c>
      <c r="N192" s="830"/>
      <c r="O192" s="2140">
        <v>2058529865.23</v>
      </c>
      <c r="P192" s="1657"/>
      <c r="Q192" s="1658"/>
    </row>
    <row r="193" spans="2:17" s="1647" customFormat="1" ht="15.5">
      <c r="B193" s="1674" t="s">
        <v>644</v>
      </c>
      <c r="C193" s="2139"/>
      <c r="D193" s="1654" t="s">
        <v>645</v>
      </c>
      <c r="E193" s="1749"/>
      <c r="F193" s="1749"/>
      <c r="G193" s="2140">
        <v>2424382580.04</v>
      </c>
      <c r="H193" s="830"/>
      <c r="I193" s="2140">
        <v>77298619.370000005</v>
      </c>
      <c r="J193" s="830"/>
      <c r="K193" s="2140">
        <v>82748360.819999993</v>
      </c>
      <c r="L193" s="830"/>
      <c r="M193" s="830">
        <f t="shared" si="19"/>
        <v>-31597429.77</v>
      </c>
      <c r="N193" s="830"/>
      <c r="O193" s="2140">
        <v>51150931.049999997</v>
      </c>
      <c r="P193" s="1657"/>
      <c r="Q193" s="1658"/>
    </row>
    <row r="194" spans="2:17" s="1647" customFormat="1" ht="15.5">
      <c r="B194" s="1674" t="s">
        <v>646</v>
      </c>
      <c r="C194" s="1654"/>
      <c r="D194" s="1661" t="s">
        <v>647</v>
      </c>
      <c r="E194" s="1749"/>
      <c r="F194" s="1749"/>
      <c r="G194" s="2140">
        <v>507448447.72000003</v>
      </c>
      <c r="H194" s="830"/>
      <c r="I194" s="2140">
        <v>505199510.38</v>
      </c>
      <c r="J194" s="830"/>
      <c r="K194" s="2140">
        <v>599331274.62</v>
      </c>
      <c r="L194" s="830"/>
      <c r="M194" s="830">
        <f t="shared" si="19"/>
        <v>-129481296.48</v>
      </c>
      <c r="N194" s="830"/>
      <c r="O194" s="2140">
        <v>469849978.13999999</v>
      </c>
      <c r="P194" s="1657"/>
      <c r="Q194" s="1658"/>
    </row>
    <row r="195" spans="2:17" s="1647" customFormat="1" ht="15.5">
      <c r="B195" s="1653">
        <v>31351</v>
      </c>
      <c r="C195" s="1654"/>
      <c r="D195" s="1661" t="s">
        <v>648</v>
      </c>
      <c r="E195" s="1749"/>
      <c r="F195" s="1749"/>
      <c r="G195" s="830">
        <v>8753932.6600000001</v>
      </c>
      <c r="I195" s="830">
        <v>8753932.6600000001</v>
      </c>
      <c r="K195" s="830">
        <v>8753932.6600000001</v>
      </c>
      <c r="L195" s="830"/>
      <c r="M195" s="830">
        <f t="shared" si="19"/>
        <v>0</v>
      </c>
      <c r="N195" s="830"/>
      <c r="O195" s="830">
        <v>8753932.6600000001</v>
      </c>
      <c r="P195" s="1667"/>
      <c r="Q195" s="1658"/>
    </row>
    <row r="196" spans="2:17" s="1647" customFormat="1" ht="15.5">
      <c r="B196" s="1605">
        <v>31354</v>
      </c>
      <c r="C196" s="1750"/>
      <c r="D196" s="1654" t="s">
        <v>649</v>
      </c>
      <c r="E196" s="1749"/>
      <c r="F196" s="1749"/>
      <c r="G196" s="830">
        <v>413108402.45499998</v>
      </c>
      <c r="I196" s="830">
        <v>379387719.85500002</v>
      </c>
      <c r="K196" s="830">
        <v>365904013.435</v>
      </c>
      <c r="L196" s="830"/>
      <c r="M196" s="830">
        <f>ROUND(SUM(O196)-SUM(K196),2)</f>
        <v>32981528.629999999</v>
      </c>
      <c r="N196" s="830"/>
      <c r="O196" s="830">
        <v>398885542.065</v>
      </c>
      <c r="P196" s="1663"/>
      <c r="Q196" s="1658"/>
    </row>
    <row r="197" spans="2:17" s="1647" customFormat="1" ht="15.5">
      <c r="B197" s="1751" t="s">
        <v>650</v>
      </c>
      <c r="C197" s="1662"/>
      <c r="D197" s="1661" t="s">
        <v>651</v>
      </c>
      <c r="E197" s="1749"/>
      <c r="F197" s="1749"/>
      <c r="G197" s="2102">
        <v>101849857.83</v>
      </c>
      <c r="H197" s="830" t="s">
        <v>14</v>
      </c>
      <c r="I197" s="2102">
        <v>103602212.78</v>
      </c>
      <c r="J197" s="830" t="s">
        <v>14</v>
      </c>
      <c r="K197" s="2102">
        <v>108261557.53</v>
      </c>
      <c r="L197" s="830"/>
      <c r="M197" s="830">
        <f>ROUND(SUM(O197)-SUM(K197),2)</f>
        <v>-6058115.2199999997</v>
      </c>
      <c r="N197" s="830"/>
      <c r="O197" s="2102">
        <v>102203442.31</v>
      </c>
      <c r="P197" s="593"/>
      <c r="Q197" s="1658"/>
    </row>
    <row r="198" spans="2:17" s="1647" customFormat="1" ht="15.5">
      <c r="B198" s="1672" t="s">
        <v>847</v>
      </c>
      <c r="C198" s="1662"/>
      <c r="D198" s="1661" t="s">
        <v>848</v>
      </c>
      <c r="E198" s="1674"/>
      <c r="F198" s="1674"/>
      <c r="G198" s="2102">
        <v>37667322.060000002</v>
      </c>
      <c r="H198" s="830"/>
      <c r="I198" s="2102">
        <v>32846918.27</v>
      </c>
      <c r="J198" s="830"/>
      <c r="K198" s="2102">
        <v>35295185.460000001</v>
      </c>
      <c r="L198" s="830"/>
      <c r="M198" s="830">
        <f>ROUND(SUM(O198)-SUM(K198),2)</f>
        <v>1524618.15</v>
      </c>
      <c r="N198" s="830"/>
      <c r="O198" s="2102">
        <v>36819803.609999999</v>
      </c>
      <c r="P198" s="1674"/>
      <c r="Q198" s="1658"/>
    </row>
    <row r="199" spans="2:17" s="1647" customFormat="1" ht="15.5">
      <c r="B199" s="1653">
        <v>25950</v>
      </c>
      <c r="C199" s="1662"/>
      <c r="D199" s="1661" t="s">
        <v>652</v>
      </c>
      <c r="E199" s="1675"/>
      <c r="F199" s="1675"/>
      <c r="G199" s="830">
        <v>506468.5</v>
      </c>
      <c r="I199" s="830">
        <v>394896.5</v>
      </c>
      <c r="K199" s="830">
        <v>506551.5</v>
      </c>
      <c r="L199" s="830"/>
      <c r="M199" s="830">
        <f>ROUND(SUM(O199)-SUM(K199),2)</f>
        <v>14095</v>
      </c>
      <c r="N199" s="830"/>
      <c r="O199" s="830">
        <v>520646.5</v>
      </c>
      <c r="P199" s="1674"/>
      <c r="Q199" s="1658"/>
    </row>
    <row r="200" spans="2:17" s="1647" customFormat="1" ht="15.5">
      <c r="B200" s="1672" t="s">
        <v>1136</v>
      </c>
      <c r="C200" s="1662"/>
      <c r="D200" s="1654" t="s">
        <v>849</v>
      </c>
      <c r="E200" s="1674"/>
      <c r="F200" s="1674"/>
      <c r="G200" s="1329">
        <v>2444233.4700000002</v>
      </c>
      <c r="H200" s="830"/>
      <c r="I200" s="1329">
        <v>12140855.93</v>
      </c>
      <c r="J200" s="830"/>
      <c r="K200" s="1329">
        <v>7438108.9800000004</v>
      </c>
      <c r="L200" s="830"/>
      <c r="M200" s="830">
        <f t="shared" ref="M200" si="20">ROUND(SUM(O200)-SUM(K200),2)</f>
        <v>-5512679.2300000004</v>
      </c>
      <c r="N200" s="830"/>
      <c r="O200" s="1329">
        <v>1925429.75</v>
      </c>
      <c r="P200" s="1674"/>
      <c r="Q200" s="1658"/>
    </row>
    <row r="201" spans="2:17" s="1647" customFormat="1" ht="16" thickBot="1">
      <c r="B201" s="1667"/>
      <c r="C201" s="1649"/>
      <c r="D201" s="1659" t="s">
        <v>653</v>
      </c>
      <c r="E201" s="1660"/>
      <c r="F201" s="1660"/>
      <c r="G201" s="1038">
        <f>ROUND(SUM(G191:G200),2)</f>
        <v>3893511860.2199998</v>
      </c>
      <c r="H201" s="1309"/>
      <c r="I201" s="1038">
        <f>ROUND(SUM(I191:I200),2)</f>
        <v>2408183704.73</v>
      </c>
      <c r="J201" s="1309"/>
      <c r="K201" s="1038">
        <f>ROUND(SUM(K191:K200),2)</f>
        <v>3673217476.77</v>
      </c>
      <c r="L201"/>
      <c r="M201" s="832">
        <f>ROUND(SUM(M191:M200),2)</f>
        <v>-500417507.26999998</v>
      </c>
      <c r="N201"/>
      <c r="O201" s="1038">
        <f>ROUND(SUM(O191:O200),2)</f>
        <v>3172799969.5</v>
      </c>
      <c r="P201" s="1663" t="s">
        <v>111</v>
      </c>
      <c r="Q201" s="1658"/>
    </row>
    <row r="202" spans="2:17" s="1647" customFormat="1" ht="16" thickTop="1">
      <c r="B202" s="1664"/>
      <c r="C202" s="1649"/>
      <c r="D202" s="1663"/>
      <c r="E202" s="1660"/>
      <c r="F202" s="1660"/>
      <c r="G202" s="1676"/>
      <c r="H202" s="1309"/>
      <c r="I202" s="1676"/>
      <c r="J202" s="1309"/>
      <c r="K202" s="1676"/>
      <c r="L202" s="1309"/>
      <c r="M202" s="831"/>
      <c r="N202" s="1309"/>
      <c r="O202" s="1676"/>
      <c r="P202" s="1751"/>
      <c r="Q202" s="1658"/>
    </row>
    <row r="203" spans="2:17" s="1647" customFormat="1" ht="15.5">
      <c r="B203" s="1666"/>
      <c r="C203" s="1649"/>
      <c r="D203" s="1650" t="s">
        <v>654</v>
      </c>
      <c r="E203" s="1660"/>
      <c r="F203" s="1660"/>
      <c r="G203" s="1329"/>
      <c r="H203" s="1759"/>
      <c r="I203" s="1329"/>
      <c r="J203" s="1759"/>
      <c r="K203" s="1329"/>
      <c r="L203" s="1759"/>
      <c r="M203" s="831"/>
      <c r="N203" s="1309"/>
      <c r="O203" s="1329"/>
      <c r="P203" s="1672"/>
      <c r="Q203" s="1658"/>
    </row>
    <row r="204" spans="2:17" s="1647" customFormat="1" ht="15.5">
      <c r="B204" s="1653">
        <v>60201</v>
      </c>
      <c r="C204" s="1649"/>
      <c r="D204" s="1661" t="s">
        <v>655</v>
      </c>
      <c r="E204" s="1660"/>
      <c r="F204" s="1660"/>
      <c r="G204" s="830">
        <v>0</v>
      </c>
      <c r="H204" s="830"/>
      <c r="I204" s="830">
        <v>0</v>
      </c>
      <c r="J204" s="830"/>
      <c r="K204" s="830">
        <v>0</v>
      </c>
      <c r="L204" s="830"/>
      <c r="M204" s="830">
        <f>ROUND(SUM(O204)-SUM(K204),2)</f>
        <v>0</v>
      </c>
      <c r="N204" s="830"/>
      <c r="O204" s="830">
        <v>0</v>
      </c>
      <c r="P204" s="1672"/>
      <c r="Q204" s="1658"/>
    </row>
    <row r="205" spans="2:17" s="1647" customFormat="1" ht="15.5">
      <c r="B205" s="1653">
        <v>60901</v>
      </c>
      <c r="C205" s="1662"/>
      <c r="D205" s="1654" t="s">
        <v>870</v>
      </c>
      <c r="E205" s="1663"/>
      <c r="F205" s="1663"/>
      <c r="G205" s="830">
        <v>0</v>
      </c>
      <c r="H205" s="830"/>
      <c r="I205" s="830">
        <v>0</v>
      </c>
      <c r="J205" s="830"/>
      <c r="K205" s="830">
        <v>0</v>
      </c>
      <c r="L205" s="830"/>
      <c r="M205" s="830">
        <f>ROUND(SUM(O205)-SUM(K205),2)</f>
        <v>0</v>
      </c>
      <c r="N205" s="830"/>
      <c r="O205" s="830">
        <v>0</v>
      </c>
      <c r="P205" s="1672"/>
      <c r="Q205" s="1658" t="s">
        <v>14</v>
      </c>
    </row>
    <row r="206" spans="2:17" s="1647" customFormat="1" ht="16" thickBot="1">
      <c r="B206" s="1672"/>
      <c r="C206" s="1649"/>
      <c r="D206" s="1650" t="s">
        <v>656</v>
      </c>
      <c r="E206" s="1660"/>
      <c r="F206" s="1660"/>
      <c r="G206" s="1041">
        <f>ROUND(SUM(G204:G205),2)</f>
        <v>0</v>
      </c>
      <c r="H206" s="1309"/>
      <c r="I206" s="1041">
        <f>ROUND(SUM(I204:I205),2)</f>
        <v>0</v>
      </c>
      <c r="J206" s="1309"/>
      <c r="K206" s="1041">
        <f>ROUND(SUM(K204:K205),2)</f>
        <v>0</v>
      </c>
      <c r="L206" s="1309"/>
      <c r="M206" s="832">
        <f>ROUND(SUM(M204:M205),2)</f>
        <v>0</v>
      </c>
      <c r="N206" s="1309"/>
      <c r="O206" s="1041">
        <f>ROUND(SUM(O204:O205),2)</f>
        <v>0</v>
      </c>
      <c r="P206" s="1657"/>
      <c r="Q206" s="1658"/>
    </row>
    <row r="207" spans="2:17" s="1647" customFormat="1" ht="16" thickTop="1">
      <c r="B207" s="1672"/>
      <c r="C207" s="1677"/>
      <c r="D207" s="1677"/>
      <c r="E207" s="1678"/>
      <c r="F207" s="1678"/>
      <c r="G207" s="1329"/>
      <c r="H207" s="1759"/>
      <c r="I207" s="1329"/>
      <c r="J207" s="1759"/>
      <c r="K207" s="1329"/>
      <c r="L207" s="1759"/>
      <c r="M207" s="830"/>
      <c r="N207" s="1759"/>
      <c r="O207" s="1329"/>
      <c r="P207" s="1657"/>
      <c r="Q207" s="1658"/>
    </row>
    <row r="208" spans="2:17" s="1647" customFormat="1" ht="15.5">
      <c r="B208" s="1672"/>
      <c r="C208" s="1665"/>
      <c r="D208" s="1650" t="s">
        <v>657</v>
      </c>
      <c r="E208" s="1669"/>
      <c r="F208" s="1669"/>
      <c r="G208" s="1329"/>
      <c r="H208" s="1759"/>
      <c r="I208" s="1329"/>
      <c r="J208" s="1759"/>
      <c r="K208" s="1329"/>
      <c r="L208" s="1759"/>
      <c r="M208" s="833"/>
      <c r="N208" s="2190"/>
      <c r="O208" s="1329"/>
      <c r="P208" s="1751"/>
      <c r="Q208" s="1658"/>
    </row>
    <row r="209" spans="2:17" s="1647" customFormat="1" ht="15.5">
      <c r="B209" s="1653">
        <v>50318</v>
      </c>
      <c r="C209" s="1652"/>
      <c r="D209" s="1654" t="s">
        <v>658</v>
      </c>
      <c r="E209" s="1652"/>
      <c r="F209" s="1652"/>
      <c r="G209" s="830">
        <v>833007.02</v>
      </c>
      <c r="H209" s="830"/>
      <c r="I209" s="830">
        <v>873931.77</v>
      </c>
      <c r="J209" s="830"/>
      <c r="K209" s="830">
        <v>877860.47</v>
      </c>
      <c r="L209" s="830"/>
      <c r="M209" s="830">
        <f>ROUND(SUM(O209)-SUM(K209),2)</f>
        <v>-349474.32</v>
      </c>
      <c r="N209" s="830"/>
      <c r="O209" s="830">
        <v>528386.15</v>
      </c>
      <c r="P209" s="1672"/>
      <c r="Q209" s="1658"/>
    </row>
    <row r="210" spans="2:17" s="1647" customFormat="1" ht="15.5">
      <c r="B210" s="1653">
        <v>50327</v>
      </c>
      <c r="C210" s="1652"/>
      <c r="D210" s="1654" t="s">
        <v>1147</v>
      </c>
      <c r="E210" s="1652"/>
      <c r="F210" s="1652"/>
      <c r="G210" s="830">
        <v>445651.54</v>
      </c>
      <c r="H210" s="830"/>
      <c r="I210" s="830">
        <v>446245.32</v>
      </c>
      <c r="J210" s="830"/>
      <c r="K210" s="830">
        <v>416374.96</v>
      </c>
      <c r="L210" s="830"/>
      <c r="M210" s="830">
        <f>ROUND(SUM(O210)-SUM(K210),2)</f>
        <v>-85447.25</v>
      </c>
      <c r="N210" s="830"/>
      <c r="O210" s="830">
        <v>330927.71000000002</v>
      </c>
      <c r="P210" s="1672"/>
      <c r="Q210" s="1658"/>
    </row>
    <row r="211" spans="2:17" s="1647" customFormat="1" ht="16" thickBot="1">
      <c r="B211" s="1667"/>
      <c r="C211" s="1649"/>
      <c r="D211" s="1659" t="s">
        <v>659</v>
      </c>
      <c r="E211" s="1651"/>
      <c r="F211" s="1651"/>
      <c r="G211" s="1979">
        <f>ROUND(SUM(G209:G210),2)</f>
        <v>1278658.5600000001</v>
      </c>
      <c r="H211" s="1309"/>
      <c r="I211" s="1979">
        <f>ROUND(SUM(I209:I210),2)</f>
        <v>1320177.0900000001</v>
      </c>
      <c r="J211" s="1309"/>
      <c r="K211" s="1979">
        <f>ROUND(SUM(K209:K210),2)</f>
        <v>1294235.43</v>
      </c>
      <c r="L211" s="1309"/>
      <c r="M211" s="2191">
        <f>ROUND(SUM(M209:M210),2)</f>
        <v>-434921.57</v>
      </c>
      <c r="N211" s="1309"/>
      <c r="O211" s="1979">
        <f>ROUND(SUM(O209:O210),2)</f>
        <v>859313.86</v>
      </c>
      <c r="P211" s="1667"/>
      <c r="Q211" s="1658"/>
    </row>
    <row r="212" spans="2:17" s="1647" customFormat="1" ht="16" thickTop="1">
      <c r="B212" s="1652"/>
      <c r="C212" s="1652"/>
      <c r="D212" s="1679"/>
      <c r="E212" s="1652"/>
      <c r="F212" s="1652"/>
      <c r="G212" s="1329"/>
      <c r="H212" s="980"/>
      <c r="I212" s="1329"/>
      <c r="J212" s="980"/>
      <c r="K212" s="1329"/>
      <c r="L212" s="980"/>
      <c r="M212" s="980"/>
      <c r="N212" s="980"/>
      <c r="O212" s="1329"/>
      <c r="P212" s="1667"/>
      <c r="Q212" s="1658"/>
    </row>
    <row r="213" spans="2:17" s="1647" customFormat="1" ht="15.5">
      <c r="B213" s="1648"/>
      <c r="C213" s="1649"/>
      <c r="D213" s="1650" t="s">
        <v>217</v>
      </c>
      <c r="E213" s="1651"/>
      <c r="F213" s="1651"/>
      <c r="G213" s="1978"/>
      <c r="H213" s="1759"/>
      <c r="I213" s="1978"/>
      <c r="J213" s="1759"/>
      <c r="K213" s="1978"/>
      <c r="L213" s="1759"/>
      <c r="M213" s="1309"/>
      <c r="N213" s="1309"/>
      <c r="O213" s="1978"/>
      <c r="P213" s="1652"/>
      <c r="Q213" s="1658"/>
    </row>
    <row r="214" spans="2:17" s="1647" customFormat="1" ht="15.5">
      <c r="B214" s="1653">
        <v>55001</v>
      </c>
      <c r="C214" s="1652"/>
      <c r="D214" s="1654" t="s">
        <v>1423</v>
      </c>
      <c r="E214" s="1652"/>
      <c r="F214" s="1652"/>
      <c r="G214" s="830">
        <v>0</v>
      </c>
      <c r="H214" s="830"/>
      <c r="I214" s="830">
        <v>0</v>
      </c>
      <c r="J214" s="830"/>
      <c r="K214" s="830">
        <v>0</v>
      </c>
      <c r="L214" s="830"/>
      <c r="M214" s="830">
        <f t="shared" ref="M214:M257" si="21">ROUND(SUM(O214)-SUM(K214),2)</f>
        <v>0</v>
      </c>
      <c r="N214" s="830"/>
      <c r="O214" s="830">
        <v>0</v>
      </c>
      <c r="P214" s="1657"/>
      <c r="Q214" s="1658"/>
    </row>
    <row r="215" spans="2:17" s="1647" customFormat="1" ht="15.5">
      <c r="B215" s="1653">
        <v>55002</v>
      </c>
      <c r="C215" s="1652"/>
      <c r="D215" s="1654" t="s">
        <v>1424</v>
      </c>
      <c r="E215" s="1652"/>
      <c r="F215" s="1652"/>
      <c r="G215" s="830">
        <v>0</v>
      </c>
      <c r="H215" s="830"/>
      <c r="I215" s="830">
        <v>0</v>
      </c>
      <c r="J215" s="830"/>
      <c r="K215" s="830">
        <v>0</v>
      </c>
      <c r="L215" s="830"/>
      <c r="M215" s="830">
        <f>ROUND(SUM(O215)-SUM(K215),2)</f>
        <v>0</v>
      </c>
      <c r="N215" s="830"/>
      <c r="O215" s="830">
        <v>0</v>
      </c>
      <c r="P215" s="1657"/>
      <c r="Q215" s="1658"/>
    </row>
    <row r="216" spans="2:17" s="1647" customFormat="1" ht="15.5">
      <c r="B216" s="1653">
        <v>55003</v>
      </c>
      <c r="C216" s="1662"/>
      <c r="D216" s="1654" t="s">
        <v>660</v>
      </c>
      <c r="E216" s="1663"/>
      <c r="F216" s="1663"/>
      <c r="G216" s="830">
        <v>595654.18000000005</v>
      </c>
      <c r="H216" s="830"/>
      <c r="I216" s="830">
        <v>541963.24</v>
      </c>
      <c r="J216" s="830"/>
      <c r="K216" s="830">
        <v>577590.71</v>
      </c>
      <c r="L216" s="830"/>
      <c r="M216" s="830">
        <f t="shared" si="21"/>
        <v>-325800.03000000003</v>
      </c>
      <c r="N216" s="830"/>
      <c r="O216" s="830">
        <v>251790.68</v>
      </c>
      <c r="P216" s="1657"/>
      <c r="Q216" s="1658"/>
    </row>
    <row r="217" spans="2:17" s="1647" customFormat="1" ht="15.5">
      <c r="B217" s="1653">
        <v>55004</v>
      </c>
      <c r="C217" s="1662"/>
      <c r="D217" s="1661" t="s">
        <v>661</v>
      </c>
      <c r="E217" s="1663"/>
      <c r="F217" s="1663"/>
      <c r="G217" s="830">
        <v>677638.16</v>
      </c>
      <c r="H217" s="830"/>
      <c r="I217" s="830">
        <v>3653.59</v>
      </c>
      <c r="J217" s="830"/>
      <c r="K217" s="830">
        <v>407548.67</v>
      </c>
      <c r="L217" s="830"/>
      <c r="M217" s="830">
        <f t="shared" si="21"/>
        <v>-146464.94</v>
      </c>
      <c r="N217" s="830"/>
      <c r="O217" s="830">
        <v>261083.73</v>
      </c>
      <c r="P217" s="1657"/>
      <c r="Q217" s="1658"/>
    </row>
    <row r="218" spans="2:17" s="1647" customFormat="1" ht="15.5">
      <c r="B218" s="1653">
        <v>55005</v>
      </c>
      <c r="C218" s="1662"/>
      <c r="D218" s="1661" t="s">
        <v>1425</v>
      </c>
      <c r="E218" s="1663"/>
      <c r="F218" s="1663"/>
      <c r="G218" s="830">
        <v>0</v>
      </c>
      <c r="H218" s="830"/>
      <c r="I218" s="830">
        <v>0</v>
      </c>
      <c r="J218" s="830"/>
      <c r="K218" s="830">
        <v>0</v>
      </c>
      <c r="L218" s="830"/>
      <c r="M218" s="830">
        <f>ROUND(SUM(O218)-SUM(K218),2)</f>
        <v>0</v>
      </c>
      <c r="N218" s="830"/>
      <c r="O218" s="830">
        <v>0</v>
      </c>
      <c r="P218" s="1657"/>
      <c r="Q218" s="1658"/>
    </row>
    <row r="219" spans="2:17" s="1647" customFormat="1" ht="15.5">
      <c r="B219" s="1653">
        <v>55006</v>
      </c>
      <c r="C219" s="1662"/>
      <c r="D219" s="1654" t="s">
        <v>662</v>
      </c>
      <c r="E219" s="1663"/>
      <c r="F219" s="1663"/>
      <c r="G219" s="830">
        <v>122932.21</v>
      </c>
      <c r="H219" s="830"/>
      <c r="I219" s="830">
        <v>123900.72</v>
      </c>
      <c r="J219" s="830"/>
      <c r="K219" s="830">
        <v>116383.73</v>
      </c>
      <c r="L219" s="830"/>
      <c r="M219" s="830">
        <f t="shared" si="21"/>
        <v>-62103.61</v>
      </c>
      <c r="N219" s="830"/>
      <c r="O219" s="830">
        <v>54280.12</v>
      </c>
      <c r="P219" s="1657"/>
      <c r="Q219" s="1658"/>
    </row>
    <row r="220" spans="2:17" s="1647" customFormat="1" ht="15.5">
      <c r="B220" s="1653">
        <v>55007</v>
      </c>
      <c r="C220" s="1670"/>
      <c r="D220" s="1654" t="s">
        <v>663</v>
      </c>
      <c r="E220" s="1671"/>
      <c r="F220" s="1671"/>
      <c r="G220" s="830">
        <v>1488379.41</v>
      </c>
      <c r="H220" s="830"/>
      <c r="I220" s="830">
        <v>1709037.62</v>
      </c>
      <c r="J220" s="830"/>
      <c r="K220" s="830">
        <v>1798854.04</v>
      </c>
      <c r="L220" s="830"/>
      <c r="M220" s="830">
        <f t="shared" si="21"/>
        <v>29764.29</v>
      </c>
      <c r="N220" s="830"/>
      <c r="O220" s="830">
        <v>1828618.33</v>
      </c>
      <c r="P220" s="1657"/>
      <c r="Q220" s="1658"/>
    </row>
    <row r="221" spans="2:17" s="1647" customFormat="1" ht="15.5">
      <c r="B221" s="1653">
        <v>55008</v>
      </c>
      <c r="C221" s="1662"/>
      <c r="D221" s="1661" t="s">
        <v>664</v>
      </c>
      <c r="E221" s="1663"/>
      <c r="F221" s="1663"/>
      <c r="G221" s="830">
        <v>14827648.369999999</v>
      </c>
      <c r="H221" s="830"/>
      <c r="I221" s="830">
        <v>13556260.119999999</v>
      </c>
      <c r="J221" s="830"/>
      <c r="K221" s="830">
        <v>9988038.9100000001</v>
      </c>
      <c r="L221" s="830"/>
      <c r="M221" s="830">
        <f t="shared" si="21"/>
        <v>-9988038.9100000001</v>
      </c>
      <c r="N221" s="830"/>
      <c r="O221" s="830">
        <v>0</v>
      </c>
      <c r="P221" s="1667"/>
      <c r="Q221" s="1658"/>
    </row>
    <row r="222" spans="2:17" s="1647" customFormat="1" ht="15.5">
      <c r="B222" s="1653">
        <v>55009</v>
      </c>
      <c r="C222" s="1662"/>
      <c r="D222" s="1661" t="s">
        <v>1426</v>
      </c>
      <c r="E222" s="1663"/>
      <c r="F222" s="1663"/>
      <c r="G222" s="830">
        <v>0</v>
      </c>
      <c r="H222" s="830"/>
      <c r="I222" s="830">
        <v>0</v>
      </c>
      <c r="J222" s="830"/>
      <c r="K222" s="830">
        <v>0</v>
      </c>
      <c r="L222" s="830"/>
      <c r="M222" s="830">
        <f>ROUND(SUM(O222)-SUM(K222),2)</f>
        <v>0</v>
      </c>
      <c r="N222" s="830"/>
      <c r="O222" s="830">
        <v>0</v>
      </c>
      <c r="P222" s="1667"/>
      <c r="Q222" s="1658"/>
    </row>
    <row r="223" spans="2:17" s="1647" customFormat="1" ht="15.5">
      <c r="B223" s="1605">
        <v>55010</v>
      </c>
      <c r="C223" s="1662"/>
      <c r="D223" s="1654" t="s">
        <v>871</v>
      </c>
      <c r="E223" s="1663"/>
      <c r="F223" s="1663"/>
      <c r="G223" s="830">
        <v>24546658.359999999</v>
      </c>
      <c r="H223" s="830"/>
      <c r="I223" s="830">
        <v>14437863.970000001</v>
      </c>
      <c r="J223" s="830"/>
      <c r="K223" s="830">
        <v>13574131.289999999</v>
      </c>
      <c r="L223" s="830"/>
      <c r="M223" s="830">
        <f t="shared" si="21"/>
        <v>5175974.8</v>
      </c>
      <c r="N223" s="830"/>
      <c r="O223" s="830">
        <v>18750106.09</v>
      </c>
      <c r="P223" s="1652"/>
      <c r="Q223" s="1658"/>
    </row>
    <row r="224" spans="2:17" s="1647" customFormat="1" ht="15.5">
      <c r="B224" s="1653">
        <v>55011</v>
      </c>
      <c r="C224" s="1670"/>
      <c r="D224" s="1654" t="s">
        <v>665</v>
      </c>
      <c r="E224" s="1671"/>
      <c r="F224" s="1671"/>
      <c r="G224" s="830">
        <v>2241010.94</v>
      </c>
      <c r="H224" s="830"/>
      <c r="I224" s="830">
        <v>3911014.82</v>
      </c>
      <c r="J224" s="830"/>
      <c r="K224" s="830">
        <v>3864371.59</v>
      </c>
      <c r="L224" s="830"/>
      <c r="M224" s="830">
        <f t="shared" si="21"/>
        <v>305669.65000000002</v>
      </c>
      <c r="N224" s="830"/>
      <c r="O224" s="830">
        <v>4170041.24</v>
      </c>
      <c r="P224" s="1657"/>
      <c r="Q224" s="1658"/>
    </row>
    <row r="225" spans="2:17" s="1647" customFormat="1" ht="15.5">
      <c r="B225" s="1653">
        <v>55012</v>
      </c>
      <c r="C225" s="1662"/>
      <c r="D225" s="1661" t="s">
        <v>666</v>
      </c>
      <c r="E225" s="1663"/>
      <c r="F225" s="1663"/>
      <c r="G225" s="830">
        <v>216402.83</v>
      </c>
      <c r="H225" s="830"/>
      <c r="I225" s="830">
        <v>245093.83</v>
      </c>
      <c r="J225" s="830"/>
      <c r="K225" s="830">
        <v>240114.83</v>
      </c>
      <c r="L225" s="830"/>
      <c r="M225" s="830">
        <f t="shared" si="21"/>
        <v>-20860.849999999999</v>
      </c>
      <c r="N225" s="830"/>
      <c r="O225" s="830">
        <v>219253.98</v>
      </c>
      <c r="P225" s="1657"/>
      <c r="Q225" s="1658"/>
    </row>
    <row r="226" spans="2:17" s="1647" customFormat="1" ht="15.5">
      <c r="B226" s="1653">
        <v>55013</v>
      </c>
      <c r="C226" s="1662"/>
      <c r="D226" s="1661" t="s">
        <v>1427</v>
      </c>
      <c r="E226" s="1663"/>
      <c r="F226" s="1663"/>
      <c r="G226" s="830">
        <v>0</v>
      </c>
      <c r="H226" s="830"/>
      <c r="I226" s="830">
        <v>0</v>
      </c>
      <c r="J226" s="830"/>
      <c r="K226" s="830">
        <v>0</v>
      </c>
      <c r="L226" s="830"/>
      <c r="M226" s="830">
        <f>ROUND(SUM(O226)-SUM(K226),2)</f>
        <v>0</v>
      </c>
      <c r="N226" s="830"/>
      <c r="O226" s="830">
        <v>0</v>
      </c>
      <c r="P226" s="1657"/>
      <c r="Q226" s="1658"/>
    </row>
    <row r="227" spans="2:17" s="1647" customFormat="1" ht="15.5">
      <c r="B227" s="1653">
        <v>55014</v>
      </c>
      <c r="C227" s="1662"/>
      <c r="D227" s="1661" t="s">
        <v>1428</v>
      </c>
      <c r="E227" s="1663"/>
      <c r="F227" s="1663"/>
      <c r="G227" s="830">
        <v>0</v>
      </c>
      <c r="H227" s="830"/>
      <c r="I227" s="830">
        <v>0</v>
      </c>
      <c r="J227" s="830"/>
      <c r="K227" s="830">
        <v>0</v>
      </c>
      <c r="L227" s="830"/>
      <c r="M227" s="830">
        <f>ROUND(SUM(O227)-SUM(K227),2)</f>
        <v>0</v>
      </c>
      <c r="N227" s="830"/>
      <c r="O227" s="830">
        <v>0</v>
      </c>
      <c r="P227" s="1657"/>
      <c r="Q227" s="1658"/>
    </row>
    <row r="228" spans="2:17" s="1647" customFormat="1" ht="15.5">
      <c r="B228" s="1653">
        <v>55015</v>
      </c>
      <c r="C228" s="1662"/>
      <c r="D228" s="1661" t="s">
        <v>1429</v>
      </c>
      <c r="E228" s="1663"/>
      <c r="F228" s="1663"/>
      <c r="G228" s="830">
        <v>0</v>
      </c>
      <c r="H228" s="830"/>
      <c r="I228" s="830">
        <v>0</v>
      </c>
      <c r="J228" s="830"/>
      <c r="K228" s="830">
        <v>0</v>
      </c>
      <c r="L228" s="830"/>
      <c r="M228" s="830">
        <f>ROUND(SUM(O228)-SUM(K228),2)</f>
        <v>0</v>
      </c>
      <c r="N228" s="830"/>
      <c r="O228" s="830">
        <v>0</v>
      </c>
      <c r="P228" s="1657"/>
      <c r="Q228" s="1658"/>
    </row>
    <row r="229" spans="2:17" s="1647" customFormat="1" ht="15.5">
      <c r="B229" s="1653">
        <v>55016</v>
      </c>
      <c r="C229" s="1662"/>
      <c r="D229" s="1654" t="s">
        <v>667</v>
      </c>
      <c r="E229" s="1663"/>
      <c r="F229" s="1663"/>
      <c r="G229" s="830">
        <v>763256.52</v>
      </c>
      <c r="H229" s="830"/>
      <c r="I229" s="830">
        <v>607857.88</v>
      </c>
      <c r="J229" s="830"/>
      <c r="K229" s="830">
        <v>509264.32</v>
      </c>
      <c r="L229" s="830"/>
      <c r="M229" s="830">
        <f t="shared" si="21"/>
        <v>-213578.51</v>
      </c>
      <c r="N229" s="830"/>
      <c r="O229" s="830">
        <v>295685.81</v>
      </c>
      <c r="P229" s="1657"/>
      <c r="Q229" s="1658"/>
    </row>
    <row r="230" spans="2:17" s="1647" customFormat="1" ht="15.5">
      <c r="B230" s="1653">
        <v>55017</v>
      </c>
      <c r="C230" s="1662"/>
      <c r="D230" s="1654" t="s">
        <v>668</v>
      </c>
      <c r="E230" s="1663"/>
      <c r="F230" s="1663"/>
      <c r="G230" s="830">
        <v>427993.4</v>
      </c>
      <c r="H230" s="830"/>
      <c r="I230" s="830">
        <v>0</v>
      </c>
      <c r="J230" s="830"/>
      <c r="K230" s="830">
        <v>0</v>
      </c>
      <c r="L230" s="830"/>
      <c r="M230" s="830">
        <f t="shared" si="21"/>
        <v>353998.99</v>
      </c>
      <c r="N230" s="830"/>
      <c r="O230" s="830">
        <v>353998.99</v>
      </c>
      <c r="P230" s="1657"/>
      <c r="Q230" s="1658"/>
    </row>
    <row r="231" spans="2:17" s="1647" customFormat="1" ht="15.5">
      <c r="B231" s="1653">
        <v>55018</v>
      </c>
      <c r="C231" s="1662"/>
      <c r="D231" s="1654" t="s">
        <v>1430</v>
      </c>
      <c r="E231" s="1663"/>
      <c r="F231" s="1663"/>
      <c r="G231" s="830">
        <v>0</v>
      </c>
      <c r="H231" s="830"/>
      <c r="I231" s="830">
        <v>0</v>
      </c>
      <c r="J231" s="830"/>
      <c r="K231" s="830">
        <v>0</v>
      </c>
      <c r="L231" s="830"/>
      <c r="M231" s="830">
        <f>ROUND(SUM(O231)-SUM(K231),2)</f>
        <v>0</v>
      </c>
      <c r="N231" s="830"/>
      <c r="O231" s="830">
        <v>0</v>
      </c>
      <c r="P231" s="1657"/>
      <c r="Q231" s="1658"/>
    </row>
    <row r="232" spans="2:17" s="1647" customFormat="1" ht="15.5">
      <c r="B232" s="1653">
        <v>55019</v>
      </c>
      <c r="C232" s="1662"/>
      <c r="D232" s="1654" t="s">
        <v>1431</v>
      </c>
      <c r="E232" s="1663"/>
      <c r="F232" s="1663"/>
      <c r="G232" s="830">
        <v>0</v>
      </c>
      <c r="H232" s="830"/>
      <c r="I232" s="830">
        <v>0</v>
      </c>
      <c r="J232" s="830"/>
      <c r="K232" s="830">
        <v>0</v>
      </c>
      <c r="L232" s="830"/>
      <c r="M232" s="830">
        <f>ROUND(SUM(O232)-SUM(K232),2)</f>
        <v>0</v>
      </c>
      <c r="N232" s="830"/>
      <c r="O232" s="830">
        <v>0</v>
      </c>
      <c r="P232" s="1657"/>
      <c r="Q232" s="1658"/>
    </row>
    <row r="233" spans="2:17" s="1647" customFormat="1" ht="15.5">
      <c r="B233" s="1653">
        <v>55020</v>
      </c>
      <c r="C233" s="1662"/>
      <c r="D233" s="1654" t="s">
        <v>669</v>
      </c>
      <c r="E233" s="1663"/>
      <c r="F233" s="1663"/>
      <c r="G233" s="830">
        <v>18283045.91</v>
      </c>
      <c r="H233" s="830"/>
      <c r="I233" s="830">
        <v>19254938.390000001</v>
      </c>
      <c r="J233" s="830"/>
      <c r="K233" s="830">
        <v>20145599.670000002</v>
      </c>
      <c r="L233" s="830"/>
      <c r="M233" s="830">
        <f t="shared" si="21"/>
        <v>-370119.39</v>
      </c>
      <c r="N233" s="830"/>
      <c r="O233" s="830">
        <v>19775480.280000001</v>
      </c>
      <c r="P233" s="1657"/>
      <c r="Q233" s="1658"/>
    </row>
    <row r="234" spans="2:17" s="1647" customFormat="1" ht="15.5">
      <c r="B234" s="1653">
        <v>55021</v>
      </c>
      <c r="C234" s="1662"/>
      <c r="D234" s="1654" t="s">
        <v>670</v>
      </c>
      <c r="E234" s="1663"/>
      <c r="F234" s="1663"/>
      <c r="G234" s="830">
        <v>8178307.0499999998</v>
      </c>
      <c r="H234" s="830"/>
      <c r="I234" s="830">
        <v>8431506.4199999999</v>
      </c>
      <c r="J234" s="830"/>
      <c r="K234" s="830">
        <v>8313550.1200000001</v>
      </c>
      <c r="L234" s="830"/>
      <c r="M234" s="830">
        <f t="shared" si="21"/>
        <v>-940157.97</v>
      </c>
      <c r="N234" s="830"/>
      <c r="O234" s="830">
        <v>7373392.1500000004</v>
      </c>
      <c r="P234" s="1657"/>
      <c r="Q234" s="1658"/>
    </row>
    <row r="235" spans="2:17" s="1647" customFormat="1" ht="15.5">
      <c r="B235" s="1653">
        <v>55022</v>
      </c>
      <c r="C235" s="1662"/>
      <c r="D235" s="1661" t="s">
        <v>671</v>
      </c>
      <c r="E235" s="1663"/>
      <c r="F235" s="1663"/>
      <c r="G235" s="830">
        <v>21034530.84</v>
      </c>
      <c r="H235" s="830"/>
      <c r="I235" s="830">
        <v>23148974.93</v>
      </c>
      <c r="J235" s="830"/>
      <c r="K235" s="830">
        <v>25822018.23</v>
      </c>
      <c r="L235" s="830"/>
      <c r="M235" s="830">
        <f t="shared" si="21"/>
        <v>-25822018.23</v>
      </c>
      <c r="N235" s="830"/>
      <c r="O235" s="830">
        <v>0</v>
      </c>
      <c r="P235" s="1657"/>
      <c r="Q235" s="1658"/>
    </row>
    <row r="236" spans="2:17" s="1647" customFormat="1" ht="15.5">
      <c r="B236" s="1653">
        <v>55052</v>
      </c>
      <c r="C236" s="1662"/>
      <c r="D236" s="1661" t="s">
        <v>672</v>
      </c>
      <c r="E236" s="1663"/>
      <c r="F236" s="1663"/>
      <c r="G236" s="830">
        <v>0</v>
      </c>
      <c r="H236" s="830"/>
      <c r="I236" s="830">
        <v>0</v>
      </c>
      <c r="J236" s="830"/>
      <c r="K236" s="830">
        <v>22596.78</v>
      </c>
      <c r="L236" s="830"/>
      <c r="M236" s="830">
        <f t="shared" si="21"/>
        <v>105434.44</v>
      </c>
      <c r="N236" s="830"/>
      <c r="O236" s="830">
        <v>128031.22</v>
      </c>
      <c r="P236" s="1657"/>
      <c r="Q236" s="1658"/>
    </row>
    <row r="237" spans="2:17" s="1647" customFormat="1" ht="15.5">
      <c r="B237" s="1653">
        <v>55053</v>
      </c>
      <c r="C237" s="1662"/>
      <c r="D237" s="1654" t="s">
        <v>673</v>
      </c>
      <c r="E237" s="1663"/>
      <c r="F237" s="1663"/>
      <c r="G237" s="830">
        <v>0</v>
      </c>
      <c r="H237" s="830"/>
      <c r="I237" s="830">
        <v>0</v>
      </c>
      <c r="J237" s="830"/>
      <c r="K237" s="830">
        <v>0</v>
      </c>
      <c r="L237" s="830"/>
      <c r="M237" s="830">
        <f t="shared" si="21"/>
        <v>0</v>
      </c>
      <c r="N237" s="830"/>
      <c r="O237" s="830">
        <v>0</v>
      </c>
      <c r="P237" s="1657"/>
      <c r="Q237" s="1658"/>
    </row>
    <row r="238" spans="2:17" s="1647" customFormat="1" ht="15.5">
      <c r="B238" s="1653">
        <v>55055</v>
      </c>
      <c r="C238" s="1662"/>
      <c r="D238" s="1654" t="s">
        <v>1356</v>
      </c>
      <c r="E238" s="1663"/>
      <c r="F238" s="1663"/>
      <c r="G238" s="830">
        <v>1929708.91</v>
      </c>
      <c r="H238" s="830"/>
      <c r="I238" s="830">
        <v>1744968.23</v>
      </c>
      <c r="J238" s="830"/>
      <c r="K238" s="830">
        <v>1460445.4</v>
      </c>
      <c r="L238" s="830"/>
      <c r="M238" s="830">
        <f t="shared" ref="M238" si="22">ROUND(SUM(O238)-SUM(K238),2)</f>
        <v>-1460445.4</v>
      </c>
      <c r="N238" s="830"/>
      <c r="O238" s="830">
        <v>0</v>
      </c>
      <c r="P238" s="1657"/>
      <c r="Q238" s="1658"/>
    </row>
    <row r="239" spans="2:17" s="1647" customFormat="1" ht="15.5">
      <c r="B239" s="1653">
        <v>55056</v>
      </c>
      <c r="C239" s="1662"/>
      <c r="D239" s="1654" t="s">
        <v>674</v>
      </c>
      <c r="E239" s="1663"/>
      <c r="F239" s="1663"/>
      <c r="G239" s="830">
        <v>0</v>
      </c>
      <c r="H239" s="830"/>
      <c r="I239" s="830">
        <v>0</v>
      </c>
      <c r="J239" s="830"/>
      <c r="K239" s="830">
        <v>0</v>
      </c>
      <c r="L239" s="830"/>
      <c r="M239" s="830">
        <f t="shared" si="21"/>
        <v>0</v>
      </c>
      <c r="N239" s="830"/>
      <c r="O239" s="830">
        <v>0</v>
      </c>
      <c r="P239" s="1657"/>
      <c r="Q239" s="1658"/>
    </row>
    <row r="240" spans="2:17" s="1647" customFormat="1" ht="15.5">
      <c r="B240" s="1653">
        <v>55057</v>
      </c>
      <c r="C240" s="1662"/>
      <c r="D240" s="1654" t="s">
        <v>675</v>
      </c>
      <c r="E240" s="1663"/>
      <c r="F240" s="1663"/>
      <c r="G240" s="830">
        <v>98536.1700000001</v>
      </c>
      <c r="H240" s="830"/>
      <c r="I240" s="830">
        <v>78692.12</v>
      </c>
      <c r="J240" s="830"/>
      <c r="K240" s="830">
        <v>2627746.42</v>
      </c>
      <c r="L240" s="830"/>
      <c r="M240" s="830">
        <f t="shared" si="21"/>
        <v>-2627746.42</v>
      </c>
      <c r="N240" s="830"/>
      <c r="O240" s="830">
        <v>0</v>
      </c>
      <c r="P240" s="1657"/>
      <c r="Q240" s="1658"/>
    </row>
    <row r="241" spans="2:17" s="1647" customFormat="1" ht="15.5">
      <c r="B241" s="1653">
        <v>55058</v>
      </c>
      <c r="C241" s="1662"/>
      <c r="D241" s="1654" t="s">
        <v>676</v>
      </c>
      <c r="E241" s="1663"/>
      <c r="F241" s="1663"/>
      <c r="G241" s="830">
        <v>4445763.07</v>
      </c>
      <c r="H241" s="830"/>
      <c r="I241" s="830">
        <v>4741633.82</v>
      </c>
      <c r="J241" s="830"/>
      <c r="K241" s="830">
        <v>4985632.57</v>
      </c>
      <c r="L241" s="830"/>
      <c r="M241" s="830">
        <f t="shared" si="21"/>
        <v>346082.08</v>
      </c>
      <c r="N241" s="830"/>
      <c r="O241" s="830">
        <v>5331714.6500000004</v>
      </c>
      <c r="P241" s="1657"/>
      <c r="Q241" s="1658"/>
    </row>
    <row r="242" spans="2:17" s="1647" customFormat="1" ht="15.5">
      <c r="B242" s="1653">
        <v>55059</v>
      </c>
      <c r="C242" s="1662"/>
      <c r="D242" s="1654" t="s">
        <v>1149</v>
      </c>
      <c r="E242" s="1663"/>
      <c r="F242" s="1663"/>
      <c r="G242" s="830">
        <v>10852705.029999999</v>
      </c>
      <c r="H242" s="830"/>
      <c r="I242" s="830">
        <v>10749903.99</v>
      </c>
      <c r="J242" s="830"/>
      <c r="K242" s="830">
        <v>10665670.390000001</v>
      </c>
      <c r="L242" s="830"/>
      <c r="M242" s="830">
        <f t="shared" ref="M242" si="23">ROUND(SUM(O242)-SUM(K242),2)</f>
        <v>196807.01</v>
      </c>
      <c r="N242" s="830"/>
      <c r="O242" s="830">
        <v>10862477.4</v>
      </c>
      <c r="P242" s="1657"/>
      <c r="Q242" s="1658"/>
    </row>
    <row r="243" spans="2:17" s="1647" customFormat="1" ht="15.5">
      <c r="B243" s="1653">
        <v>55060</v>
      </c>
      <c r="C243" s="1662"/>
      <c r="D243" s="1661" t="s">
        <v>677</v>
      </c>
      <c r="E243" s="1663"/>
      <c r="F243" s="1663"/>
      <c r="G243" s="830">
        <v>8443832.1600000001</v>
      </c>
      <c r="H243" s="830"/>
      <c r="I243" s="830">
        <v>300907.78000000003</v>
      </c>
      <c r="J243" s="830"/>
      <c r="K243" s="830">
        <v>1367819.45</v>
      </c>
      <c r="L243" s="830"/>
      <c r="M243" s="830">
        <f t="shared" si="21"/>
        <v>-1234179.3</v>
      </c>
      <c r="N243" s="830"/>
      <c r="O243" s="830">
        <v>133640.15</v>
      </c>
      <c r="P243" s="1657"/>
      <c r="Q243" s="1658"/>
    </row>
    <row r="244" spans="2:17" s="1647" customFormat="1" ht="15.5">
      <c r="B244" s="1653">
        <v>55061</v>
      </c>
      <c r="C244" s="1662"/>
      <c r="D244" s="1661" t="s">
        <v>678</v>
      </c>
      <c r="E244" s="1663"/>
      <c r="F244" s="1663"/>
      <c r="G244" s="830">
        <v>0</v>
      </c>
      <c r="H244" s="830"/>
      <c r="I244" s="830">
        <v>0</v>
      </c>
      <c r="J244" s="830"/>
      <c r="K244" s="830">
        <v>0</v>
      </c>
      <c r="L244" s="830"/>
      <c r="M244" s="830">
        <f t="shared" si="21"/>
        <v>0</v>
      </c>
      <c r="N244" s="830"/>
      <c r="O244" s="830">
        <v>0</v>
      </c>
      <c r="P244" s="1657"/>
      <c r="Q244" s="1658"/>
    </row>
    <row r="245" spans="2:17" s="1647" customFormat="1" ht="15.5">
      <c r="B245" s="1653">
        <v>55062</v>
      </c>
      <c r="C245" s="1662"/>
      <c r="D245" s="1654" t="s">
        <v>679</v>
      </c>
      <c r="E245" s="1663"/>
      <c r="F245" s="1663"/>
      <c r="G245" s="830">
        <v>27837979.219999999</v>
      </c>
      <c r="H245" s="830"/>
      <c r="I245" s="830">
        <v>27837979.219999999</v>
      </c>
      <c r="J245" s="830"/>
      <c r="K245" s="830">
        <v>25936876.879999999</v>
      </c>
      <c r="L245" s="830"/>
      <c r="M245" s="830">
        <f t="shared" si="21"/>
        <v>-11390328.76</v>
      </c>
      <c r="N245" s="830"/>
      <c r="O245" s="830">
        <v>14546548.119999999</v>
      </c>
      <c r="P245" s="1657"/>
      <c r="Q245" s="1658"/>
    </row>
    <row r="246" spans="2:17" s="1647" customFormat="1" ht="15.5">
      <c r="B246" s="1653">
        <v>55066</v>
      </c>
      <c r="C246" s="1662"/>
      <c r="D246" s="1654" t="s">
        <v>680</v>
      </c>
      <c r="E246" s="1663"/>
      <c r="F246" s="1663"/>
      <c r="G246" s="830">
        <v>1261584.27</v>
      </c>
      <c r="H246" s="830"/>
      <c r="I246" s="830">
        <v>1261584.27</v>
      </c>
      <c r="J246" s="830"/>
      <c r="K246" s="830">
        <v>1261584.27</v>
      </c>
      <c r="L246" s="830"/>
      <c r="M246" s="830">
        <f t="shared" si="21"/>
        <v>0</v>
      </c>
      <c r="N246" s="830"/>
      <c r="O246" s="830">
        <v>1261584.27</v>
      </c>
      <c r="P246" s="1657"/>
      <c r="Q246" s="1658"/>
    </row>
    <row r="247" spans="2:17" s="1647" customFormat="1" ht="15.5">
      <c r="B247" s="1653">
        <v>55067</v>
      </c>
      <c r="C247" s="1662"/>
      <c r="D247" s="1654" t="s">
        <v>681</v>
      </c>
      <c r="E247" s="1663"/>
      <c r="F247" s="1663"/>
      <c r="G247" s="830">
        <v>293300.75</v>
      </c>
      <c r="H247" s="830"/>
      <c r="I247" s="830">
        <v>328990.61</v>
      </c>
      <c r="J247" s="830"/>
      <c r="K247" s="830">
        <v>238671.2</v>
      </c>
      <c r="L247" s="830"/>
      <c r="M247" s="830">
        <f t="shared" si="21"/>
        <v>53757.4</v>
      </c>
      <c r="N247" s="830"/>
      <c r="O247" s="830">
        <v>292428.59999999998</v>
      </c>
      <c r="P247" s="1657"/>
      <c r="Q247" s="1658"/>
    </row>
    <row r="248" spans="2:17" s="1647" customFormat="1" ht="15.5">
      <c r="B248" s="1653">
        <v>55069</v>
      </c>
      <c r="C248" s="1662"/>
      <c r="D248" s="1654" t="s">
        <v>682</v>
      </c>
      <c r="E248" s="1663"/>
      <c r="F248" s="1663"/>
      <c r="G248" s="830">
        <v>93429131.400000006</v>
      </c>
      <c r="H248" s="830"/>
      <c r="I248" s="830">
        <v>96403605.569999993</v>
      </c>
      <c r="J248" s="830"/>
      <c r="K248" s="830">
        <v>44252792.82</v>
      </c>
      <c r="L248" s="830"/>
      <c r="M248" s="830">
        <f t="shared" si="21"/>
        <v>-44252792.82</v>
      </c>
      <c r="N248" s="830"/>
      <c r="O248" s="830">
        <v>0</v>
      </c>
      <c r="P248" s="1657"/>
      <c r="Q248" s="1658"/>
    </row>
    <row r="249" spans="2:17" s="1647" customFormat="1" ht="15.5">
      <c r="B249" s="1672">
        <v>55071</v>
      </c>
      <c r="C249" s="1662"/>
      <c r="D249" s="1654" t="s">
        <v>850</v>
      </c>
      <c r="E249" s="1663"/>
      <c r="F249" s="1663"/>
      <c r="G249" s="830">
        <v>1074022.74</v>
      </c>
      <c r="H249" s="830"/>
      <c r="I249" s="830">
        <v>1256309.33</v>
      </c>
      <c r="J249" s="830"/>
      <c r="K249" s="830">
        <v>616590.94999999995</v>
      </c>
      <c r="L249" s="830"/>
      <c r="M249" s="830">
        <f t="shared" si="21"/>
        <v>-435982.26</v>
      </c>
      <c r="N249" s="830"/>
      <c r="O249" s="830">
        <v>180608.69</v>
      </c>
      <c r="P249" s="1657"/>
      <c r="Q249" s="1658"/>
    </row>
    <row r="250" spans="2:17" s="1647" customFormat="1" ht="15.5">
      <c r="B250" s="1653">
        <v>55072</v>
      </c>
      <c r="C250" s="1662"/>
      <c r="D250" s="1654" t="s">
        <v>851</v>
      </c>
      <c r="E250" s="1663"/>
      <c r="F250" s="1663"/>
      <c r="G250" s="830">
        <v>2282464.84</v>
      </c>
      <c r="H250" s="830"/>
      <c r="I250" s="830">
        <v>3581639.27</v>
      </c>
      <c r="J250" s="830"/>
      <c r="K250" s="830">
        <v>1100490.0900000001</v>
      </c>
      <c r="L250" s="830"/>
      <c r="M250" s="830">
        <f t="shared" si="21"/>
        <v>1340061.68</v>
      </c>
      <c r="N250" s="830"/>
      <c r="O250" s="830">
        <v>2440551.77</v>
      </c>
      <c r="P250" s="1657"/>
      <c r="Q250" s="1658"/>
    </row>
    <row r="251" spans="2:17" s="1647" customFormat="1" ht="15.5">
      <c r="B251" s="1672">
        <v>55073</v>
      </c>
      <c r="C251" s="1662"/>
      <c r="D251" s="1654" t="s">
        <v>852</v>
      </c>
      <c r="E251" s="1663"/>
      <c r="F251" s="1663"/>
      <c r="G251" s="830">
        <v>0</v>
      </c>
      <c r="H251" s="830"/>
      <c r="I251" s="830">
        <v>0</v>
      </c>
      <c r="J251" s="830"/>
      <c r="K251" s="830">
        <v>0</v>
      </c>
      <c r="L251" s="830"/>
      <c r="M251" s="830">
        <f t="shared" si="21"/>
        <v>0</v>
      </c>
      <c r="N251" s="830"/>
      <c r="O251" s="830">
        <v>0</v>
      </c>
      <c r="P251" s="1657"/>
      <c r="Q251" s="1658"/>
    </row>
    <row r="252" spans="2:17" s="1647" customFormat="1" ht="15.5">
      <c r="B252" s="1672">
        <v>55074</v>
      </c>
      <c r="C252" s="1662"/>
      <c r="D252" s="1654" t="s">
        <v>1180</v>
      </c>
      <c r="E252" s="1663"/>
      <c r="F252" s="1663"/>
      <c r="G252" s="830">
        <v>0</v>
      </c>
      <c r="H252" s="830"/>
      <c r="I252" s="830">
        <v>0</v>
      </c>
      <c r="J252" s="830"/>
      <c r="K252" s="830">
        <v>0</v>
      </c>
      <c r="L252" s="830"/>
      <c r="M252" s="830">
        <f t="shared" ref="M252" si="24">ROUND(SUM(O252)-SUM(K252),2)</f>
        <v>0</v>
      </c>
      <c r="N252" s="830"/>
      <c r="O252" s="830">
        <v>0</v>
      </c>
      <c r="P252" s="1657"/>
      <c r="Q252" s="1658"/>
    </row>
    <row r="253" spans="2:17" s="1647" customFormat="1" ht="15.5">
      <c r="B253" s="1653">
        <v>55251</v>
      </c>
      <c r="C253" s="1662"/>
      <c r="D253" s="1661" t="s">
        <v>683</v>
      </c>
      <c r="E253" s="1663"/>
      <c r="F253" s="1663"/>
      <c r="G253" s="830">
        <v>9148221.3699999992</v>
      </c>
      <c r="H253" s="830"/>
      <c r="I253" s="830">
        <v>9340961.5999999996</v>
      </c>
      <c r="J253" s="830"/>
      <c r="K253" s="830">
        <v>9520951.0299999993</v>
      </c>
      <c r="L253" s="830"/>
      <c r="M253" s="830">
        <f t="shared" si="21"/>
        <v>-3136861.27</v>
      </c>
      <c r="N253" s="830"/>
      <c r="O253" s="830">
        <v>6384089.7599999998</v>
      </c>
      <c r="P253" s="1657"/>
      <c r="Q253" s="1658"/>
    </row>
    <row r="254" spans="2:17" s="1647" customFormat="1" ht="15.5">
      <c r="B254" s="1653">
        <v>55252</v>
      </c>
      <c r="C254" s="1662"/>
      <c r="D254" s="1654" t="s">
        <v>684</v>
      </c>
      <c r="E254" s="1663"/>
      <c r="F254" s="1663"/>
      <c r="G254" s="830">
        <v>41167679.969999999</v>
      </c>
      <c r="H254" s="830"/>
      <c r="I254" s="830">
        <v>45725745.600000001</v>
      </c>
      <c r="J254" s="830"/>
      <c r="K254" s="830">
        <v>49709013.640000001</v>
      </c>
      <c r="L254" s="830"/>
      <c r="M254" s="830">
        <f t="shared" si="21"/>
        <v>-6721632.9500000002</v>
      </c>
      <c r="N254" s="830"/>
      <c r="O254" s="830">
        <v>42987380.689999998</v>
      </c>
      <c r="P254" s="1657"/>
      <c r="Q254" s="1658"/>
    </row>
    <row r="255" spans="2:17" s="1647" customFormat="1" ht="15.5">
      <c r="B255" s="1653">
        <v>55300</v>
      </c>
      <c r="C255" s="1662"/>
      <c r="D255" s="1661" t="s">
        <v>685</v>
      </c>
      <c r="E255" s="1663"/>
      <c r="F255" s="1663"/>
      <c r="G255" s="830">
        <v>5789206.54</v>
      </c>
      <c r="H255" s="830"/>
      <c r="I255" s="830">
        <v>7764828.3099999996</v>
      </c>
      <c r="J255" s="830"/>
      <c r="K255" s="830">
        <v>8596828.3900000006</v>
      </c>
      <c r="L255" s="830"/>
      <c r="M255" s="830">
        <f t="shared" si="21"/>
        <v>-8363098.2199999997</v>
      </c>
      <c r="N255" s="830"/>
      <c r="O255" s="830">
        <v>233730.17</v>
      </c>
      <c r="P255" s="1657"/>
      <c r="Q255" s="1658"/>
    </row>
    <row r="256" spans="2:17" s="1647" customFormat="1" ht="15.5">
      <c r="B256" s="1653">
        <v>55301</v>
      </c>
      <c r="C256" s="1662"/>
      <c r="D256" s="1661" t="s">
        <v>686</v>
      </c>
      <c r="E256" s="1663"/>
      <c r="F256" s="1663"/>
      <c r="G256" s="830">
        <v>8250704.6100000003</v>
      </c>
      <c r="H256" s="830"/>
      <c r="I256" s="830">
        <v>8903905.7599999998</v>
      </c>
      <c r="J256" s="830"/>
      <c r="K256" s="830">
        <v>8945873.9900000002</v>
      </c>
      <c r="L256" s="830"/>
      <c r="M256" s="830">
        <f t="shared" si="21"/>
        <v>-8945873.9900000002</v>
      </c>
      <c r="N256" s="830"/>
      <c r="O256" s="830">
        <v>0</v>
      </c>
      <c r="P256" s="1657"/>
      <c r="Q256" s="1658"/>
    </row>
    <row r="257" spans="2:17" s="1647" customFormat="1" ht="15.5">
      <c r="B257" s="1653">
        <v>55350</v>
      </c>
      <c r="C257" s="1652"/>
      <c r="D257" s="1661" t="s">
        <v>687</v>
      </c>
      <c r="E257" s="1652"/>
      <c r="F257" s="1652"/>
      <c r="G257" s="830">
        <v>32788126.93</v>
      </c>
      <c r="H257" s="830"/>
      <c r="I257" s="830">
        <v>34640789.770000003</v>
      </c>
      <c r="J257" s="830"/>
      <c r="K257" s="830">
        <v>36554781.700000003</v>
      </c>
      <c r="L257" s="830"/>
      <c r="M257" s="830">
        <f t="shared" si="21"/>
        <v>-36554781.700000003</v>
      </c>
      <c r="N257" s="830"/>
      <c r="O257" s="830">
        <v>0</v>
      </c>
      <c r="P257" s="1657"/>
      <c r="Q257" s="1658"/>
    </row>
    <row r="258" spans="2:17" s="1647" customFormat="1" ht="16" thickBot="1">
      <c r="B258" s="1680"/>
      <c r="C258" s="1649"/>
      <c r="D258" s="1650" t="s">
        <v>688</v>
      </c>
      <c r="E258" s="1651"/>
      <c r="F258" s="1651"/>
      <c r="G258" s="1038">
        <f>ROUND(SUM(G214:G257),2)</f>
        <v>342496426.16000003</v>
      </c>
      <c r="H258" s="1309"/>
      <c r="I258" s="1038">
        <f>ROUND(SUM(I214:I257),2)</f>
        <v>340634510.77999997</v>
      </c>
      <c r="J258" s="1309"/>
      <c r="K258" s="1038">
        <f>ROUND(SUM(K214:K257),2)</f>
        <v>293221832.07999998</v>
      </c>
      <c r="L258" s="1309"/>
      <c r="M258" s="832">
        <f>ROUND(SUM(M214:M257),2)</f>
        <v>-155105315.19</v>
      </c>
      <c r="N258" s="1309"/>
      <c r="O258" s="1038">
        <f>ROUND(SUM(O214:O257),2)</f>
        <v>138116516.88999999</v>
      </c>
      <c r="P258" s="1657"/>
      <c r="Q258" s="1658"/>
    </row>
    <row r="259" spans="2:17" s="1647" customFormat="1" ht="16" thickTop="1">
      <c r="B259" s="1666"/>
      <c r="C259" s="1652"/>
      <c r="D259" s="1681"/>
      <c r="E259" s="1652"/>
      <c r="F259" s="1652"/>
      <c r="G259" s="830"/>
      <c r="H259" s="1759"/>
      <c r="I259" s="830"/>
      <c r="J259" s="1759"/>
      <c r="K259" s="830"/>
      <c r="L259" s="1759"/>
      <c r="M259" s="830"/>
      <c r="N259" s="1759"/>
      <c r="O259" s="830"/>
      <c r="P259" s="1657"/>
      <c r="Q259" s="1658"/>
    </row>
    <row r="260" spans="2:17" s="1647" customFormat="1" ht="16" thickBot="1">
      <c r="B260" s="1666"/>
      <c r="C260" s="1652"/>
      <c r="D260" s="1681"/>
      <c r="E260" s="1652"/>
      <c r="F260" s="1652"/>
      <c r="G260" s="830"/>
      <c r="H260" s="1759"/>
      <c r="I260" s="830"/>
      <c r="J260" s="1759"/>
      <c r="K260" s="830"/>
      <c r="L260" s="1759"/>
      <c r="M260" s="830"/>
      <c r="N260" s="1759"/>
      <c r="O260" s="830"/>
      <c r="P260" s="1657"/>
      <c r="Q260" s="1658"/>
    </row>
    <row r="261" spans="2:17" s="1647" customFormat="1" ht="16" thickBot="1">
      <c r="B261" s="1680"/>
      <c r="C261" s="1682"/>
      <c r="D261" s="1683" t="s">
        <v>689</v>
      </c>
      <c r="E261" s="1651"/>
      <c r="F261" s="1655"/>
      <c r="G261" s="1039">
        <f>ROUND(SUM(G11+G102+G188+G201+G206+G211+G258),2)</f>
        <v>7178699724.3999996</v>
      </c>
      <c r="H261" s="1655"/>
      <c r="I261" s="1039">
        <f>ROUND(SUM(I11+I102+I188+I201+I206+I211+I258),2)</f>
        <v>5554197510.5799999</v>
      </c>
      <c r="J261" s="1655"/>
      <c r="K261" s="1039">
        <f>ROUND(SUM(K11+K102+K188+K201+K206+K211+K258),2)</f>
        <v>6758628836.46</v>
      </c>
      <c r="L261" s="1655"/>
      <c r="M261" s="973">
        <f>ROUND(SUM(M11+M102+M188+M201+M206+M211+M258),2)</f>
        <v>-1047145887.0700001</v>
      </c>
      <c r="N261" s="1655"/>
      <c r="O261" s="1039">
        <f>ROUND(SUM(O11+O102+O188+O201+O206+O211+O258),2)</f>
        <v>5711482949.3900003</v>
      </c>
      <c r="P261" s="1657"/>
      <c r="Q261" s="1658"/>
    </row>
    <row r="262" spans="2:17" s="1647" customFormat="1" ht="15.5">
      <c r="B262" s="1666"/>
      <c r="C262" s="1652"/>
      <c r="D262" s="1681"/>
      <c r="E262" s="1652"/>
      <c r="F262" s="1652"/>
      <c r="G262"/>
      <c r="H262" s="1309"/>
      <c r="I262" s="831"/>
      <c r="J262" s="1309"/>
      <c r="K262" s="831"/>
      <c r="L262" s="1309"/>
      <c r="M262" s="834"/>
      <c r="N262" s="1652"/>
      <c r="O262" s="834"/>
      <c r="P262" s="1657"/>
    </row>
    <row r="263" spans="2:17" s="1647" customFormat="1" ht="15.5">
      <c r="B263" s="1992" t="s">
        <v>764</v>
      </c>
      <c r="C263" s="1333" t="s">
        <v>1469</v>
      </c>
      <c r="D263" s="1684"/>
      <c r="E263" s="589"/>
      <c r="F263" s="589"/>
      <c r="G263" s="831"/>
      <c r="H263" s="1685"/>
      <c r="I263" s="835"/>
      <c r="J263" s="469"/>
      <c r="K263" s="835"/>
      <c r="L263" s="469"/>
      <c r="M263" s="835"/>
      <c r="N263" s="469"/>
      <c r="O263" s="835"/>
      <c r="P263" s="1657"/>
    </row>
    <row r="264" spans="2:17" s="1647" customFormat="1" ht="15.5">
      <c r="B264" s="1686"/>
      <c r="C264" s="589" t="s">
        <v>690</v>
      </c>
      <c r="D264" s="1687"/>
      <c r="E264" s="589"/>
      <c r="F264" s="589"/>
      <c r="G264" s="835"/>
      <c r="H264" s="1685"/>
      <c r="I264" s="835"/>
      <c r="J264" s="469"/>
      <c r="K264" s="835"/>
      <c r="L264" s="469"/>
      <c r="M264" s="835"/>
      <c r="N264" s="469"/>
      <c r="O264" s="835"/>
      <c r="P264" s="1657"/>
    </row>
    <row r="265" spans="2:17" s="1647" customFormat="1" ht="15.5">
      <c r="B265" s="1686"/>
      <c r="C265" s="589" t="s">
        <v>691</v>
      </c>
      <c r="D265" s="1684"/>
      <c r="E265" s="589"/>
      <c r="F265" s="589"/>
      <c r="G265" s="835"/>
      <c r="H265" s="1685"/>
      <c r="I265" s="836"/>
      <c r="J265" s="593"/>
      <c r="K265" s="836"/>
      <c r="L265" s="593"/>
      <c r="M265" s="836"/>
      <c r="N265" s="593"/>
      <c r="O265" s="836"/>
      <c r="P265" s="1657"/>
    </row>
    <row r="266" spans="2:17" s="1647" customFormat="1" ht="15.5">
      <c r="B266" s="1686"/>
      <c r="C266" s="589" t="s">
        <v>692</v>
      </c>
      <c r="D266" s="1684"/>
      <c r="E266" s="589"/>
      <c r="F266" s="589"/>
      <c r="G266" s="836"/>
      <c r="H266" s="1685"/>
      <c r="I266" s="836"/>
      <c r="J266" s="593"/>
      <c r="K266" s="836"/>
      <c r="L266" s="593"/>
      <c r="M266" s="836"/>
      <c r="N266" s="593"/>
      <c r="O266" s="836"/>
      <c r="P266" s="1657"/>
    </row>
    <row r="267" spans="2:17" s="1647" customFormat="1" ht="15.5">
      <c r="B267" s="1686"/>
      <c r="C267" s="589" t="s">
        <v>693</v>
      </c>
      <c r="D267" s="1684"/>
      <c r="E267" s="589"/>
      <c r="F267" s="589"/>
      <c r="G267" s="836"/>
      <c r="H267" s="1685"/>
      <c r="I267" s="1688"/>
      <c r="J267" s="1689"/>
      <c r="K267" s="1688"/>
      <c r="L267" s="1689"/>
      <c r="M267" s="1688"/>
      <c r="N267" s="1689"/>
      <c r="O267" s="1688"/>
      <c r="P267" s="1657"/>
    </row>
    <row r="268" spans="2:17" s="1647" customFormat="1" ht="15.5">
      <c r="B268" s="1333"/>
      <c r="C268" s="589" t="s">
        <v>1139</v>
      </c>
      <c r="D268" s="1684"/>
      <c r="E268" s="589"/>
      <c r="F268" s="589"/>
      <c r="G268" s="1688"/>
      <c r="H268" s="1685"/>
      <c r="I268" s="1688"/>
      <c r="J268" s="1689"/>
      <c r="K268" s="1688"/>
      <c r="L268" s="1689"/>
      <c r="M268" s="1688"/>
      <c r="N268" s="1689"/>
      <c r="O268" s="1688"/>
      <c r="P268" s="1657"/>
    </row>
    <row r="269" spans="2:17" s="1647" customFormat="1" ht="15.5">
      <c r="B269" s="1333"/>
      <c r="C269" s="1685" t="s">
        <v>765</v>
      </c>
      <c r="D269" s="1687"/>
      <c r="E269" s="1685"/>
      <c r="F269" s="1685"/>
      <c r="G269" s="1688"/>
      <c r="H269" s="1685"/>
      <c r="I269" s="1688"/>
      <c r="J269" s="1689"/>
      <c r="K269" s="1688"/>
      <c r="L269" s="1689"/>
      <c r="M269" s="1688"/>
      <c r="N269" s="1689"/>
      <c r="O269" s="1688"/>
      <c r="P269" s="1657"/>
    </row>
    <row r="270" spans="2:17" s="1647" customFormat="1" ht="15.5">
      <c r="B270" s="1690" t="s">
        <v>111</v>
      </c>
      <c r="C270" s="589" t="s">
        <v>1120</v>
      </c>
      <c r="D270" s="1684"/>
      <c r="E270" s="1685"/>
      <c r="F270" s="1685"/>
      <c r="G270" s="1688"/>
      <c r="H270" s="1685"/>
      <c r="I270" s="1691"/>
      <c r="J270" s="1692"/>
      <c r="K270" s="1691"/>
      <c r="L270" s="1691"/>
      <c r="M270" s="593"/>
      <c r="N270" s="593"/>
      <c r="O270" s="1691"/>
      <c r="P270" s="1652"/>
    </row>
    <row r="271" spans="2:17" s="1647" customFormat="1" ht="15.5">
      <c r="B271" s="1693"/>
      <c r="C271" s="1691" t="s">
        <v>1121</v>
      </c>
      <c r="D271" s="469"/>
      <c r="E271" s="1685"/>
      <c r="F271" s="1685"/>
      <c r="G271" s="1691"/>
      <c r="H271" s="1685"/>
      <c r="I271" s="1691"/>
      <c r="J271" s="1692"/>
      <c r="K271" s="1691"/>
      <c r="L271" s="1691"/>
      <c r="M271" s="593"/>
      <c r="N271" s="593"/>
      <c r="O271" s="1691"/>
      <c r="P271" s="593"/>
    </row>
    <row r="272" spans="2:17" s="1647" customFormat="1" ht="15.5">
      <c r="B272" s="1694" t="s">
        <v>763</v>
      </c>
      <c r="C272" s="1333" t="s">
        <v>872</v>
      </c>
      <c r="D272" s="469"/>
      <c r="E272" s="469"/>
      <c r="F272" s="469"/>
      <c r="G272" s="1691"/>
      <c r="H272" s="591"/>
      <c r="I272" s="589"/>
      <c r="J272" s="592"/>
      <c r="K272" s="589"/>
      <c r="L272" s="591"/>
      <c r="M272" s="590"/>
      <c r="N272" s="593"/>
      <c r="O272" s="589"/>
      <c r="P272" s="1646"/>
    </row>
    <row r="273" spans="2:16" s="1647" customFormat="1" ht="15.5">
      <c r="B273" s="1695"/>
      <c r="C273" s="1333"/>
      <c r="D273" s="1648"/>
      <c r="E273" s="589"/>
      <c r="F273" s="589"/>
      <c r="G273" s="1691"/>
      <c r="H273" s="1648"/>
      <c r="I273" s="1648"/>
      <c r="J273" s="1648"/>
      <c r="K273" s="1648"/>
      <c r="L273" s="1648"/>
      <c r="M273" s="1648"/>
      <c r="N273" s="1648"/>
      <c r="O273" s="1648"/>
      <c r="P273" s="1685"/>
    </row>
    <row r="274" spans="2:16" s="1647" customFormat="1" ht="15.5">
      <c r="C274" s="589"/>
      <c r="D274" s="593"/>
      <c r="E274" s="1333"/>
      <c r="F274" s="1333"/>
      <c r="G274" s="1648"/>
      <c r="H274" s="593"/>
      <c r="I274" s="593"/>
      <c r="J274" s="593"/>
      <c r="K274" s="593"/>
      <c r="L274" s="593"/>
      <c r="M274" s="593"/>
      <c r="N274" s="593"/>
      <c r="O274" s="593"/>
      <c r="P274" s="1685"/>
    </row>
    <row r="275" spans="2:16" s="1647" customFormat="1" ht="15.5">
      <c r="C275" s="589"/>
      <c r="D275" s="593"/>
      <c r="E275" s="589"/>
      <c r="F275" s="589"/>
      <c r="G275" s="1696"/>
      <c r="H275" s="1696"/>
      <c r="I275" s="1696"/>
      <c r="J275" s="1696"/>
      <c r="K275" s="1696"/>
      <c r="L275" s="1696"/>
      <c r="M275" s="1696"/>
      <c r="N275" s="1696"/>
      <c r="O275" s="1696"/>
      <c r="P275" s="1685"/>
    </row>
    <row r="276" spans="2:16" s="1647" customFormat="1" ht="15.5">
      <c r="B276" s="589"/>
      <c r="C276" s="589"/>
      <c r="D276" s="593"/>
      <c r="E276" s="589"/>
      <c r="F276" s="589"/>
      <c r="G276" s="1697"/>
      <c r="H276" s="1697"/>
      <c r="I276" s="1697"/>
      <c r="J276" s="1697"/>
      <c r="K276" s="1697"/>
      <c r="L276" s="1697"/>
      <c r="M276" s="593"/>
      <c r="N276" s="593"/>
      <c r="O276" s="593"/>
      <c r="P276" s="1685"/>
    </row>
    <row r="277" spans="2:16" s="1647" customFormat="1" ht="15.5">
      <c r="B277" s="589"/>
      <c r="C277" s="589"/>
      <c r="D277" s="593"/>
      <c r="E277" s="589"/>
      <c r="F277" s="589"/>
      <c r="G277" s="1697"/>
      <c r="H277" s="1697"/>
      <c r="I277" s="1697"/>
      <c r="J277" s="1697"/>
      <c r="K277" s="1697"/>
      <c r="L277" s="1697"/>
      <c r="M277" s="593"/>
      <c r="N277" s="593"/>
      <c r="O277" s="593"/>
      <c r="P277" s="1685"/>
    </row>
    <row r="278" spans="2:16" s="1647" customFormat="1" ht="15.5">
      <c r="B278" s="1690"/>
      <c r="C278" s="1685"/>
      <c r="D278" s="593"/>
      <c r="E278" s="589"/>
      <c r="F278" s="589"/>
      <c r="G278" s="1697"/>
      <c r="H278" s="1685"/>
      <c r="I278" s="1685"/>
      <c r="J278" s="1685"/>
      <c r="K278" s="1685"/>
      <c r="L278" s="593"/>
      <c r="M278" s="593"/>
      <c r="N278" s="593"/>
      <c r="O278" s="593"/>
      <c r="P278" s="1695"/>
    </row>
    <row r="279" spans="2:16" s="1647" customFormat="1" ht="15.5">
      <c r="B279" s="1698"/>
      <c r="C279" s="1685"/>
      <c r="D279" s="593"/>
      <c r="E279" s="589"/>
      <c r="F279" s="589"/>
      <c r="G279" s="1685"/>
      <c r="H279" s="1685"/>
      <c r="I279" s="1685"/>
      <c r="J279" s="1685"/>
      <c r="K279" s="1685"/>
      <c r="L279" s="593"/>
      <c r="M279" s="593"/>
      <c r="N279" s="593"/>
      <c r="O279" s="593"/>
      <c r="P279" s="1695"/>
    </row>
    <row r="280" spans="2:16" s="1647" customFormat="1" ht="15.5">
      <c r="B280" s="1698"/>
      <c r="C280" s="1685"/>
      <c r="D280" s="593"/>
      <c r="E280" s="589"/>
      <c r="F280" s="589"/>
      <c r="G280" s="1685"/>
      <c r="H280" s="1685"/>
      <c r="I280" s="1685"/>
      <c r="J280" s="1685"/>
      <c r="K280" s="1685"/>
      <c r="L280" s="593"/>
      <c r="M280" s="469"/>
      <c r="N280" s="469"/>
      <c r="O280" s="469"/>
      <c r="P280" s="1695"/>
    </row>
    <row r="281" spans="2:16" s="1647" customFormat="1" ht="15.5">
      <c r="B281" s="1695"/>
      <c r="C281" s="1685"/>
      <c r="D281" s="593"/>
      <c r="E281"/>
      <c r="F281" s="1685"/>
      <c r="G281" s="1685"/>
      <c r="H281" s="1685"/>
      <c r="I281" s="1685"/>
      <c r="J281" s="1685"/>
      <c r="K281" s="1685"/>
      <c r="L281" s="469"/>
      <c r="M281" s="469"/>
      <c r="N281" s="469"/>
      <c r="O281" s="469"/>
      <c r="P281" s="1695"/>
    </row>
    <row r="282" spans="2:16" s="1647" customFormat="1" ht="15.5">
      <c r="B282" s="1695"/>
      <c r="C282" s="1685"/>
      <c r="D282" s="593"/>
      <c r="E282"/>
      <c r="F282" s="1685"/>
      <c r="G282" s="1685"/>
      <c r="H282" s="1685"/>
      <c r="I282" s="1685"/>
      <c r="J282" s="1685"/>
      <c r="K282" s="1685"/>
      <c r="L282" s="469"/>
      <c r="M282" s="1699"/>
      <c r="N282" s="1699"/>
      <c r="O282" s="1699"/>
      <c r="P282" s="1695"/>
    </row>
    <row r="283" spans="2:16" ht="15.5">
      <c r="B283" s="1695"/>
      <c r="C283" s="1685"/>
      <c r="D283" s="593"/>
      <c r="E283"/>
      <c r="F283" s="1685"/>
      <c r="G283" s="1685"/>
      <c r="H283" s="1685"/>
      <c r="I283" s="1685"/>
      <c r="J283" s="1685"/>
      <c r="K283" s="1685"/>
      <c r="L283" s="469"/>
      <c r="M283" s="469"/>
      <c r="N283" s="469"/>
      <c r="O283" s="469"/>
      <c r="P283" s="1695"/>
    </row>
    <row r="284" spans="2:16" ht="15.5">
      <c r="G284" s="1685"/>
    </row>
    <row r="289" spans="3:12" ht="15.5">
      <c r="C289" s="834"/>
      <c r="D289" s="834"/>
      <c r="E289" s="834"/>
      <c r="F289" s="1624"/>
      <c r="H289" s="1702"/>
      <c r="I289" s="1702"/>
      <c r="J289" s="1702"/>
      <c r="K289" s="1702"/>
      <c r="L289" s="1702"/>
    </row>
    <row r="290" spans="3:12" ht="15.5">
      <c r="C290" s="834"/>
      <c r="D290" s="834"/>
      <c r="E290" s="834"/>
      <c r="F290" s="1624"/>
      <c r="G290" s="1702"/>
      <c r="H290" s="1702"/>
      <c r="I290" s="1702"/>
      <c r="J290" s="1702"/>
      <c r="K290" s="1702"/>
      <c r="L290" s="1702"/>
    </row>
    <row r="291" spans="3:12" ht="15.5">
      <c r="C291" s="834"/>
      <c r="D291" s="834"/>
      <c r="E291" s="834"/>
      <c r="F291" s="1624"/>
      <c r="G291" s="1702"/>
      <c r="H291" s="1702"/>
      <c r="I291" s="1702"/>
      <c r="J291" s="1702"/>
      <c r="K291" s="1702"/>
      <c r="L291" s="1702"/>
    </row>
    <row r="292" spans="3:12" ht="15.5">
      <c r="C292" s="834"/>
      <c r="D292" s="834"/>
      <c r="E292" s="834"/>
      <c r="F292" s="1624"/>
      <c r="G292" s="1702"/>
      <c r="H292" s="1702"/>
      <c r="I292" s="1702"/>
      <c r="J292" s="1702"/>
      <c r="K292" s="1702"/>
      <c r="L292" s="1702"/>
    </row>
    <row r="293" spans="3:12" ht="15.5">
      <c r="C293" s="834"/>
      <c r="D293" s="834"/>
      <c r="E293" s="834"/>
      <c r="F293" s="1624"/>
      <c r="G293" s="1702"/>
      <c r="H293" s="1702"/>
      <c r="I293" s="1702"/>
      <c r="J293" s="1702"/>
      <c r="K293" s="1702"/>
      <c r="L293" s="1702"/>
    </row>
    <row r="294" spans="3:12">
      <c r="G294" s="1702"/>
    </row>
  </sheetData>
  <printOptions horizontalCentered="1"/>
  <pageMargins left="0.45" right="0.45" top="0.5" bottom="0.5" header="0.3" footer="0.25"/>
  <pageSetup scale="43" firstPageNumber="53" fitToHeight="4" orientation="landscape" useFirstPageNumber="1" r:id="rId1"/>
  <headerFooter scaleWithDoc="0" alignWithMargins="0">
    <oddFooter>&amp;C&amp;8&amp;P</oddFooter>
  </headerFooter>
  <rowBreaks count="3" manualBreakCount="3">
    <brk id="95" max="16383" man="1"/>
    <brk id="173" max="16383" man="1"/>
    <brk id="246" max="16383" man="1"/>
  </rowBreaks>
  <ignoredErrors>
    <ignoredError sqref="L11 N11 L206 N206 L211 N211 L258 N258 L261 N261 L12:N13 L103:N104 L189:N190 L202:N203 L207:N208 L212:N213 L259:N260"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4"/>
  <sheetViews>
    <sheetView showGridLines="0" zoomScale="80" workbookViewId="0"/>
  </sheetViews>
  <sheetFormatPr defaultColWidth="8.84375" defaultRowHeight="12.5"/>
  <cols>
    <col min="1" max="1" width="54.84375" style="348" customWidth="1"/>
    <col min="2" max="2" width="15" style="1027" bestFit="1" customWidth="1"/>
    <col min="3" max="3" width="1.84375" style="1027" customWidth="1"/>
    <col min="4" max="4" width="15" style="1027" bestFit="1" customWidth="1"/>
    <col min="5" max="5" width="1.84375" style="1026" customWidth="1"/>
    <col min="6" max="6" width="13.84375" style="1027" customWidth="1"/>
    <col min="7" max="7" width="1.84375" style="1026" customWidth="1"/>
    <col min="8" max="8" width="13.84375" style="1027" customWidth="1"/>
    <col min="9" max="9" width="1.84375" style="1026" customWidth="1"/>
    <col min="10" max="10" width="13.84375" style="1027" customWidth="1"/>
    <col min="11" max="11" width="1.84375" style="1027" customWidth="1"/>
    <col min="12" max="12" width="13.84375" style="1027" customWidth="1"/>
    <col min="13" max="13" width="1.84375" style="1026" customWidth="1"/>
    <col min="14" max="14" width="13.84375" style="1027" customWidth="1"/>
    <col min="15" max="15" width="1.84375" style="1026" customWidth="1"/>
    <col min="16" max="16" width="13.84375" style="1027" customWidth="1"/>
    <col min="17" max="17" width="1.84375" style="1026" customWidth="1"/>
    <col min="18" max="18" width="13.84375" style="1027" customWidth="1"/>
    <col min="19" max="19" width="1.84375" style="1026" customWidth="1"/>
    <col min="20" max="20" width="13.84375" style="1027" customWidth="1"/>
    <col min="21" max="21" width="1.84375" style="1026" customWidth="1"/>
    <col min="22" max="22" width="13.84375" style="1027" customWidth="1"/>
    <col min="23" max="23" width="1.84375" style="1026" customWidth="1"/>
    <col min="24" max="24" width="13.84375" style="1027" customWidth="1"/>
    <col min="25" max="25" width="1.84375" style="1026" customWidth="1"/>
    <col min="26" max="26" width="18.84375" style="287" customWidth="1"/>
    <col min="27" max="27" width="1.53515625" style="348" customWidth="1"/>
    <col min="28" max="28" width="18.84375" style="348" bestFit="1" customWidth="1"/>
    <col min="29" max="29" width="12.84375" style="348" bestFit="1" customWidth="1"/>
    <col min="30" max="16384" width="8.84375" style="348"/>
  </cols>
  <sheetData>
    <row r="1" spans="1:33" ht="15.5">
      <c r="A1" s="677" t="s">
        <v>868</v>
      </c>
      <c r="B1" s="882"/>
      <c r="C1" s="882"/>
      <c r="D1" s="882"/>
      <c r="E1" s="882"/>
      <c r="F1" s="882"/>
      <c r="G1" s="882"/>
      <c r="H1" s="882"/>
      <c r="I1" s="882"/>
      <c r="J1" s="882"/>
      <c r="K1" s="882"/>
      <c r="L1" s="882"/>
      <c r="M1" s="882"/>
      <c r="N1" s="882"/>
      <c r="O1" s="882"/>
      <c r="P1" s="882"/>
      <c r="Q1" s="882"/>
      <c r="R1" s="882"/>
      <c r="S1" s="882"/>
      <c r="T1" s="882"/>
      <c r="U1" s="882"/>
      <c r="V1" s="882"/>
      <c r="W1" s="882"/>
      <c r="X1" s="882"/>
      <c r="Y1" s="882"/>
      <c r="Z1" s="882"/>
      <c r="AA1" s="882"/>
      <c r="AB1" s="882"/>
      <c r="AC1" s="882"/>
      <c r="AD1" s="882"/>
      <c r="AE1" s="882"/>
      <c r="AF1" s="882"/>
      <c r="AG1" s="882"/>
    </row>
    <row r="2" spans="1:33" ht="15.5">
      <c r="A2" s="677"/>
      <c r="B2" s="882"/>
      <c r="C2" s="882"/>
      <c r="D2" s="882"/>
      <c r="E2" s="882"/>
      <c r="F2" s="882"/>
      <c r="G2" s="882"/>
      <c r="H2" s="882"/>
      <c r="I2" s="882"/>
      <c r="J2" s="882"/>
      <c r="K2" s="882"/>
      <c r="L2" s="882"/>
      <c r="M2" s="882"/>
      <c r="N2" s="882"/>
      <c r="O2" s="882"/>
      <c r="P2" s="882"/>
      <c r="Q2" s="882"/>
      <c r="R2" s="882"/>
      <c r="S2" s="882"/>
      <c r="T2" s="882"/>
      <c r="U2" s="882"/>
      <c r="V2" s="882"/>
      <c r="W2" s="882"/>
      <c r="X2" s="882"/>
      <c r="Y2" s="882"/>
      <c r="Z2" s="882"/>
      <c r="AA2" s="882"/>
      <c r="AB2" s="882"/>
      <c r="AC2" s="882"/>
      <c r="AD2" s="882"/>
      <c r="AE2" s="882"/>
      <c r="AF2" s="882"/>
      <c r="AG2" s="882"/>
    </row>
    <row r="3" spans="1:33" ht="24" customHeight="1">
      <c r="A3" s="594" t="s">
        <v>0</v>
      </c>
      <c r="B3" s="345"/>
      <c r="C3" s="345"/>
      <c r="D3" s="346"/>
      <c r="E3" s="347"/>
      <c r="F3" s="346"/>
      <c r="G3" s="347"/>
      <c r="H3" s="346"/>
      <c r="I3" s="347"/>
      <c r="K3" s="345"/>
      <c r="L3" s="286"/>
      <c r="M3" s="345"/>
      <c r="N3" s="346"/>
      <c r="O3" s="347"/>
      <c r="P3" s="346"/>
      <c r="Q3" s="347"/>
      <c r="R3" s="346"/>
      <c r="S3" s="347"/>
      <c r="T3" s="346"/>
      <c r="U3" s="347"/>
      <c r="V3" s="346"/>
      <c r="W3" s="347"/>
      <c r="X3" s="346"/>
      <c r="Y3" s="347"/>
      <c r="Z3" s="588" t="s">
        <v>548</v>
      </c>
      <c r="AA3" s="345"/>
      <c r="AC3" s="345"/>
      <c r="AE3" s="345"/>
    </row>
    <row r="4" spans="1:33" ht="16.5">
      <c r="A4" s="594" t="s">
        <v>1260</v>
      </c>
      <c r="B4" s="883"/>
      <c r="C4" s="883"/>
      <c r="D4" s="349"/>
      <c r="E4" s="347"/>
      <c r="F4" s="883"/>
      <c r="G4" s="347"/>
      <c r="H4" s="883"/>
      <c r="I4" s="347"/>
      <c r="J4" s="883"/>
      <c r="K4" s="883"/>
      <c r="L4" s="883"/>
      <c r="M4" s="350"/>
      <c r="N4" s="883"/>
      <c r="O4" s="347"/>
      <c r="P4" s="883"/>
      <c r="Q4" s="347"/>
      <c r="R4" s="883"/>
      <c r="S4" s="347"/>
      <c r="T4" s="883"/>
      <c r="U4" s="347"/>
      <c r="V4" s="883"/>
      <c r="W4" s="347"/>
      <c r="X4" s="883"/>
      <c r="Y4" s="347"/>
      <c r="Z4" s="884"/>
      <c r="AA4" s="351"/>
      <c r="AC4" s="345"/>
    </row>
    <row r="5" spans="1:33" ht="16.5">
      <c r="A5" s="595" t="s">
        <v>1061</v>
      </c>
      <c r="B5" s="883"/>
      <c r="C5" s="883"/>
      <c r="D5" s="883"/>
      <c r="E5" s="347"/>
      <c r="F5" s="883"/>
      <c r="G5" s="347"/>
      <c r="H5" s="883"/>
      <c r="I5" s="347"/>
      <c r="J5" s="883"/>
      <c r="K5" s="883"/>
      <c r="L5" s="883"/>
      <c r="M5" s="350"/>
      <c r="N5" s="883"/>
      <c r="O5" s="347"/>
      <c r="P5" s="883"/>
      <c r="Q5" s="347"/>
      <c r="R5" s="883"/>
      <c r="S5" s="347"/>
      <c r="T5" s="883"/>
      <c r="U5" s="347"/>
      <c r="V5" s="883"/>
      <c r="W5" s="347"/>
      <c r="X5" s="883"/>
      <c r="Y5" s="347"/>
      <c r="Z5" s="884"/>
    </row>
    <row r="6" spans="1:33" ht="18" customHeight="1">
      <c r="A6" s="352" t="str">
        <f>'Cashflow Governmental'!A6</f>
        <v xml:space="preserve">FISCAL YEAR 2022-2023   </v>
      </c>
      <c r="B6" s="883"/>
      <c r="C6" s="883"/>
      <c r="D6" s="354"/>
      <c r="E6" s="347"/>
      <c r="F6" s="883"/>
      <c r="G6" s="347"/>
      <c r="H6" s="883"/>
      <c r="I6" s="347"/>
      <c r="J6" s="883"/>
      <c r="K6" s="883"/>
      <c r="L6" s="883"/>
      <c r="M6" s="350"/>
      <c r="N6" s="883"/>
      <c r="O6" s="347"/>
      <c r="P6" s="883"/>
      <c r="Q6" s="347"/>
      <c r="R6" s="883"/>
      <c r="S6" s="347"/>
      <c r="T6" s="883"/>
      <c r="U6" s="347"/>
      <c r="V6" s="883"/>
      <c r="W6" s="347"/>
      <c r="X6" s="883"/>
      <c r="Y6" s="347"/>
      <c r="Z6" s="884"/>
    </row>
    <row r="7" spans="1:33" ht="15" customHeight="1">
      <c r="A7" s="353"/>
      <c r="B7" s="883"/>
      <c r="C7" s="883"/>
      <c r="D7" s="883"/>
      <c r="E7" s="347"/>
      <c r="F7" s="883"/>
      <c r="G7" s="347"/>
      <c r="H7" s="883"/>
      <c r="I7" s="347"/>
      <c r="J7" s="883"/>
      <c r="K7" s="883"/>
      <c r="L7" s="883"/>
      <c r="M7" s="350"/>
      <c r="N7" s="883"/>
      <c r="O7" s="347"/>
      <c r="P7" s="883"/>
      <c r="Q7" s="347"/>
      <c r="R7" s="885"/>
      <c r="S7" s="347"/>
      <c r="T7" s="885"/>
      <c r="U7" s="347"/>
      <c r="V7" s="885"/>
      <c r="W7" s="347"/>
      <c r="X7" s="885"/>
      <c r="Y7" s="347"/>
      <c r="Z7" s="884"/>
    </row>
    <row r="8" spans="1:33" ht="15.5">
      <c r="A8" s="344"/>
      <c r="B8" s="883"/>
      <c r="C8" s="883"/>
      <c r="D8" s="883"/>
      <c r="E8" s="347"/>
      <c r="F8" s="883"/>
      <c r="G8" s="347"/>
      <c r="H8" s="883"/>
      <c r="I8" s="347"/>
      <c r="J8" s="883"/>
      <c r="K8" s="883"/>
      <c r="L8" s="883"/>
      <c r="M8" s="347"/>
      <c r="N8" s="883"/>
      <c r="O8" s="347"/>
      <c r="P8" s="883"/>
      <c r="Q8" s="347"/>
      <c r="R8" s="883"/>
      <c r="S8" s="347"/>
      <c r="T8" s="883"/>
      <c r="U8" s="347"/>
      <c r="V8" s="883"/>
      <c r="W8" s="347"/>
      <c r="X8" s="883"/>
      <c r="Y8" s="347"/>
      <c r="Z8" s="355"/>
      <c r="AA8" s="356"/>
    </row>
    <row r="9" spans="1:33" ht="15" customHeight="1">
      <c r="A9" s="886"/>
      <c r="B9" s="662" t="str">
        <f>'Cashflow Governmental'!C13</f>
        <v>2022</v>
      </c>
      <c r="C9" s="357"/>
      <c r="D9" s="357"/>
      <c r="E9" s="350"/>
      <c r="F9" s="357"/>
      <c r="G9" s="350"/>
      <c r="H9" s="357"/>
      <c r="I9" s="350"/>
      <c r="J9" s="357"/>
      <c r="K9" s="357"/>
      <c r="L9" s="358"/>
      <c r="M9" s="350"/>
      <c r="N9" s="358"/>
      <c r="O9" s="350"/>
      <c r="P9" s="358"/>
      <c r="Q9" s="350"/>
      <c r="R9" s="358"/>
      <c r="S9" s="350"/>
      <c r="T9" s="662">
        <f>'Cashflow Governmental'!U13</f>
        <v>2023</v>
      </c>
      <c r="U9" s="350"/>
      <c r="V9" s="358"/>
      <c r="W9" s="350"/>
      <c r="X9" s="358"/>
      <c r="Y9" s="350"/>
      <c r="Z9" s="358" t="s">
        <v>1567</v>
      </c>
      <c r="AA9" s="358"/>
    </row>
    <row r="10" spans="1:33" ht="15" customHeight="1">
      <c r="A10" s="886"/>
      <c r="B10" s="359" t="s">
        <v>122</v>
      </c>
      <c r="C10" s="359"/>
      <c r="D10" s="358" t="s">
        <v>123</v>
      </c>
      <c r="E10" s="350"/>
      <c r="F10" s="358" t="s">
        <v>124</v>
      </c>
      <c r="G10" s="350"/>
      <c r="H10" s="358" t="s">
        <v>125</v>
      </c>
      <c r="I10" s="350"/>
      <c r="J10" s="358" t="s">
        <v>126</v>
      </c>
      <c r="K10" s="360"/>
      <c r="L10" s="358" t="s">
        <v>141</v>
      </c>
      <c r="M10" s="350"/>
      <c r="N10" s="358" t="s">
        <v>142</v>
      </c>
      <c r="O10" s="350"/>
      <c r="P10" s="358" t="s">
        <v>129</v>
      </c>
      <c r="Q10" s="350"/>
      <c r="R10" s="358" t="s">
        <v>130</v>
      </c>
      <c r="S10" s="350"/>
      <c r="T10" s="358" t="s">
        <v>131</v>
      </c>
      <c r="U10" s="350"/>
      <c r="V10" s="358" t="s">
        <v>132</v>
      </c>
      <c r="W10" s="350"/>
      <c r="X10" s="358" t="s">
        <v>182</v>
      </c>
      <c r="Y10" s="350"/>
      <c r="Z10" s="361" t="s">
        <v>1550</v>
      </c>
      <c r="AA10" s="361"/>
    </row>
    <row r="11" spans="1:33" ht="15" customHeight="1">
      <c r="A11" s="886"/>
      <c r="B11" s="1036" t="s">
        <v>14</v>
      </c>
      <c r="C11" s="887"/>
      <c r="D11" s="1036" t="s">
        <v>14</v>
      </c>
      <c r="E11" s="888"/>
      <c r="F11" s="1036" t="s">
        <v>14</v>
      </c>
      <c r="G11" s="888"/>
      <c r="H11" s="1036" t="s">
        <v>14</v>
      </c>
      <c r="I11" s="888"/>
      <c r="J11" s="1036" t="s">
        <v>14</v>
      </c>
      <c r="K11" s="360"/>
      <c r="L11" s="1036" t="s">
        <v>14</v>
      </c>
      <c r="M11" s="888"/>
      <c r="N11" s="1036" t="s">
        <v>14</v>
      </c>
      <c r="O11" s="888"/>
      <c r="P11" s="1036" t="s">
        <v>14</v>
      </c>
      <c r="Q11" s="888"/>
      <c r="R11" s="1036" t="s">
        <v>14</v>
      </c>
      <c r="S11" s="888"/>
      <c r="T11" s="1036" t="s">
        <v>14</v>
      </c>
      <c r="U11" s="888"/>
      <c r="V11" s="1036" t="s">
        <v>14</v>
      </c>
      <c r="W11" s="888"/>
      <c r="X11" s="1036" t="s">
        <v>14</v>
      </c>
      <c r="Y11" s="888"/>
      <c r="Z11" s="1035" t="s">
        <v>14</v>
      </c>
    </row>
    <row r="12" spans="1:33" s="363" customFormat="1" ht="15" customHeight="1">
      <c r="A12" s="367" t="s">
        <v>460</v>
      </c>
      <c r="B12" s="362">
        <v>64843404</v>
      </c>
      <c r="C12" s="362"/>
      <c r="D12" s="362">
        <f>B45</f>
        <v>46698758</v>
      </c>
      <c r="E12" s="889"/>
      <c r="F12" s="362">
        <f>D45</f>
        <v>38124076</v>
      </c>
      <c r="G12" s="889"/>
      <c r="H12" s="362">
        <f>F45</f>
        <v>61963931</v>
      </c>
      <c r="I12" s="889"/>
      <c r="J12" s="362">
        <f>H45</f>
        <v>35477919</v>
      </c>
      <c r="K12" s="362"/>
      <c r="L12" s="362">
        <f>J45</f>
        <v>53891776</v>
      </c>
      <c r="M12" s="360"/>
      <c r="N12" s="362">
        <f>L45</f>
        <v>145012768</v>
      </c>
      <c r="O12" s="362"/>
      <c r="P12" s="362">
        <f>N45</f>
        <v>110165815</v>
      </c>
      <c r="Q12" s="362"/>
      <c r="R12" s="362">
        <f>P45</f>
        <v>91776254</v>
      </c>
      <c r="S12" s="362"/>
      <c r="T12" s="362">
        <f>R45</f>
        <v>78635504</v>
      </c>
      <c r="U12" s="362"/>
      <c r="V12" s="362">
        <v>67419760</v>
      </c>
      <c r="W12" s="362"/>
      <c r="X12" s="362">
        <f>V45</f>
        <v>73309207</v>
      </c>
      <c r="Y12" s="362"/>
      <c r="Z12" s="362">
        <f>+B12</f>
        <v>64843404</v>
      </c>
    </row>
    <row r="13" spans="1:33" ht="15" customHeight="1">
      <c r="A13" s="890"/>
      <c r="B13" s="891"/>
      <c r="C13" s="891"/>
      <c r="D13" s="891"/>
      <c r="E13" s="891"/>
      <c r="F13" s="891"/>
      <c r="G13" s="891"/>
      <c r="H13" s="891"/>
      <c r="I13" s="891"/>
      <c r="J13" s="891"/>
      <c r="K13" s="360"/>
      <c r="L13" s="891"/>
      <c r="M13" s="891"/>
      <c r="N13" s="891"/>
      <c r="O13" s="891"/>
      <c r="P13" s="891"/>
      <c r="Q13" s="891"/>
      <c r="R13" s="891"/>
      <c r="S13" s="891"/>
      <c r="T13" s="891"/>
      <c r="U13" s="891"/>
      <c r="V13" s="891"/>
      <c r="W13" s="891"/>
      <c r="X13" s="891"/>
      <c r="Y13" s="891"/>
      <c r="Z13" s="892"/>
    </row>
    <row r="14" spans="1:33" ht="15" customHeight="1">
      <c r="A14" s="364" t="s">
        <v>13</v>
      </c>
      <c r="B14" s="891"/>
      <c r="C14" s="891"/>
      <c r="D14" s="891"/>
      <c r="E14" s="891"/>
      <c r="F14" s="891"/>
      <c r="G14" s="891"/>
      <c r="H14" s="891"/>
      <c r="I14" s="891"/>
      <c r="J14" s="891"/>
      <c r="K14" s="891"/>
      <c r="L14" s="891"/>
      <c r="M14" s="891"/>
      <c r="N14" s="891"/>
      <c r="O14" s="891"/>
      <c r="P14" s="891"/>
      <c r="Q14" s="891"/>
      <c r="R14" s="891"/>
      <c r="S14" s="891"/>
      <c r="T14" s="891"/>
      <c r="U14" s="891"/>
      <c r="V14" s="891"/>
      <c r="W14" s="891"/>
      <c r="X14" s="891"/>
      <c r="Y14" s="891"/>
      <c r="Z14" s="892"/>
      <c r="AC14" s="1167"/>
    </row>
    <row r="15" spans="1:33" ht="15" customHeight="1">
      <c r="A15" s="596" t="s">
        <v>1113</v>
      </c>
      <c r="B15" s="893">
        <v>0</v>
      </c>
      <c r="C15" s="893"/>
      <c r="D15" s="893">
        <v>0</v>
      </c>
      <c r="E15" s="893"/>
      <c r="F15" s="893">
        <v>50000000</v>
      </c>
      <c r="G15" s="893"/>
      <c r="H15" s="893">
        <v>0</v>
      </c>
      <c r="I15" s="893"/>
      <c r="J15" s="1167">
        <v>60000000</v>
      </c>
      <c r="K15" s="893"/>
      <c r="L15" s="893">
        <v>100000000</v>
      </c>
      <c r="M15" s="891"/>
      <c r="N15" s="893">
        <v>0</v>
      </c>
      <c r="O15" s="893"/>
      <c r="P15" s="893">
        <v>0</v>
      </c>
      <c r="Q15" s="893"/>
      <c r="R15" s="893">
        <v>0</v>
      </c>
      <c r="S15" s="893"/>
      <c r="T15" s="893">
        <v>0</v>
      </c>
      <c r="U15" s="893"/>
      <c r="V15" s="893">
        <v>50000000</v>
      </c>
      <c r="W15" s="893"/>
      <c r="X15" s="893">
        <v>0</v>
      </c>
      <c r="Y15" s="893"/>
      <c r="Z15" s="894">
        <f>SUM(B15:X15)</f>
        <v>260000000</v>
      </c>
    </row>
    <row r="16" spans="1:33" ht="15" customHeight="1">
      <c r="A16" s="596" t="s">
        <v>1329</v>
      </c>
      <c r="B16" s="893">
        <v>0</v>
      </c>
      <c r="C16" s="893"/>
      <c r="D16" s="893">
        <v>0</v>
      </c>
      <c r="E16" s="893"/>
      <c r="F16" s="893">
        <v>0</v>
      </c>
      <c r="G16" s="893"/>
      <c r="H16" s="893">
        <v>0</v>
      </c>
      <c r="I16" s="893"/>
      <c r="J16" s="1167">
        <v>0</v>
      </c>
      <c r="K16" s="893"/>
      <c r="L16" s="893">
        <v>0</v>
      </c>
      <c r="M16" s="891"/>
      <c r="N16" s="893">
        <v>0</v>
      </c>
      <c r="O16" s="893"/>
      <c r="P16" s="893">
        <v>0</v>
      </c>
      <c r="Q16" s="893"/>
      <c r="R16" s="893">
        <v>0</v>
      </c>
      <c r="S16" s="893"/>
      <c r="T16" s="893">
        <v>0</v>
      </c>
      <c r="U16" s="893"/>
      <c r="V16" s="893">
        <v>0</v>
      </c>
      <c r="W16" s="893"/>
      <c r="X16" s="893">
        <v>0</v>
      </c>
      <c r="Y16" s="893"/>
      <c r="Z16" s="894">
        <f>SUM(B16:X16)</f>
        <v>0</v>
      </c>
    </row>
    <row r="17" spans="1:28" s="363" customFormat="1" ht="22.5" customHeight="1">
      <c r="A17" s="364" t="s">
        <v>147</v>
      </c>
      <c r="B17" s="1034">
        <f>ROUND(SUM(B15:B16),0)</f>
        <v>0</v>
      </c>
      <c r="C17" s="365"/>
      <c r="D17" s="1034">
        <f>ROUND(SUM(D15:D16),0)</f>
        <v>0</v>
      </c>
      <c r="E17" s="365"/>
      <c r="F17" s="1034">
        <f>ROUND(SUM(F15:F16),0)</f>
        <v>50000000</v>
      </c>
      <c r="G17" s="365"/>
      <c r="H17" s="1034">
        <f>ROUND(SUM(H15:H16),0)</f>
        <v>0</v>
      </c>
      <c r="I17" s="365"/>
      <c r="J17" s="1034">
        <f>ROUND(SUM(J15:J16),0)</f>
        <v>60000000</v>
      </c>
      <c r="K17" s="365"/>
      <c r="L17" s="1034">
        <f>ROUND(SUM(L15:L16),0)</f>
        <v>100000000</v>
      </c>
      <c r="M17" s="360"/>
      <c r="N17" s="1034">
        <f>ROUND(SUM(N15:N16),0)</f>
        <v>0</v>
      </c>
      <c r="O17" s="365"/>
      <c r="P17" s="1034">
        <f>ROUND(SUM(P15:P16),0)</f>
        <v>0</v>
      </c>
      <c r="Q17" s="365"/>
      <c r="R17" s="1034">
        <f>ROUND(SUM(R15:R16),0)</f>
        <v>0</v>
      </c>
      <c r="S17" s="365"/>
      <c r="T17" s="1034">
        <f>ROUND(SUM(T15:T16),0)</f>
        <v>0</v>
      </c>
      <c r="U17" s="365"/>
      <c r="V17" s="1034">
        <f>ROUND(SUM(V15:V16),0)</f>
        <v>50000000</v>
      </c>
      <c r="W17" s="365"/>
      <c r="X17" s="1034">
        <f>ROUND(SUM(X15:X16),0)</f>
        <v>0</v>
      </c>
      <c r="Y17" s="365"/>
      <c r="Z17" s="1034">
        <f>ROUND(SUM(Z15:Z16),0)</f>
        <v>260000000</v>
      </c>
      <c r="AB17" s="288"/>
    </row>
    <row r="18" spans="1:28" ht="15" customHeight="1">
      <c r="A18" s="890"/>
      <c r="B18" s="893"/>
      <c r="C18" s="893"/>
      <c r="D18" s="893"/>
      <c r="E18" s="893"/>
      <c r="F18" s="893"/>
      <c r="G18" s="893"/>
      <c r="H18" s="893"/>
      <c r="I18" s="893"/>
      <c r="J18" s="893"/>
      <c r="K18" s="893"/>
      <c r="L18" s="893"/>
      <c r="M18" s="891"/>
      <c r="N18" s="893"/>
      <c r="O18" s="893"/>
      <c r="P18" s="893"/>
      <c r="Q18" s="893"/>
      <c r="R18" s="893"/>
      <c r="S18" s="893"/>
      <c r="T18" s="893"/>
      <c r="U18" s="893"/>
      <c r="V18" s="893"/>
      <c r="W18" s="893"/>
      <c r="X18" s="893"/>
      <c r="Y18" s="893"/>
      <c r="Z18" s="896"/>
    </row>
    <row r="19" spans="1:28" ht="15" customHeight="1">
      <c r="A19" s="364" t="s">
        <v>22</v>
      </c>
      <c r="B19" s="893"/>
      <c r="C19" s="893"/>
      <c r="D19" s="893"/>
      <c r="E19" s="893"/>
      <c r="F19" s="893"/>
      <c r="G19" s="893"/>
      <c r="H19" s="893"/>
      <c r="I19" s="893"/>
      <c r="J19" s="893"/>
      <c r="K19" s="893"/>
      <c r="L19" s="893"/>
      <c r="M19" s="891"/>
      <c r="N19" s="893"/>
      <c r="O19" s="893"/>
      <c r="P19" s="893"/>
      <c r="Q19" s="893"/>
      <c r="R19" s="893"/>
      <c r="S19" s="893"/>
      <c r="T19" s="893"/>
      <c r="U19" s="893"/>
      <c r="V19" s="893"/>
      <c r="W19" s="893"/>
      <c r="X19" s="893"/>
      <c r="Y19" s="893"/>
      <c r="Z19" s="894"/>
    </row>
    <row r="20" spans="1:28" ht="15" customHeight="1">
      <c r="A20" s="596" t="s">
        <v>1155</v>
      </c>
      <c r="B20" s="893">
        <f>2262499+1</f>
        <v>2262500</v>
      </c>
      <c r="C20" s="893"/>
      <c r="D20" s="893">
        <v>1730017</v>
      </c>
      <c r="E20" s="893"/>
      <c r="F20" s="893">
        <v>3230565</v>
      </c>
      <c r="G20" s="893"/>
      <c r="H20" s="893">
        <v>1301271</v>
      </c>
      <c r="I20" s="893"/>
      <c r="J20" s="893">
        <v>23859939</v>
      </c>
      <c r="K20" s="893"/>
      <c r="L20" s="893">
        <v>2934366</v>
      </c>
      <c r="M20" s="891"/>
      <c r="N20" s="893">
        <v>3040535</v>
      </c>
      <c r="O20" s="893"/>
      <c r="P20" s="893">
        <v>2362506.1800000002</v>
      </c>
      <c r="Q20" s="893"/>
      <c r="R20" s="893">
        <v>836345</v>
      </c>
      <c r="S20" s="893"/>
      <c r="T20" s="893">
        <v>547927</v>
      </c>
      <c r="U20" s="893"/>
      <c r="V20" s="893">
        <v>72</v>
      </c>
      <c r="W20" s="893"/>
      <c r="X20" s="893">
        <v>246937</v>
      </c>
      <c r="Y20" s="893"/>
      <c r="Z20" s="894">
        <f t="shared" ref="Z20:Z27" si="0">ROUND(SUM(B20:X20),0)</f>
        <v>42352980</v>
      </c>
    </row>
    <row r="21" spans="1:28" ht="15" customHeight="1">
      <c r="A21" s="596" t="s">
        <v>1112</v>
      </c>
      <c r="B21" s="893">
        <v>1345907</v>
      </c>
      <c r="C21" s="893"/>
      <c r="D21" s="893">
        <v>2089289</v>
      </c>
      <c r="E21" s="893"/>
      <c r="F21" s="893">
        <v>158326</v>
      </c>
      <c r="G21" s="893"/>
      <c r="H21" s="893">
        <v>9455186</v>
      </c>
      <c r="I21" s="893"/>
      <c r="J21" s="893">
        <v>3262896</v>
      </c>
      <c r="K21" s="893"/>
      <c r="L21" s="893">
        <v>0</v>
      </c>
      <c r="M21" s="891"/>
      <c r="N21" s="893">
        <v>20121691</v>
      </c>
      <c r="O21" s="893"/>
      <c r="P21" s="893">
        <v>2403985</v>
      </c>
      <c r="Q21" s="893"/>
      <c r="R21" s="893">
        <v>1255726</v>
      </c>
      <c r="S21" s="893"/>
      <c r="T21" s="893">
        <v>1446282</v>
      </c>
      <c r="U21" s="893"/>
      <c r="V21" s="893">
        <v>9919409</v>
      </c>
      <c r="W21" s="893"/>
      <c r="X21" s="893">
        <v>16959320</v>
      </c>
      <c r="Y21" s="893"/>
      <c r="Z21" s="2128">
        <f>ROUND(SUM(B21:X21),0)</f>
        <v>68418017</v>
      </c>
    </row>
    <row r="22" spans="1:28" ht="15" customHeight="1">
      <c r="A22" s="596" t="s">
        <v>1181</v>
      </c>
      <c r="B22" s="893">
        <v>0</v>
      </c>
      <c r="C22" s="893"/>
      <c r="D22" s="893">
        <v>2453</v>
      </c>
      <c r="E22" s="893"/>
      <c r="F22" s="893">
        <v>865167</v>
      </c>
      <c r="G22" s="893"/>
      <c r="H22" s="893">
        <v>245788</v>
      </c>
      <c r="I22" s="893"/>
      <c r="J22" s="893">
        <v>6823686</v>
      </c>
      <c r="K22" s="893"/>
      <c r="L22" s="893">
        <v>0</v>
      </c>
      <c r="M22" s="891"/>
      <c r="N22" s="893">
        <v>0</v>
      </c>
      <c r="O22" s="893"/>
      <c r="P22" s="893">
        <v>1500000</v>
      </c>
      <c r="Q22" s="893"/>
      <c r="R22" s="893">
        <v>44665</v>
      </c>
      <c r="S22" s="893"/>
      <c r="T22" s="893">
        <v>2340245</v>
      </c>
      <c r="U22" s="893"/>
      <c r="V22" s="893">
        <v>953266</v>
      </c>
      <c r="W22" s="893"/>
      <c r="X22" s="893">
        <v>827521</v>
      </c>
      <c r="Y22" s="893"/>
      <c r="Z22" s="2128">
        <f t="shared" si="0"/>
        <v>13602791</v>
      </c>
      <c r="AB22" s="1850"/>
    </row>
    <row r="23" spans="1:28" ht="15" customHeight="1">
      <c r="A23" s="596" t="s">
        <v>1159</v>
      </c>
      <c r="B23" s="893">
        <v>89630</v>
      </c>
      <c r="C23" s="893"/>
      <c r="D23" s="893">
        <v>54185</v>
      </c>
      <c r="E23" s="893"/>
      <c r="F23" s="893">
        <v>9142</v>
      </c>
      <c r="G23" s="893"/>
      <c r="H23" s="893">
        <v>0</v>
      </c>
      <c r="I23" s="893"/>
      <c r="J23" s="893">
        <v>1040210</v>
      </c>
      <c r="K23" s="893"/>
      <c r="L23" s="893">
        <v>0</v>
      </c>
      <c r="M23" s="891"/>
      <c r="N23" s="893">
        <v>0</v>
      </c>
      <c r="O23" s="893"/>
      <c r="P23" s="893">
        <v>24128</v>
      </c>
      <c r="Q23" s="893"/>
      <c r="R23" s="893">
        <v>1</v>
      </c>
      <c r="S23" s="893"/>
      <c r="T23" s="893">
        <v>0</v>
      </c>
      <c r="U23" s="893"/>
      <c r="V23" s="893">
        <v>0</v>
      </c>
      <c r="W23" s="893"/>
      <c r="X23" s="893">
        <v>0</v>
      </c>
      <c r="Y23" s="893"/>
      <c r="Z23" s="2128">
        <f t="shared" si="0"/>
        <v>1217296</v>
      </c>
    </row>
    <row r="24" spans="1:28" ht="15" customHeight="1">
      <c r="A24" s="596" t="s">
        <v>1330</v>
      </c>
      <c r="B24" s="893">
        <v>0</v>
      </c>
      <c r="C24" s="893"/>
      <c r="D24" s="893">
        <v>0</v>
      </c>
      <c r="E24" s="893"/>
      <c r="F24" s="893">
        <v>0</v>
      </c>
      <c r="G24" s="893"/>
      <c r="H24" s="893">
        <v>0</v>
      </c>
      <c r="I24" s="893"/>
      <c r="J24" s="893">
        <v>0</v>
      </c>
      <c r="K24" s="893"/>
      <c r="L24" s="893">
        <v>0</v>
      </c>
      <c r="M24" s="891"/>
      <c r="N24" s="893">
        <v>0</v>
      </c>
      <c r="O24" s="893"/>
      <c r="P24" s="893">
        <v>233100</v>
      </c>
      <c r="Q24" s="893"/>
      <c r="R24" s="893">
        <v>0</v>
      </c>
      <c r="S24" s="893"/>
      <c r="T24" s="893">
        <v>0</v>
      </c>
      <c r="U24" s="893"/>
      <c r="V24" s="893">
        <v>0</v>
      </c>
      <c r="W24" s="893"/>
      <c r="X24" s="893">
        <v>0</v>
      </c>
      <c r="Y24" s="893"/>
      <c r="Z24" s="2128">
        <f t="shared" si="0"/>
        <v>233100</v>
      </c>
    </row>
    <row r="25" spans="1:28" ht="15" customHeight="1">
      <c r="A25" s="596" t="s">
        <v>1194</v>
      </c>
      <c r="B25" s="893">
        <v>0</v>
      </c>
      <c r="C25" s="893"/>
      <c r="D25" s="893">
        <v>0</v>
      </c>
      <c r="E25" s="893"/>
      <c r="F25" s="893">
        <v>0</v>
      </c>
      <c r="G25" s="893"/>
      <c r="H25" s="893">
        <v>0</v>
      </c>
      <c r="I25" s="893"/>
      <c r="J25" s="893">
        <v>0</v>
      </c>
      <c r="K25" s="893"/>
      <c r="L25" s="893">
        <v>0</v>
      </c>
      <c r="M25" s="891"/>
      <c r="N25" s="893">
        <v>0</v>
      </c>
      <c r="O25" s="893"/>
      <c r="P25" s="893">
        <v>0</v>
      </c>
      <c r="Q25" s="893"/>
      <c r="R25" s="893">
        <v>0</v>
      </c>
      <c r="S25" s="893"/>
      <c r="T25" s="893">
        <v>0</v>
      </c>
      <c r="U25" s="893"/>
      <c r="V25" s="893">
        <v>0</v>
      </c>
      <c r="W25" s="893"/>
      <c r="X25" s="893">
        <v>0</v>
      </c>
      <c r="Y25" s="893"/>
      <c r="Z25" s="2128">
        <f t="shared" si="0"/>
        <v>0</v>
      </c>
    </row>
    <row r="26" spans="1:28" ht="15" customHeight="1">
      <c r="A26" s="596" t="s">
        <v>1111</v>
      </c>
      <c r="B26" s="893">
        <v>488753</v>
      </c>
      <c r="C26" s="893"/>
      <c r="D26" s="893">
        <v>0</v>
      </c>
      <c r="E26" s="893"/>
      <c r="F26" s="893">
        <v>334514</v>
      </c>
      <c r="G26" s="893"/>
      <c r="H26" s="893">
        <v>68492</v>
      </c>
      <c r="I26" s="893"/>
      <c r="J26" s="893">
        <v>222362</v>
      </c>
      <c r="K26" s="893"/>
      <c r="L26" s="893">
        <v>0</v>
      </c>
      <c r="M26" s="891"/>
      <c r="N26" s="893">
        <v>0</v>
      </c>
      <c r="O26" s="893"/>
      <c r="P26" s="893">
        <v>145225</v>
      </c>
      <c r="Q26" s="893"/>
      <c r="R26" s="893">
        <v>0</v>
      </c>
      <c r="S26" s="893"/>
      <c r="T26" s="893">
        <v>0</v>
      </c>
      <c r="U26" s="893"/>
      <c r="V26" s="893">
        <v>0</v>
      </c>
      <c r="W26" s="893"/>
      <c r="X26" s="893">
        <v>0</v>
      </c>
      <c r="Y26" s="893"/>
      <c r="Z26" s="2128">
        <f t="shared" si="0"/>
        <v>1259346</v>
      </c>
    </row>
    <row r="27" spans="1:28" ht="15" customHeight="1">
      <c r="A27" s="596" t="s">
        <v>1173</v>
      </c>
      <c r="B27" s="893">
        <v>0</v>
      </c>
      <c r="C27" s="893"/>
      <c r="D27" s="893">
        <v>0</v>
      </c>
      <c r="E27" s="893"/>
      <c r="F27" s="893">
        <v>0</v>
      </c>
      <c r="G27" s="893"/>
      <c r="H27" s="893">
        <v>0</v>
      </c>
      <c r="I27" s="893"/>
      <c r="J27" s="893">
        <v>0</v>
      </c>
      <c r="K27" s="893"/>
      <c r="L27" s="893">
        <v>0</v>
      </c>
      <c r="M27" s="891"/>
      <c r="N27" s="893">
        <v>0</v>
      </c>
      <c r="O27" s="893"/>
      <c r="P27" s="893">
        <v>0</v>
      </c>
      <c r="Q27" s="893"/>
      <c r="R27" s="893">
        <v>0</v>
      </c>
      <c r="S27" s="893"/>
      <c r="T27" s="893">
        <v>0</v>
      </c>
      <c r="U27" s="893"/>
      <c r="V27" s="893">
        <v>0</v>
      </c>
      <c r="W27" s="893"/>
      <c r="X27" s="893">
        <v>0</v>
      </c>
      <c r="Y27" s="893"/>
      <c r="Z27" s="2128">
        <f t="shared" si="0"/>
        <v>0</v>
      </c>
    </row>
    <row r="28" spans="1:28" ht="14.9" customHeight="1">
      <c r="A28" s="596" t="s">
        <v>1182</v>
      </c>
      <c r="B28" s="893">
        <v>3601588</v>
      </c>
      <c r="C28" s="893"/>
      <c r="D28" s="893">
        <v>0</v>
      </c>
      <c r="E28" s="893"/>
      <c r="F28" s="893">
        <v>0</v>
      </c>
      <c r="G28" s="893"/>
      <c r="H28" s="893">
        <v>8356990</v>
      </c>
      <c r="I28" s="893"/>
      <c r="J28" s="893">
        <v>1833333</v>
      </c>
      <c r="K28" s="893"/>
      <c r="L28" s="893">
        <v>2795603</v>
      </c>
      <c r="M28" s="891"/>
      <c r="N28" s="893">
        <v>68443</v>
      </c>
      <c r="O28" s="893"/>
      <c r="P28" s="893">
        <v>1262376</v>
      </c>
      <c r="Q28" s="893"/>
      <c r="R28" s="893">
        <v>902712</v>
      </c>
      <c r="S28" s="893"/>
      <c r="T28" s="893">
        <v>595708</v>
      </c>
      <c r="U28" s="893"/>
      <c r="V28" s="893">
        <v>2100000</v>
      </c>
      <c r="W28" s="893"/>
      <c r="X28" s="893">
        <v>2194634</v>
      </c>
      <c r="Y28" s="893"/>
      <c r="Z28" s="2128">
        <f>ROUND(SUM(B28:X28),0)</f>
        <v>23711387</v>
      </c>
    </row>
    <row r="29" spans="1:28" ht="15" customHeight="1">
      <c r="A29" s="596" t="s">
        <v>1178</v>
      </c>
      <c r="B29" s="893">
        <v>111831</v>
      </c>
      <c r="C29" s="893"/>
      <c r="D29" s="893">
        <v>559243</v>
      </c>
      <c r="E29" s="893"/>
      <c r="F29" s="893">
        <f>17713-1</f>
        <v>17712</v>
      </c>
      <c r="G29" s="893"/>
      <c r="H29" s="893">
        <v>1604026</v>
      </c>
      <c r="I29" s="893"/>
      <c r="J29" s="893">
        <v>602931</v>
      </c>
      <c r="K29" s="893"/>
      <c r="L29" s="893">
        <v>125000</v>
      </c>
      <c r="M29" s="891"/>
      <c r="N29" s="893">
        <v>881286</v>
      </c>
      <c r="O29" s="893"/>
      <c r="P29" s="893">
        <v>1349276</v>
      </c>
      <c r="Q29" s="893"/>
      <c r="R29" s="893">
        <v>11001</v>
      </c>
      <c r="S29" s="893"/>
      <c r="T29" s="893">
        <v>1940142</v>
      </c>
      <c r="U29" s="893"/>
      <c r="V29" s="893">
        <v>1223298</v>
      </c>
      <c r="W29" s="893"/>
      <c r="X29" s="893">
        <v>2277711</v>
      </c>
      <c r="Y29" s="893"/>
      <c r="Z29" s="894">
        <f>ROUND(SUM(B29:X29),0)</f>
        <v>10703457</v>
      </c>
    </row>
    <row r="30" spans="1:28" ht="15" customHeight="1">
      <c r="A30" s="596" t="s">
        <v>1110</v>
      </c>
      <c r="B30" s="893">
        <v>0</v>
      </c>
      <c r="C30" s="893"/>
      <c r="D30" s="893">
        <v>0</v>
      </c>
      <c r="E30" s="893"/>
      <c r="F30" s="893">
        <v>0</v>
      </c>
      <c r="G30" s="893"/>
      <c r="H30" s="893">
        <v>0</v>
      </c>
      <c r="I30" s="893"/>
      <c r="J30" s="893">
        <v>0</v>
      </c>
      <c r="K30" s="893"/>
      <c r="L30" s="893">
        <v>0</v>
      </c>
      <c r="M30" s="891"/>
      <c r="N30" s="893">
        <v>0</v>
      </c>
      <c r="O30" s="893"/>
      <c r="P30" s="893">
        <v>0</v>
      </c>
      <c r="Q30" s="893"/>
      <c r="R30" s="893">
        <v>0</v>
      </c>
      <c r="S30" s="893"/>
      <c r="T30" s="893">
        <v>0</v>
      </c>
      <c r="U30" s="893"/>
      <c r="V30" s="893">
        <v>0</v>
      </c>
      <c r="W30" s="893"/>
      <c r="X30" s="893">
        <v>0</v>
      </c>
      <c r="Y30" s="893"/>
      <c r="Z30" s="894">
        <f t="shared" ref="Z30:Z32" si="1">ROUND(SUM(B30:X30),0)</f>
        <v>0</v>
      </c>
    </row>
    <row r="31" spans="1:28" ht="15" customHeight="1">
      <c r="A31" s="596" t="s">
        <v>1142</v>
      </c>
      <c r="B31" s="893">
        <v>0</v>
      </c>
      <c r="C31" s="893"/>
      <c r="D31" s="893">
        <v>0</v>
      </c>
      <c r="E31" s="893"/>
      <c r="F31" s="893">
        <v>-50000</v>
      </c>
      <c r="G31" s="893"/>
      <c r="H31" s="893">
        <v>0</v>
      </c>
      <c r="I31" s="893"/>
      <c r="J31" s="893">
        <v>0</v>
      </c>
      <c r="K31" s="893"/>
      <c r="L31" s="893">
        <v>0</v>
      </c>
      <c r="M31" s="891"/>
      <c r="N31" s="893">
        <v>-5530</v>
      </c>
      <c r="O31" s="893"/>
      <c r="P31" s="893">
        <v>0</v>
      </c>
      <c r="Q31" s="893"/>
      <c r="R31" s="893">
        <v>0</v>
      </c>
      <c r="S31" s="893"/>
      <c r="T31" s="893">
        <v>0</v>
      </c>
      <c r="U31" s="893"/>
      <c r="V31" s="893">
        <v>298799</v>
      </c>
      <c r="W31" s="893"/>
      <c r="X31" s="893">
        <v>0</v>
      </c>
      <c r="Y31" s="893"/>
      <c r="Z31" s="894">
        <f>ROUND(SUM(B31:X31),0)</f>
        <v>243269</v>
      </c>
    </row>
    <row r="32" spans="1:28" ht="15" customHeight="1">
      <c r="A32" s="596" t="s">
        <v>1109</v>
      </c>
      <c r="B32" s="893">
        <v>0</v>
      </c>
      <c r="C32" s="893"/>
      <c r="D32" s="893">
        <v>0</v>
      </c>
      <c r="E32" s="893"/>
      <c r="F32" s="893">
        <f>13218-1</f>
        <v>13217</v>
      </c>
      <c r="G32" s="893"/>
      <c r="H32" s="893">
        <v>636</v>
      </c>
      <c r="I32" s="893"/>
      <c r="J32" s="893">
        <v>0</v>
      </c>
      <c r="K32" s="893"/>
      <c r="L32" s="893">
        <v>0</v>
      </c>
      <c r="M32" s="891"/>
      <c r="N32" s="893">
        <v>16424</v>
      </c>
      <c r="O32" s="893"/>
      <c r="P32" s="893">
        <v>0</v>
      </c>
      <c r="Q32" s="893"/>
      <c r="R32" s="893">
        <v>16750</v>
      </c>
      <c r="S32" s="893"/>
      <c r="T32" s="893">
        <v>45613</v>
      </c>
      <c r="U32" s="893"/>
      <c r="V32" s="893">
        <v>83779</v>
      </c>
      <c r="W32" s="893"/>
      <c r="X32" s="893">
        <v>0</v>
      </c>
      <c r="Y32" s="893"/>
      <c r="Z32" s="894">
        <f t="shared" si="1"/>
        <v>176419</v>
      </c>
    </row>
    <row r="33" spans="1:28" ht="15" customHeight="1">
      <c r="A33" s="596" t="s">
        <v>1108</v>
      </c>
      <c r="B33" s="893">
        <v>0</v>
      </c>
      <c r="C33" s="893"/>
      <c r="D33" s="893">
        <v>0</v>
      </c>
      <c r="E33" s="893"/>
      <c r="F33" s="893">
        <v>0</v>
      </c>
      <c r="G33" s="893"/>
      <c r="H33" s="893">
        <v>0</v>
      </c>
      <c r="I33" s="893"/>
      <c r="J33" s="893">
        <v>0</v>
      </c>
      <c r="K33" s="893"/>
      <c r="L33" s="893">
        <v>0</v>
      </c>
      <c r="M33" s="891"/>
      <c r="N33" s="893">
        <v>0</v>
      </c>
      <c r="O33" s="893"/>
      <c r="P33" s="893">
        <v>0</v>
      </c>
      <c r="Q33" s="893"/>
      <c r="R33" s="893">
        <v>0</v>
      </c>
      <c r="S33" s="893"/>
      <c r="T33" s="893">
        <v>0</v>
      </c>
      <c r="U33" s="893"/>
      <c r="V33" s="893">
        <v>0</v>
      </c>
      <c r="W33" s="893"/>
      <c r="X33" s="893">
        <v>0</v>
      </c>
      <c r="Y33" s="893"/>
      <c r="Z33" s="894">
        <f>ROUND(SUM(B33:X33),0)</f>
        <v>0</v>
      </c>
    </row>
    <row r="34" spans="1:28" ht="15" customHeight="1">
      <c r="A34" s="596" t="s">
        <v>1107</v>
      </c>
      <c r="B34" s="893">
        <v>849993</v>
      </c>
      <c r="C34" s="893"/>
      <c r="D34" s="893">
        <v>182622</v>
      </c>
      <c r="E34" s="893"/>
      <c r="F34" s="893">
        <v>9981481</v>
      </c>
      <c r="G34" s="893"/>
      <c r="H34" s="893">
        <v>2845359</v>
      </c>
      <c r="I34" s="893"/>
      <c r="J34" s="893">
        <v>592105</v>
      </c>
      <c r="K34" s="893"/>
      <c r="L34" s="893">
        <v>258087</v>
      </c>
      <c r="M34" s="891"/>
      <c r="N34" s="893">
        <v>6910425</v>
      </c>
      <c r="O34" s="893"/>
      <c r="P34" s="893">
        <v>972559</v>
      </c>
      <c r="Q34" s="893"/>
      <c r="R34" s="893">
        <v>3011917</v>
      </c>
      <c r="S34" s="893"/>
      <c r="T34" s="893">
        <v>175196</v>
      </c>
      <c r="U34" s="893"/>
      <c r="V34" s="893">
        <v>23457224</v>
      </c>
      <c r="W34" s="893"/>
      <c r="X34" s="893">
        <v>1662728</v>
      </c>
      <c r="Y34" s="893"/>
      <c r="Z34" s="894">
        <f>ROUND(SUM(B34:X34),0)</f>
        <v>50899696</v>
      </c>
    </row>
    <row r="35" spans="1:28" ht="15" customHeight="1">
      <c r="A35" s="596" t="s">
        <v>1531</v>
      </c>
      <c r="B35" s="893">
        <v>0</v>
      </c>
      <c r="C35" s="893"/>
      <c r="D35" s="893">
        <v>0</v>
      </c>
      <c r="E35" s="893"/>
      <c r="F35" s="893">
        <v>0</v>
      </c>
      <c r="G35" s="893"/>
      <c r="H35" s="893">
        <v>0</v>
      </c>
      <c r="I35" s="893"/>
      <c r="J35" s="893">
        <v>0</v>
      </c>
      <c r="K35" s="893"/>
      <c r="L35" s="893">
        <v>0</v>
      </c>
      <c r="M35" s="891"/>
      <c r="N35" s="893">
        <v>0</v>
      </c>
      <c r="O35" s="893"/>
      <c r="P35" s="893">
        <v>0</v>
      </c>
      <c r="Q35" s="893"/>
      <c r="R35" s="893">
        <v>0</v>
      </c>
      <c r="S35" s="893"/>
      <c r="T35" s="893">
        <v>0</v>
      </c>
      <c r="U35" s="893"/>
      <c r="V35" s="893">
        <v>0</v>
      </c>
      <c r="W35" s="893"/>
      <c r="X35" s="893">
        <v>0</v>
      </c>
      <c r="Y35" s="893"/>
      <c r="Z35" s="894">
        <f>ROUND(SUM(B35:X35),0)</f>
        <v>0</v>
      </c>
    </row>
    <row r="36" spans="1:28" ht="15" customHeight="1">
      <c r="A36" s="596" t="s">
        <v>1124</v>
      </c>
      <c r="B36" s="893">
        <f>9394443+1</f>
        <v>9394444</v>
      </c>
      <c r="C36" s="893"/>
      <c r="D36" s="893">
        <v>3956873</v>
      </c>
      <c r="E36" s="893"/>
      <c r="F36" s="893">
        <v>11600021</v>
      </c>
      <c r="G36" s="893"/>
      <c r="H36" s="893">
        <v>2608264</v>
      </c>
      <c r="I36" s="893"/>
      <c r="J36" s="893">
        <v>3348681</v>
      </c>
      <c r="K36" s="893"/>
      <c r="L36" s="893">
        <v>2765952</v>
      </c>
      <c r="M36" s="891"/>
      <c r="N36" s="893">
        <v>3813679</v>
      </c>
      <c r="O36" s="893"/>
      <c r="P36" s="893">
        <v>8136406</v>
      </c>
      <c r="Q36" s="893"/>
      <c r="R36" s="893">
        <v>7061633</v>
      </c>
      <c r="S36" s="893"/>
      <c r="T36" s="893">
        <v>4124631</v>
      </c>
      <c r="U36" s="893"/>
      <c r="V36" s="893">
        <v>6074706</v>
      </c>
      <c r="W36" s="893"/>
      <c r="X36" s="893">
        <v>10171485</v>
      </c>
      <c r="Y36" s="893"/>
      <c r="Z36" s="894">
        <f>ROUND(SUM(B36:X36),0)</f>
        <v>73056775</v>
      </c>
    </row>
    <row r="37" spans="1:28" ht="22.5" customHeight="1">
      <c r="A37" s="364" t="s">
        <v>153</v>
      </c>
      <c r="B37" s="1034">
        <f>ROUND(SUM(B20:B36),0)</f>
        <v>18144646</v>
      </c>
      <c r="C37" s="893"/>
      <c r="D37" s="1034">
        <f>ROUND(SUM(D20:D36),0)</f>
        <v>8574682</v>
      </c>
      <c r="E37" s="893"/>
      <c r="F37" s="1034">
        <f>ROUND(SUM(F20:F36),0)</f>
        <v>26160145</v>
      </c>
      <c r="G37" s="893"/>
      <c r="H37" s="1034">
        <f>ROUND(SUM(H20:H36),0)</f>
        <v>26486012</v>
      </c>
      <c r="I37" s="893"/>
      <c r="J37" s="1034">
        <f>ROUND(SUM(J20:J36),0)</f>
        <v>41586143</v>
      </c>
      <c r="K37" s="893"/>
      <c r="L37" s="1034">
        <f>ROUND(SUM(L20:L36),0)</f>
        <v>8879008</v>
      </c>
      <c r="M37" s="891"/>
      <c r="N37" s="1034">
        <f>ROUND(SUM(N20:N36),0)</f>
        <v>34846953</v>
      </c>
      <c r="O37" s="893"/>
      <c r="P37" s="1034">
        <f>ROUND(SUM(P20:P36),0)</f>
        <v>18389561</v>
      </c>
      <c r="Q37" s="893"/>
      <c r="R37" s="1034">
        <f>ROUND(SUM(R20:R36),0)</f>
        <v>13140750</v>
      </c>
      <c r="S37" s="893"/>
      <c r="T37" s="1034">
        <f>ROUND(SUM(T20:T36),0)</f>
        <v>11215744</v>
      </c>
      <c r="U37" s="893"/>
      <c r="V37" s="1034">
        <f>ROUND(SUM(V20:V36),0)</f>
        <v>44110553</v>
      </c>
      <c r="W37" s="893"/>
      <c r="X37" s="1034">
        <f>ROUND(SUM(X20:X36),0)</f>
        <v>34340336</v>
      </c>
      <c r="Y37" s="893"/>
      <c r="Z37" s="1034">
        <f>ROUND(SUM(Z20:Z36),0)</f>
        <v>285874533</v>
      </c>
    </row>
    <row r="38" spans="1:28" ht="15" customHeight="1">
      <c r="A38" s="364"/>
      <c r="B38" s="893"/>
      <c r="C38" s="893"/>
      <c r="D38" s="893"/>
      <c r="E38" s="893"/>
      <c r="F38" s="895"/>
      <c r="G38" s="893"/>
      <c r="H38" s="895"/>
      <c r="I38" s="893"/>
      <c r="J38" s="893"/>
      <c r="K38" s="893"/>
      <c r="L38" s="898"/>
      <c r="M38" s="891"/>
      <c r="N38" s="898"/>
      <c r="O38" s="893"/>
      <c r="P38" s="893"/>
      <c r="Q38" s="893"/>
      <c r="R38" s="895"/>
      <c r="S38" s="893"/>
      <c r="T38" s="895"/>
      <c r="U38" s="893"/>
      <c r="V38" s="893"/>
      <c r="W38" s="893"/>
      <c r="X38" s="895"/>
      <c r="Y38" s="893"/>
      <c r="Z38" s="894"/>
    </row>
    <row r="39" spans="1:28" ht="15" customHeight="1">
      <c r="A39" s="367" t="s">
        <v>473</v>
      </c>
      <c r="B39" s="895"/>
      <c r="C39" s="895"/>
      <c r="D39" s="895"/>
      <c r="E39" s="893"/>
      <c r="F39" s="898"/>
      <c r="G39" s="893"/>
      <c r="H39" s="895"/>
      <c r="I39" s="893"/>
      <c r="J39" s="895"/>
      <c r="K39" s="893"/>
      <c r="L39" s="895"/>
      <c r="M39" s="891"/>
      <c r="N39" s="895"/>
      <c r="O39" s="893"/>
      <c r="P39" s="893"/>
      <c r="Q39" s="893"/>
      <c r="R39" s="895"/>
      <c r="S39" s="893"/>
      <c r="T39" s="895"/>
      <c r="U39" s="893"/>
      <c r="V39" s="898"/>
      <c r="W39" s="893"/>
      <c r="X39" s="898"/>
      <c r="Y39" s="893"/>
      <c r="Z39" s="894"/>
    </row>
    <row r="40" spans="1:28" ht="15" customHeight="1">
      <c r="A40" s="596" t="s">
        <v>475</v>
      </c>
      <c r="B40" s="893">
        <v>0</v>
      </c>
      <c r="C40" s="895"/>
      <c r="D40" s="893">
        <v>0</v>
      </c>
      <c r="E40" s="893"/>
      <c r="F40" s="893">
        <v>0</v>
      </c>
      <c r="G40" s="893"/>
      <c r="H40" s="893">
        <v>0</v>
      </c>
      <c r="I40" s="893"/>
      <c r="J40" s="2209" t="s">
        <v>1519</v>
      </c>
      <c r="K40" s="893"/>
      <c r="L40" s="893">
        <v>0</v>
      </c>
      <c r="M40" s="891"/>
      <c r="N40" s="893">
        <v>0</v>
      </c>
      <c r="O40" s="893"/>
      <c r="P40" s="893">
        <v>0</v>
      </c>
      <c r="Q40" s="893"/>
      <c r="R40" s="893">
        <v>0</v>
      </c>
      <c r="S40" s="893"/>
      <c r="T40" s="893">
        <v>0</v>
      </c>
      <c r="U40" s="893"/>
      <c r="V40" s="893">
        <v>0</v>
      </c>
      <c r="W40" s="893"/>
      <c r="X40" s="893">
        <v>0</v>
      </c>
      <c r="Y40" s="893"/>
      <c r="Z40" s="894">
        <f>ROUND(SUM(B40:X40),0)</f>
        <v>0</v>
      </c>
    </row>
    <row r="41" spans="1:28" ht="22.5" customHeight="1">
      <c r="A41" s="364" t="s">
        <v>479</v>
      </c>
      <c r="B41" s="1033">
        <f>ROUND(SUM(B40:B40),0)</f>
        <v>0</v>
      </c>
      <c r="C41" s="895"/>
      <c r="D41" s="1033">
        <f>ROUND(SUM(D40:D40),0)</f>
        <v>0</v>
      </c>
      <c r="E41" s="893"/>
      <c r="F41" s="1033">
        <f>ROUND(SUM(F40:F40),0)</f>
        <v>0</v>
      </c>
      <c r="G41" s="893"/>
      <c r="H41" s="1033">
        <f>ROUND(SUM(H40:H40),0)</f>
        <v>0</v>
      </c>
      <c r="I41" s="893"/>
      <c r="J41" s="1033">
        <f>ROUND(SUM(J40:J40),0)</f>
        <v>0</v>
      </c>
      <c r="K41" s="893"/>
      <c r="L41" s="1033">
        <f>ROUND(SUM(L40:L40),0)</f>
        <v>0</v>
      </c>
      <c r="M41" s="891"/>
      <c r="N41" s="1033">
        <f>ROUND(SUM(N40:N40),0)</f>
        <v>0</v>
      </c>
      <c r="O41" s="893"/>
      <c r="P41" s="1033">
        <f>ROUND(SUM(P40:P40),0)</f>
        <v>0</v>
      </c>
      <c r="Q41" s="893"/>
      <c r="R41" s="1033">
        <f>ROUND(SUM(R40:R40),0)</f>
        <v>0</v>
      </c>
      <c r="S41" s="893"/>
      <c r="T41" s="1033">
        <f>ROUND(SUM(T40:T40),0)</f>
        <v>0</v>
      </c>
      <c r="U41" s="893"/>
      <c r="V41" s="1033">
        <f>ROUND(SUM(V40:V40),0)</f>
        <v>0</v>
      </c>
      <c r="W41" s="893"/>
      <c r="X41" s="1033">
        <f>ROUND(SUM(X40:X40),0)</f>
        <v>0</v>
      </c>
      <c r="Y41" s="893"/>
      <c r="Z41" s="1033">
        <f>ROUND(SUM(Z40:Z40),0)</f>
        <v>0</v>
      </c>
    </row>
    <row r="42" spans="1:28" ht="15" customHeight="1">
      <c r="B42" s="1032"/>
      <c r="C42" s="895"/>
      <c r="D42" s="1032"/>
      <c r="E42" s="893"/>
      <c r="F42" s="1032"/>
      <c r="G42" s="893"/>
      <c r="H42" s="1032"/>
      <c r="I42" s="893"/>
      <c r="J42" s="1032"/>
      <c r="K42" s="893"/>
      <c r="L42" s="1032"/>
      <c r="M42" s="891"/>
      <c r="N42" s="1032"/>
      <c r="O42" s="893"/>
      <c r="P42" s="1032"/>
      <c r="Q42" s="893"/>
      <c r="R42" s="1032"/>
      <c r="S42" s="893"/>
      <c r="T42" s="1032"/>
      <c r="U42" s="893"/>
      <c r="V42" s="1032"/>
      <c r="W42" s="893"/>
      <c r="X42" s="1032"/>
      <c r="Y42" s="893"/>
      <c r="Z42" s="1031"/>
    </row>
    <row r="43" spans="1:28" s="363" customFormat="1" ht="20.25" customHeight="1">
      <c r="A43" s="364" t="s">
        <v>480</v>
      </c>
      <c r="B43" s="899">
        <f>ROUND(B37+B41,0)</f>
        <v>18144646</v>
      </c>
      <c r="C43" s="365"/>
      <c r="D43" s="899">
        <f>ROUND(D37+D41,0)</f>
        <v>8574682</v>
      </c>
      <c r="E43" s="365"/>
      <c r="F43" s="899">
        <f>ROUND(F37+F41,0)</f>
        <v>26160145</v>
      </c>
      <c r="G43" s="365"/>
      <c r="H43" s="899">
        <f>ROUND(H37+H41,0)</f>
        <v>26486012</v>
      </c>
      <c r="I43" s="365"/>
      <c r="J43" s="899">
        <f>ROUND(J37+J41,0)</f>
        <v>41586143</v>
      </c>
      <c r="K43" s="365"/>
      <c r="L43" s="899">
        <f>ROUND(L37+L41,0)</f>
        <v>8879008</v>
      </c>
      <c r="M43" s="360"/>
      <c r="N43" s="899">
        <f>ROUND(N37+N41,0)</f>
        <v>34846953</v>
      </c>
      <c r="O43" s="365"/>
      <c r="P43" s="899">
        <f>ROUND(P37+P41,0)</f>
        <v>18389561</v>
      </c>
      <c r="Q43" s="365"/>
      <c r="R43" s="899">
        <f>ROUND(R37+R41,0)</f>
        <v>13140750</v>
      </c>
      <c r="S43" s="365"/>
      <c r="T43" s="899">
        <f>ROUND(T37+T41,0)</f>
        <v>11215744</v>
      </c>
      <c r="U43" s="365"/>
      <c r="V43" s="899">
        <f>ROUND(V37+V41,0)</f>
        <v>44110553</v>
      </c>
      <c r="W43" s="365"/>
      <c r="X43" s="899">
        <f>ROUND(X37+X41,0)</f>
        <v>34340336</v>
      </c>
      <c r="Y43" s="365"/>
      <c r="Z43" s="899">
        <f>ROUND(Z37+Z41,0)</f>
        <v>285874533</v>
      </c>
      <c r="AB43" s="288"/>
    </row>
    <row r="44" spans="1:28" ht="15" customHeight="1">
      <c r="A44" s="890"/>
      <c r="B44" s="891"/>
      <c r="C44" s="891"/>
      <c r="D44" s="891"/>
      <c r="E44" s="891"/>
      <c r="F44" s="891"/>
      <c r="G44" s="891"/>
      <c r="H44" s="891"/>
      <c r="I44" s="891"/>
      <c r="J44" s="891"/>
      <c r="K44" s="891"/>
      <c r="L44" s="891"/>
      <c r="M44" s="891"/>
      <c r="N44" s="891"/>
      <c r="O44" s="891"/>
      <c r="P44" s="891"/>
      <c r="Q44" s="891"/>
      <c r="R44" s="891"/>
      <c r="S44" s="891"/>
      <c r="T44" s="891"/>
      <c r="U44" s="891"/>
      <c r="V44" s="891"/>
      <c r="W44" s="891"/>
      <c r="X44" s="891"/>
      <c r="Y44" s="891"/>
      <c r="Z44" s="900"/>
    </row>
    <row r="45" spans="1:28" s="363" customFormat="1" ht="20.25" customHeight="1" thickBot="1">
      <c r="A45" s="367" t="s">
        <v>481</v>
      </c>
      <c r="B45" s="1030">
        <f>ROUND(B12+B17-B43,0)</f>
        <v>46698758</v>
      </c>
      <c r="C45" s="362"/>
      <c r="D45" s="1030">
        <f>ROUND(D12+D17-D43,0)</f>
        <v>38124076</v>
      </c>
      <c r="E45" s="889"/>
      <c r="F45" s="1030">
        <f>ROUND(F12+F17-F43,0)</f>
        <v>61963931</v>
      </c>
      <c r="G45" s="889"/>
      <c r="H45" s="1030">
        <f>ROUND(H12+H17-H43,0)</f>
        <v>35477919</v>
      </c>
      <c r="I45" s="2120"/>
      <c r="J45" s="1030">
        <f>ROUND(J12+J17-J43,0)</f>
        <v>53891776</v>
      </c>
      <c r="K45" s="2121"/>
      <c r="L45" s="1030">
        <f>ROUND(L12+L17-L43,0)</f>
        <v>145012768</v>
      </c>
      <c r="M45" s="2122"/>
      <c r="N45" s="1030">
        <f>ROUND(N12+N17-N43,0)</f>
        <v>110165815</v>
      </c>
      <c r="O45" s="2121"/>
      <c r="P45" s="1030">
        <f>ROUND(P12+P17-P43,0)</f>
        <v>91776254</v>
      </c>
      <c r="Q45" s="2121"/>
      <c r="R45" s="1030">
        <f>ROUND(R12+R17-R43,0)</f>
        <v>78635504</v>
      </c>
      <c r="S45" s="2121"/>
      <c r="T45" s="1030">
        <f>ROUND(T12+T17-T43,0)</f>
        <v>67419760</v>
      </c>
      <c r="U45" s="2121"/>
      <c r="V45" s="1030">
        <f>ROUND(V12+V17-V43,0)</f>
        <v>73309207</v>
      </c>
      <c r="W45" s="2121"/>
      <c r="X45" s="1030">
        <f>ROUND(X12+X17-X43,0)</f>
        <v>38968871</v>
      </c>
      <c r="Y45" s="2121"/>
      <c r="Z45" s="2123">
        <f>ROUND(Z12+Z17-Z43,0)</f>
        <v>38968871</v>
      </c>
    </row>
    <row r="46" spans="1:28" ht="15" customHeight="1" thickTop="1">
      <c r="A46" s="890"/>
      <c r="B46" s="887"/>
      <c r="C46" s="887"/>
      <c r="D46" s="887"/>
      <c r="E46" s="888"/>
      <c r="F46" s="887"/>
      <c r="G46" s="888"/>
      <c r="H46" s="887"/>
      <c r="I46" s="888"/>
      <c r="J46" s="887"/>
      <c r="K46" s="887"/>
      <c r="L46" s="887"/>
      <c r="M46" s="888"/>
      <c r="N46" s="887"/>
      <c r="O46" s="888"/>
      <c r="P46" s="887"/>
      <c r="Q46" s="888"/>
      <c r="R46" s="887"/>
      <c r="S46" s="888"/>
      <c r="T46" s="887"/>
      <c r="U46" s="888"/>
      <c r="V46" s="887"/>
      <c r="W46" s="888"/>
      <c r="X46" s="887"/>
      <c r="Y46" s="888"/>
      <c r="Z46" s="900"/>
    </row>
    <row r="47" spans="1:28" ht="20.149999999999999" customHeight="1">
      <c r="A47" s="368"/>
      <c r="B47" s="887"/>
      <c r="C47" s="887"/>
      <c r="D47" s="887"/>
      <c r="E47" s="888"/>
      <c r="F47" s="887"/>
      <c r="G47" s="888"/>
      <c r="H47" s="887"/>
      <c r="I47" s="888"/>
      <c r="J47" s="887"/>
      <c r="K47" s="887"/>
      <c r="L47" s="887"/>
      <c r="M47" s="888"/>
      <c r="N47" s="887"/>
      <c r="O47" s="888"/>
      <c r="P47" s="887"/>
      <c r="Q47" s="888"/>
      <c r="R47" s="887"/>
      <c r="S47" s="888"/>
      <c r="T47" s="887"/>
      <c r="U47" s="888"/>
      <c r="V47" s="887"/>
      <c r="W47" s="888"/>
      <c r="X47" s="887"/>
      <c r="Y47" s="888"/>
      <c r="Z47" s="892"/>
    </row>
    <row r="48" spans="1:28">
      <c r="L48" s="1027" t="s">
        <v>14</v>
      </c>
    </row>
    <row r="49" spans="1:26" ht="18" customHeight="1">
      <c r="A49" s="1029" t="s">
        <v>1261</v>
      </c>
      <c r="B49" s="883"/>
      <c r="C49" s="883"/>
      <c r="D49" s="883"/>
      <c r="E49" s="347"/>
      <c r="F49" s="883"/>
      <c r="G49" s="347"/>
      <c r="H49" s="883"/>
      <c r="I49" s="347"/>
      <c r="J49" s="883"/>
      <c r="K49" s="883"/>
      <c r="L49" s="883"/>
      <c r="M49" s="888"/>
      <c r="N49" s="883" t="s">
        <v>14</v>
      </c>
      <c r="O49" s="347"/>
      <c r="P49" s="883"/>
      <c r="Q49" s="347"/>
      <c r="R49" s="883"/>
      <c r="S49" s="347"/>
      <c r="T49" s="883"/>
      <c r="U49" s="347"/>
      <c r="V49" s="883"/>
      <c r="W49" s="347"/>
      <c r="X49" s="883"/>
      <c r="Y49" s="347"/>
      <c r="Z49" s="884"/>
    </row>
    <row r="50" spans="1:26" ht="20.149999999999999" customHeight="1">
      <c r="A50" s="1028" t="s">
        <v>1191</v>
      </c>
      <c r="B50" s="887"/>
      <c r="C50" s="887"/>
      <c r="D50" s="887"/>
      <c r="E50" s="888"/>
      <c r="F50" s="887"/>
      <c r="G50" s="888"/>
      <c r="H50" s="887"/>
      <c r="I50" s="888"/>
      <c r="J50" s="887"/>
      <c r="K50" s="887"/>
      <c r="L50" s="887"/>
      <c r="M50" s="888"/>
      <c r="N50" s="887" t="s">
        <v>14</v>
      </c>
      <c r="O50" s="888"/>
      <c r="P50" s="887"/>
      <c r="Q50" s="888"/>
      <c r="R50" s="887"/>
      <c r="S50" s="888"/>
      <c r="T50" s="887"/>
      <c r="U50" s="888"/>
      <c r="V50" s="887"/>
      <c r="W50" s="888"/>
      <c r="X50" s="887"/>
      <c r="Y50" s="888"/>
      <c r="Z50" s="892"/>
    </row>
    <row r="51" spans="1:26" ht="20.149999999999999" customHeight="1">
      <c r="A51" s="1028"/>
      <c r="B51" s="887"/>
      <c r="C51" s="887"/>
      <c r="D51" s="887"/>
      <c r="E51" s="888"/>
      <c r="F51" s="887"/>
      <c r="G51" s="888"/>
      <c r="H51" s="887"/>
      <c r="I51" s="888"/>
      <c r="J51" s="887"/>
      <c r="K51" s="887"/>
      <c r="L51" s="887"/>
      <c r="M51" s="888"/>
      <c r="N51" s="887" t="s">
        <v>14</v>
      </c>
      <c r="O51" s="888"/>
      <c r="P51" s="887"/>
      <c r="Q51" s="888"/>
      <c r="R51" s="887"/>
      <c r="S51" s="888"/>
      <c r="T51" s="887"/>
      <c r="U51" s="888"/>
      <c r="V51" s="887"/>
      <c r="W51" s="888"/>
      <c r="X51" s="887"/>
      <c r="Y51" s="888"/>
      <c r="Z51" s="892"/>
    </row>
    <row r="52" spans="1:26" ht="20.149999999999999" customHeight="1">
      <c r="A52" s="1044"/>
      <c r="B52" s="346"/>
      <c r="C52" s="346"/>
      <c r="D52" s="346"/>
      <c r="E52" s="347"/>
      <c r="F52" s="346"/>
      <c r="G52" s="347"/>
      <c r="H52" s="346"/>
      <c r="I52" s="347"/>
      <c r="J52" s="346"/>
      <c r="K52" s="346"/>
      <c r="L52" s="346"/>
      <c r="M52" s="347"/>
      <c r="N52" s="346"/>
      <c r="O52" s="347"/>
      <c r="P52" s="346"/>
      <c r="Q52" s="347"/>
      <c r="R52" s="346"/>
      <c r="S52" s="347"/>
      <c r="T52" s="346"/>
      <c r="U52" s="347"/>
      <c r="V52" s="346"/>
      <c r="W52" s="347"/>
      <c r="X52" s="346"/>
      <c r="Y52" s="347"/>
      <c r="Z52" s="289"/>
    </row>
    <row r="53" spans="1:26" ht="20.149999999999999" customHeight="1">
      <c r="A53" s="344"/>
      <c r="B53" s="346"/>
      <c r="C53" s="346"/>
      <c r="D53" s="346"/>
      <c r="E53" s="347"/>
      <c r="F53" s="346"/>
      <c r="G53" s="347"/>
      <c r="H53" s="346"/>
      <c r="I53" s="347"/>
      <c r="J53" s="346"/>
      <c r="K53" s="346"/>
      <c r="L53" s="346"/>
      <c r="M53" s="347"/>
      <c r="N53" s="346"/>
      <c r="O53" s="347"/>
      <c r="P53" s="346"/>
      <c r="Q53" s="347"/>
      <c r="R53" s="346"/>
      <c r="S53" s="347"/>
      <c r="T53" s="346"/>
      <c r="U53" s="347"/>
      <c r="V53" s="346"/>
      <c r="W53" s="347"/>
      <c r="X53" s="346"/>
      <c r="Y53" s="347"/>
      <c r="Z53" s="289"/>
    </row>
    <row r="54" spans="1:26" ht="20.149999999999999" customHeight="1">
      <c r="A54" s="344"/>
      <c r="B54" s="346"/>
      <c r="C54" s="346"/>
      <c r="D54" s="346"/>
      <c r="E54" s="347"/>
      <c r="F54" s="346"/>
      <c r="G54" s="347"/>
      <c r="H54" s="346"/>
      <c r="I54" s="347"/>
      <c r="J54" s="346"/>
      <c r="K54" s="346"/>
      <c r="L54" s="346"/>
      <c r="M54" s="347"/>
      <c r="N54" s="346"/>
      <c r="O54" s="347"/>
      <c r="P54" s="346"/>
      <c r="Q54" s="347"/>
      <c r="R54" s="346"/>
      <c r="S54" s="347"/>
      <c r="T54" s="346"/>
      <c r="U54" s="347"/>
      <c r="V54" s="346"/>
      <c r="W54" s="347"/>
      <c r="X54" s="346"/>
      <c r="Y54" s="347"/>
      <c r="Z54" s="289"/>
    </row>
    <row r="55" spans="1:26" ht="20.149999999999999" customHeight="1">
      <c r="A55" s="344"/>
      <c r="B55" s="346"/>
      <c r="C55" s="346"/>
      <c r="D55" s="346"/>
      <c r="E55" s="347"/>
      <c r="F55" s="346"/>
      <c r="G55" s="347"/>
      <c r="H55" s="346"/>
      <c r="I55" s="347"/>
      <c r="J55" s="346"/>
      <c r="K55" s="346"/>
      <c r="L55" s="346"/>
      <c r="M55" s="347"/>
      <c r="N55" s="346"/>
      <c r="O55" s="347"/>
      <c r="P55" s="346"/>
      <c r="Q55" s="347"/>
      <c r="R55" s="346"/>
      <c r="S55" s="347"/>
      <c r="T55" s="346"/>
      <c r="U55" s="347"/>
      <c r="V55" s="346"/>
      <c r="W55" s="347"/>
      <c r="X55" s="346"/>
      <c r="Y55" s="347"/>
      <c r="Z55" s="289"/>
    </row>
    <row r="56" spans="1:26" ht="20.149999999999999" customHeight="1">
      <c r="A56" s="344"/>
      <c r="B56" s="346"/>
      <c r="C56" s="346"/>
      <c r="D56" s="346"/>
      <c r="E56" s="347"/>
      <c r="F56" s="346"/>
      <c r="G56" s="347"/>
      <c r="H56" s="346"/>
      <c r="I56" s="347"/>
      <c r="J56" s="346"/>
      <c r="K56" s="346"/>
      <c r="L56" s="346"/>
      <c r="M56" s="347"/>
      <c r="N56" s="346"/>
      <c r="O56" s="347"/>
      <c r="P56" s="346"/>
      <c r="Q56" s="347"/>
      <c r="R56" s="346"/>
      <c r="S56" s="347"/>
      <c r="T56" s="346"/>
      <c r="U56" s="347"/>
      <c r="V56" s="346"/>
      <c r="W56" s="347"/>
      <c r="X56" s="346"/>
      <c r="Y56" s="347"/>
      <c r="Z56" s="289"/>
    </row>
    <row r="57" spans="1:26">
      <c r="A57" s="344"/>
      <c r="B57" s="346"/>
      <c r="C57" s="346"/>
      <c r="D57" s="346"/>
      <c r="E57" s="347"/>
      <c r="F57" s="346"/>
      <c r="G57" s="347"/>
      <c r="H57" s="346"/>
      <c r="I57" s="347"/>
      <c r="J57" s="346"/>
      <c r="K57" s="346"/>
      <c r="L57" s="346"/>
      <c r="M57" s="347"/>
      <c r="N57" s="346"/>
      <c r="O57" s="347"/>
      <c r="P57" s="346"/>
      <c r="Q57" s="347"/>
      <c r="R57" s="346"/>
      <c r="S57" s="347"/>
      <c r="T57" s="346"/>
      <c r="U57" s="347"/>
      <c r="V57" s="346"/>
      <c r="W57" s="347"/>
      <c r="X57" s="346"/>
      <c r="Y57" s="347"/>
      <c r="Z57" s="289"/>
    </row>
    <row r="58" spans="1:26">
      <c r="A58" s="344"/>
      <c r="B58" s="346"/>
      <c r="C58" s="346"/>
      <c r="D58" s="346"/>
      <c r="E58" s="347"/>
      <c r="F58" s="346"/>
      <c r="G58" s="347"/>
      <c r="H58" s="346"/>
      <c r="I58" s="347"/>
      <c r="J58" s="346"/>
      <c r="K58" s="346"/>
      <c r="L58" s="346"/>
      <c r="M58" s="347"/>
      <c r="N58" s="346"/>
      <c r="O58" s="347"/>
      <c r="P58" s="346"/>
      <c r="Q58" s="347"/>
      <c r="R58" s="346"/>
      <c r="S58" s="347"/>
      <c r="T58" s="346"/>
      <c r="U58" s="347"/>
      <c r="V58" s="346"/>
      <c r="W58" s="347"/>
      <c r="X58" s="346"/>
      <c r="Y58" s="347"/>
      <c r="Z58" s="289"/>
    </row>
    <row r="59" spans="1:26">
      <c r="A59" s="344"/>
      <c r="B59" s="346"/>
      <c r="C59" s="346"/>
      <c r="D59" s="346"/>
      <c r="E59" s="347"/>
      <c r="F59" s="346"/>
      <c r="G59" s="347"/>
      <c r="H59" s="346"/>
      <c r="I59" s="347"/>
      <c r="J59" s="346"/>
      <c r="K59" s="346"/>
      <c r="L59" s="346"/>
      <c r="M59" s="347"/>
      <c r="N59" s="346"/>
      <c r="O59" s="347"/>
      <c r="P59" s="346"/>
      <c r="Q59" s="347"/>
      <c r="R59" s="346"/>
      <c r="S59" s="347"/>
      <c r="T59" s="346"/>
      <c r="U59" s="347"/>
      <c r="V59" s="346"/>
      <c r="W59" s="347"/>
      <c r="X59" s="346"/>
      <c r="Y59" s="347"/>
      <c r="Z59" s="289"/>
    </row>
    <row r="60" spans="1:26">
      <c r="A60" s="344"/>
      <c r="B60" s="346"/>
      <c r="C60" s="346"/>
      <c r="D60" s="346"/>
      <c r="E60" s="347"/>
      <c r="F60" s="346"/>
      <c r="G60" s="347"/>
      <c r="H60" s="346"/>
      <c r="I60" s="347"/>
      <c r="J60" s="346"/>
      <c r="K60" s="346"/>
      <c r="L60" s="346"/>
      <c r="M60" s="347"/>
      <c r="N60" s="346"/>
      <c r="O60" s="347"/>
      <c r="P60" s="346"/>
      <c r="Q60" s="347"/>
      <c r="R60" s="346"/>
      <c r="S60" s="347"/>
      <c r="T60" s="346"/>
      <c r="U60" s="347"/>
      <c r="V60" s="346"/>
      <c r="W60" s="347"/>
      <c r="X60" s="346"/>
      <c r="Y60" s="347"/>
      <c r="Z60" s="289"/>
    </row>
    <row r="61" spans="1:26">
      <c r="A61" s="344"/>
      <c r="B61" s="346"/>
      <c r="C61" s="346"/>
      <c r="D61" s="346"/>
      <c r="E61" s="347"/>
      <c r="F61" s="346"/>
      <c r="G61" s="347"/>
      <c r="H61" s="346"/>
      <c r="I61" s="347"/>
      <c r="J61" s="346"/>
      <c r="K61" s="346"/>
      <c r="L61" s="346"/>
      <c r="M61" s="347"/>
      <c r="N61" s="346"/>
      <c r="O61" s="347"/>
      <c r="P61" s="346"/>
      <c r="Q61" s="347"/>
      <c r="R61" s="346"/>
      <c r="S61" s="347"/>
      <c r="T61" s="346"/>
      <c r="U61" s="347"/>
      <c r="V61" s="346"/>
      <c r="W61" s="347"/>
      <c r="X61" s="346"/>
      <c r="Y61" s="347"/>
      <c r="Z61" s="289"/>
    </row>
    <row r="62" spans="1:26">
      <c r="A62" s="344"/>
      <c r="B62" s="346"/>
      <c r="C62" s="346"/>
      <c r="D62" s="346"/>
      <c r="E62" s="347"/>
      <c r="F62" s="346"/>
      <c r="G62" s="347"/>
      <c r="H62" s="346"/>
      <c r="I62" s="347"/>
      <c r="J62" s="346"/>
      <c r="K62" s="346"/>
      <c r="L62" s="346"/>
      <c r="M62" s="347"/>
      <c r="N62" s="346"/>
      <c r="O62" s="347"/>
      <c r="P62" s="346"/>
      <c r="Q62" s="347"/>
      <c r="R62" s="346"/>
      <c r="S62" s="347"/>
      <c r="T62" s="346"/>
      <c r="U62" s="347"/>
      <c r="V62" s="346"/>
      <c r="W62" s="347"/>
      <c r="X62" s="346"/>
      <c r="Y62" s="347"/>
      <c r="Z62" s="289"/>
    </row>
    <row r="63" spans="1:26">
      <c r="A63" s="344"/>
      <c r="B63" s="346"/>
      <c r="C63" s="346"/>
      <c r="D63" s="346"/>
      <c r="E63" s="347"/>
      <c r="F63" s="346"/>
      <c r="G63" s="347"/>
      <c r="H63" s="346"/>
      <c r="I63" s="347"/>
      <c r="J63" s="346"/>
      <c r="K63" s="346"/>
      <c r="L63" s="346"/>
      <c r="M63" s="347"/>
      <c r="N63" s="346"/>
      <c r="O63" s="347"/>
      <c r="P63" s="346"/>
      <c r="Q63" s="347"/>
      <c r="R63" s="346"/>
      <c r="S63" s="347"/>
      <c r="T63" s="346"/>
      <c r="U63" s="347"/>
      <c r="V63" s="346"/>
      <c r="W63" s="347"/>
      <c r="X63" s="346"/>
      <c r="Y63" s="347"/>
      <c r="Z63" s="289"/>
    </row>
    <row r="64" spans="1:26">
      <c r="A64" s="344"/>
      <c r="B64" s="346"/>
      <c r="C64" s="346"/>
      <c r="D64" s="346"/>
      <c r="E64" s="347"/>
      <c r="F64" s="346"/>
      <c r="G64" s="347"/>
      <c r="H64" s="346"/>
      <c r="I64" s="347"/>
      <c r="J64" s="346"/>
      <c r="K64" s="346"/>
      <c r="L64" s="346"/>
      <c r="M64" s="347"/>
      <c r="N64" s="346"/>
      <c r="O64" s="347"/>
      <c r="P64" s="346"/>
      <c r="Q64" s="347"/>
      <c r="R64" s="346"/>
      <c r="S64" s="347"/>
      <c r="T64" s="346"/>
      <c r="U64" s="347"/>
      <c r="V64" s="346"/>
      <c r="W64" s="347"/>
      <c r="X64" s="346"/>
      <c r="Y64" s="347"/>
      <c r="Z64" s="289"/>
    </row>
    <row r="65" spans="1:26">
      <c r="A65" s="344"/>
      <c r="B65" s="346"/>
      <c r="C65" s="346"/>
      <c r="D65" s="346"/>
      <c r="E65" s="347"/>
      <c r="F65" s="346"/>
      <c r="G65" s="347"/>
      <c r="H65" s="346"/>
      <c r="I65" s="347"/>
      <c r="J65" s="346"/>
      <c r="K65" s="346"/>
      <c r="L65" s="346"/>
      <c r="M65" s="347"/>
      <c r="N65" s="346"/>
      <c r="O65" s="347"/>
      <c r="P65" s="346"/>
      <c r="Q65" s="347"/>
      <c r="R65" s="346"/>
      <c r="S65" s="347"/>
      <c r="T65" s="346"/>
      <c r="U65" s="347"/>
      <c r="V65" s="346"/>
      <c r="W65" s="347"/>
      <c r="X65" s="346"/>
      <c r="Y65" s="347"/>
      <c r="Z65" s="289"/>
    </row>
    <row r="66" spans="1:26">
      <c r="A66" s="344"/>
      <c r="B66" s="346"/>
      <c r="C66" s="346"/>
      <c r="D66" s="346"/>
      <c r="E66" s="347"/>
      <c r="F66" s="346"/>
      <c r="G66" s="347"/>
      <c r="H66" s="346"/>
      <c r="I66" s="347"/>
      <c r="J66" s="346"/>
      <c r="K66" s="346"/>
      <c r="L66" s="346"/>
      <c r="M66" s="347"/>
      <c r="N66" s="346"/>
      <c r="O66" s="347"/>
      <c r="P66" s="346"/>
      <c r="Q66" s="347"/>
      <c r="R66" s="346"/>
      <c r="S66" s="347"/>
      <c r="T66" s="346"/>
      <c r="U66" s="347"/>
      <c r="V66" s="346"/>
      <c r="W66" s="347"/>
      <c r="X66" s="346"/>
      <c r="Y66" s="347"/>
      <c r="Z66" s="289"/>
    </row>
    <row r="67" spans="1:26">
      <c r="A67" s="344"/>
      <c r="B67" s="346"/>
      <c r="C67" s="346"/>
      <c r="D67" s="346"/>
      <c r="E67" s="347"/>
      <c r="F67" s="346"/>
      <c r="G67" s="347"/>
      <c r="H67" s="346"/>
      <c r="I67" s="347"/>
      <c r="J67" s="346"/>
      <c r="K67" s="346"/>
      <c r="L67" s="346"/>
      <c r="M67" s="347"/>
      <c r="N67" s="346"/>
      <c r="O67" s="347"/>
      <c r="P67" s="346"/>
      <c r="Q67" s="347"/>
      <c r="R67" s="346"/>
      <c r="S67" s="347"/>
      <c r="T67" s="346"/>
      <c r="U67" s="347"/>
      <c r="V67" s="346"/>
      <c r="W67" s="347"/>
      <c r="X67" s="346"/>
      <c r="Y67" s="347"/>
      <c r="Z67" s="289"/>
    </row>
    <row r="68" spans="1:26">
      <c r="A68" s="344"/>
      <c r="B68" s="346"/>
      <c r="C68" s="346"/>
      <c r="D68" s="346"/>
      <c r="E68" s="347"/>
      <c r="F68" s="346"/>
      <c r="G68" s="347"/>
      <c r="H68" s="346"/>
      <c r="I68" s="347"/>
      <c r="J68" s="346"/>
      <c r="K68" s="346"/>
      <c r="L68" s="346"/>
      <c r="M68" s="347"/>
      <c r="N68" s="346"/>
      <c r="O68" s="347"/>
      <c r="P68" s="346"/>
      <c r="Q68" s="347"/>
      <c r="R68" s="346"/>
      <c r="S68" s="347"/>
      <c r="T68" s="346"/>
      <c r="U68" s="347"/>
      <c r="V68" s="346"/>
      <c r="W68" s="347"/>
      <c r="X68" s="346"/>
      <c r="Y68" s="347"/>
      <c r="Z68" s="289"/>
    </row>
    <row r="69" spans="1:26">
      <c r="A69" s="344"/>
      <c r="B69" s="346"/>
      <c r="C69" s="346"/>
      <c r="D69" s="346"/>
      <c r="E69" s="347"/>
      <c r="F69" s="346"/>
      <c r="G69" s="347"/>
      <c r="H69" s="346"/>
      <c r="I69" s="347"/>
      <c r="J69" s="346"/>
      <c r="K69" s="346"/>
      <c r="L69" s="346"/>
      <c r="M69" s="347"/>
      <c r="N69" s="346"/>
      <c r="O69" s="347"/>
      <c r="P69" s="346"/>
      <c r="Q69" s="347"/>
      <c r="R69" s="346"/>
      <c r="S69" s="347"/>
      <c r="T69" s="346"/>
      <c r="U69" s="347"/>
      <c r="V69" s="346"/>
      <c r="W69" s="347"/>
      <c r="X69" s="346"/>
      <c r="Y69" s="347"/>
      <c r="Z69" s="289"/>
    </row>
    <row r="70" spans="1:26">
      <c r="A70" s="344"/>
      <c r="B70" s="346"/>
      <c r="C70" s="346"/>
      <c r="D70" s="346"/>
      <c r="E70" s="347"/>
      <c r="F70" s="346"/>
      <c r="G70" s="347"/>
      <c r="H70" s="346"/>
      <c r="I70" s="347"/>
      <c r="J70" s="346"/>
      <c r="K70" s="346"/>
      <c r="L70" s="346"/>
      <c r="M70" s="347"/>
      <c r="N70" s="346"/>
      <c r="O70" s="347"/>
      <c r="P70" s="346"/>
      <c r="Q70" s="347"/>
      <c r="R70" s="346"/>
      <c r="S70" s="347"/>
      <c r="T70" s="346"/>
      <c r="U70" s="347"/>
      <c r="V70" s="346"/>
      <c r="W70" s="347"/>
      <c r="X70" s="346"/>
      <c r="Y70" s="347"/>
      <c r="Z70" s="289"/>
    </row>
    <row r="71" spans="1:26">
      <c r="A71" s="344"/>
      <c r="B71" s="346"/>
      <c r="C71" s="346"/>
      <c r="D71" s="346"/>
      <c r="E71" s="347"/>
      <c r="F71" s="346"/>
      <c r="G71" s="347"/>
      <c r="H71" s="346"/>
      <c r="I71" s="347"/>
      <c r="J71" s="346"/>
      <c r="K71" s="346"/>
      <c r="L71" s="346"/>
      <c r="M71" s="347"/>
      <c r="N71" s="346"/>
      <c r="O71" s="347"/>
      <c r="P71" s="346"/>
      <c r="Q71" s="347"/>
      <c r="R71" s="346"/>
      <c r="S71" s="347"/>
      <c r="T71" s="346"/>
      <c r="U71" s="347"/>
      <c r="V71" s="346"/>
      <c r="W71" s="347"/>
      <c r="X71" s="346"/>
      <c r="Y71" s="347"/>
      <c r="Z71" s="289"/>
    </row>
    <row r="72" spans="1:26">
      <c r="A72" s="344"/>
      <c r="B72" s="346"/>
      <c r="C72" s="346"/>
      <c r="D72" s="346"/>
      <c r="E72" s="347"/>
      <c r="F72" s="346"/>
      <c r="G72" s="347"/>
      <c r="H72" s="346"/>
      <c r="I72" s="347"/>
      <c r="J72" s="346"/>
      <c r="K72" s="346"/>
      <c r="L72" s="346"/>
      <c r="M72" s="347"/>
      <c r="N72" s="346"/>
      <c r="O72" s="347"/>
      <c r="P72" s="346"/>
      <c r="Q72" s="347"/>
      <c r="R72" s="346"/>
      <c r="S72" s="347"/>
      <c r="T72" s="346"/>
      <c r="U72" s="347"/>
      <c r="V72" s="346"/>
      <c r="W72" s="347"/>
      <c r="X72" s="346"/>
      <c r="Y72" s="347"/>
      <c r="Z72" s="289"/>
    </row>
    <row r="73" spans="1:26">
      <c r="A73" s="344"/>
      <c r="B73" s="346"/>
      <c r="C73" s="346"/>
      <c r="D73" s="346"/>
      <c r="E73" s="347"/>
      <c r="F73" s="346"/>
      <c r="G73" s="347"/>
      <c r="H73" s="346"/>
      <c r="I73" s="347"/>
      <c r="J73" s="346"/>
      <c r="K73" s="346"/>
      <c r="L73" s="346"/>
      <c r="M73" s="347"/>
      <c r="N73" s="346"/>
      <c r="O73" s="347"/>
      <c r="P73" s="346"/>
      <c r="Q73" s="347"/>
      <c r="R73" s="346"/>
      <c r="S73" s="347"/>
      <c r="T73" s="346"/>
      <c r="U73" s="347"/>
      <c r="V73" s="346"/>
      <c r="W73" s="347"/>
      <c r="X73" s="346"/>
      <c r="Y73" s="347"/>
      <c r="Z73" s="289"/>
    </row>
    <row r="74" spans="1:26">
      <c r="A74" s="344"/>
      <c r="B74" s="346"/>
      <c r="C74" s="346"/>
      <c r="D74" s="346"/>
      <c r="E74" s="347"/>
      <c r="F74" s="346"/>
      <c r="G74" s="347"/>
      <c r="H74" s="346"/>
      <c r="I74" s="347"/>
      <c r="J74" s="346"/>
      <c r="K74" s="346"/>
      <c r="L74" s="346"/>
      <c r="M74" s="347"/>
      <c r="N74" s="346"/>
      <c r="O74" s="347"/>
      <c r="P74" s="346"/>
      <c r="Q74" s="347"/>
      <c r="R74" s="346"/>
      <c r="S74" s="347"/>
      <c r="T74" s="346"/>
      <c r="U74" s="347"/>
      <c r="V74" s="346"/>
      <c r="W74" s="347"/>
      <c r="X74" s="346"/>
      <c r="Y74" s="347"/>
      <c r="Z74" s="289"/>
    </row>
    <row r="75" spans="1:26">
      <c r="A75" s="344"/>
      <c r="B75" s="346"/>
      <c r="C75" s="346"/>
      <c r="D75" s="346"/>
      <c r="E75" s="347"/>
      <c r="F75" s="346"/>
      <c r="G75" s="347"/>
      <c r="H75" s="346"/>
      <c r="I75" s="347"/>
      <c r="J75" s="346"/>
      <c r="K75" s="346"/>
      <c r="L75" s="346"/>
      <c r="M75" s="347"/>
      <c r="N75" s="346"/>
      <c r="O75" s="347"/>
      <c r="P75" s="346"/>
      <c r="Q75" s="347"/>
      <c r="R75" s="346"/>
      <c r="S75" s="347"/>
      <c r="T75" s="346"/>
      <c r="U75" s="347"/>
      <c r="V75" s="346"/>
      <c r="W75" s="347"/>
      <c r="X75" s="346"/>
      <c r="Y75" s="347"/>
      <c r="Z75" s="289"/>
    </row>
    <row r="76" spans="1:26">
      <c r="A76" s="344"/>
      <c r="B76" s="346"/>
      <c r="C76" s="346"/>
      <c r="D76" s="346"/>
      <c r="E76" s="347"/>
      <c r="F76" s="346"/>
      <c r="G76" s="347"/>
      <c r="H76" s="346"/>
      <c r="I76" s="347"/>
      <c r="J76" s="346"/>
      <c r="K76" s="346"/>
      <c r="L76" s="346"/>
      <c r="M76" s="347"/>
      <c r="N76" s="346"/>
      <c r="O76" s="347"/>
      <c r="P76" s="346"/>
      <c r="Q76" s="347"/>
      <c r="R76" s="346"/>
      <c r="S76" s="347"/>
      <c r="T76" s="346"/>
      <c r="U76" s="347"/>
      <c r="V76" s="346"/>
      <c r="W76" s="347"/>
      <c r="X76" s="346"/>
      <c r="Y76" s="347"/>
      <c r="Z76" s="289"/>
    </row>
    <row r="77" spans="1:26">
      <c r="A77" s="344"/>
      <c r="B77" s="346"/>
      <c r="C77" s="346"/>
      <c r="D77" s="346"/>
      <c r="E77" s="347"/>
      <c r="F77" s="346"/>
      <c r="G77" s="347"/>
      <c r="H77" s="346"/>
      <c r="I77" s="347"/>
      <c r="J77" s="346"/>
      <c r="K77" s="346"/>
      <c r="L77" s="346"/>
      <c r="M77" s="347"/>
      <c r="N77" s="346"/>
      <c r="O77" s="347"/>
      <c r="P77" s="346"/>
      <c r="Q77" s="347"/>
      <c r="R77" s="346"/>
      <c r="S77" s="347"/>
      <c r="T77" s="346"/>
      <c r="U77" s="347"/>
      <c r="V77" s="346"/>
      <c r="W77" s="347"/>
      <c r="X77" s="346"/>
      <c r="Y77" s="347"/>
      <c r="Z77" s="289"/>
    </row>
    <row r="78" spans="1:26">
      <c r="A78" s="344"/>
      <c r="B78" s="346"/>
      <c r="C78" s="346"/>
      <c r="D78" s="346"/>
      <c r="E78" s="347"/>
      <c r="F78" s="346"/>
      <c r="G78" s="347"/>
      <c r="H78" s="346"/>
      <c r="I78" s="347"/>
      <c r="J78" s="346"/>
      <c r="K78" s="346"/>
      <c r="L78" s="346"/>
      <c r="M78" s="347"/>
      <c r="N78" s="346"/>
      <c r="O78" s="347"/>
      <c r="P78" s="346"/>
      <c r="Q78" s="347"/>
      <c r="R78" s="346"/>
      <c r="S78" s="347"/>
      <c r="T78" s="346"/>
      <c r="U78" s="347"/>
      <c r="V78" s="346"/>
      <c r="W78" s="347"/>
      <c r="X78" s="346"/>
      <c r="Y78" s="347"/>
      <c r="Z78" s="289"/>
    </row>
    <row r="79" spans="1:26">
      <c r="A79" s="344"/>
      <c r="B79" s="346"/>
      <c r="C79" s="346"/>
      <c r="D79" s="346"/>
      <c r="E79" s="347"/>
      <c r="F79" s="346"/>
      <c r="G79" s="347"/>
      <c r="H79" s="346"/>
      <c r="I79" s="347"/>
      <c r="J79" s="346"/>
      <c r="K79" s="346"/>
      <c r="L79" s="346"/>
      <c r="M79" s="347"/>
      <c r="N79" s="346"/>
      <c r="O79" s="347"/>
      <c r="P79" s="346"/>
      <c r="Q79" s="347"/>
      <c r="R79" s="346"/>
      <c r="S79" s="347"/>
      <c r="T79" s="346"/>
      <c r="U79" s="347"/>
      <c r="V79" s="346"/>
      <c r="W79" s="347"/>
      <c r="X79" s="346"/>
      <c r="Y79" s="347"/>
      <c r="Z79" s="289"/>
    </row>
    <row r="80" spans="1:26">
      <c r="A80" s="344"/>
      <c r="B80" s="346"/>
      <c r="C80" s="346"/>
      <c r="D80" s="346"/>
      <c r="E80" s="347"/>
      <c r="F80" s="346"/>
      <c r="G80" s="347"/>
      <c r="H80" s="346"/>
      <c r="I80" s="347"/>
      <c r="J80" s="346"/>
      <c r="K80" s="346"/>
      <c r="L80" s="346"/>
      <c r="M80" s="347"/>
      <c r="N80" s="346"/>
      <c r="O80" s="347"/>
      <c r="P80" s="346"/>
      <c r="Q80" s="347"/>
      <c r="R80" s="346"/>
      <c r="S80" s="347"/>
      <c r="T80" s="346"/>
      <c r="U80" s="347"/>
      <c r="V80" s="346"/>
      <c r="W80" s="347"/>
      <c r="X80" s="346"/>
      <c r="Y80" s="347"/>
      <c r="Z80" s="289"/>
    </row>
    <row r="81" spans="1:26">
      <c r="A81" s="344"/>
      <c r="B81" s="346"/>
      <c r="C81" s="346"/>
      <c r="D81" s="346"/>
      <c r="E81" s="347"/>
      <c r="F81" s="346"/>
      <c r="G81" s="347"/>
      <c r="H81" s="346"/>
      <c r="I81" s="347"/>
      <c r="J81" s="346"/>
      <c r="K81" s="346"/>
      <c r="L81" s="346"/>
      <c r="M81" s="347"/>
      <c r="N81" s="346"/>
      <c r="O81" s="347"/>
      <c r="P81" s="346"/>
      <c r="Q81" s="347"/>
      <c r="R81" s="346"/>
      <c r="S81" s="347"/>
      <c r="T81" s="346"/>
      <c r="U81" s="347"/>
      <c r="V81" s="346"/>
      <c r="W81" s="347"/>
      <c r="X81" s="346"/>
      <c r="Y81" s="347"/>
      <c r="Z81" s="289"/>
    </row>
    <row r="82" spans="1:26">
      <c r="A82" s="344"/>
      <c r="B82" s="346"/>
      <c r="C82" s="346"/>
      <c r="D82" s="346"/>
      <c r="E82" s="347"/>
      <c r="F82" s="346"/>
      <c r="G82" s="347"/>
      <c r="H82" s="346"/>
      <c r="I82" s="347"/>
      <c r="J82" s="346"/>
      <c r="K82" s="346"/>
      <c r="L82" s="346"/>
      <c r="M82" s="347"/>
      <c r="N82" s="346"/>
      <c r="O82" s="347"/>
      <c r="P82" s="346"/>
      <c r="Q82" s="347"/>
      <c r="R82" s="346"/>
      <c r="S82" s="347"/>
      <c r="T82" s="346"/>
      <c r="U82" s="347"/>
      <c r="V82" s="346"/>
      <c r="W82" s="347"/>
      <c r="X82" s="346"/>
      <c r="Y82" s="347"/>
      <c r="Z82" s="289"/>
    </row>
    <row r="83" spans="1:26">
      <c r="A83" s="344"/>
      <c r="B83" s="346"/>
      <c r="C83" s="346"/>
      <c r="D83" s="346"/>
      <c r="E83" s="347"/>
      <c r="F83" s="346"/>
      <c r="G83" s="347"/>
      <c r="H83" s="346"/>
      <c r="I83" s="347"/>
      <c r="J83" s="346"/>
      <c r="K83" s="346"/>
      <c r="L83" s="346"/>
      <c r="M83" s="347"/>
      <c r="N83" s="346"/>
      <c r="O83" s="347"/>
      <c r="P83" s="346"/>
      <c r="Q83" s="347"/>
      <c r="R83" s="346"/>
      <c r="S83" s="347"/>
      <c r="T83" s="346"/>
      <c r="U83" s="347"/>
      <c r="V83" s="346"/>
      <c r="W83" s="347"/>
      <c r="X83" s="346"/>
      <c r="Y83" s="347"/>
      <c r="Z83" s="289"/>
    </row>
    <row r="84" spans="1:26">
      <c r="A84" s="344"/>
      <c r="B84" s="346"/>
      <c r="C84" s="346"/>
      <c r="D84" s="346"/>
      <c r="E84" s="347"/>
      <c r="F84" s="346"/>
      <c r="G84" s="347"/>
      <c r="H84" s="346"/>
      <c r="I84" s="347"/>
      <c r="J84" s="346"/>
      <c r="K84" s="346"/>
      <c r="L84" s="346"/>
      <c r="M84" s="347"/>
      <c r="N84" s="346"/>
      <c r="O84" s="347"/>
      <c r="P84" s="346"/>
      <c r="Q84" s="347"/>
      <c r="R84" s="346"/>
      <c r="S84" s="347"/>
      <c r="T84" s="346"/>
      <c r="U84" s="347"/>
      <c r="V84" s="346"/>
      <c r="W84" s="347"/>
      <c r="X84" s="346"/>
      <c r="Y84" s="347"/>
      <c r="Z84" s="289"/>
    </row>
    <row r="85" spans="1:26">
      <c r="A85" s="344"/>
      <c r="B85" s="346"/>
      <c r="C85" s="346"/>
      <c r="D85" s="346"/>
      <c r="E85" s="347"/>
      <c r="F85" s="346"/>
      <c r="G85" s="347"/>
      <c r="H85" s="346"/>
      <c r="I85" s="347"/>
      <c r="J85" s="346"/>
      <c r="K85" s="346"/>
      <c r="L85" s="346"/>
      <c r="M85" s="347"/>
      <c r="N85" s="346"/>
      <c r="O85" s="347"/>
      <c r="P85" s="346"/>
      <c r="Q85" s="347"/>
      <c r="R85" s="346"/>
      <c r="S85" s="347"/>
      <c r="T85" s="346"/>
      <c r="U85" s="347"/>
      <c r="V85" s="346"/>
      <c r="W85" s="347"/>
      <c r="X85" s="346"/>
      <c r="Y85" s="347"/>
      <c r="Z85" s="289"/>
    </row>
    <row r="86" spans="1:26">
      <c r="A86" s="344"/>
      <c r="B86" s="346"/>
      <c r="C86" s="346"/>
      <c r="D86" s="346"/>
      <c r="E86" s="347"/>
      <c r="F86" s="346"/>
      <c r="G86" s="347"/>
      <c r="H86" s="346"/>
      <c r="I86" s="347"/>
      <c r="J86" s="346"/>
      <c r="K86" s="346"/>
      <c r="L86" s="346"/>
      <c r="M86" s="347"/>
      <c r="N86" s="346"/>
      <c r="O86" s="347"/>
      <c r="P86" s="346"/>
      <c r="Q86" s="347"/>
      <c r="R86" s="346"/>
      <c r="S86" s="347"/>
      <c r="T86" s="346"/>
      <c r="U86" s="347"/>
      <c r="V86" s="346"/>
      <c r="W86" s="347"/>
      <c r="X86" s="346"/>
      <c r="Y86" s="347"/>
      <c r="Z86" s="289"/>
    </row>
    <row r="87" spans="1:26">
      <c r="A87" s="344"/>
      <c r="B87" s="346"/>
      <c r="C87" s="346"/>
      <c r="D87" s="346"/>
      <c r="E87" s="347"/>
      <c r="F87" s="346"/>
      <c r="G87" s="347"/>
      <c r="H87" s="346"/>
      <c r="I87" s="347"/>
      <c r="J87" s="346"/>
      <c r="K87" s="346"/>
      <c r="L87" s="346"/>
      <c r="M87" s="347"/>
      <c r="N87" s="346"/>
      <c r="O87" s="347"/>
      <c r="P87" s="346"/>
      <c r="Q87" s="347"/>
      <c r="R87" s="346"/>
      <c r="S87" s="347"/>
      <c r="T87" s="346"/>
      <c r="U87" s="347"/>
      <c r="V87" s="346"/>
      <c r="W87" s="347"/>
      <c r="X87" s="346"/>
      <c r="Y87" s="347"/>
      <c r="Z87" s="289"/>
    </row>
    <row r="88" spans="1:26">
      <c r="A88" s="344"/>
      <c r="B88" s="346"/>
      <c r="C88" s="346"/>
      <c r="D88" s="346"/>
      <c r="E88" s="347"/>
      <c r="F88" s="346"/>
      <c r="G88" s="347"/>
      <c r="H88" s="346"/>
      <c r="I88" s="347"/>
      <c r="J88" s="346"/>
      <c r="K88" s="346"/>
      <c r="L88" s="346"/>
      <c r="M88" s="347"/>
      <c r="N88" s="346"/>
      <c r="O88" s="347"/>
      <c r="P88" s="346"/>
      <c r="Q88" s="347"/>
      <c r="R88" s="346"/>
      <c r="S88" s="347"/>
      <c r="T88" s="346"/>
      <c r="U88" s="347"/>
      <c r="V88" s="346"/>
      <c r="W88" s="347"/>
      <c r="X88" s="346"/>
      <c r="Y88" s="347"/>
      <c r="Z88" s="289"/>
    </row>
    <row r="89" spans="1:26">
      <c r="A89" s="344"/>
      <c r="B89" s="346"/>
      <c r="C89" s="346"/>
      <c r="D89" s="346"/>
      <c r="E89" s="347"/>
      <c r="F89" s="346"/>
      <c r="G89" s="347"/>
      <c r="H89" s="346"/>
      <c r="I89" s="347"/>
      <c r="J89" s="346"/>
      <c r="K89" s="346"/>
      <c r="L89" s="346"/>
      <c r="M89" s="347"/>
      <c r="N89" s="346"/>
      <c r="O89" s="347"/>
      <c r="P89" s="346"/>
      <c r="Q89" s="347"/>
      <c r="R89" s="346"/>
      <c r="S89" s="347"/>
      <c r="T89" s="346"/>
      <c r="U89" s="347"/>
      <c r="V89" s="346"/>
      <c r="W89" s="347"/>
      <c r="X89" s="346"/>
      <c r="Y89" s="347"/>
      <c r="Z89" s="289"/>
    </row>
    <row r="90" spans="1:26">
      <c r="A90" s="344"/>
      <c r="B90" s="346"/>
      <c r="C90" s="346"/>
      <c r="D90" s="346"/>
      <c r="E90" s="347"/>
      <c r="F90" s="346"/>
      <c r="G90" s="347"/>
      <c r="H90" s="346"/>
      <c r="I90" s="347"/>
      <c r="J90" s="346"/>
      <c r="K90" s="346"/>
      <c r="L90" s="346"/>
      <c r="M90" s="347"/>
      <c r="N90" s="346"/>
      <c r="O90" s="347"/>
      <c r="P90" s="346"/>
      <c r="Q90" s="347"/>
      <c r="R90" s="346"/>
      <c r="S90" s="347"/>
      <c r="T90" s="346"/>
      <c r="U90" s="347"/>
      <c r="V90" s="346"/>
      <c r="W90" s="347"/>
      <c r="X90" s="346"/>
      <c r="Y90" s="347"/>
      <c r="Z90" s="289"/>
    </row>
    <row r="91" spans="1:26">
      <c r="A91" s="344"/>
      <c r="B91" s="346"/>
      <c r="C91" s="346"/>
      <c r="D91" s="346"/>
      <c r="E91" s="347"/>
      <c r="F91" s="346"/>
      <c r="G91" s="347"/>
      <c r="H91" s="346"/>
      <c r="I91" s="347"/>
      <c r="J91" s="346"/>
      <c r="K91" s="346"/>
      <c r="L91" s="346"/>
      <c r="M91" s="347"/>
      <c r="N91" s="346"/>
      <c r="O91" s="347"/>
      <c r="P91" s="346"/>
      <c r="Q91" s="347"/>
      <c r="R91" s="346"/>
      <c r="S91" s="347"/>
      <c r="T91" s="346"/>
      <c r="U91" s="347"/>
      <c r="V91" s="346"/>
      <c r="W91" s="347"/>
      <c r="X91" s="346"/>
      <c r="Y91" s="347"/>
      <c r="Z91" s="289"/>
    </row>
    <row r="92" spans="1:26">
      <c r="A92" s="344"/>
      <c r="B92" s="346"/>
      <c r="C92" s="346"/>
      <c r="D92" s="346"/>
      <c r="E92" s="347"/>
      <c r="F92" s="346"/>
      <c r="G92" s="347"/>
      <c r="H92" s="346"/>
      <c r="I92" s="347"/>
      <c r="J92" s="346"/>
      <c r="K92" s="346"/>
      <c r="L92" s="346"/>
      <c r="M92" s="347"/>
      <c r="N92" s="346"/>
      <c r="O92" s="347"/>
      <c r="P92" s="346"/>
      <c r="Q92" s="347"/>
      <c r="R92" s="346"/>
      <c r="S92" s="347"/>
      <c r="T92" s="346"/>
      <c r="U92" s="347"/>
      <c r="V92" s="346"/>
      <c r="W92" s="347"/>
      <c r="X92" s="346"/>
      <c r="Y92" s="347"/>
      <c r="Z92" s="289"/>
    </row>
    <row r="93" spans="1:26">
      <c r="A93" s="344"/>
      <c r="B93" s="346"/>
      <c r="C93" s="346"/>
      <c r="D93" s="346"/>
      <c r="E93" s="347"/>
      <c r="F93" s="346"/>
      <c r="G93" s="347"/>
      <c r="H93" s="346"/>
      <c r="I93" s="347"/>
      <c r="J93" s="346"/>
      <c r="K93" s="346"/>
      <c r="L93" s="346"/>
      <c r="M93" s="347"/>
      <c r="N93" s="346"/>
      <c r="O93" s="347"/>
      <c r="P93" s="346"/>
      <c r="Q93" s="347"/>
      <c r="R93" s="346"/>
      <c r="S93" s="347"/>
      <c r="T93" s="346"/>
      <c r="U93" s="347"/>
      <c r="V93" s="346"/>
      <c r="W93" s="347"/>
      <c r="X93" s="346"/>
      <c r="Y93" s="347"/>
      <c r="Z93" s="289"/>
    </row>
    <row r="94" spans="1:26">
      <c r="A94" s="344"/>
      <c r="B94" s="346"/>
      <c r="C94" s="346"/>
      <c r="D94" s="346"/>
      <c r="E94" s="347"/>
      <c r="F94" s="346"/>
      <c r="G94" s="347"/>
      <c r="H94" s="346"/>
      <c r="I94" s="347"/>
      <c r="J94" s="346"/>
      <c r="K94" s="346"/>
      <c r="L94" s="346"/>
      <c r="M94" s="347"/>
      <c r="N94" s="346"/>
      <c r="O94" s="347"/>
      <c r="P94" s="346"/>
      <c r="Q94" s="347"/>
      <c r="R94" s="346"/>
      <c r="S94" s="347"/>
      <c r="T94" s="346"/>
      <c r="U94" s="347"/>
      <c r="V94" s="346"/>
      <c r="W94" s="347"/>
      <c r="X94" s="346"/>
      <c r="Y94" s="347"/>
      <c r="Z94" s="289"/>
    </row>
  </sheetData>
  <sortState xmlns:xlrd2="http://schemas.microsoft.com/office/spreadsheetml/2017/richdata2" ref="A19:AN28">
    <sortCondition ref="A19:A28"/>
  </sortState>
  <printOptions horizontalCentered="1"/>
  <pageMargins left="0.25" right="0.25" top="0.5" bottom="0.25" header="0" footer="0.25"/>
  <pageSetup scale="42"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O66"/>
  <sheetViews>
    <sheetView showGridLines="0" topLeftCell="A3" zoomScale="80" zoomScaleNormal="80" workbookViewId="0"/>
  </sheetViews>
  <sheetFormatPr defaultColWidth="8.84375" defaultRowHeight="17.25" customHeight="1"/>
  <cols>
    <col min="1" max="1" width="41.4609375" style="2046" customWidth="1"/>
    <col min="2" max="2" width="2.07421875" style="1954" customWidth="1"/>
    <col min="3" max="3" width="26" style="2046" customWidth="1"/>
    <col min="4" max="4" width="22.07421875" style="2046" customWidth="1"/>
    <col min="5" max="5" width="25.07421875" style="2046" customWidth="1"/>
    <col min="6" max="6" width="2" style="2046" customWidth="1"/>
    <col min="7" max="7" width="24.07421875" style="1956" customWidth="1"/>
    <col min="8" max="8" width="22.84375" style="1954" customWidth="1"/>
    <col min="9" max="9" width="26.53515625" style="1954" customWidth="1"/>
    <col min="10" max="10" width="17.53515625" style="2089" customWidth="1"/>
    <col min="11" max="11" width="20.84375" style="2089" customWidth="1"/>
    <col min="12" max="12" width="19.53515625" style="1954" customWidth="1"/>
    <col min="13" max="13" width="17" style="2089" customWidth="1"/>
    <col min="14" max="14" width="16.07421875" style="1954" customWidth="1"/>
    <col min="15" max="16384" width="8.84375" style="1954"/>
  </cols>
  <sheetData>
    <row r="1" spans="1:14" ht="17.25" customHeight="1">
      <c r="A1" s="468" t="s">
        <v>868</v>
      </c>
    </row>
    <row r="3" spans="1:14" ht="25.4" customHeight="1">
      <c r="A3" s="2062" t="s">
        <v>0</v>
      </c>
      <c r="C3" s="1955"/>
      <c r="D3" s="1955"/>
      <c r="E3" s="1955"/>
      <c r="F3" s="1955"/>
      <c r="H3" s="1957" t="s">
        <v>14</v>
      </c>
      <c r="I3" s="1958" t="s">
        <v>1294</v>
      </c>
    </row>
    <row r="4" spans="1:14" ht="25.4" customHeight="1">
      <c r="A4" s="2062" t="s">
        <v>1314</v>
      </c>
      <c r="C4" s="1955"/>
      <c r="D4" s="1955"/>
      <c r="E4" s="1955"/>
      <c r="F4" s="1955"/>
    </row>
    <row r="5" spans="1:14" ht="21" customHeight="1">
      <c r="A5" s="2113" t="str">
        <f>'HCRA '!A6</f>
        <v xml:space="preserve">FISCAL YEAR 2022-2023   </v>
      </c>
      <c r="C5" s="1955"/>
      <c r="D5" s="1955"/>
      <c r="E5" s="1955"/>
      <c r="F5" s="1955"/>
    </row>
    <row r="6" spans="1:14" ht="17.25" customHeight="1">
      <c r="A6" s="2063"/>
      <c r="C6" s="1955"/>
      <c r="D6" s="1955"/>
      <c r="E6" s="1955"/>
      <c r="F6" s="1955"/>
    </row>
    <row r="7" spans="1:14" ht="17.25" customHeight="1">
      <c r="A7" s="2064"/>
      <c r="B7" s="1987"/>
      <c r="C7" s="2347" t="s">
        <v>1556</v>
      </c>
      <c r="D7" s="2348"/>
      <c r="E7" s="2348"/>
      <c r="F7" s="2041"/>
      <c r="G7" s="2348" t="s">
        <v>1565</v>
      </c>
      <c r="H7" s="2348"/>
      <c r="I7" s="2348"/>
    </row>
    <row r="8" spans="1:14" ht="17.25" customHeight="1">
      <c r="A8" s="2064"/>
      <c r="B8" s="1987"/>
      <c r="C8" s="2064"/>
      <c r="D8" s="2064"/>
      <c r="E8" s="2064"/>
      <c r="F8" s="2064"/>
      <c r="G8" s="2042"/>
      <c r="H8" s="1987"/>
      <c r="I8" s="1987"/>
    </row>
    <row r="9" spans="1:14" ht="17.25" customHeight="1">
      <c r="A9" s="1988"/>
      <c r="B9" s="1987"/>
      <c r="C9" s="1988" t="s">
        <v>1264</v>
      </c>
      <c r="D9" s="1988" t="s">
        <v>1265</v>
      </c>
      <c r="E9" s="1988" t="s">
        <v>1569</v>
      </c>
      <c r="F9" s="1988"/>
      <c r="G9" s="1988" t="s">
        <v>1264</v>
      </c>
      <c r="H9" s="1988" t="s">
        <v>1265</v>
      </c>
      <c r="I9" s="2248" t="s">
        <v>1266</v>
      </c>
      <c r="J9" s="2087"/>
      <c r="K9" s="1962"/>
      <c r="L9" s="1962"/>
      <c r="M9" s="1962"/>
    </row>
    <row r="10" spans="1:14" s="2067" customFormat="1" ht="17.25" customHeight="1">
      <c r="A10" s="2065"/>
      <c r="B10" s="2043"/>
      <c r="C10" s="2066"/>
      <c r="D10" s="2066"/>
      <c r="E10" s="2066"/>
      <c r="F10" s="2066"/>
      <c r="G10" s="2267"/>
      <c r="H10" s="2267"/>
      <c r="I10" s="2267"/>
      <c r="J10" s="2202"/>
      <c r="K10" s="2202"/>
      <c r="M10" s="2202"/>
    </row>
    <row r="11" spans="1:14" s="2071" customFormat="1" ht="17.25" customHeight="1">
      <c r="A11" s="2068" t="s">
        <v>1267</v>
      </c>
      <c r="B11" s="2069"/>
      <c r="C11" s="1966">
        <v>0</v>
      </c>
      <c r="D11" s="2239">
        <v>78544380</v>
      </c>
      <c r="E11" s="2070">
        <f>C11+D11</f>
        <v>78544380</v>
      </c>
      <c r="F11" s="2070"/>
      <c r="G11" s="1966">
        <v>0</v>
      </c>
      <c r="H11" s="1966">
        <v>419965187</v>
      </c>
      <c r="I11" s="2070">
        <f>G11+H11</f>
        <v>419965187</v>
      </c>
      <c r="J11" s="2203"/>
      <c r="K11" s="2203"/>
      <c r="L11" s="2204"/>
      <c r="M11" s="2203"/>
      <c r="N11" s="2204"/>
    </row>
    <row r="12" spans="1:14" s="2071" customFormat="1" ht="17.25" customHeight="1">
      <c r="A12" s="2068" t="s">
        <v>1287</v>
      </c>
      <c r="B12" s="2069"/>
      <c r="C12" s="2072">
        <v>40637240</v>
      </c>
      <c r="D12" s="1967">
        <v>-398012.45000000019</v>
      </c>
      <c r="E12" s="1963">
        <f>C12+D12</f>
        <v>40239227.549999997</v>
      </c>
      <c r="F12" s="1963"/>
      <c r="G12" s="2072">
        <v>170774262</v>
      </c>
      <c r="H12" s="1967">
        <v>22972020.060000002</v>
      </c>
      <c r="I12" s="1963">
        <f>G12+H12</f>
        <v>193746282.06</v>
      </c>
      <c r="J12" s="2203"/>
      <c r="K12" s="2203"/>
      <c r="L12" s="2204"/>
      <c r="M12" s="2203"/>
      <c r="N12" s="2204"/>
    </row>
    <row r="13" spans="1:14" s="2071" customFormat="1" ht="17.25" customHeight="1">
      <c r="A13" s="2068" t="s">
        <v>1288</v>
      </c>
      <c r="B13" s="2069"/>
      <c r="C13" s="2072">
        <v>0</v>
      </c>
      <c r="D13" s="1967">
        <v>161727687</v>
      </c>
      <c r="E13" s="1963">
        <f t="shared" ref="E13:E47" si="0">C13+D13</f>
        <v>161727687</v>
      </c>
      <c r="F13" s="1963"/>
      <c r="G13" s="2072">
        <v>0</v>
      </c>
      <c r="H13" s="1967">
        <v>1964880107.8399999</v>
      </c>
      <c r="I13" s="1963">
        <f t="shared" ref="I13:I47" si="1">G13+H13</f>
        <v>1964880107.8399999</v>
      </c>
      <c r="J13" s="2203"/>
      <c r="K13" s="2203"/>
      <c r="L13" s="2204"/>
      <c r="M13" s="2203"/>
      <c r="N13" s="2204"/>
    </row>
    <row r="14" spans="1:14" s="2071" customFormat="1" ht="17.25" customHeight="1">
      <c r="A14" s="1959" t="s">
        <v>1278</v>
      </c>
      <c r="B14" s="2073"/>
      <c r="C14" s="2072">
        <v>40136030.060000002</v>
      </c>
      <c r="D14" s="1967">
        <v>56201018</v>
      </c>
      <c r="E14" s="1963">
        <f t="shared" si="0"/>
        <v>96337048.060000002</v>
      </c>
      <c r="F14" s="1963"/>
      <c r="G14" s="2072">
        <v>117875299.76000001</v>
      </c>
      <c r="H14" s="1967">
        <v>414874187</v>
      </c>
      <c r="I14" s="1963">
        <f t="shared" si="1"/>
        <v>532749486.75999999</v>
      </c>
      <c r="J14" s="2203"/>
      <c r="K14" s="2203"/>
      <c r="L14" s="2204"/>
      <c r="M14" s="2203"/>
      <c r="N14" s="2204"/>
    </row>
    <row r="15" spans="1:14" s="2071" customFormat="1" ht="17.25" customHeight="1">
      <c r="A15" s="2068" t="s">
        <v>1289</v>
      </c>
      <c r="B15" s="2069"/>
      <c r="C15" s="2072">
        <v>1313718.25</v>
      </c>
      <c r="D15" s="1967">
        <v>0</v>
      </c>
      <c r="E15" s="1963">
        <f t="shared" si="0"/>
        <v>1313718.25</v>
      </c>
      <c r="F15" s="1963"/>
      <c r="G15" s="2072">
        <v>11453140.539999999</v>
      </c>
      <c r="H15" s="1967">
        <v>0</v>
      </c>
      <c r="I15" s="1963">
        <f t="shared" si="1"/>
        <v>11453140.539999999</v>
      </c>
      <c r="J15" s="2203"/>
      <c r="K15" s="2203"/>
      <c r="L15" s="2204"/>
      <c r="M15" s="2203"/>
      <c r="N15" s="2204"/>
    </row>
    <row r="16" spans="1:14" s="2071" customFormat="1" ht="17.25" customHeight="1">
      <c r="A16" s="2068" t="s">
        <v>1453</v>
      </c>
      <c r="B16" s="2069"/>
      <c r="C16" s="2072">
        <v>517921.23000000004</v>
      </c>
      <c r="D16" s="1967">
        <v>0</v>
      </c>
      <c r="E16" s="1963">
        <f t="shared" si="0"/>
        <v>517921.23000000004</v>
      </c>
      <c r="F16" s="1963"/>
      <c r="G16" s="2072">
        <v>1036592.63</v>
      </c>
      <c r="H16" s="1967">
        <v>0</v>
      </c>
      <c r="I16" s="1963">
        <f t="shared" si="1"/>
        <v>1036592.63</v>
      </c>
      <c r="J16" s="2203"/>
      <c r="K16" s="2203"/>
      <c r="L16" s="2204"/>
      <c r="M16" s="2203"/>
      <c r="N16" s="2204"/>
    </row>
    <row r="17" spans="1:14" s="2071" customFormat="1" ht="17.25" customHeight="1">
      <c r="A17" s="2068" t="s">
        <v>1268</v>
      </c>
      <c r="B17" s="2069"/>
      <c r="C17" s="2072">
        <v>981204.41</v>
      </c>
      <c r="D17" s="1967">
        <v>0</v>
      </c>
      <c r="E17" s="1963">
        <f t="shared" si="0"/>
        <v>981204.41</v>
      </c>
      <c r="F17" s="1963"/>
      <c r="G17" s="2072">
        <v>3279087.34</v>
      </c>
      <c r="H17" s="1967">
        <v>0</v>
      </c>
      <c r="I17" s="1963">
        <f t="shared" si="1"/>
        <v>3279087.34</v>
      </c>
      <c r="J17" s="2203"/>
      <c r="K17" s="2203"/>
      <c r="L17" s="2204"/>
      <c r="M17" s="2203"/>
      <c r="N17" s="2204"/>
    </row>
    <row r="18" spans="1:14" s="2071" customFormat="1" ht="17.25" customHeight="1">
      <c r="A18" s="2068" t="s">
        <v>1269</v>
      </c>
      <c r="B18" s="2069"/>
      <c r="C18" s="2072">
        <v>0</v>
      </c>
      <c r="D18" s="1967">
        <v>9090321.1899999995</v>
      </c>
      <c r="E18" s="1963">
        <f t="shared" si="0"/>
        <v>9090321.1899999995</v>
      </c>
      <c r="F18" s="1963"/>
      <c r="G18" s="2072">
        <v>0</v>
      </c>
      <c r="H18" s="1967">
        <v>293349.11</v>
      </c>
      <c r="I18" s="1963">
        <f t="shared" si="1"/>
        <v>293349.11</v>
      </c>
      <c r="J18" s="2203"/>
      <c r="K18" s="2203"/>
      <c r="L18" s="2204"/>
      <c r="M18" s="2203"/>
      <c r="N18" s="2204"/>
    </row>
    <row r="19" spans="1:14" s="2071" customFormat="1" ht="17.25" customHeight="1">
      <c r="A19" s="2068" t="s">
        <v>1523</v>
      </c>
      <c r="B19" s="2069"/>
      <c r="C19" s="2072">
        <v>0</v>
      </c>
      <c r="D19" s="1967">
        <v>0</v>
      </c>
      <c r="E19" s="1963">
        <f t="shared" si="0"/>
        <v>0</v>
      </c>
      <c r="F19" s="1963"/>
      <c r="G19" s="2072">
        <v>8661436</v>
      </c>
      <c r="H19" s="1967">
        <v>0</v>
      </c>
      <c r="I19" s="1963">
        <f t="shared" si="1"/>
        <v>8661436</v>
      </c>
      <c r="J19" s="2203"/>
      <c r="K19" s="2203"/>
      <c r="L19" s="2204"/>
      <c r="M19" s="2203"/>
      <c r="N19" s="2204"/>
    </row>
    <row r="20" spans="1:14" s="2071" customFormat="1" ht="17.25" customHeight="1">
      <c r="A20" s="2068" t="s">
        <v>1270</v>
      </c>
      <c r="B20" s="2069"/>
      <c r="C20" s="2072">
        <v>518310.01</v>
      </c>
      <c r="D20" s="1967">
        <v>0</v>
      </c>
      <c r="E20" s="1963">
        <f t="shared" si="0"/>
        <v>518310.01</v>
      </c>
      <c r="F20" s="1963"/>
      <c r="G20" s="2072">
        <v>3404883.58</v>
      </c>
      <c r="H20" s="1967">
        <v>0</v>
      </c>
      <c r="I20" s="1963">
        <f t="shared" si="1"/>
        <v>3404883.58</v>
      </c>
      <c r="J20" s="2203"/>
      <c r="K20" s="2203"/>
      <c r="L20" s="2204"/>
      <c r="M20" s="2203"/>
      <c r="N20" s="2204"/>
    </row>
    <row r="21" spans="1:14" s="2071" customFormat="1" ht="17.25" customHeight="1">
      <c r="A21" s="2068" t="s">
        <v>1290</v>
      </c>
      <c r="B21" s="2069"/>
      <c r="C21" s="2072">
        <v>3679743.92</v>
      </c>
      <c r="D21" s="1967">
        <v>0</v>
      </c>
      <c r="E21" s="1963">
        <f t="shared" si="0"/>
        <v>3679743.92</v>
      </c>
      <c r="F21" s="1963"/>
      <c r="G21" s="2072">
        <v>4417677.7300000004</v>
      </c>
      <c r="H21" s="1967">
        <v>0</v>
      </c>
      <c r="I21" s="1963">
        <f t="shared" si="1"/>
        <v>4417677.7300000004</v>
      </c>
      <c r="J21" s="2203"/>
      <c r="K21" s="2203"/>
      <c r="L21" s="2204"/>
      <c r="M21" s="2203"/>
      <c r="N21" s="2204"/>
    </row>
    <row r="22" spans="1:14" s="2071" customFormat="1" ht="17.25" customHeight="1">
      <c r="A22" s="2068" t="s">
        <v>1298</v>
      </c>
      <c r="B22" s="2069"/>
      <c r="C22" s="2072">
        <v>94500315</v>
      </c>
      <c r="D22" s="1967">
        <v>0</v>
      </c>
      <c r="E22" s="1963">
        <f t="shared" si="0"/>
        <v>94500315</v>
      </c>
      <c r="F22" s="1963"/>
      <c r="G22" s="2072">
        <v>2077924369.6300001</v>
      </c>
      <c r="H22" s="1967">
        <v>0</v>
      </c>
      <c r="I22" s="1963">
        <f t="shared" si="1"/>
        <v>2077924369.6300001</v>
      </c>
      <c r="J22" s="2203"/>
      <c r="K22" s="2203"/>
      <c r="L22" s="2204"/>
      <c r="M22" s="2203"/>
      <c r="N22" s="2204"/>
    </row>
    <row r="23" spans="1:14" s="2071" customFormat="1" ht="17.25" customHeight="1">
      <c r="A23" s="2068" t="s">
        <v>1271</v>
      </c>
      <c r="B23" s="2069"/>
      <c r="C23" s="2072">
        <v>998377.03</v>
      </c>
      <c r="D23" s="1967">
        <v>0</v>
      </c>
      <c r="E23" s="1963">
        <f t="shared" si="0"/>
        <v>998377.03</v>
      </c>
      <c r="F23" s="1963"/>
      <c r="G23" s="2072">
        <v>10511282.59</v>
      </c>
      <c r="H23" s="1967">
        <v>0</v>
      </c>
      <c r="I23" s="1963">
        <f t="shared" si="1"/>
        <v>10511282.59</v>
      </c>
      <c r="J23" s="2203"/>
      <c r="K23" s="2203"/>
      <c r="L23" s="2204"/>
      <c r="M23" s="2203"/>
      <c r="N23" s="2204"/>
    </row>
    <row r="24" spans="1:14" s="2071" customFormat="1" ht="17.25" customHeight="1">
      <c r="A24" s="2068" t="s">
        <v>1300</v>
      </c>
      <c r="B24" s="2069"/>
      <c r="C24" s="2072">
        <v>3837882.12</v>
      </c>
      <c r="D24" s="1967">
        <v>0</v>
      </c>
      <c r="E24" s="1963">
        <f t="shared" si="0"/>
        <v>3837882.12</v>
      </c>
      <c r="F24" s="1963"/>
      <c r="G24" s="2072">
        <v>26220203.890000001</v>
      </c>
      <c r="H24" s="1967">
        <v>0</v>
      </c>
      <c r="I24" s="1963">
        <f t="shared" si="1"/>
        <v>26220203.890000001</v>
      </c>
      <c r="J24" s="2203"/>
      <c r="K24" s="2203"/>
      <c r="L24" s="2204"/>
      <c r="M24" s="2203"/>
      <c r="N24" s="2204"/>
    </row>
    <row r="25" spans="1:14" s="2071" customFormat="1" ht="17.25" customHeight="1">
      <c r="A25" s="2068" t="s">
        <v>1272</v>
      </c>
      <c r="B25" s="2069"/>
      <c r="C25" s="2072">
        <v>3640298.5700000003</v>
      </c>
      <c r="D25" s="1967">
        <v>9909850.3000000007</v>
      </c>
      <c r="E25" s="1963">
        <f t="shared" si="0"/>
        <v>13550148.870000001</v>
      </c>
      <c r="F25" s="1963"/>
      <c r="G25" s="2072">
        <v>27862126.48</v>
      </c>
      <c r="H25" s="1967">
        <v>27301845.030000001</v>
      </c>
      <c r="I25" s="1963">
        <f t="shared" si="1"/>
        <v>55163971.510000005</v>
      </c>
      <c r="J25" s="2203"/>
      <c r="K25" s="2203"/>
      <c r="L25" s="2204"/>
      <c r="M25" s="2203"/>
      <c r="N25" s="2204"/>
    </row>
    <row r="26" spans="1:14" s="2071" customFormat="1" ht="17.25" customHeight="1">
      <c r="A26" s="2068" t="s">
        <v>1273</v>
      </c>
      <c r="B26" s="2069"/>
      <c r="C26" s="2072">
        <v>119332441.41</v>
      </c>
      <c r="D26" s="1967">
        <v>0</v>
      </c>
      <c r="E26" s="1963">
        <f t="shared" si="0"/>
        <v>119332441.41</v>
      </c>
      <c r="F26" s="1963"/>
      <c r="G26" s="2072">
        <v>181118969.59999999</v>
      </c>
      <c r="H26" s="1967">
        <v>0</v>
      </c>
      <c r="I26" s="1963">
        <f t="shared" si="1"/>
        <v>181118969.59999999</v>
      </c>
      <c r="J26" s="2203"/>
      <c r="K26" s="2203"/>
      <c r="L26" s="2204"/>
      <c r="M26" s="2203"/>
      <c r="N26" s="2204"/>
    </row>
    <row r="27" spans="1:14" s="2071" customFormat="1" ht="17.25" customHeight="1">
      <c r="A27" s="2068" t="s">
        <v>1279</v>
      </c>
      <c r="B27" s="2069"/>
      <c r="C27" s="2072">
        <v>36990263.590000004</v>
      </c>
      <c r="D27" s="1967">
        <v>0</v>
      </c>
      <c r="E27" s="1963">
        <f t="shared" si="0"/>
        <v>36990263.590000004</v>
      </c>
      <c r="F27" s="1963"/>
      <c r="G27" s="2072">
        <v>644672407.07000005</v>
      </c>
      <c r="H27" s="1967">
        <v>0</v>
      </c>
      <c r="I27" s="1963">
        <f t="shared" si="1"/>
        <v>644672407.07000005</v>
      </c>
      <c r="J27" s="2203"/>
      <c r="K27" s="2203"/>
      <c r="L27" s="2204"/>
      <c r="M27" s="2203"/>
      <c r="N27" s="2204"/>
    </row>
    <row r="28" spans="1:14" s="2071" customFormat="1" ht="17.25" customHeight="1">
      <c r="A28" s="2068" t="s">
        <v>1325</v>
      </c>
      <c r="B28" s="2069"/>
      <c r="C28" s="2072">
        <v>0</v>
      </c>
      <c r="D28" s="1967">
        <v>0</v>
      </c>
      <c r="E28" s="1963">
        <f t="shared" si="0"/>
        <v>0</v>
      </c>
      <c r="F28" s="1963"/>
      <c r="G28" s="2072">
        <v>0</v>
      </c>
      <c r="H28" s="1967">
        <v>0</v>
      </c>
      <c r="I28" s="1963">
        <f t="shared" si="1"/>
        <v>0</v>
      </c>
      <c r="J28" s="2203"/>
      <c r="K28" s="2203"/>
      <c r="L28" s="2204"/>
      <c r="M28" s="2203"/>
      <c r="N28" s="2204"/>
    </row>
    <row r="29" spans="1:14" s="2071" customFormat="1" ht="17.25" customHeight="1">
      <c r="A29" s="2068" t="s">
        <v>1280</v>
      </c>
      <c r="B29" s="2069"/>
      <c r="C29" s="2072">
        <v>-12556162.07</v>
      </c>
      <c r="D29" s="1967">
        <v>0</v>
      </c>
      <c r="E29" s="1963">
        <f t="shared" si="0"/>
        <v>-12556162.07</v>
      </c>
      <c r="F29" s="1963"/>
      <c r="G29" s="2072">
        <v>89413683.719999999</v>
      </c>
      <c r="H29" s="1967">
        <v>0</v>
      </c>
      <c r="I29" s="1963">
        <f t="shared" si="1"/>
        <v>89413683.719999999</v>
      </c>
      <c r="J29" s="2203"/>
      <c r="K29" s="2203"/>
      <c r="L29" s="2204"/>
      <c r="M29" s="2203"/>
      <c r="N29" s="2204"/>
    </row>
    <row r="30" spans="1:14" s="2071" customFormat="1" ht="17.25" customHeight="1">
      <c r="A30" s="2068" t="s">
        <v>1281</v>
      </c>
      <c r="B30" s="2069"/>
      <c r="C30" s="2072">
        <v>25858549.300000001</v>
      </c>
      <c r="D30" s="1967">
        <v>0</v>
      </c>
      <c r="E30" s="1963">
        <f t="shared" si="0"/>
        <v>25858549.300000001</v>
      </c>
      <c r="F30" s="1963"/>
      <c r="G30" s="2072">
        <v>224391497.43000001</v>
      </c>
      <c r="H30" s="1967">
        <v>0</v>
      </c>
      <c r="I30" s="1963">
        <f t="shared" si="1"/>
        <v>224391497.43000001</v>
      </c>
      <c r="J30" s="2203"/>
      <c r="K30" s="2203"/>
      <c r="L30" s="2204"/>
      <c r="M30" s="2203"/>
      <c r="N30" s="2204"/>
    </row>
    <row r="31" spans="1:14" s="2071" customFormat="1" ht="17.25" customHeight="1">
      <c r="A31" s="2068" t="s">
        <v>1274</v>
      </c>
      <c r="B31" s="2069"/>
      <c r="C31" s="2072">
        <v>233688512.69</v>
      </c>
      <c r="D31" s="1967">
        <v>0</v>
      </c>
      <c r="E31" s="1963">
        <f t="shared" si="0"/>
        <v>233688512.69</v>
      </c>
      <c r="F31" s="1963"/>
      <c r="G31" s="2072">
        <v>1385579914.79</v>
      </c>
      <c r="H31" s="1967">
        <v>0</v>
      </c>
      <c r="I31" s="1963">
        <f t="shared" si="1"/>
        <v>1385579914.79</v>
      </c>
      <c r="J31" s="2203"/>
      <c r="K31" s="2203"/>
      <c r="L31" s="2204"/>
      <c r="M31" s="2203"/>
      <c r="N31" s="2204"/>
    </row>
    <row r="32" spans="1:14" s="2071" customFormat="1" ht="17.25" customHeight="1">
      <c r="A32" s="2068" t="s">
        <v>1282</v>
      </c>
      <c r="B32" s="2069"/>
      <c r="C32" s="2072">
        <v>-518435489.58999997</v>
      </c>
      <c r="D32" s="1967">
        <v>0</v>
      </c>
      <c r="E32" s="1963">
        <f t="shared" si="0"/>
        <v>-518435489.58999997</v>
      </c>
      <c r="F32" s="1963"/>
      <c r="G32" s="2072">
        <v>84905389.319999993</v>
      </c>
      <c r="H32" s="1967">
        <v>0</v>
      </c>
      <c r="I32" s="1963">
        <f t="shared" si="1"/>
        <v>84905389.319999993</v>
      </c>
      <c r="J32" s="2203"/>
      <c r="K32" s="2203"/>
      <c r="L32" s="2204"/>
      <c r="M32" s="2203"/>
      <c r="N32" s="2204"/>
    </row>
    <row r="33" spans="1:15" s="2071" customFormat="1" ht="17.25" customHeight="1">
      <c r="A33" s="2068" t="s">
        <v>1283</v>
      </c>
      <c r="B33" s="2069"/>
      <c r="C33" s="2072">
        <v>93959882.080000013</v>
      </c>
      <c r="D33" s="1967">
        <v>0</v>
      </c>
      <c r="E33" s="1963">
        <f t="shared" si="0"/>
        <v>93959882.080000013</v>
      </c>
      <c r="F33" s="1963"/>
      <c r="G33" s="2072">
        <v>4409301325.3800001</v>
      </c>
      <c r="H33" s="1967">
        <v>0</v>
      </c>
      <c r="I33" s="1963">
        <f t="shared" si="1"/>
        <v>4409301325.3800001</v>
      </c>
      <c r="J33" s="2203"/>
      <c r="K33" s="2203"/>
      <c r="L33" s="2204"/>
      <c r="M33" s="2203"/>
      <c r="N33" s="2204"/>
    </row>
    <row r="34" spans="1:15" s="2071" customFormat="1" ht="17.25" customHeight="1">
      <c r="A34" s="2068" t="s">
        <v>1275</v>
      </c>
      <c r="B34" s="2069"/>
      <c r="C34" s="2072">
        <v>18220994.260000002</v>
      </c>
      <c r="D34" s="1967">
        <v>0</v>
      </c>
      <c r="E34" s="1963">
        <f t="shared" si="0"/>
        <v>18220994.260000002</v>
      </c>
      <c r="F34" s="1963"/>
      <c r="G34" s="2072">
        <v>169928153</v>
      </c>
      <c r="H34" s="1967">
        <v>0</v>
      </c>
      <c r="I34" s="1963">
        <f t="shared" si="1"/>
        <v>169928153</v>
      </c>
      <c r="J34" s="2203"/>
      <c r="K34" s="2203"/>
      <c r="L34" s="2204"/>
      <c r="M34" s="2203"/>
      <c r="N34" s="2204"/>
    </row>
    <row r="35" spans="1:15" s="2071" customFormat="1" ht="17.25" customHeight="1">
      <c r="A35" s="2068" t="s">
        <v>1284</v>
      </c>
      <c r="B35" s="2069"/>
      <c r="C35" s="2072">
        <v>17725534.059999999</v>
      </c>
      <c r="D35" s="1967">
        <v>0</v>
      </c>
      <c r="E35" s="1963">
        <f t="shared" si="0"/>
        <v>17725534.059999999</v>
      </c>
      <c r="F35" s="1963"/>
      <c r="G35" s="2072">
        <v>156727392.36000001</v>
      </c>
      <c r="H35" s="1967">
        <v>0</v>
      </c>
      <c r="I35" s="1963">
        <f t="shared" si="1"/>
        <v>156727392.36000001</v>
      </c>
      <c r="J35" s="2203"/>
      <c r="K35" s="2203"/>
      <c r="L35" s="2204"/>
      <c r="M35" s="2203"/>
      <c r="N35" s="2204"/>
    </row>
    <row r="36" spans="1:15" s="2071" customFormat="1" ht="17.25" customHeight="1">
      <c r="A36" s="2068" t="s">
        <v>1285</v>
      </c>
      <c r="B36" s="2069"/>
      <c r="C36" s="2072">
        <v>238219.44</v>
      </c>
      <c r="D36" s="1967">
        <v>0</v>
      </c>
      <c r="E36" s="1963">
        <f t="shared" si="0"/>
        <v>238219.44</v>
      </c>
      <c r="F36" s="1963"/>
      <c r="G36" s="2072">
        <v>2694573.02</v>
      </c>
      <c r="H36" s="1967">
        <v>0</v>
      </c>
      <c r="I36" s="1963">
        <f t="shared" si="1"/>
        <v>2694573.02</v>
      </c>
      <c r="J36" s="2203"/>
      <c r="K36" s="2203"/>
      <c r="L36" s="2204"/>
      <c r="M36" s="2203"/>
      <c r="N36" s="2204"/>
    </row>
    <row r="37" spans="1:15" s="2071" customFormat="1" ht="17.25" customHeight="1">
      <c r="A37" s="1959" t="s">
        <v>1304</v>
      </c>
      <c r="B37" s="2069"/>
      <c r="C37" s="2072">
        <v>957636129.15999997</v>
      </c>
      <c r="D37" s="1967">
        <v>29696535</v>
      </c>
      <c r="E37" s="1963">
        <f t="shared" si="0"/>
        <v>987332664.15999997</v>
      </c>
      <c r="F37" s="1963"/>
      <c r="G37" s="2072">
        <v>7605708282.3199997</v>
      </c>
      <c r="H37" s="1967">
        <v>61386570</v>
      </c>
      <c r="I37" s="1963">
        <f t="shared" si="1"/>
        <v>7667094852.3199997</v>
      </c>
      <c r="J37" s="2203"/>
      <c r="K37" s="2203"/>
      <c r="L37" s="2204"/>
      <c r="M37" s="2203"/>
      <c r="N37" s="2204"/>
    </row>
    <row r="38" spans="1:15" s="2071" customFormat="1" ht="17.25" customHeight="1">
      <c r="A38" s="2068" t="s">
        <v>1286</v>
      </c>
      <c r="B38" s="2069"/>
      <c r="C38" s="2072">
        <v>125747790.69</v>
      </c>
      <c r="D38" s="1967">
        <v>0</v>
      </c>
      <c r="E38" s="1963">
        <f t="shared" si="0"/>
        <v>125747790.69</v>
      </c>
      <c r="F38" s="1963"/>
      <c r="G38" s="2072">
        <v>1245473464.8699999</v>
      </c>
      <c r="H38" s="1967">
        <v>0</v>
      </c>
      <c r="I38" s="1963">
        <f t="shared" si="1"/>
        <v>1245473464.8699999</v>
      </c>
      <c r="J38" s="2203"/>
      <c r="K38" s="2203"/>
      <c r="L38" s="2204"/>
      <c r="M38" s="2203"/>
      <c r="N38" s="2204"/>
    </row>
    <row r="39" spans="1:15" s="2071" customFormat="1" ht="17.25" customHeight="1">
      <c r="A39" s="2068" t="s">
        <v>1291</v>
      </c>
      <c r="B39" s="2069"/>
      <c r="C39" s="2072">
        <v>644557.17000000004</v>
      </c>
      <c r="D39" s="1967">
        <v>0</v>
      </c>
      <c r="E39" s="1963">
        <f t="shared" si="0"/>
        <v>644557.17000000004</v>
      </c>
      <c r="F39" s="1963"/>
      <c r="G39" s="2072">
        <v>2474232.31</v>
      </c>
      <c r="H39" s="1967">
        <v>0</v>
      </c>
      <c r="I39" s="1963">
        <f t="shared" si="1"/>
        <v>2474232.31</v>
      </c>
      <c r="J39" s="2203"/>
      <c r="K39" s="2203"/>
      <c r="L39" s="2204"/>
      <c r="M39" s="2203"/>
      <c r="N39" s="2204"/>
    </row>
    <row r="40" spans="1:15" s="2071" customFormat="1" ht="17.25" customHeight="1">
      <c r="A40" s="2068" t="s">
        <v>1276</v>
      </c>
      <c r="B40" s="2069"/>
      <c r="C40" s="2072">
        <v>250845000</v>
      </c>
      <c r="D40" s="1967">
        <v>0</v>
      </c>
      <c r="E40" s="1963">
        <f t="shared" si="0"/>
        <v>250845000</v>
      </c>
      <c r="F40" s="1963"/>
      <c r="G40" s="2072">
        <v>4375845000</v>
      </c>
      <c r="H40" s="1967">
        <v>0</v>
      </c>
      <c r="I40" s="1963">
        <f t="shared" si="1"/>
        <v>4375845000</v>
      </c>
      <c r="J40" s="2203"/>
      <c r="K40" s="2203"/>
      <c r="L40" s="2204"/>
      <c r="M40" s="2203"/>
      <c r="N40" s="2204"/>
    </row>
    <row r="41" spans="1:15" s="2071" customFormat="1" ht="17.25" customHeight="1">
      <c r="A41" s="2068" t="s">
        <v>1454</v>
      </c>
      <c r="B41" s="2069"/>
      <c r="C41" s="2072">
        <v>0</v>
      </c>
      <c r="D41" s="1967">
        <v>0</v>
      </c>
      <c r="E41" s="1963">
        <f t="shared" si="0"/>
        <v>0</v>
      </c>
      <c r="F41" s="1963"/>
      <c r="G41" s="2072">
        <f>120500000+9900000</f>
        <v>130400000</v>
      </c>
      <c r="H41" s="1967">
        <v>0</v>
      </c>
      <c r="I41" s="1963">
        <f t="shared" si="1"/>
        <v>130400000</v>
      </c>
      <c r="K41" s="2203"/>
      <c r="L41" s="2204"/>
      <c r="M41" s="2203"/>
      <c r="N41" s="2204"/>
    </row>
    <row r="42" spans="1:15" s="2071" customFormat="1" ht="17.25" customHeight="1">
      <c r="A42" s="2068" t="s">
        <v>1522</v>
      </c>
      <c r="B42" s="2069"/>
      <c r="C42" s="2072">
        <v>0</v>
      </c>
      <c r="D42" s="1967">
        <v>0</v>
      </c>
      <c r="E42" s="1963">
        <f t="shared" si="0"/>
        <v>0</v>
      </c>
      <c r="F42" s="1963"/>
      <c r="G42" s="2072">
        <v>1450001911.75</v>
      </c>
      <c r="H42" s="1967">
        <v>0</v>
      </c>
      <c r="I42" s="1963">
        <f t="shared" si="1"/>
        <v>1450001911.75</v>
      </c>
      <c r="J42" s="2203"/>
      <c r="K42" s="2203"/>
      <c r="L42" s="2204"/>
      <c r="M42" s="2203"/>
      <c r="N42" s="2204"/>
    </row>
    <row r="43" spans="1:15" s="2071" customFormat="1" ht="17.25" customHeight="1">
      <c r="A43" s="2068" t="s">
        <v>1455</v>
      </c>
      <c r="B43" s="2069"/>
      <c r="C43" s="2072">
        <v>0</v>
      </c>
      <c r="D43" s="1967">
        <v>0</v>
      </c>
      <c r="E43" s="1963">
        <f t="shared" si="0"/>
        <v>0</v>
      </c>
      <c r="F43" s="1963"/>
      <c r="G43" s="2072">
        <v>44300000</v>
      </c>
      <c r="H43" s="1967">
        <v>0</v>
      </c>
      <c r="I43" s="1963">
        <f t="shared" si="1"/>
        <v>44300000</v>
      </c>
      <c r="J43" s="2203"/>
      <c r="K43" s="2203"/>
      <c r="L43" s="2204"/>
      <c r="M43" s="2203"/>
      <c r="N43" s="2204"/>
    </row>
    <row r="44" spans="1:15" s="2071" customFormat="1" ht="17.25" customHeight="1">
      <c r="A44" s="2068" t="s">
        <v>1545</v>
      </c>
      <c r="B44" s="2069"/>
      <c r="C44" s="2072">
        <v>0</v>
      </c>
      <c r="D44" s="1967"/>
      <c r="E44" s="1963">
        <f t="shared" si="0"/>
        <v>0</v>
      </c>
      <c r="F44" s="1963"/>
      <c r="G44" s="2072">
        <v>2476744.4700000002</v>
      </c>
      <c r="H44" s="1967"/>
      <c r="I44" s="1963">
        <f t="shared" si="1"/>
        <v>2476744.4700000002</v>
      </c>
      <c r="J44" s="2203"/>
      <c r="K44" s="2203"/>
      <c r="L44" s="2204"/>
      <c r="M44" s="2203"/>
      <c r="N44" s="2204"/>
    </row>
    <row r="45" spans="1:15" s="2071" customFormat="1" ht="17.25" customHeight="1">
      <c r="A45" s="2068" t="s">
        <v>1292</v>
      </c>
      <c r="B45" s="2069"/>
      <c r="C45" s="2072">
        <v>82632908.159999996</v>
      </c>
      <c r="D45" s="1967">
        <v>0</v>
      </c>
      <c r="E45" s="1963">
        <f t="shared" si="0"/>
        <v>82632908.159999996</v>
      </c>
      <c r="F45" s="1963"/>
      <c r="G45" s="2072">
        <v>656296449.83000004</v>
      </c>
      <c r="H45" s="1967">
        <v>0</v>
      </c>
      <c r="I45" s="1963">
        <f t="shared" si="1"/>
        <v>656296449.83000004</v>
      </c>
      <c r="J45" s="2203"/>
      <c r="K45" s="2203"/>
      <c r="L45" s="2204"/>
      <c r="M45" s="2203"/>
      <c r="N45" s="2204"/>
    </row>
    <row r="46" spans="1:15" s="2071" customFormat="1" ht="17.25" customHeight="1">
      <c r="A46" s="2068" t="s">
        <v>1293</v>
      </c>
      <c r="B46" s="2069"/>
      <c r="C46" s="2072">
        <v>38537000</v>
      </c>
      <c r="D46" s="1967">
        <v>0</v>
      </c>
      <c r="E46" s="1963">
        <f t="shared" si="0"/>
        <v>38537000</v>
      </c>
      <c r="F46" s="1963"/>
      <c r="G46" s="2072">
        <v>880191000</v>
      </c>
      <c r="H46" s="1967">
        <v>0</v>
      </c>
      <c r="I46" s="1963">
        <f t="shared" si="1"/>
        <v>880191000</v>
      </c>
      <c r="J46" s="2203"/>
      <c r="K46" s="2203"/>
      <c r="L46" s="2204"/>
      <c r="M46" s="2203"/>
      <c r="N46" s="2204"/>
    </row>
    <row r="47" spans="1:15" s="2071" customFormat="1" ht="17.25" customHeight="1">
      <c r="A47" s="2068" t="s">
        <v>1326</v>
      </c>
      <c r="B47" s="2069"/>
      <c r="C47" s="2072">
        <v>0</v>
      </c>
      <c r="D47" s="1967">
        <v>0</v>
      </c>
      <c r="E47" s="1963">
        <f t="shared" si="0"/>
        <v>0</v>
      </c>
      <c r="F47" s="1963"/>
      <c r="G47" s="2072">
        <v>230004371.55000001</v>
      </c>
      <c r="H47" s="1967">
        <v>0</v>
      </c>
      <c r="I47" s="1963">
        <f t="shared" si="1"/>
        <v>230004371.55000001</v>
      </c>
      <c r="J47" s="2203"/>
      <c r="K47" s="2203"/>
      <c r="L47" s="2204"/>
      <c r="M47" s="2203"/>
      <c r="N47" s="2204"/>
    </row>
    <row r="48" spans="1:15" s="2067" customFormat="1" ht="17.25" customHeight="1">
      <c r="A48" s="2074" t="s">
        <v>1301</v>
      </c>
      <c r="B48" s="2043"/>
      <c r="C48" s="2200">
        <f>SUM(C11:C47)</f>
        <v>1661827170.9500003</v>
      </c>
      <c r="D48" s="2200">
        <f>SUM(D11:D47)</f>
        <v>344771779.04000002</v>
      </c>
      <c r="E48" s="2200">
        <f>SUM(E11:E47)</f>
        <v>2006598949.99</v>
      </c>
      <c r="F48" s="2075"/>
      <c r="G48" s="2200">
        <f>SUM(G11:G47)</f>
        <v>26435325124.960003</v>
      </c>
      <c r="H48" s="2200">
        <f>SUM(H11:H47)</f>
        <v>2911673266.0400004</v>
      </c>
      <c r="I48" s="2200">
        <f>SUM(I11:I47)</f>
        <v>29346998391.000004</v>
      </c>
      <c r="J48" s="2203"/>
      <c r="K48" s="2203"/>
      <c r="L48" s="2204"/>
      <c r="M48" s="2203"/>
      <c r="N48" s="2204"/>
      <c r="O48" s="2071"/>
    </row>
    <row r="49" spans="1:14" ht="9.65" customHeight="1">
      <c r="A49" s="2064"/>
      <c r="B49" s="1987"/>
      <c r="C49" s="1968"/>
      <c r="D49" s="1968"/>
      <c r="E49" s="1968"/>
      <c r="F49" s="1968"/>
      <c r="G49" s="1969"/>
      <c r="H49" s="1969"/>
      <c r="I49" s="1969"/>
      <c r="K49" s="2203"/>
      <c r="L49" s="2094"/>
      <c r="N49" s="1969"/>
    </row>
    <row r="50" spans="1:14" ht="43.4" customHeight="1">
      <c r="A50" s="2076" t="s">
        <v>1312</v>
      </c>
      <c r="B50" s="1987"/>
      <c r="C50" s="2142">
        <v>-146002580.38</v>
      </c>
      <c r="D50" s="2105">
        <v>0</v>
      </c>
      <c r="E50" s="2148">
        <f>C50+D50</f>
        <v>-146002580.38</v>
      </c>
      <c r="F50" s="2149"/>
      <c r="G50" s="2105">
        <v>-1578510169.75</v>
      </c>
      <c r="H50" s="2105">
        <v>0</v>
      </c>
      <c r="I50" s="2150">
        <f>G50+H50</f>
        <v>-1578510169.75</v>
      </c>
      <c r="J50" s="2087"/>
      <c r="K50" s="2203"/>
      <c r="L50" s="1969"/>
    </row>
    <row r="51" spans="1:14" ht="15.65" customHeight="1">
      <c r="A51" s="2077"/>
      <c r="B51" s="1987"/>
      <c r="C51" s="2238"/>
      <c r="D51" s="2238"/>
      <c r="E51" s="2238"/>
      <c r="F51" s="2238"/>
      <c r="G51" s="2268"/>
      <c r="H51" s="2268" t="s">
        <v>14</v>
      </c>
      <c r="I51" s="2268"/>
      <c r="L51" s="2089"/>
    </row>
    <row r="52" spans="1:14" ht="17.25" customHeight="1" thickBot="1">
      <c r="A52" s="2077" t="s">
        <v>1277</v>
      </c>
      <c r="B52" s="1987"/>
      <c r="C52" s="2078">
        <f>+C48+C50</f>
        <v>1515824590.5700002</v>
      </c>
      <c r="D52" s="2078">
        <f t="shared" ref="D52:I52" si="2">+D48+D50</f>
        <v>344771779.04000002</v>
      </c>
      <c r="E52" s="2078">
        <f t="shared" si="2"/>
        <v>1860596369.6100001</v>
      </c>
      <c r="F52" s="2078">
        <f t="shared" si="2"/>
        <v>0</v>
      </c>
      <c r="G52" s="2078">
        <f t="shared" si="2"/>
        <v>24856814955.210003</v>
      </c>
      <c r="H52" s="2078">
        <f t="shared" si="2"/>
        <v>2911673266.0400004</v>
      </c>
      <c r="I52" s="2078">
        <f t="shared" si="2"/>
        <v>27768488221.250004</v>
      </c>
      <c r="J52" s="1986"/>
    </row>
    <row r="53" spans="1:14" ht="17.25" customHeight="1" thickTop="1">
      <c r="A53" s="2079"/>
      <c r="B53" s="1962"/>
      <c r="C53" s="2079"/>
      <c r="D53" s="2079"/>
      <c r="E53" s="2269"/>
      <c r="F53" s="2269"/>
      <c r="G53" s="2270"/>
      <c r="H53" s="2270"/>
      <c r="I53" s="2270"/>
    </row>
    <row r="54" spans="1:14" ht="16.399999999999999" customHeight="1">
      <c r="A54" s="2080" t="s">
        <v>1317</v>
      </c>
      <c r="B54" s="1962"/>
      <c r="C54" s="2118"/>
      <c r="D54" s="1986"/>
      <c r="E54" s="2263"/>
      <c r="F54" s="2094"/>
      <c r="G54" s="1986" t="s">
        <v>14</v>
      </c>
      <c r="H54" s="1986"/>
      <c r="I54" s="1986" t="s">
        <v>14</v>
      </c>
    </row>
    <row r="55" spans="1:14" ht="16.399999999999999" customHeight="1">
      <c r="A55" s="2082" t="s">
        <v>1320</v>
      </c>
      <c r="B55" s="1962"/>
      <c r="C55" s="2083"/>
      <c r="D55" s="2084"/>
      <c r="E55" s="2271" t="s">
        <v>14</v>
      </c>
      <c r="F55" s="2085"/>
      <c r="G55" s="2272"/>
      <c r="H55" s="2273"/>
      <c r="I55" s="1961"/>
    </row>
    <row r="56" spans="1:14" ht="16.399999999999999" customHeight="1">
      <c r="A56" s="2082" t="s">
        <v>1319</v>
      </c>
      <c r="B56" s="1962"/>
      <c r="C56" s="2081"/>
      <c r="D56" s="2118"/>
      <c r="E56" s="1986"/>
      <c r="F56" s="2263"/>
      <c r="G56" s="2274"/>
      <c r="H56" s="1986"/>
      <c r="I56" s="1986"/>
      <c r="J56" s="1986"/>
    </row>
    <row r="57" spans="1:14" s="2046" customFormat="1" ht="16.399999999999999" customHeight="1">
      <c r="A57" s="2082" t="s">
        <v>1323</v>
      </c>
      <c r="B57" s="1954"/>
      <c r="C57" s="2142"/>
      <c r="D57" s="2105"/>
      <c r="E57" s="2148"/>
      <c r="F57" s="2149"/>
      <c r="G57" s="2105"/>
      <c r="H57" s="2105"/>
      <c r="I57" s="2150"/>
      <c r="J57" s="2089"/>
      <c r="K57" s="2089"/>
      <c r="M57" s="2088"/>
    </row>
    <row r="58" spans="1:14" s="2046" customFormat="1" ht="13.4" customHeight="1">
      <c r="A58" s="2082" t="s">
        <v>1315</v>
      </c>
      <c r="B58" s="1954"/>
      <c r="C58" s="2088"/>
      <c r="G58" s="2087"/>
      <c r="H58" s="1954"/>
      <c r="I58" s="2275"/>
      <c r="J58" s="2089"/>
      <c r="K58" s="2089"/>
      <c r="M58" s="2088"/>
    </row>
    <row r="59" spans="1:14" ht="17.25" customHeight="1">
      <c r="A59" s="2082" t="s">
        <v>1490</v>
      </c>
      <c r="G59" s="1986"/>
    </row>
    <row r="60" spans="1:14" ht="17.25" customHeight="1">
      <c r="C60" s="2142"/>
      <c r="D60" s="2105"/>
      <c r="E60" s="2148"/>
      <c r="F60" s="2149"/>
      <c r="G60" s="2105"/>
      <c r="H60" s="2105"/>
      <c r="I60" s="2150"/>
    </row>
    <row r="61" spans="1:14" ht="17.25" customHeight="1">
      <c r="C61" s="2142"/>
      <c r="D61" s="2105"/>
      <c r="E61" s="2148"/>
      <c r="F61" s="2149"/>
      <c r="G61" s="2105"/>
      <c r="H61" s="2105"/>
      <c r="I61" s="2150"/>
    </row>
    <row r="62" spans="1:14" ht="17.25" customHeight="1">
      <c r="C62" s="2142"/>
      <c r="D62" s="2105"/>
      <c r="E62" s="2148"/>
      <c r="F62" s="2149"/>
      <c r="G62" s="2105"/>
      <c r="H62" s="2105"/>
      <c r="I62" s="2150"/>
    </row>
    <row r="63" spans="1:14" ht="17.25" customHeight="1">
      <c r="G63" s="2089"/>
    </row>
    <row r="64" spans="1:14" ht="17.25" customHeight="1">
      <c r="C64" s="2142"/>
      <c r="D64" s="2105"/>
      <c r="E64" s="2148"/>
      <c r="F64" s="2149"/>
      <c r="G64" s="2105"/>
      <c r="H64" s="2105"/>
      <c r="I64" s="2150"/>
    </row>
    <row r="66" spans="9:9" ht="17.25" customHeight="1">
      <c r="I66" s="2089"/>
    </row>
  </sheetData>
  <mergeCells count="2">
    <mergeCell ref="C7:E7"/>
    <mergeCell ref="G7:I7"/>
  </mergeCells>
  <printOptions horizontalCentered="1"/>
  <pageMargins left="0.17" right="0.18" top="0.44" bottom="0.27" header="0.23" footer="0.18"/>
  <pageSetup scale="47" firstPageNumber="58"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45"/>
  <sheetViews>
    <sheetView showGridLines="0" zoomScale="80" zoomScaleNormal="80" workbookViewId="0"/>
  </sheetViews>
  <sheetFormatPr defaultColWidth="8.84375" defaultRowHeight="14.5"/>
  <cols>
    <col min="1" max="1" width="58.84375" style="2095" customWidth="1"/>
    <col min="2" max="2" width="2" style="1954" customWidth="1"/>
    <col min="3" max="3" width="21.07421875" style="2046" customWidth="1"/>
    <col min="4" max="4" width="21.84375" style="2046" customWidth="1"/>
    <col min="5" max="5" width="19.84375" style="2046" customWidth="1"/>
    <col min="6" max="6" width="0.84375" style="2046" customWidth="1"/>
    <col min="7" max="7" width="22.07421875" style="1956" customWidth="1"/>
    <col min="8" max="8" width="20.84375" style="1954" customWidth="1"/>
    <col min="9" max="9" width="21.84375" style="1954" customWidth="1"/>
    <col min="10" max="10" width="18.07421875" style="2089" customWidth="1"/>
    <col min="11" max="11" width="17.07421875" style="1954" customWidth="1"/>
    <col min="12" max="12" width="19.07421875" style="1954" customWidth="1"/>
    <col min="13" max="13" width="15.07421875" style="1954" customWidth="1"/>
    <col min="14" max="14" width="16" style="1954" customWidth="1"/>
    <col min="15" max="16384" width="8.84375" style="1954"/>
  </cols>
  <sheetData>
    <row r="1" spans="1:14" ht="15.5">
      <c r="A1" s="468" t="s">
        <v>868</v>
      </c>
    </row>
    <row r="3" spans="1:14" ht="25.4" customHeight="1">
      <c r="A3" s="2062" t="s">
        <v>0</v>
      </c>
      <c r="C3" s="1955"/>
      <c r="D3" s="1955"/>
      <c r="E3" s="1955"/>
      <c r="F3" s="1955"/>
      <c r="I3" s="1958" t="s">
        <v>1297</v>
      </c>
    </row>
    <row r="4" spans="1:14" ht="25.4" customHeight="1">
      <c r="A4" s="2062" t="s">
        <v>1316</v>
      </c>
      <c r="C4" s="1955"/>
      <c r="D4" s="1955"/>
      <c r="E4" s="1955"/>
      <c r="F4" s="1955"/>
    </row>
    <row r="5" spans="1:14" ht="18.649999999999999" customHeight="1">
      <c r="A5" s="2113" t="str">
        <f>'Appendix H'!A5</f>
        <v xml:space="preserve">FISCAL YEAR 2022-2023   </v>
      </c>
      <c r="C5" s="1955"/>
      <c r="D5" s="1955"/>
      <c r="E5" s="1955"/>
      <c r="F5" s="1955"/>
    </row>
    <row r="6" spans="1:14" ht="21">
      <c r="A6" s="2090"/>
      <c r="C6" s="1955"/>
      <c r="D6" s="1955"/>
      <c r="E6" s="1955"/>
      <c r="F6" s="1955"/>
    </row>
    <row r="7" spans="1:14" ht="15.5">
      <c r="A7" s="2091"/>
      <c r="B7" s="1987"/>
      <c r="C7" s="2347" t="str">
        <f>'Appendix H'!C7:E7</f>
        <v>MARCH 2023</v>
      </c>
      <c r="D7" s="2348"/>
      <c r="E7" s="2348"/>
      <c r="F7" s="2041"/>
      <c r="G7" s="2348" t="str">
        <f>'Appendix H'!G7:I7</f>
        <v>12 MONTHS ENDED MARCH 31</v>
      </c>
      <c r="H7" s="2348"/>
      <c r="I7" s="2348"/>
    </row>
    <row r="8" spans="1:14" ht="15.5">
      <c r="A8" s="2091"/>
      <c r="B8" s="1987"/>
      <c r="C8" s="2247"/>
      <c r="D8" s="2247"/>
      <c r="E8" s="2247"/>
      <c r="F8" s="2247"/>
      <c r="G8" s="2042"/>
      <c r="H8" s="1987"/>
      <c r="I8" s="1987"/>
    </row>
    <row r="9" spans="1:14" ht="15.5">
      <c r="A9" s="2092"/>
      <c r="B9" s="1987"/>
      <c r="C9" s="1988" t="s">
        <v>1264</v>
      </c>
      <c r="D9" s="1988" t="s">
        <v>1265</v>
      </c>
      <c r="E9" s="1988" t="str">
        <f>'Appendix H'!E9</f>
        <v>March</v>
      </c>
      <c r="F9" s="1988"/>
      <c r="G9" s="1988" t="s">
        <v>1264</v>
      </c>
      <c r="H9" s="1988" t="s">
        <v>1265</v>
      </c>
      <c r="I9" s="2248" t="s">
        <v>1266</v>
      </c>
      <c r="J9" s="2087"/>
      <c r="K9" s="1962"/>
      <c r="L9" s="1962"/>
      <c r="M9" s="1962"/>
    </row>
    <row r="10" spans="1:14" s="2067" customFormat="1" ht="15.5">
      <c r="A10" s="2065"/>
      <c r="B10" s="2043"/>
      <c r="C10" s="2249"/>
      <c r="D10" s="2249"/>
      <c r="E10" s="2249"/>
      <c r="F10" s="2249"/>
      <c r="G10" s="2250"/>
      <c r="H10" s="2043"/>
      <c r="I10" s="2250"/>
      <c r="J10" s="2202"/>
    </row>
    <row r="11" spans="1:14" s="2071" customFormat="1" ht="15.5">
      <c r="A11" s="2068" t="s">
        <v>1299</v>
      </c>
      <c r="B11" s="2069"/>
      <c r="C11" s="2044">
        <v>51165233.82</v>
      </c>
      <c r="D11" s="2044">
        <v>0</v>
      </c>
      <c r="E11" s="2045">
        <f>C11+D11</f>
        <v>51165233.82</v>
      </c>
      <c r="F11" s="2045"/>
      <c r="G11" s="2044">
        <v>181302255.41999999</v>
      </c>
      <c r="H11" s="2044">
        <f>D11</f>
        <v>0</v>
      </c>
      <c r="I11" s="2045">
        <f>G11+H11</f>
        <v>181302255.41999999</v>
      </c>
      <c r="J11" s="2203"/>
      <c r="K11" s="2203"/>
      <c r="L11" s="2204"/>
      <c r="M11" s="2204"/>
      <c r="N11" s="2204"/>
    </row>
    <row r="12" spans="1:14" s="2071" customFormat="1" ht="15.5">
      <c r="A12" s="2068" t="s">
        <v>1278</v>
      </c>
      <c r="B12" s="2069"/>
      <c r="C12" s="1967">
        <v>153017.26</v>
      </c>
      <c r="D12" s="1967">
        <v>26873877</v>
      </c>
      <c r="E12" s="1963">
        <f>C12+D12</f>
        <v>27026894.260000002</v>
      </c>
      <c r="F12" s="1963"/>
      <c r="G12" s="1967">
        <v>24530712.170000002</v>
      </c>
      <c r="H12" s="1967">
        <v>337020774</v>
      </c>
      <c r="I12" s="1963">
        <f>G12+H12</f>
        <v>361551486.17000002</v>
      </c>
      <c r="J12" s="2203"/>
      <c r="K12" s="2203"/>
      <c r="L12" s="2204"/>
      <c r="M12" s="2204"/>
      <c r="N12" s="2204"/>
    </row>
    <row r="13" spans="1:14" s="2071" customFormat="1" ht="15.5">
      <c r="A13" s="2068" t="s">
        <v>1467</v>
      </c>
      <c r="B13" s="2069"/>
      <c r="C13" s="1967">
        <v>250536.76</v>
      </c>
      <c r="D13" s="1967">
        <v>0</v>
      </c>
      <c r="E13" s="1963">
        <f>C13+D13</f>
        <v>250536.76</v>
      </c>
      <c r="F13" s="1963"/>
      <c r="G13" s="1967">
        <v>577096380.60000002</v>
      </c>
      <c r="H13" s="1967">
        <v>0</v>
      </c>
      <c r="I13" s="1963">
        <f>G13+H13</f>
        <v>577096380.60000002</v>
      </c>
      <c r="J13" s="2203"/>
      <c r="K13" s="2203"/>
      <c r="L13" s="2204"/>
      <c r="M13" s="2204"/>
      <c r="N13" s="2204"/>
    </row>
    <row r="14" spans="1:14" s="2071" customFormat="1" ht="15.5">
      <c r="A14" s="2068" t="s">
        <v>1279</v>
      </c>
      <c r="B14" s="2069"/>
      <c r="C14" s="1967">
        <v>982548560.74000001</v>
      </c>
      <c r="D14" s="1967">
        <v>0</v>
      </c>
      <c r="E14" s="1963">
        <f t="shared" ref="E14:E23" si="0">C14+D14</f>
        <v>982548560.74000001</v>
      </c>
      <c r="F14" s="1963"/>
      <c r="G14" s="1967">
        <v>4681410082.7200003</v>
      </c>
      <c r="H14" s="1967">
        <f t="shared" ref="H14:H25" si="1">D14</f>
        <v>0</v>
      </c>
      <c r="I14" s="1963">
        <f t="shared" ref="I14:I25" si="2">G14+H14</f>
        <v>4681410082.7200003</v>
      </c>
      <c r="J14" s="2203"/>
      <c r="K14" s="2203"/>
      <c r="L14" s="2204"/>
      <c r="M14" s="2204"/>
      <c r="N14" s="2204"/>
    </row>
    <row r="15" spans="1:14" s="2071" customFormat="1" ht="15.5">
      <c r="A15" s="2068" t="s">
        <v>1280</v>
      </c>
      <c r="B15" s="2069"/>
      <c r="C15" s="1967">
        <v>81875904</v>
      </c>
      <c r="D15" s="1967">
        <v>0</v>
      </c>
      <c r="E15" s="1963">
        <f t="shared" si="0"/>
        <v>81875904</v>
      </c>
      <c r="F15" s="1963"/>
      <c r="G15" s="1967">
        <v>512200115.77999997</v>
      </c>
      <c r="H15" s="1967">
        <f t="shared" si="1"/>
        <v>0</v>
      </c>
      <c r="I15" s="1963">
        <f>G15+H15</f>
        <v>512200115.77999997</v>
      </c>
      <c r="J15" s="2203"/>
      <c r="K15" s="2203"/>
      <c r="L15" s="2204"/>
      <c r="M15" s="2204"/>
      <c r="N15" s="2204"/>
    </row>
    <row r="16" spans="1:14" s="2071" customFormat="1" ht="15.5">
      <c r="A16" s="2068" t="s">
        <v>1281</v>
      </c>
      <c r="B16" s="2069"/>
      <c r="C16" s="1967">
        <v>116626873.45</v>
      </c>
      <c r="D16" s="1967">
        <v>0</v>
      </c>
      <c r="E16" s="1963">
        <f t="shared" si="0"/>
        <v>116626873.45</v>
      </c>
      <c r="F16" s="1963"/>
      <c r="G16" s="1967">
        <v>816664867.26999998</v>
      </c>
      <c r="H16" s="1967">
        <f t="shared" si="1"/>
        <v>0</v>
      </c>
      <c r="I16" s="1963">
        <f t="shared" si="2"/>
        <v>816664867.26999998</v>
      </c>
      <c r="J16" s="2203"/>
      <c r="K16" s="2203"/>
      <c r="L16" s="2204"/>
      <c r="M16" s="2204"/>
      <c r="N16" s="2204"/>
    </row>
    <row r="17" spans="1:15" s="2071" customFormat="1" ht="15.5">
      <c r="A17" s="2068" t="s">
        <v>1274</v>
      </c>
      <c r="B17" s="2069"/>
      <c r="C17" s="1967">
        <v>144635581.83000001</v>
      </c>
      <c r="D17" s="1967">
        <v>0</v>
      </c>
      <c r="E17" s="1963">
        <f t="shared" si="0"/>
        <v>144635581.83000001</v>
      </c>
      <c r="F17" s="1963"/>
      <c r="G17" s="1967">
        <v>1834597556.3099999</v>
      </c>
      <c r="H17" s="1967">
        <f t="shared" si="1"/>
        <v>0</v>
      </c>
      <c r="I17" s="1963">
        <f t="shared" si="2"/>
        <v>1834597556.3099999</v>
      </c>
      <c r="J17" s="2203"/>
      <c r="K17" s="2203"/>
      <c r="L17" s="2204"/>
      <c r="M17" s="2204"/>
      <c r="N17" s="2204"/>
    </row>
    <row r="18" spans="1:15" s="2071" customFormat="1" ht="15.5">
      <c r="A18" s="2068" t="s">
        <v>1282</v>
      </c>
      <c r="B18" s="2069"/>
      <c r="C18" s="1967">
        <v>1631271377.5</v>
      </c>
      <c r="D18" s="1967">
        <v>0</v>
      </c>
      <c r="E18" s="1963">
        <f t="shared" si="0"/>
        <v>1631271377.5</v>
      </c>
      <c r="F18" s="1963"/>
      <c r="G18" s="1967">
        <v>19374222693.93</v>
      </c>
      <c r="H18" s="1967">
        <f t="shared" si="1"/>
        <v>0</v>
      </c>
      <c r="I18" s="1963">
        <f t="shared" si="2"/>
        <v>19374222693.93</v>
      </c>
      <c r="J18" s="2203"/>
      <c r="K18" s="2203"/>
      <c r="L18" s="2204"/>
      <c r="M18" s="2204"/>
      <c r="N18" s="2204"/>
    </row>
    <row r="19" spans="1:15" s="2071" customFormat="1" ht="15.5">
      <c r="A19" s="2068" t="s">
        <v>1283</v>
      </c>
      <c r="B19" s="2069"/>
      <c r="C19" s="1967">
        <f>1772928730.8-130993117.61</f>
        <v>1641935613.1900001</v>
      </c>
      <c r="D19" s="1967">
        <v>0</v>
      </c>
      <c r="E19" s="1963">
        <f t="shared" si="0"/>
        <v>1641935613.1900001</v>
      </c>
      <c r="F19" s="1963"/>
      <c r="G19" s="1967">
        <v>22677495037.720001</v>
      </c>
      <c r="H19" s="1967">
        <f t="shared" si="1"/>
        <v>0</v>
      </c>
      <c r="I19" s="1963">
        <f t="shared" si="2"/>
        <v>22677495037.720001</v>
      </c>
      <c r="J19" s="2203"/>
      <c r="K19" s="2203"/>
      <c r="L19" s="2204"/>
      <c r="M19" s="2204"/>
      <c r="N19" s="2204"/>
    </row>
    <row r="20" spans="1:15" s="2071" customFormat="1" ht="15.5">
      <c r="A20" s="2068" t="s">
        <v>1275</v>
      </c>
      <c r="B20" s="2069"/>
      <c r="C20" s="1967">
        <v>37678258.920000002</v>
      </c>
      <c r="D20" s="1967">
        <v>0</v>
      </c>
      <c r="E20" s="1963">
        <f t="shared" si="0"/>
        <v>37678258.920000002</v>
      </c>
      <c r="F20" s="1963"/>
      <c r="G20" s="1967">
        <v>457701387.72000003</v>
      </c>
      <c r="H20" s="1967">
        <f t="shared" si="1"/>
        <v>0</v>
      </c>
      <c r="I20" s="1963">
        <f t="shared" si="2"/>
        <v>457701387.72000003</v>
      </c>
      <c r="J20" s="2203"/>
      <c r="K20" s="2203"/>
      <c r="L20" s="2204"/>
      <c r="M20" s="2204"/>
      <c r="N20" s="2204"/>
    </row>
    <row r="21" spans="1:15" s="2071" customFormat="1" ht="15.5">
      <c r="A21" s="2068" t="s">
        <v>1284</v>
      </c>
      <c r="B21" s="2069"/>
      <c r="C21" s="1967">
        <v>56348033.030000001</v>
      </c>
      <c r="D21" s="1967">
        <v>0</v>
      </c>
      <c r="E21" s="1963">
        <f t="shared" si="0"/>
        <v>56348033.030000001</v>
      </c>
      <c r="F21" s="1963"/>
      <c r="G21" s="1967">
        <v>656531293.78999996</v>
      </c>
      <c r="H21" s="1967">
        <f t="shared" si="1"/>
        <v>0</v>
      </c>
      <c r="I21" s="1963">
        <f t="shared" si="2"/>
        <v>656531293.78999996</v>
      </c>
      <c r="J21" s="2203"/>
      <c r="K21" s="2203"/>
      <c r="L21" s="2204"/>
      <c r="M21" s="2204"/>
      <c r="N21" s="2204"/>
    </row>
    <row r="22" spans="1:15" s="2071" customFormat="1" ht="15.5">
      <c r="A22" s="2068" t="s">
        <v>1285</v>
      </c>
      <c r="B22" s="2069"/>
      <c r="C22" s="1967">
        <v>539800.4</v>
      </c>
      <c r="D22" s="1967">
        <v>0</v>
      </c>
      <c r="E22" s="1963">
        <f t="shared" si="0"/>
        <v>539800.4</v>
      </c>
      <c r="F22" s="1963"/>
      <c r="G22" s="1967">
        <v>7798301.8799999999</v>
      </c>
      <c r="H22" s="1967">
        <f t="shared" si="1"/>
        <v>0</v>
      </c>
      <c r="I22" s="1963">
        <f t="shared" si="2"/>
        <v>7798301.8799999999</v>
      </c>
      <c r="J22" s="2203"/>
      <c r="K22" s="2203"/>
      <c r="L22" s="2204"/>
      <c r="M22" s="2204"/>
      <c r="N22" s="2204"/>
    </row>
    <row r="23" spans="1:15" s="2071" customFormat="1" ht="15.5">
      <c r="A23" s="2068" t="s">
        <v>1303</v>
      </c>
      <c r="B23" s="2069"/>
      <c r="C23" s="1967">
        <v>-92421554.370000005</v>
      </c>
      <c r="D23" s="1967">
        <v>3510874</v>
      </c>
      <c r="E23" s="1963">
        <f t="shared" si="0"/>
        <v>-88910680.370000005</v>
      </c>
      <c r="F23" s="1963"/>
      <c r="G23" s="1967">
        <v>288925636.58999997</v>
      </c>
      <c r="H23" s="1967">
        <v>33429207</v>
      </c>
      <c r="I23" s="1963">
        <f t="shared" si="2"/>
        <v>322354843.58999997</v>
      </c>
      <c r="J23" s="2203"/>
      <c r="K23" s="2203"/>
      <c r="L23" s="2204"/>
      <c r="M23" s="2204"/>
      <c r="N23" s="2204"/>
    </row>
    <row r="24" spans="1:15" s="2071" customFormat="1" ht="15.5">
      <c r="A24" s="2068" t="s">
        <v>1286</v>
      </c>
      <c r="B24" s="2069"/>
      <c r="C24" s="1967">
        <v>884915</v>
      </c>
      <c r="D24" s="1967">
        <v>0</v>
      </c>
      <c r="E24" s="1963">
        <f>C24+D24</f>
        <v>884915</v>
      </c>
      <c r="F24" s="1963"/>
      <c r="G24" s="1967">
        <v>1536703930.3399999</v>
      </c>
      <c r="H24" s="1967">
        <f t="shared" si="1"/>
        <v>0</v>
      </c>
      <c r="I24" s="1963">
        <f t="shared" si="2"/>
        <v>1536703930.3399999</v>
      </c>
      <c r="J24" s="2203"/>
      <c r="K24" s="2203"/>
      <c r="L24" s="2204"/>
      <c r="M24" s="2204"/>
      <c r="N24" s="2204"/>
    </row>
    <row r="25" spans="1:15" s="2071" customFormat="1" ht="15.5">
      <c r="A25" s="2068" t="s">
        <v>1326</v>
      </c>
      <c r="B25" s="2069"/>
      <c r="C25" s="1967">
        <v>0</v>
      </c>
      <c r="D25" s="1967">
        <v>0</v>
      </c>
      <c r="E25" s="1963">
        <f>C25</f>
        <v>0</v>
      </c>
      <c r="F25" s="1963"/>
      <c r="G25" s="1967">
        <v>295119764.44999999</v>
      </c>
      <c r="H25" s="1967">
        <f t="shared" si="1"/>
        <v>0</v>
      </c>
      <c r="I25" s="1963">
        <f t="shared" si="2"/>
        <v>295119764.44999999</v>
      </c>
      <c r="J25" s="2203"/>
      <c r="K25" s="2203"/>
      <c r="L25" s="2204"/>
      <c r="M25" s="2204"/>
      <c r="N25" s="2204"/>
    </row>
    <row r="26" spans="1:15" s="2067" customFormat="1" ht="26.15" customHeight="1">
      <c r="A26" s="2074" t="s">
        <v>1301</v>
      </c>
      <c r="B26" s="2043"/>
      <c r="C26" s="2198">
        <f>SUM(C11:C25)</f>
        <v>4653492151.5299988</v>
      </c>
      <c r="D26" s="2198">
        <f>SUM(D11:D25)</f>
        <v>30384751</v>
      </c>
      <c r="E26" s="2198">
        <f>SUM(E11:E25)</f>
        <v>4683876902.5299988</v>
      </c>
      <c r="F26" s="2199"/>
      <c r="G26" s="2198">
        <f>SUM(G11:G25)</f>
        <v>53922300016.689987</v>
      </c>
      <c r="H26" s="2198">
        <f>SUM(H11:H25)</f>
        <v>370449981</v>
      </c>
      <c r="I26" s="2198">
        <f>SUM(I11:I25)</f>
        <v>54292749997.689987</v>
      </c>
      <c r="J26" s="2202"/>
      <c r="K26" s="2203"/>
      <c r="L26" s="2204"/>
      <c r="M26" s="2204"/>
      <c r="N26" s="2204"/>
      <c r="O26" s="2071"/>
    </row>
    <row r="27" spans="1:15" ht="6.65" customHeight="1">
      <c r="A27" s="2093"/>
      <c r="B27" s="1987"/>
      <c r="C27" s="2251"/>
      <c r="D27" s="2251"/>
      <c r="E27" s="2251"/>
      <c r="F27" s="2251"/>
      <c r="G27" s="1986"/>
      <c r="H27" s="1986"/>
      <c r="I27" s="1986"/>
      <c r="K27" s="573"/>
      <c r="L27" s="2094"/>
      <c r="N27" s="1969"/>
      <c r="O27" s="1987"/>
    </row>
    <row r="28" spans="1:15" ht="42" customHeight="1">
      <c r="A28" s="2076" t="s">
        <v>1313</v>
      </c>
      <c r="B28" s="1987"/>
      <c r="C28" s="2252">
        <v>1867520536.6500001</v>
      </c>
      <c r="D28" s="2143">
        <v>0</v>
      </c>
      <c r="E28" s="2144">
        <f>+C28</f>
        <v>1867520536.6500001</v>
      </c>
      <c r="F28" s="2145"/>
      <c r="G28" s="2146">
        <v>-1737663157</v>
      </c>
      <c r="H28" s="2146">
        <v>0</v>
      </c>
      <c r="I28" s="2147">
        <f>G28+H28</f>
        <v>-1737663157</v>
      </c>
      <c r="J28" s="2087"/>
      <c r="K28" s="1986"/>
      <c r="L28" s="1969"/>
    </row>
    <row r="29" spans="1:15" ht="15.65" customHeight="1">
      <c r="A29" s="2077"/>
      <c r="B29" s="1987"/>
      <c r="C29" s="2253"/>
      <c r="D29" s="2253"/>
      <c r="E29" s="2253"/>
      <c r="F29" s="2253"/>
      <c r="G29" s="2254"/>
      <c r="H29" s="2254"/>
      <c r="I29" s="2254"/>
    </row>
    <row r="30" spans="1:15" ht="18" thickBot="1">
      <c r="A30" s="2077" t="s">
        <v>1302</v>
      </c>
      <c r="B30" s="1987"/>
      <c r="C30" s="1989">
        <f>+C26+C28</f>
        <v>6521012688.1799984</v>
      </c>
      <c r="D30" s="1989">
        <f>D26</f>
        <v>30384751</v>
      </c>
      <c r="E30" s="1989">
        <f>E26+E28</f>
        <v>6551397439.1799984</v>
      </c>
      <c r="F30" s="2045"/>
      <c r="G30" s="1989">
        <f>+G26+G28</f>
        <v>52184636859.689987</v>
      </c>
      <c r="H30" s="1989">
        <f>H26</f>
        <v>370449981</v>
      </c>
      <c r="I30" s="1989">
        <f>I26+I28</f>
        <v>52555086840.689987</v>
      </c>
      <c r="J30" s="1986"/>
    </row>
    <row r="31" spans="1:15" ht="15" thickTop="1">
      <c r="C31" s="2255"/>
      <c r="D31" s="2255"/>
      <c r="E31" s="2255"/>
      <c r="F31" s="2255"/>
      <c r="G31" s="2256"/>
      <c r="H31" s="1962"/>
      <c r="I31" s="1962"/>
    </row>
    <row r="32" spans="1:15" ht="16.399999999999999" customHeight="1">
      <c r="A32" s="2080" t="s">
        <v>1318</v>
      </c>
      <c r="C32" s="2255"/>
      <c r="D32" s="2257"/>
      <c r="E32" s="2258" t="s">
        <v>14</v>
      </c>
      <c r="F32" s="2255"/>
      <c r="G32" s="2105" t="s">
        <v>14</v>
      </c>
      <c r="H32" s="2087"/>
      <c r="I32" s="2087" t="s">
        <v>14</v>
      </c>
      <c r="J32" s="1986"/>
    </row>
    <row r="33" spans="1:10" ht="16.399999999999999" customHeight="1">
      <c r="A33" s="2082" t="s">
        <v>1320</v>
      </c>
      <c r="C33" s="2259"/>
      <c r="D33" s="2259"/>
      <c r="E33" s="2260"/>
      <c r="F33" s="2261"/>
      <c r="G33" s="2105"/>
      <c r="H33" s="2105"/>
      <c r="I33" s="2262" t="s">
        <v>14</v>
      </c>
      <c r="J33" s="2202"/>
    </row>
    <row r="34" spans="1:10" ht="14.9" customHeight="1">
      <c r="A34" s="2086" t="s">
        <v>1319</v>
      </c>
      <c r="C34" s="2118"/>
      <c r="D34" s="2263"/>
      <c r="E34" s="2264" t="s">
        <v>14</v>
      </c>
      <c r="F34" s="573"/>
      <c r="G34" s="1986" t="s">
        <v>14</v>
      </c>
      <c r="H34" s="1986"/>
      <c r="I34" s="2265"/>
      <c r="J34" s="2087"/>
    </row>
    <row r="35" spans="1:10" ht="16.399999999999999" customHeight="1">
      <c r="A35" s="2086" t="s">
        <v>1305</v>
      </c>
      <c r="C35" s="2258"/>
      <c r="D35" s="2255"/>
      <c r="E35" s="2258" t="s">
        <v>14</v>
      </c>
      <c r="F35" s="2255"/>
      <c r="G35" s="1986" t="s">
        <v>14</v>
      </c>
      <c r="H35" s="1962"/>
      <c r="I35" s="2087" t="s">
        <v>14</v>
      </c>
      <c r="J35" s="2087"/>
    </row>
    <row r="36" spans="1:10" ht="16.399999999999999" customHeight="1">
      <c r="A36" s="2086" t="s">
        <v>1306</v>
      </c>
      <c r="C36" s="2258"/>
      <c r="D36" s="2255"/>
      <c r="E36" s="2258" t="s">
        <v>14</v>
      </c>
      <c r="F36" s="2255"/>
      <c r="G36" s="2087" t="s">
        <v>14</v>
      </c>
      <c r="H36" s="1962"/>
      <c r="I36" s="1962"/>
      <c r="J36" s="2087"/>
    </row>
    <row r="37" spans="1:10">
      <c r="C37" s="2255"/>
      <c r="D37" s="2255"/>
      <c r="E37" s="2255"/>
      <c r="F37" s="2255"/>
      <c r="G37" s="2087" t="s">
        <v>14</v>
      </c>
      <c r="H37" s="1962"/>
      <c r="I37" s="1962"/>
    </row>
    <row r="38" spans="1:10" ht="15.5">
      <c r="C38" s="2252"/>
      <c r="D38" s="2143"/>
      <c r="E38" s="2144"/>
      <c r="F38" s="2145"/>
      <c r="G38" s="2146"/>
      <c r="H38" s="2146"/>
      <c r="I38" s="2147"/>
    </row>
    <row r="39" spans="1:10" ht="29.25" customHeight="1">
      <c r="C39" s="2142"/>
      <c r="D39" s="2259"/>
      <c r="E39" s="2260"/>
      <c r="F39" s="2261"/>
      <c r="G39" s="2105"/>
      <c r="H39" s="2105"/>
      <c r="I39" s="2262"/>
    </row>
    <row r="40" spans="1:10" ht="30.75" customHeight="1">
      <c r="D40" s="2088"/>
      <c r="E40" s="2088"/>
      <c r="F40" s="2088"/>
      <c r="G40" s="2266"/>
      <c r="H40" s="2089"/>
      <c r="I40" s="2089"/>
    </row>
    <row r="41" spans="1:10" ht="15.5">
      <c r="C41" s="2142"/>
      <c r="D41" s="2143"/>
      <c r="E41" s="2144"/>
      <c r="F41" s="2145"/>
      <c r="G41" s="2105"/>
      <c r="H41" s="2146"/>
      <c r="I41" s="2147"/>
    </row>
    <row r="42" spans="1:10" ht="15.5">
      <c r="D42" s="2088"/>
      <c r="E42" s="2088"/>
      <c r="F42" s="2088"/>
      <c r="G42" s="2089"/>
      <c r="H42" s="2089"/>
      <c r="I42" s="1986"/>
    </row>
    <row r="43" spans="1:10">
      <c r="D43" s="2088"/>
      <c r="E43" s="2088"/>
      <c r="F43" s="2088"/>
      <c r="G43" s="2089"/>
      <c r="H43" s="2089"/>
      <c r="I43" s="2089"/>
    </row>
    <row r="44" spans="1:10">
      <c r="D44" s="2088"/>
      <c r="E44" s="2088"/>
      <c r="F44" s="2088"/>
      <c r="G44" s="2089"/>
      <c r="H44" s="2089"/>
      <c r="I44" s="2087"/>
    </row>
    <row r="45" spans="1:10">
      <c r="D45" s="2088"/>
      <c r="E45" s="2088"/>
      <c r="F45" s="2088"/>
      <c r="G45" s="2089"/>
      <c r="H45" s="2089"/>
      <c r="I45" s="2087"/>
    </row>
  </sheetData>
  <mergeCells count="2">
    <mergeCell ref="C7:E7"/>
    <mergeCell ref="G7:I7"/>
  </mergeCells>
  <printOptions horizontalCentered="1"/>
  <pageMargins left="0.17" right="0.18" top="0.5" bottom="0.27" header="0.23" footer="0.18"/>
  <pageSetup scale="55" firstPageNumber="59"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workbookViewId="0"/>
  </sheetViews>
  <sheetFormatPr defaultColWidth="8.84375" defaultRowHeight="15.5"/>
  <cols>
    <col min="1" max="1" width="44.84375" style="27" customWidth="1"/>
    <col min="2" max="2" width="13.84375" style="27" customWidth="1"/>
    <col min="3" max="3" width="1.84375" style="27" customWidth="1"/>
    <col min="4" max="4" width="13.84375" style="27" customWidth="1"/>
    <col min="5" max="5" width="1.53515625" style="27" customWidth="1"/>
    <col min="6" max="6" width="13.84375" style="27" customWidth="1"/>
    <col min="7" max="7" width="1.84375" style="27" customWidth="1"/>
    <col min="8" max="8" width="13.84375" style="27" customWidth="1"/>
    <col min="9" max="9" width="0.84375" style="27" customWidth="1"/>
    <col min="10" max="10" width="12.84375" style="27" customWidth="1"/>
    <col min="11" max="11" width="1.53515625" style="27" customWidth="1"/>
    <col min="12" max="12" width="13.84375" style="27" customWidth="1"/>
    <col min="13" max="13" width="1" style="27" customWidth="1"/>
    <col min="14" max="14" width="13.4609375" style="27" customWidth="1"/>
    <col min="15" max="15" width="1.07421875" style="27" customWidth="1"/>
    <col min="16" max="16" width="13.07421875" style="27" customWidth="1"/>
    <col min="17" max="17" width="1.53515625" style="27" customWidth="1"/>
    <col min="18" max="18" width="1" style="27" customWidth="1"/>
    <col min="19" max="19" width="11.84375" style="27" customWidth="1"/>
    <col min="20" max="20" width="0.84375" style="27" customWidth="1"/>
    <col min="21" max="21" width="10.84375" style="27" customWidth="1"/>
    <col min="22" max="22" width="3.07421875" style="27" customWidth="1"/>
    <col min="23" max="16384" width="8.84375" style="27"/>
  </cols>
  <sheetData>
    <row r="1" spans="1:22">
      <c r="A1" s="468" t="s">
        <v>868</v>
      </c>
    </row>
    <row r="2" spans="1:22">
      <c r="A2" s="600"/>
    </row>
    <row r="3" spans="1:22" s="21" customFormat="1" ht="18" customHeight="1">
      <c r="A3" s="19" t="s">
        <v>0</v>
      </c>
      <c r="B3" s="19"/>
      <c r="C3" s="19"/>
      <c r="D3" s="19"/>
      <c r="E3" s="19"/>
      <c r="F3" s="20"/>
      <c r="G3" s="20"/>
      <c r="H3" s="19"/>
      <c r="I3" s="19"/>
      <c r="J3" s="19"/>
      <c r="K3" s="19"/>
      <c r="L3" s="19"/>
      <c r="M3" s="19"/>
      <c r="N3" s="1892"/>
      <c r="O3" s="2303"/>
      <c r="P3" s="2303"/>
      <c r="Q3" s="907"/>
      <c r="R3" s="907"/>
      <c r="T3" s="22"/>
      <c r="U3" s="2304" t="s">
        <v>60</v>
      </c>
      <c r="V3" s="2304"/>
    </row>
    <row r="4" spans="1:22" s="21" customFormat="1">
      <c r="A4" s="19" t="s">
        <v>346</v>
      </c>
      <c r="B4" s="19"/>
      <c r="C4" s="19"/>
      <c r="D4" s="19"/>
      <c r="E4" s="19"/>
      <c r="F4" s="20"/>
      <c r="G4" s="20"/>
      <c r="H4" s="19"/>
      <c r="I4" s="19"/>
      <c r="J4" s="19"/>
      <c r="K4" s="19"/>
      <c r="L4" s="19"/>
      <c r="M4" s="19"/>
      <c r="N4" s="19"/>
      <c r="O4" s="19"/>
      <c r="P4" s="19"/>
      <c r="Q4" s="19"/>
      <c r="R4" s="19"/>
      <c r="T4" s="22"/>
      <c r="U4" s="22"/>
      <c r="V4" s="22"/>
    </row>
    <row r="5" spans="1:22" s="21" customFormat="1" ht="15.75" customHeight="1">
      <c r="A5" s="117" t="s">
        <v>780</v>
      </c>
      <c r="B5" s="19"/>
      <c r="C5" s="19"/>
      <c r="D5" s="19"/>
      <c r="E5" s="19"/>
      <c r="F5" s="20"/>
      <c r="G5" s="20"/>
      <c r="H5" s="19"/>
      <c r="I5" s="19"/>
      <c r="J5" s="19"/>
      <c r="K5" s="19"/>
      <c r="L5" s="19"/>
      <c r="M5" s="19"/>
      <c r="N5" s="19"/>
      <c r="O5" s="19"/>
      <c r="P5" s="19" t="s">
        <v>14</v>
      </c>
      <c r="Q5" s="19"/>
      <c r="R5" s="19"/>
      <c r="T5" s="22"/>
      <c r="U5" s="22"/>
      <c r="V5" s="22"/>
    </row>
    <row r="6" spans="1:22" s="21" customFormat="1">
      <c r="A6" s="19" t="s">
        <v>1247</v>
      </c>
      <c r="B6" s="19"/>
      <c r="C6" s="19"/>
      <c r="D6" s="19"/>
      <c r="E6" s="19"/>
      <c r="F6" s="20"/>
      <c r="G6" s="20"/>
      <c r="H6" s="19"/>
      <c r="I6" s="19"/>
      <c r="J6" s="19"/>
      <c r="K6" s="19"/>
      <c r="L6" s="19"/>
      <c r="M6" s="19"/>
      <c r="N6" s="19"/>
      <c r="O6" s="19"/>
      <c r="P6" s="19"/>
      <c r="Q6" s="19"/>
      <c r="R6" s="19"/>
      <c r="T6" s="22"/>
      <c r="U6" s="22"/>
      <c r="V6" s="22"/>
    </row>
    <row r="7" spans="1:22" s="21" customFormat="1">
      <c r="A7" s="23"/>
      <c r="B7" s="19"/>
      <c r="C7" s="19"/>
      <c r="D7" s="19"/>
      <c r="E7" s="19"/>
      <c r="F7" s="20"/>
      <c r="G7" s="20"/>
      <c r="H7" s="19"/>
      <c r="I7" s="19"/>
      <c r="J7" s="19"/>
      <c r="K7" s="19"/>
      <c r="L7" s="19"/>
      <c r="M7" s="19"/>
      <c r="N7" s="19"/>
      <c r="O7" s="19"/>
      <c r="P7" s="19"/>
      <c r="Q7" s="19"/>
      <c r="R7" s="19"/>
      <c r="T7" s="22"/>
      <c r="U7" s="22"/>
      <c r="V7" s="22"/>
    </row>
    <row r="8" spans="1:22" s="21" customFormat="1">
      <c r="B8" s="19"/>
      <c r="C8" s="19"/>
      <c r="D8" s="19"/>
      <c r="E8" s="19"/>
      <c r="F8" s="20"/>
      <c r="G8" s="20"/>
      <c r="H8" s="19"/>
      <c r="I8" s="19"/>
      <c r="J8" s="19"/>
      <c r="K8" s="19"/>
      <c r="L8" s="19"/>
      <c r="M8" s="19"/>
      <c r="N8" s="19"/>
      <c r="O8" s="19"/>
      <c r="P8" s="19"/>
      <c r="Q8" s="19"/>
      <c r="R8" s="19"/>
      <c r="T8" s="22"/>
      <c r="U8" s="22"/>
      <c r="V8" s="22"/>
    </row>
    <row r="9" spans="1:22" s="21" customFormat="1" ht="8.15" customHeight="1">
      <c r="B9" s="19"/>
      <c r="C9" s="19"/>
      <c r="D9" s="19"/>
      <c r="E9" s="19"/>
      <c r="F9" s="19"/>
      <c r="G9" s="20"/>
      <c r="H9" s="19"/>
      <c r="I9" s="19"/>
      <c r="J9" s="19"/>
      <c r="K9" s="19"/>
      <c r="L9" s="19"/>
      <c r="M9" s="19"/>
      <c r="N9" s="19"/>
      <c r="O9" s="19"/>
      <c r="P9" s="19"/>
      <c r="Q9" s="19"/>
      <c r="R9" s="19"/>
      <c r="V9" s="20"/>
    </row>
    <row r="10" spans="1:22" s="21" customFormat="1">
      <c r="B10" s="19"/>
      <c r="C10" s="19"/>
      <c r="D10" s="19"/>
      <c r="E10" s="19"/>
      <c r="F10" s="19"/>
      <c r="G10" s="20"/>
      <c r="H10" s="19"/>
      <c r="I10" s="19"/>
      <c r="J10" s="19"/>
      <c r="K10" s="19"/>
      <c r="L10" s="19"/>
      <c r="M10" s="19"/>
      <c r="N10" s="19"/>
      <c r="O10" s="19"/>
      <c r="P10" s="19"/>
      <c r="Q10" s="19"/>
      <c r="R10" s="19"/>
      <c r="T10" s="22"/>
      <c r="U10" s="22"/>
      <c r="V10" s="22"/>
    </row>
    <row r="11" spans="1:22" s="21" customFormat="1">
      <c r="B11" s="19"/>
      <c r="C11" s="19"/>
      <c r="D11" s="19"/>
      <c r="E11" s="19"/>
      <c r="F11" s="19"/>
      <c r="G11" s="20"/>
      <c r="H11" s="19"/>
      <c r="I11" s="19"/>
      <c r="K11" s="132"/>
      <c r="L11" s="908"/>
      <c r="M11" s="139"/>
      <c r="N11" s="132"/>
      <c r="O11" s="132"/>
      <c r="P11" s="132"/>
      <c r="Q11" s="132"/>
      <c r="R11" s="132"/>
      <c r="T11" s="22"/>
      <c r="U11" s="22"/>
      <c r="V11" s="22"/>
    </row>
    <row r="12" spans="1:22" ht="16.399999999999999" customHeight="1">
      <c r="A12" s="21"/>
      <c r="B12" s="132"/>
      <c r="C12" s="132" t="s">
        <v>61</v>
      </c>
      <c r="D12" s="132"/>
      <c r="E12" s="19"/>
      <c r="F12" s="132"/>
      <c r="G12" s="132" t="s">
        <v>62</v>
      </c>
      <c r="H12" s="132"/>
      <c r="I12" s="19"/>
      <c r="J12" s="132"/>
      <c r="K12" s="132"/>
      <c r="L12" s="908"/>
      <c r="M12" s="132" t="s">
        <v>63</v>
      </c>
      <c r="N12" s="132"/>
      <c r="O12" s="132"/>
      <c r="P12" s="132"/>
      <c r="Q12" s="132"/>
      <c r="R12" s="132"/>
      <c r="S12" s="1358" t="s">
        <v>801</v>
      </c>
      <c r="T12" s="1359"/>
      <c r="U12" s="1359"/>
      <c r="V12" s="25"/>
    </row>
    <row r="13" spans="1:22" ht="13.4" customHeight="1">
      <c r="A13" s="21"/>
      <c r="B13" s="28"/>
      <c r="C13" s="28"/>
      <c r="D13" s="28"/>
      <c r="E13" s="21"/>
      <c r="F13" s="28"/>
      <c r="G13" s="29"/>
      <c r="H13" s="28"/>
      <c r="I13" s="21"/>
      <c r="J13" s="28"/>
      <c r="K13" s="28"/>
      <c r="L13" s="28"/>
      <c r="M13" s="28"/>
      <c r="N13" s="28"/>
      <c r="O13" s="28"/>
      <c r="P13" s="28"/>
      <c r="Q13" s="21"/>
      <c r="R13" s="694"/>
      <c r="S13" s="24"/>
      <c r="T13" s="26"/>
      <c r="U13" s="26"/>
      <c r="V13" s="26"/>
    </row>
    <row r="14" spans="1:22" ht="16.399999999999999" customHeight="1">
      <c r="A14" s="21"/>
      <c r="B14" s="132" t="s">
        <v>6</v>
      </c>
      <c r="C14" s="19"/>
      <c r="D14" s="132" t="str">
        <f>'Exhibit A'!F11</f>
        <v>12 MOS. ENDED</v>
      </c>
      <c r="E14" s="19"/>
      <c r="F14" s="132" t="s">
        <v>6</v>
      </c>
      <c r="G14" s="138"/>
      <c r="H14" s="132" t="str">
        <f>D14</f>
        <v>12 MOS. ENDED</v>
      </c>
      <c r="I14" s="19"/>
      <c r="J14" s="132" t="s">
        <v>6</v>
      </c>
      <c r="K14" s="19"/>
      <c r="L14" s="132" t="str">
        <f>D14</f>
        <v>12 MOS. ENDED</v>
      </c>
      <c r="M14" s="19"/>
      <c r="N14" s="132" t="s">
        <v>6</v>
      </c>
      <c r="O14" s="19"/>
      <c r="P14" s="132" t="str">
        <f>H14</f>
        <v>12 MOS. ENDED</v>
      </c>
      <c r="Q14" s="132"/>
      <c r="R14" s="695"/>
      <c r="S14" s="544" t="s">
        <v>7</v>
      </c>
      <c r="T14" s="138"/>
      <c r="U14" s="545" t="s">
        <v>8</v>
      </c>
      <c r="V14" s="26"/>
    </row>
    <row r="15" spans="1:22" ht="16.399999999999999" customHeight="1">
      <c r="A15" s="21"/>
      <c r="B15" s="538" t="str">
        <f>'Exhibit A'!D12</f>
        <v>MAR. 2023</v>
      </c>
      <c r="C15" s="19"/>
      <c r="D15" s="539" t="str">
        <f>'Exhibit A'!F12</f>
        <v>MAR. 31, 2023</v>
      </c>
      <c r="E15" s="19"/>
      <c r="F15" s="132" t="str">
        <f>B15</f>
        <v>MAR. 2023</v>
      </c>
      <c r="G15" s="19"/>
      <c r="H15" s="132" t="str">
        <f>D15</f>
        <v>MAR. 31, 2023</v>
      </c>
      <c r="I15" s="19"/>
      <c r="J15" s="132" t="str">
        <f>B15</f>
        <v>MAR. 2023</v>
      </c>
      <c r="K15" s="19"/>
      <c r="L15" s="132" t="str">
        <f>'Exhibit A'!X12</f>
        <v>MAR. 31, 2023</v>
      </c>
      <c r="M15" s="19"/>
      <c r="N15" s="1893" t="str">
        <f>'Exhibit A'!AB12</f>
        <v>MAR. 2022</v>
      </c>
      <c r="O15" s="19"/>
      <c r="P15" s="1893" t="str">
        <f>'Exhibit A'!AD12</f>
        <v>MAR. 31, 2022</v>
      </c>
      <c r="Q15" s="537"/>
      <c r="R15" s="696"/>
      <c r="S15" s="546" t="s">
        <v>11</v>
      </c>
      <c r="T15" s="138"/>
      <c r="U15" s="547" t="s">
        <v>12</v>
      </c>
      <c r="V15" s="26"/>
    </row>
    <row r="16" spans="1:22" ht="13.4" customHeight="1">
      <c r="A16" s="21"/>
      <c r="B16" s="28"/>
      <c r="C16" s="21"/>
      <c r="D16" s="28" t="s">
        <v>14</v>
      </c>
      <c r="E16" s="21"/>
      <c r="F16" s="28"/>
      <c r="G16" s="21"/>
      <c r="H16" s="29" t="s">
        <v>14</v>
      </c>
      <c r="I16" s="30"/>
      <c r="J16" s="31"/>
      <c r="K16" s="21"/>
      <c r="L16" s="28"/>
      <c r="M16" s="30"/>
      <c r="N16" s="21"/>
      <c r="O16" s="21"/>
      <c r="P16" s="21"/>
      <c r="Q16" s="21"/>
      <c r="R16" s="694"/>
      <c r="S16" s="24"/>
      <c r="T16" s="21"/>
      <c r="U16" s="26"/>
      <c r="V16" s="21"/>
    </row>
    <row r="17" spans="1:22" ht="16.399999999999999" customHeight="1">
      <c r="A17" s="19" t="s">
        <v>13</v>
      </c>
      <c r="B17" s="21"/>
      <c r="C17" s="21"/>
      <c r="D17" s="21"/>
      <c r="E17" s="21"/>
      <c r="F17" s="21"/>
      <c r="G17" s="21"/>
      <c r="H17" s="21"/>
      <c r="I17" s="30"/>
      <c r="J17" s="30"/>
      <c r="K17" s="21"/>
      <c r="L17" s="21"/>
      <c r="M17" s="30"/>
      <c r="N17" s="21"/>
      <c r="O17" s="21"/>
      <c r="P17" s="21"/>
      <c r="Q17" s="21"/>
      <c r="R17" s="694"/>
      <c r="S17" s="24"/>
      <c r="T17" s="21"/>
      <c r="U17" s="26"/>
      <c r="V17" s="21"/>
    </row>
    <row r="18" spans="1:22" ht="16.399999999999999" customHeight="1">
      <c r="A18" s="21" t="s">
        <v>19</v>
      </c>
      <c r="B18" s="479">
        <f>'Exhibit J'!Y19</f>
        <v>231.89999999999969</v>
      </c>
      <c r="C18" s="479"/>
      <c r="D18" s="479">
        <f>+'Exhibit J'!AB19</f>
        <v>3149.2</v>
      </c>
      <c r="E18" s="479"/>
      <c r="F18" s="479">
        <f>'Exhibit K'!X17</f>
        <v>98.200000000000173</v>
      </c>
      <c r="G18" s="479"/>
      <c r="H18" s="479">
        <f>+'Exhibit K'!AA17</f>
        <v>603.70000000000005</v>
      </c>
      <c r="I18" s="829"/>
      <c r="J18" s="829">
        <f>ROUND(SUM(B18)+SUM(F18),1)</f>
        <v>330.1</v>
      </c>
      <c r="K18" s="479"/>
      <c r="L18" s="936">
        <f>ROUND(SUM(D18)+SUM(H18),1)</f>
        <v>3752.9</v>
      </c>
      <c r="M18" s="829"/>
      <c r="N18" s="479">
        <v>343.09999999999997</v>
      </c>
      <c r="O18" s="479"/>
      <c r="P18" s="479">
        <f>'Exhibit J'!AE19+'Exhibit K'!AD17</f>
        <v>3501.8</v>
      </c>
      <c r="Q18" s="479"/>
      <c r="R18" s="937"/>
      <c r="S18" s="479">
        <f>ROUND(SUM(L18-P18),1)</f>
        <v>251.1</v>
      </c>
      <c r="T18" s="670"/>
      <c r="U18" s="488">
        <f>ROUND(+S18/P18,3)</f>
        <v>7.1999999999999995E-2</v>
      </c>
      <c r="V18" s="33"/>
    </row>
    <row r="19" spans="1:22" ht="16.399999999999999" customHeight="1">
      <c r="A19" s="597" t="s">
        <v>64</v>
      </c>
      <c r="B19" s="467">
        <f>'Exhibit J'!Y20</f>
        <v>2.5</v>
      </c>
      <c r="C19" s="467"/>
      <c r="D19" s="467">
        <f>+'Exhibit J'!AB20</f>
        <v>74</v>
      </c>
      <c r="E19" s="467"/>
      <c r="F19" s="480">
        <v>0</v>
      </c>
      <c r="G19" s="467"/>
      <c r="H19" s="480">
        <v>0</v>
      </c>
      <c r="I19" s="938"/>
      <c r="J19" s="939">
        <f>ROUND(SUM(B19)+SUM(F19),1)</f>
        <v>2.5</v>
      </c>
      <c r="K19" s="467"/>
      <c r="L19" s="467">
        <f>ROUND(SUM(D19)+SUM(H19),1)</f>
        <v>74</v>
      </c>
      <c r="M19" s="940"/>
      <c r="N19" s="467">
        <v>19.100000000000001</v>
      </c>
      <c r="O19" s="467"/>
      <c r="P19" s="467">
        <f>'Exhibit J'!AE20</f>
        <v>23966.2</v>
      </c>
      <c r="Q19" s="467"/>
      <c r="R19" s="941"/>
      <c r="S19" s="467">
        <f>ROUND(SUM(L19-P19),1)</f>
        <v>-23892.2</v>
      </c>
      <c r="T19" s="942"/>
      <c r="U19" s="998">
        <f>ROUND(+S19/P19,3)</f>
        <v>-0.997</v>
      </c>
      <c r="V19" s="39"/>
    </row>
    <row r="20" spans="1:22" ht="16.399999999999999" customHeight="1">
      <c r="A20" s="21" t="s">
        <v>65</v>
      </c>
      <c r="B20" s="467">
        <f>'Exhibit J'!Y21</f>
        <v>230.89999999999986</v>
      </c>
      <c r="C20" s="467"/>
      <c r="D20" s="467">
        <f>+'Exhibit J'!AB21</f>
        <v>1860.8</v>
      </c>
      <c r="E20" s="467"/>
      <c r="F20" s="480">
        <v>0</v>
      </c>
      <c r="G20" s="467"/>
      <c r="H20" s="480">
        <v>0</v>
      </c>
      <c r="I20" s="938"/>
      <c r="J20" s="943">
        <f>ROUND(SUM(B20+F20),1)</f>
        <v>230.9</v>
      </c>
      <c r="K20" s="467"/>
      <c r="L20" s="467">
        <f>ROUND(SUM(D20)+SUM(H20),1)</f>
        <v>1860.8</v>
      </c>
      <c r="M20" s="940"/>
      <c r="N20" s="467">
        <v>214.1</v>
      </c>
      <c r="O20" s="649"/>
      <c r="P20" s="467">
        <f>'Exhibit J'!AE21</f>
        <v>3132.2</v>
      </c>
      <c r="Q20" s="467"/>
      <c r="R20" s="941"/>
      <c r="S20" s="467">
        <f>ROUND(SUM(L20-P20),1)</f>
        <v>-1271.4000000000001</v>
      </c>
      <c r="T20" s="942"/>
      <c r="U20" s="1145">
        <f>ROUND(+S20/P20,3)</f>
        <v>-0.40600000000000003</v>
      </c>
      <c r="V20" s="39"/>
    </row>
    <row r="21" spans="1:22">
      <c r="A21" s="19" t="s">
        <v>21</v>
      </c>
      <c r="B21" s="41">
        <f>ROUND(SUM(B18:B20),1)</f>
        <v>465.3</v>
      </c>
      <c r="C21" s="42"/>
      <c r="D21" s="41">
        <f>ROUND(SUM(D18:D20),1)</f>
        <v>5084</v>
      </c>
      <c r="E21" s="42"/>
      <c r="F21" s="41">
        <f>ROUND(SUM(F18:F20),1)</f>
        <v>98.2</v>
      </c>
      <c r="G21" s="42"/>
      <c r="H21" s="41">
        <f>ROUND(SUM(H18:H20),1)</f>
        <v>603.70000000000005</v>
      </c>
      <c r="I21" s="43"/>
      <c r="J21" s="41">
        <f>SUM(J18:J20)</f>
        <v>563.5</v>
      </c>
      <c r="K21" s="42"/>
      <c r="L21" s="41">
        <f>SUM(L18:L20)</f>
        <v>5687.7</v>
      </c>
      <c r="M21" s="44"/>
      <c r="N21" s="41">
        <f>ROUND(SUM(N18:N20),1)</f>
        <v>576.29999999999995</v>
      </c>
      <c r="O21" s="42"/>
      <c r="P21" s="41">
        <f>ROUND(SUM(P18:P20),1)</f>
        <v>30600.2</v>
      </c>
      <c r="Q21" s="42"/>
      <c r="R21" s="237"/>
      <c r="S21" s="41">
        <f>ROUND(SUM(S18:S20),1)</f>
        <v>-24912.5</v>
      </c>
      <c r="T21" s="472"/>
      <c r="U21" s="2000">
        <f>ROUND(+S21/P21,3)</f>
        <v>-0.81399999999999995</v>
      </c>
      <c r="V21" s="39"/>
    </row>
    <row r="22" spans="1:22">
      <c r="A22" s="19"/>
      <c r="B22" s="467"/>
      <c r="C22" s="467"/>
      <c r="D22" s="467"/>
      <c r="E22" s="467"/>
      <c r="F22" s="467"/>
      <c r="G22" s="467"/>
      <c r="H22" s="467"/>
      <c r="I22" s="939"/>
      <c r="J22" s="939"/>
      <c r="K22" s="467"/>
      <c r="L22" s="467"/>
      <c r="M22" s="939"/>
      <c r="N22" s="467"/>
      <c r="O22" s="467"/>
      <c r="P22" s="467"/>
      <c r="Q22" s="467"/>
      <c r="R22" s="941"/>
      <c r="S22" s="646"/>
      <c r="T22" s="499"/>
      <c r="U22" s="646"/>
      <c r="V22" s="21"/>
    </row>
    <row r="23" spans="1:22" ht="16.399999999999999" customHeight="1">
      <c r="A23" s="19" t="s">
        <v>22</v>
      </c>
      <c r="B23" s="467"/>
      <c r="C23" s="467"/>
      <c r="D23" s="467"/>
      <c r="E23" s="467"/>
      <c r="F23" s="467"/>
      <c r="G23" s="467"/>
      <c r="H23" s="467"/>
      <c r="I23" s="939"/>
      <c r="J23" s="939"/>
      <c r="K23" s="467"/>
      <c r="L23" s="467"/>
      <c r="M23" s="939"/>
      <c r="N23" s="467"/>
      <c r="O23" s="467"/>
      <c r="P23" s="467"/>
      <c r="Q23" s="467"/>
      <c r="R23" s="941"/>
      <c r="S23" s="646"/>
      <c r="T23" s="499"/>
      <c r="U23" s="646"/>
      <c r="V23" s="21"/>
    </row>
    <row r="24" spans="1:22" ht="16.399999999999999" customHeight="1">
      <c r="A24" s="21" t="s">
        <v>35</v>
      </c>
      <c r="B24" s="467"/>
      <c r="C24" s="467"/>
      <c r="D24" s="467"/>
      <c r="E24" s="467"/>
      <c r="F24" s="467"/>
      <c r="G24" s="467"/>
      <c r="H24" s="467"/>
      <c r="I24" s="939"/>
      <c r="J24" s="939"/>
      <c r="K24" s="467"/>
      <c r="L24" s="467"/>
      <c r="M24" s="939"/>
      <c r="N24" s="467"/>
      <c r="O24" s="467"/>
      <c r="P24" s="467"/>
      <c r="Q24" s="467"/>
      <c r="R24" s="941"/>
      <c r="S24" s="646"/>
      <c r="T24" s="499"/>
      <c r="U24" s="646"/>
      <c r="V24" s="21"/>
    </row>
    <row r="25" spans="1:22" ht="16.399999999999999" customHeight="1">
      <c r="A25" s="21" t="s">
        <v>66</v>
      </c>
      <c r="B25" s="467">
        <f>'Exhibit J'!Y28</f>
        <v>139.4000000000002</v>
      </c>
      <c r="C25" s="467"/>
      <c r="D25" s="467">
        <f>+'Exhibit J'!AB28</f>
        <v>1703.9</v>
      </c>
      <c r="E25" s="467"/>
      <c r="F25" s="467">
        <f>'Exhibit K'!X24</f>
        <v>13.300000000000017</v>
      </c>
      <c r="G25" s="467"/>
      <c r="H25" s="467">
        <f>+'Exhibit K'!AA24</f>
        <v>132.30000000000001</v>
      </c>
      <c r="I25" s="939"/>
      <c r="J25" s="939">
        <f>ROUND(SUM(B25)+SUM(F25),1)</f>
        <v>152.69999999999999</v>
      </c>
      <c r="K25" s="467"/>
      <c r="L25" s="467">
        <f>ROUND(SUM(D25)+SUM(H25),1)</f>
        <v>1836.2</v>
      </c>
      <c r="M25" s="939"/>
      <c r="N25" s="467">
        <v>145.1</v>
      </c>
      <c r="O25" s="467"/>
      <c r="P25" s="467">
        <f>'Exhibit J'!AE28+'Exhibit K'!AD24</f>
        <v>1773.5</v>
      </c>
      <c r="Q25" s="467"/>
      <c r="R25" s="941"/>
      <c r="S25" s="467">
        <f>ROUND(SUM(L25-P25),1)</f>
        <v>62.7</v>
      </c>
      <c r="T25" s="472"/>
      <c r="U25" s="1145">
        <f>ROUND(+S25/P25,3)</f>
        <v>3.5000000000000003E-2</v>
      </c>
      <c r="V25" s="21"/>
    </row>
    <row r="26" spans="1:22" ht="16.399999999999999" customHeight="1">
      <c r="A26" s="21" t="s">
        <v>67</v>
      </c>
      <c r="B26" s="467">
        <f>'Exhibit J'!Y29</f>
        <v>53.100000000000136</v>
      </c>
      <c r="C26" s="467"/>
      <c r="D26" s="467">
        <f>+'Exhibit J'!AB29</f>
        <v>673</v>
      </c>
      <c r="E26" s="467"/>
      <c r="F26" s="467">
        <f>'Exhibit K'!X25</f>
        <v>17.399999999999977</v>
      </c>
      <c r="G26" s="467"/>
      <c r="H26" s="467">
        <f>+'Exhibit K'!AA25</f>
        <v>502.09999999999997</v>
      </c>
      <c r="I26" s="939"/>
      <c r="J26" s="939">
        <f>ROUND(SUM(B26)+SUM(F26),1)</f>
        <v>70.5</v>
      </c>
      <c r="K26" s="467"/>
      <c r="L26" s="467">
        <f>ROUND(SUM(D26)+SUM(H26),1)</f>
        <v>1175.0999999999999</v>
      </c>
      <c r="M26" s="939"/>
      <c r="N26" s="467">
        <v>7.7000000000000011</v>
      </c>
      <c r="O26" s="467"/>
      <c r="P26" s="467">
        <f>'Exhibit J'!AE29+'Exhibit K'!AD25</f>
        <v>832.3</v>
      </c>
      <c r="Q26" s="467"/>
      <c r="R26" s="941"/>
      <c r="S26" s="467">
        <f>ROUND(SUM(L26-P26),1)</f>
        <v>342.8</v>
      </c>
      <c r="T26" s="472"/>
      <c r="U26" s="1145">
        <f>ROUND(+S26/P26,3)</f>
        <v>0.41199999999999998</v>
      </c>
      <c r="V26" s="21"/>
    </row>
    <row r="27" spans="1:22" ht="16.399999999999999" customHeight="1">
      <c r="A27" s="21" t="s">
        <v>68</v>
      </c>
      <c r="B27" s="467">
        <f>'Exhibit J'!Y30</f>
        <v>50.999999999999986</v>
      </c>
      <c r="C27" s="467"/>
      <c r="D27" s="467">
        <f>+'Exhibit J'!AB30</f>
        <v>724.9</v>
      </c>
      <c r="E27" s="467"/>
      <c r="F27" s="467">
        <f>'Exhibit K'!X26</f>
        <v>5.1999999999999931</v>
      </c>
      <c r="G27" s="467"/>
      <c r="H27" s="720">
        <f>+'Exhibit K'!AA26</f>
        <v>61.9</v>
      </c>
      <c r="I27" s="467"/>
      <c r="J27" s="939">
        <f>ROUND(SUM(B27)+SUM(F27),1)</f>
        <v>56.2</v>
      </c>
      <c r="K27" s="467"/>
      <c r="L27" s="467">
        <f>ROUND(SUM(D27)+SUM(H27),1)</f>
        <v>786.8</v>
      </c>
      <c r="M27" s="939"/>
      <c r="N27" s="467">
        <v>53.699999999999996</v>
      </c>
      <c r="O27" s="649"/>
      <c r="P27" s="467">
        <f>'Exhibit J'!AE30+'Exhibit K'!AD26</f>
        <v>784</v>
      </c>
      <c r="Q27" s="467"/>
      <c r="R27" s="941"/>
      <c r="S27" s="467">
        <f>ROUND(SUM(L27-P27),1)</f>
        <v>2.8</v>
      </c>
      <c r="T27" s="472"/>
      <c r="U27" s="1145">
        <f>ROUND(+S27/P27,3)</f>
        <v>4.0000000000000001E-3</v>
      </c>
      <c r="V27" s="21"/>
    </row>
    <row r="28" spans="1:22" ht="15.75" customHeight="1">
      <c r="A28" s="597" t="s">
        <v>69</v>
      </c>
      <c r="B28" s="467">
        <f>'Exhibit J'!Y31</f>
        <v>131.59999999999991</v>
      </c>
      <c r="C28" s="467"/>
      <c r="D28" s="467">
        <f>+'Exhibit J'!AB31</f>
        <v>1833.6</v>
      </c>
      <c r="E28" s="467"/>
      <c r="F28" s="480">
        <v>0</v>
      </c>
      <c r="G28" s="467"/>
      <c r="H28" s="944">
        <v>0</v>
      </c>
      <c r="I28" s="467"/>
      <c r="J28" s="939">
        <f>ROUND(SUM(B28)+SUM(F28),1)</f>
        <v>131.6</v>
      </c>
      <c r="K28" s="649"/>
      <c r="L28" s="467">
        <f>ROUND(SUM(D28)+SUM(H28),1)</f>
        <v>1833.6</v>
      </c>
      <c r="M28" s="940"/>
      <c r="N28" s="467">
        <v>233.9</v>
      </c>
      <c r="O28" s="493"/>
      <c r="P28" s="1104">
        <f>'Exhibit J'!AE31</f>
        <v>27201.9</v>
      </c>
      <c r="Q28" s="495"/>
      <c r="R28" s="945"/>
      <c r="S28" s="467">
        <f>ROUND(SUM(L28-P28),1)</f>
        <v>-25368.3</v>
      </c>
      <c r="T28" s="472"/>
      <c r="U28" s="1145">
        <f>ROUND(+S28/P28,3)</f>
        <v>-0.93300000000000005</v>
      </c>
      <c r="V28" s="39"/>
    </row>
    <row r="29" spans="1:22">
      <c r="A29" s="19" t="s">
        <v>56</v>
      </c>
      <c r="B29" s="41">
        <f>ROUND(SUM(B25:B28),1)</f>
        <v>375.1</v>
      </c>
      <c r="C29" s="42"/>
      <c r="D29" s="41">
        <f>ROUND(SUM(D25:D28),1)</f>
        <v>4935.3999999999996</v>
      </c>
      <c r="E29" s="42"/>
      <c r="F29" s="41">
        <f>ROUND(SUM(F24:F28),1)</f>
        <v>35.9</v>
      </c>
      <c r="G29" s="42"/>
      <c r="H29" s="41">
        <f>ROUND(SUM(H25:H28),1)</f>
        <v>696.3</v>
      </c>
      <c r="I29" s="43"/>
      <c r="J29" s="47">
        <f>ROUND(SUM(J25:J28),1)</f>
        <v>411</v>
      </c>
      <c r="K29" s="42"/>
      <c r="L29" s="48">
        <f>ROUND(SUM(L25:L28),1)</f>
        <v>5631.7</v>
      </c>
      <c r="M29" s="44"/>
      <c r="N29" s="41">
        <f>ROUND(SUM(N25:N28),1)</f>
        <v>440.4</v>
      </c>
      <c r="O29" s="42"/>
      <c r="P29" s="41">
        <f>ROUND(SUM(P25:P28),1)</f>
        <v>30591.7</v>
      </c>
      <c r="Q29" s="42"/>
      <c r="R29" s="237"/>
      <c r="S29" s="41">
        <f>ROUND(SUM(S25:S28),1)</f>
        <v>-24960</v>
      </c>
      <c r="T29" s="472"/>
      <c r="U29" s="1991">
        <f>ROUND(+S29/P29,3)</f>
        <v>-0.81599999999999995</v>
      </c>
      <c r="V29" s="39"/>
    </row>
    <row r="30" spans="1:22">
      <c r="A30" s="19"/>
      <c r="B30" s="467"/>
      <c r="C30" s="467"/>
      <c r="D30" s="467"/>
      <c r="E30" s="467"/>
      <c r="F30" s="467"/>
      <c r="G30" s="467"/>
      <c r="H30" s="467"/>
      <c r="I30" s="939"/>
      <c r="J30" s="939"/>
      <c r="K30" s="467"/>
      <c r="L30" s="467"/>
      <c r="M30" s="939"/>
      <c r="N30" s="467"/>
      <c r="O30" s="467"/>
      <c r="P30" s="467"/>
      <c r="Q30" s="467"/>
      <c r="R30" s="941"/>
      <c r="S30" s="646"/>
      <c r="T30" s="499"/>
      <c r="U30" s="646"/>
      <c r="V30" s="21"/>
    </row>
    <row r="31" spans="1:22" ht="16.399999999999999" customHeight="1">
      <c r="A31" s="19" t="s">
        <v>43</v>
      </c>
      <c r="B31" s="467"/>
      <c r="C31" s="467"/>
      <c r="D31" s="467"/>
      <c r="E31" s="467"/>
      <c r="F31" s="467"/>
      <c r="G31" s="467"/>
      <c r="H31" s="467"/>
      <c r="I31" s="939"/>
      <c r="J31" s="939"/>
      <c r="K31" s="467"/>
      <c r="L31" s="467"/>
      <c r="M31" s="939"/>
      <c r="N31" s="467"/>
      <c r="O31" s="467"/>
      <c r="P31" s="467"/>
      <c r="Q31" s="467"/>
      <c r="R31" s="941"/>
      <c r="S31" s="646"/>
      <c r="T31" s="499"/>
      <c r="U31" s="646"/>
      <c r="V31" s="21"/>
    </row>
    <row r="32" spans="1:22">
      <c r="A32" s="19" t="s">
        <v>70</v>
      </c>
      <c r="B32" s="49">
        <f>ROUND(SUM(B21-B29),1)</f>
        <v>90.2</v>
      </c>
      <c r="C32" s="42"/>
      <c r="D32" s="50">
        <f>ROUND(SUM(D21-D29),1)</f>
        <v>148.6</v>
      </c>
      <c r="E32" s="42"/>
      <c r="F32" s="50">
        <f>ROUND(SUM(F21-F29),1)</f>
        <v>62.3</v>
      </c>
      <c r="G32" s="42"/>
      <c r="H32" s="50">
        <f>ROUND(SUM(H21-H29),1)</f>
        <v>-92.6</v>
      </c>
      <c r="I32" s="44"/>
      <c r="J32" s="51">
        <f>ROUND(SUM(J21-J29),1)</f>
        <v>152.5</v>
      </c>
      <c r="K32" s="42"/>
      <c r="L32" s="50">
        <f>ROUND(SUM(L21-L29),1)</f>
        <v>56</v>
      </c>
      <c r="M32" s="44"/>
      <c r="N32" s="50">
        <f>ROUND(SUM(N21-N29),1)</f>
        <v>135.9</v>
      </c>
      <c r="O32" s="42"/>
      <c r="P32" s="50">
        <f>ROUND(SUM(P21-P29),1)</f>
        <v>8.5</v>
      </c>
      <c r="Q32" s="42"/>
      <c r="R32" s="237"/>
      <c r="S32" s="50">
        <f>ROUND(SUM(S21-S29),1)</f>
        <v>47.5</v>
      </c>
      <c r="T32" s="499"/>
      <c r="U32" s="1061">
        <f>ROUND(+S32/P32,3)</f>
        <v>5.5880000000000001</v>
      </c>
      <c r="V32" s="21"/>
    </row>
    <row r="33" spans="1:22">
      <c r="A33" s="21"/>
      <c r="B33" s="467"/>
      <c r="C33" s="467"/>
      <c r="D33" s="467"/>
      <c r="E33" s="467"/>
      <c r="F33" s="467"/>
      <c r="G33" s="467"/>
      <c r="H33" s="467"/>
      <c r="I33" s="939"/>
      <c r="J33" s="939"/>
      <c r="K33" s="467"/>
      <c r="L33" s="467"/>
      <c r="M33" s="939"/>
      <c r="N33" s="467"/>
      <c r="O33" s="467"/>
      <c r="P33" s="467"/>
      <c r="Q33" s="467"/>
      <c r="R33" s="941"/>
      <c r="S33" s="646"/>
      <c r="T33" s="499"/>
      <c r="U33" s="646"/>
      <c r="V33" s="21"/>
    </row>
    <row r="34" spans="1:22" ht="16.399999999999999" customHeight="1">
      <c r="A34" s="19" t="s">
        <v>45</v>
      </c>
      <c r="B34" s="467"/>
      <c r="C34" s="467"/>
      <c r="D34" s="467"/>
      <c r="E34" s="467"/>
      <c r="F34" s="467"/>
      <c r="G34" s="467"/>
      <c r="H34" s="467"/>
      <c r="I34" s="939"/>
      <c r="J34" s="939"/>
      <c r="K34" s="467"/>
      <c r="L34" s="467"/>
      <c r="M34" s="939"/>
      <c r="N34" s="467"/>
      <c r="O34" s="467"/>
      <c r="P34" s="467"/>
      <c r="Q34" s="467"/>
      <c r="R34" s="941"/>
      <c r="S34" s="646"/>
      <c r="T34" s="499"/>
      <c r="U34" s="646"/>
      <c r="V34" s="21"/>
    </row>
    <row r="35" spans="1:22" ht="16.399999999999999" customHeight="1">
      <c r="A35" s="21" t="s">
        <v>46</v>
      </c>
      <c r="B35" s="480">
        <f>+'Exhibit J'!Y41</f>
        <v>2</v>
      </c>
      <c r="C35" s="467"/>
      <c r="D35" s="480">
        <f>+'Exhibit J'!AB41</f>
        <v>7</v>
      </c>
      <c r="E35" s="467"/>
      <c r="F35" s="467">
        <f>'Exhibit K'!X36</f>
        <v>106.50000000000003</v>
      </c>
      <c r="G35" s="493"/>
      <c r="H35" s="721">
        <f>+'Exhibit K'!AA36</f>
        <v>193.3</v>
      </c>
      <c r="I35" s="939"/>
      <c r="J35" s="939">
        <f>ROUND(SUM(B35)+SUM(F35),1)</f>
        <v>108.5</v>
      </c>
      <c r="K35" s="493"/>
      <c r="L35" s="720">
        <f>ROUND(SUM(D35)+SUM(H35),1)</f>
        <v>200.3</v>
      </c>
      <c r="M35" s="467"/>
      <c r="N35" s="467">
        <v>145.9</v>
      </c>
      <c r="O35" s="467"/>
      <c r="P35" s="496">
        <f>'Exhibit J'!AE41+'Exhibit K'!AD36</f>
        <v>253.2</v>
      </c>
      <c r="Q35" s="496"/>
      <c r="R35" s="946"/>
      <c r="S35" s="467">
        <f>ROUND(SUM(L35-P35),1)</f>
        <v>-52.9</v>
      </c>
      <c r="T35" s="472"/>
      <c r="U35" s="934">
        <f>ROUND(IF(S35=0,0,S35/(P35)),3)</f>
        <v>-0.20899999999999999</v>
      </c>
      <c r="V35" s="53"/>
    </row>
    <row r="36" spans="1:22" ht="16.399999999999999" customHeight="1">
      <c r="A36" s="21" t="s">
        <v>71</v>
      </c>
      <c r="B36" s="1728">
        <f>+'Exhibit J'!Y42</f>
        <v>-2.9</v>
      </c>
      <c r="C36" s="649"/>
      <c r="D36" s="729">
        <f>+'Exhibit J'!AB42</f>
        <v>-2.9</v>
      </c>
      <c r="E36" s="467"/>
      <c r="F36" s="467">
        <f>'Exhibit K'!X37</f>
        <v>0</v>
      </c>
      <c r="G36" s="467"/>
      <c r="H36" s="721">
        <f>+'Exhibit K'!AA37</f>
        <v>-5.6</v>
      </c>
      <c r="I36" s="1729"/>
      <c r="J36" s="939">
        <f>ROUND(SUM(B36)+SUM(F36),1)</f>
        <v>-2.9</v>
      </c>
      <c r="K36" s="467"/>
      <c r="L36" s="467">
        <f>ROUND(SUM(D36)+SUM(H36),1)</f>
        <v>-8.5</v>
      </c>
      <c r="M36" s="939"/>
      <c r="N36" s="467">
        <v>0</v>
      </c>
      <c r="O36" s="649"/>
      <c r="P36" s="496">
        <f>'Exhibit J'!AE42+'Exhibit K'!AD37</f>
        <v>-5.2</v>
      </c>
      <c r="Q36" s="496"/>
      <c r="R36" s="946"/>
      <c r="S36" s="1730">
        <f>-ROUND(SUM(L36-P36),1)</f>
        <v>3.3</v>
      </c>
      <c r="T36" s="472"/>
      <c r="U36" s="1145">
        <f>ROUND(IF(P36=0,1,S36/ABS(P36)),3)</f>
        <v>0.63500000000000001</v>
      </c>
      <c r="V36" s="1731"/>
    </row>
    <row r="37" spans="1:22">
      <c r="A37" s="19" t="s">
        <v>48</v>
      </c>
      <c r="B37" s="54">
        <f>ROUND(SUM(B35:B36),1)</f>
        <v>-0.9</v>
      </c>
      <c r="C37" s="55"/>
      <c r="D37" s="54">
        <f>ROUND(SUM(D35:D36),1)</f>
        <v>4.0999999999999996</v>
      </c>
      <c r="E37" s="42"/>
      <c r="F37" s="56">
        <f>ROUND(SUM(F35:F36),1)</f>
        <v>106.5</v>
      </c>
      <c r="G37" s="57"/>
      <c r="H37" s="58">
        <f>ROUND(SUM(H35:H36),1)</f>
        <v>187.7</v>
      </c>
      <c r="I37" s="42"/>
      <c r="J37" s="59">
        <f>ROUND(SUM(J35:J36),1)</f>
        <v>105.6</v>
      </c>
      <c r="K37" s="57"/>
      <c r="L37" s="58">
        <f>ROUND(SUM(L35:L36),1)</f>
        <v>191.8</v>
      </c>
      <c r="M37" s="44"/>
      <c r="N37" s="1894">
        <f>ROUND(SUM(N35:N36),1)</f>
        <v>145.9</v>
      </c>
      <c r="O37" s="42"/>
      <c r="P37" s="1894">
        <f>ROUND(SUM(P35:P36),1)</f>
        <v>248</v>
      </c>
      <c r="Q37" s="693"/>
      <c r="R37" s="697"/>
      <c r="S37" s="56">
        <f>L37-P37</f>
        <v>-56.199999999999989</v>
      </c>
      <c r="T37" s="947"/>
      <c r="U37" s="199">
        <f>ROUND(SUM(S37/P37),3)</f>
        <v>-0.22700000000000001</v>
      </c>
      <c r="V37" s="60"/>
    </row>
    <row r="38" spans="1:22">
      <c r="A38" s="19"/>
      <c r="B38" s="497"/>
      <c r="C38" s="467"/>
      <c r="D38" s="497"/>
      <c r="E38" s="467"/>
      <c r="F38" s="467"/>
      <c r="G38" s="467"/>
      <c r="H38" s="467"/>
      <c r="I38" s="939"/>
      <c r="J38" s="939"/>
      <c r="K38" s="467"/>
      <c r="L38" s="497"/>
      <c r="M38" s="939"/>
      <c r="N38" s="467"/>
      <c r="O38" s="467"/>
      <c r="P38" s="467"/>
      <c r="Q38" s="467"/>
      <c r="R38" s="941"/>
      <c r="S38" s="646"/>
      <c r="T38" s="499"/>
      <c r="U38" s="600"/>
      <c r="V38" s="21"/>
    </row>
    <row r="39" spans="1:22" ht="15.75" customHeight="1">
      <c r="A39" s="19" t="s">
        <v>43</v>
      </c>
      <c r="B39" s="467"/>
      <c r="C39" s="467"/>
      <c r="D39" s="467"/>
      <c r="E39" s="467"/>
      <c r="F39" s="467"/>
      <c r="G39" s="467"/>
      <c r="H39" s="467"/>
      <c r="I39" s="939"/>
      <c r="J39" s="939"/>
      <c r="K39" s="467"/>
      <c r="L39" s="467"/>
      <c r="M39" s="939"/>
      <c r="N39" s="467"/>
      <c r="O39" s="467"/>
      <c r="P39" s="467"/>
      <c r="Q39" s="467"/>
      <c r="R39" s="941"/>
      <c r="S39" s="646"/>
      <c r="T39" s="499"/>
      <c r="U39" s="600"/>
      <c r="V39" s="21"/>
    </row>
    <row r="40" spans="1:22" ht="15.75" customHeight="1">
      <c r="A40" s="19" t="s">
        <v>72</v>
      </c>
      <c r="B40" s="467"/>
      <c r="C40" s="467"/>
      <c r="D40" s="467"/>
      <c r="E40" s="467"/>
      <c r="F40" s="467"/>
      <c r="G40" s="467"/>
      <c r="H40" s="467"/>
      <c r="I40" s="939"/>
      <c r="J40" s="939"/>
      <c r="K40" s="467"/>
      <c r="L40" s="467"/>
      <c r="M40" s="939"/>
      <c r="N40" s="467"/>
      <c r="O40" s="467"/>
      <c r="P40" s="467"/>
      <c r="Q40" s="467"/>
      <c r="R40" s="941"/>
      <c r="S40" s="646"/>
      <c r="T40" s="499"/>
      <c r="U40" s="600"/>
      <c r="V40" s="21"/>
    </row>
    <row r="41" spans="1:22" ht="15.75" customHeight="1">
      <c r="A41" s="19" t="s">
        <v>73</v>
      </c>
      <c r="B41" s="467"/>
      <c r="C41" s="467"/>
      <c r="D41" s="467"/>
      <c r="E41" s="467"/>
      <c r="F41" s="467"/>
      <c r="G41" s="467"/>
      <c r="H41" s="467"/>
      <c r="I41" s="939"/>
      <c r="J41" s="939"/>
      <c r="K41" s="467"/>
      <c r="L41" s="467"/>
      <c r="M41" s="939"/>
      <c r="N41" s="467"/>
      <c r="O41" s="467"/>
      <c r="P41" s="467"/>
      <c r="Q41" s="467"/>
      <c r="R41" s="941"/>
      <c r="S41" s="646"/>
      <c r="T41" s="499"/>
      <c r="U41" s="600"/>
      <c r="V41" s="21"/>
    </row>
    <row r="42" spans="1:22" ht="15.75" customHeight="1">
      <c r="A42" s="19" t="s">
        <v>74</v>
      </c>
      <c r="B42" s="62">
        <f>ROUND(SUM(B32,B37),1)</f>
        <v>89.3</v>
      </c>
      <c r="C42" s="42"/>
      <c r="D42" s="62">
        <f>ROUND(SUM(D32,D37),1)</f>
        <v>152.69999999999999</v>
      </c>
      <c r="E42" s="42"/>
      <c r="F42" s="62">
        <f>ROUND(SUM(F32,F37),1)</f>
        <v>168.8</v>
      </c>
      <c r="G42" s="42"/>
      <c r="H42" s="62">
        <f>ROUND(SUM(H32,H37),1)</f>
        <v>95.1</v>
      </c>
      <c r="I42" s="63"/>
      <c r="J42" s="62">
        <f>ROUND(SUM(J32,J37),1)</f>
        <v>258.10000000000002</v>
      </c>
      <c r="K42" s="42"/>
      <c r="L42" s="62">
        <f>ROUND(SUM(L32,L37),1)</f>
        <v>247.8</v>
      </c>
      <c r="M42" s="44"/>
      <c r="N42" s="62">
        <f>ROUND(SUM(N32,N37),1)</f>
        <v>281.8</v>
      </c>
      <c r="O42" s="42"/>
      <c r="P42" s="62">
        <f>ROUND(SUM(P32,P37),1)</f>
        <v>256.5</v>
      </c>
      <c r="Q42" s="62"/>
      <c r="R42" s="698"/>
      <c r="S42" s="62">
        <f>ROUND(SUM(S32,S37),1)</f>
        <v>-8.6999999999999993</v>
      </c>
      <c r="T42" s="19"/>
      <c r="U42" s="987">
        <f>ROUND(S42/P42,3)</f>
        <v>-3.4000000000000002E-2</v>
      </c>
      <c r="V42" s="21"/>
    </row>
    <row r="43" spans="1:22">
      <c r="A43" s="19"/>
      <c r="B43" s="467"/>
      <c r="C43" s="467"/>
      <c r="D43" s="467"/>
      <c r="E43" s="467"/>
      <c r="F43" s="467"/>
      <c r="G43" s="467"/>
      <c r="H43" s="467"/>
      <c r="I43" s="939"/>
      <c r="J43" s="939"/>
      <c r="K43" s="467"/>
      <c r="L43" s="467"/>
      <c r="M43" s="939"/>
      <c r="N43" s="467"/>
      <c r="O43" s="467"/>
      <c r="P43" s="467"/>
      <c r="Q43" s="467"/>
      <c r="R43" s="941"/>
      <c r="S43" s="646"/>
      <c r="T43" s="499"/>
      <c r="U43" s="646"/>
      <c r="V43" s="21"/>
    </row>
    <row r="44" spans="1:22" s="45" customFormat="1">
      <c r="A44" s="19" t="s">
        <v>75</v>
      </c>
      <c r="B44" s="42">
        <f>+'Exhibit J'!Y16</f>
        <v>421.1</v>
      </c>
      <c r="C44" s="42"/>
      <c r="D44" s="42">
        <f>+'Exhibit J'!AB16</f>
        <v>357.7</v>
      </c>
      <c r="E44" s="42"/>
      <c r="F44" s="1896">
        <f>+'Exhibit K'!X14</f>
        <v>-210.4</v>
      </c>
      <c r="G44" s="42"/>
      <c r="H44" s="42">
        <f>+'Exhibit K'!AA14</f>
        <v>-136.69999999999999</v>
      </c>
      <c r="I44" s="44"/>
      <c r="J44" s="44">
        <f>ROUND(SUM(B44)+SUM(F44),1)</f>
        <v>210.7</v>
      </c>
      <c r="K44" s="42"/>
      <c r="L44" s="42">
        <f>ROUND(SUM(D44)+SUM(H44),1)</f>
        <v>221</v>
      </c>
      <c r="M44" s="44"/>
      <c r="N44" s="77">
        <v>-60.800000000000011</v>
      </c>
      <c r="O44" s="42"/>
      <c r="P44" s="50">
        <f>'Exhibit J'!AE16+'Exhibit K'!AD14</f>
        <v>-35.5</v>
      </c>
      <c r="Q44" s="42"/>
      <c r="R44" s="237"/>
      <c r="S44" s="42">
        <f>ROUND(SUM(L44-P44),1)</f>
        <v>256.5</v>
      </c>
      <c r="T44" s="19"/>
      <c r="U44" s="987">
        <f>-ROUND(SUM(S44/P44),3)</f>
        <v>7.2249999999999996</v>
      </c>
      <c r="V44" s="19"/>
    </row>
    <row r="45" spans="1:22" ht="16" thickBot="1">
      <c r="A45" s="19" t="s">
        <v>76</v>
      </c>
      <c r="B45" s="64">
        <f>ROUND(SUM(B42+B44),1)</f>
        <v>510.4</v>
      </c>
      <c r="C45" s="65"/>
      <c r="D45" s="64">
        <f>ROUND(SUM(D42+D44),1)</f>
        <v>510.4</v>
      </c>
      <c r="E45" s="65"/>
      <c r="F45" s="64">
        <f>ROUND(SUM(F42+F44),1)</f>
        <v>-41.6</v>
      </c>
      <c r="G45" s="65"/>
      <c r="H45" s="64">
        <f>ROUND(SUM(H42+H44),1)</f>
        <v>-41.6</v>
      </c>
      <c r="I45" s="66"/>
      <c r="J45" s="67">
        <f>ROUND(SUM(J42+J44),1)</f>
        <v>468.8</v>
      </c>
      <c r="K45" s="65"/>
      <c r="L45" s="68">
        <f>ROUND(SUM(L42+L44),1)</f>
        <v>468.8</v>
      </c>
      <c r="M45" s="66"/>
      <c r="N45" s="69">
        <f>ROUND(SUM(N42+N44),1)</f>
        <v>221</v>
      </c>
      <c r="O45" s="65"/>
      <c r="P45" s="69">
        <f>ROUND(SUM(P42+P44),1)</f>
        <v>221</v>
      </c>
      <c r="Q45" s="65"/>
      <c r="R45" s="233"/>
      <c r="S45" s="69">
        <f>ROUND(SUM(S42+S44),1)</f>
        <v>247.8</v>
      </c>
      <c r="T45" s="670"/>
      <c r="U45" s="976">
        <f>ROUND(SUM(S45/ABS(P45)),3)</f>
        <v>1.121</v>
      </c>
      <c r="V45" s="33"/>
    </row>
    <row r="46" spans="1:22" ht="4.4000000000000004" customHeight="1" thickTop="1">
      <c r="A46" s="21"/>
      <c r="B46" s="735"/>
      <c r="C46" s="670"/>
      <c r="D46" s="735"/>
      <c r="E46" s="670"/>
      <c r="F46" s="735"/>
      <c r="G46" s="670"/>
      <c r="H46" s="735"/>
      <c r="I46" s="670"/>
      <c r="J46" s="735"/>
      <c r="K46" s="670"/>
      <c r="L46" s="735"/>
      <c r="M46" s="670"/>
      <c r="N46" s="670"/>
      <c r="O46" s="670"/>
      <c r="P46" s="670"/>
      <c r="Q46" s="670"/>
      <c r="R46" s="670"/>
      <c r="S46" s="670"/>
      <c r="T46" s="715"/>
      <c r="U46" s="715"/>
      <c r="V46" s="70"/>
    </row>
    <row r="47" spans="1:22">
      <c r="A47" s="499"/>
      <c r="B47" s="24" t="s">
        <v>14</v>
      </c>
      <c r="C47" s="24"/>
      <c r="D47" s="24"/>
      <c r="E47" s="24"/>
      <c r="F47" s="71"/>
      <c r="G47" s="24"/>
      <c r="H47" s="24"/>
      <c r="I47" s="24"/>
      <c r="J47" s="24"/>
      <c r="K47" s="24"/>
      <c r="L47" s="24"/>
      <c r="M47" s="24"/>
      <c r="N47" s="1895"/>
      <c r="O47" s="24"/>
      <c r="P47" s="24"/>
      <c r="Q47" s="24"/>
      <c r="R47" s="24"/>
      <c r="S47" s="24"/>
      <c r="T47" s="26"/>
      <c r="U47" s="26"/>
      <c r="V47" s="26"/>
    </row>
    <row r="48" spans="1:22" s="72" customFormat="1" ht="16.5" customHeight="1">
      <c r="A48" s="739"/>
      <c r="B48" s="72" t="s">
        <v>14</v>
      </c>
    </row>
    <row r="49" spans="1:21">
      <c r="A49" s="499"/>
      <c r="B49" s="35" t="s">
        <v>14</v>
      </c>
      <c r="C49" s="24"/>
      <c r="D49" s="24"/>
      <c r="E49" s="24"/>
      <c r="F49" s="24"/>
      <c r="G49" s="24"/>
      <c r="H49" s="24"/>
      <c r="I49" s="24"/>
      <c r="J49" s="24"/>
      <c r="K49" s="24"/>
      <c r="L49" s="24"/>
      <c r="M49" s="24"/>
      <c r="N49" s="1895"/>
      <c r="O49" s="24"/>
      <c r="P49" s="1895"/>
      <c r="Q49" s="24"/>
      <c r="R49" s="24"/>
      <c r="S49" s="24"/>
      <c r="T49" s="24"/>
      <c r="U49" s="24"/>
    </row>
    <row r="50" spans="1:21">
      <c r="A50" s="499"/>
      <c r="B50" s="24"/>
      <c r="C50" s="24"/>
      <c r="D50" s="24"/>
      <c r="E50" s="24"/>
      <c r="F50" s="24"/>
      <c r="G50" s="24"/>
      <c r="H50" s="24"/>
      <c r="I50" s="24"/>
      <c r="J50" s="24"/>
      <c r="K50" s="24"/>
      <c r="L50" s="24"/>
      <c r="M50" s="24"/>
      <c r="N50" s="35" t="s">
        <v>14</v>
      </c>
      <c r="O50" s="24"/>
      <c r="P50" s="35"/>
      <c r="Q50" s="24"/>
      <c r="R50" s="24"/>
      <c r="S50" s="24"/>
      <c r="T50" s="24"/>
      <c r="U50" s="24"/>
    </row>
    <row r="51" spans="1:21">
      <c r="A51" s="499"/>
      <c r="B51" s="24"/>
      <c r="C51" s="24"/>
      <c r="D51" s="24"/>
      <c r="E51" s="24"/>
      <c r="F51" s="24"/>
      <c r="G51" s="24"/>
      <c r="H51" s="24"/>
      <c r="I51" s="24"/>
      <c r="J51" s="24"/>
      <c r="K51" s="24"/>
      <c r="L51" s="24"/>
      <c r="M51" s="24"/>
      <c r="N51" s="24" t="s">
        <v>14</v>
      </c>
      <c r="O51" s="24"/>
      <c r="P51" s="24"/>
      <c r="Q51" s="24"/>
      <c r="R51" s="24"/>
      <c r="S51" s="24"/>
      <c r="T51" s="24"/>
      <c r="U51" s="24"/>
    </row>
    <row r="52" spans="1:21">
      <c r="A52" s="499"/>
      <c r="B52" s="24"/>
      <c r="C52" s="24"/>
      <c r="D52" s="24"/>
      <c r="E52" s="24"/>
      <c r="F52" s="24"/>
      <c r="G52" s="24"/>
      <c r="H52" s="24"/>
      <c r="I52" s="24"/>
      <c r="J52" s="24"/>
      <c r="K52" s="24"/>
      <c r="L52" s="24"/>
      <c r="M52" s="24"/>
      <c r="N52" s="24"/>
      <c r="O52" s="24"/>
      <c r="P52" s="24"/>
      <c r="Q52" s="24"/>
      <c r="R52" s="24"/>
      <c r="S52" s="24"/>
      <c r="T52" s="24"/>
      <c r="U52" s="24"/>
    </row>
    <row r="53" spans="1:21">
      <c r="A53" s="646"/>
    </row>
    <row r="54" spans="1:21">
      <c r="A54" s="646"/>
    </row>
    <row r="55" spans="1:21">
      <c r="A55" s="646"/>
    </row>
    <row r="56" spans="1:21">
      <c r="A56" s="646"/>
    </row>
    <row r="57" spans="1:21">
      <c r="A57" s="646"/>
    </row>
  </sheetData>
  <mergeCells count="2">
    <mergeCell ref="O3:P3"/>
    <mergeCell ref="U3:V3"/>
  </mergeCells>
  <printOptions horizontalCentered="1"/>
  <pageMargins left="0.25" right="0.25" top="0.5" bottom="0.36" header="0" footer="0.25"/>
  <pageSetup firstPageNumber="6"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workbookViewId="0"/>
  </sheetViews>
  <sheetFormatPr defaultColWidth="8.84375" defaultRowHeight="15.5"/>
  <cols>
    <col min="1" max="1" width="38.07421875" style="646" customWidth="1"/>
    <col min="2" max="2" width="13.84375" style="646" customWidth="1"/>
    <col min="3" max="3" width="1.84375" style="646" customWidth="1"/>
    <col min="4" max="4" width="13.84375" style="646" customWidth="1"/>
    <col min="5" max="5" width="2.4609375" style="646" customWidth="1"/>
    <col min="6" max="6" width="13.84375" style="646" customWidth="1"/>
    <col min="7" max="7" width="1.84375" style="646" customWidth="1"/>
    <col min="8" max="8" width="13.84375" style="646" customWidth="1"/>
    <col min="9" max="9" width="1.84375" style="646" customWidth="1"/>
    <col min="10" max="10" width="13.84375" style="646" customWidth="1"/>
    <col min="11" max="11" width="1.84375" style="646" customWidth="1"/>
    <col min="12" max="12" width="13.84375" style="646" customWidth="1"/>
    <col min="13" max="13" width="0.53515625" style="646" customWidth="1"/>
    <col min="14" max="14" width="13.84375" style="646" customWidth="1"/>
    <col min="15" max="15" width="2.53515625" style="646" customWidth="1"/>
    <col min="16" max="16" width="13.84375" style="646" customWidth="1"/>
    <col min="17" max="17" width="1.53515625" style="646" customWidth="1"/>
    <col min="18" max="18" width="2.07421875" style="646" customWidth="1"/>
    <col min="19" max="19" width="10.53515625" style="646" bestFit="1" customWidth="1"/>
    <col min="20" max="20" width="2.4609375" style="646" customWidth="1"/>
    <col min="21" max="21" width="11.07421875" style="646" bestFit="1" customWidth="1"/>
    <col min="22" max="16384" width="8.84375" style="646"/>
  </cols>
  <sheetData>
    <row r="1" spans="1:22">
      <c r="A1" s="468" t="s">
        <v>868</v>
      </c>
    </row>
    <row r="2" spans="1:22">
      <c r="A2" s="600"/>
    </row>
    <row r="3" spans="1:22" s="499" customFormat="1" ht="18" customHeight="1">
      <c r="A3" s="19" t="s">
        <v>0</v>
      </c>
      <c r="B3" s="19"/>
      <c r="C3" s="19"/>
      <c r="D3" s="19"/>
      <c r="E3" s="19"/>
      <c r="F3" s="646"/>
      <c r="G3" s="646"/>
      <c r="H3" s="19"/>
      <c r="I3" s="19"/>
      <c r="J3" s="19"/>
      <c r="K3" s="19"/>
      <c r="L3" s="19"/>
      <c r="M3" s="19"/>
      <c r="N3" s="1892"/>
      <c r="R3" s="600"/>
      <c r="S3" s="600"/>
      <c r="T3" s="600"/>
      <c r="U3" s="667" t="s">
        <v>77</v>
      </c>
      <c r="V3" s="600"/>
    </row>
    <row r="4" spans="1:22" s="499" customFormat="1" ht="15.75" customHeight="1">
      <c r="A4" s="19" t="s">
        <v>781</v>
      </c>
      <c r="B4" s="19"/>
      <c r="C4" s="19"/>
      <c r="D4" s="19"/>
      <c r="E4" s="19"/>
      <c r="F4" s="646"/>
      <c r="G4" s="646"/>
      <c r="H4" s="19"/>
      <c r="I4" s="19"/>
      <c r="J4" s="19"/>
      <c r="K4" s="19"/>
      <c r="L4" s="19"/>
      <c r="M4" s="19"/>
      <c r="N4" s="19"/>
      <c r="O4" s="19"/>
      <c r="P4" s="19"/>
      <c r="R4" s="600"/>
      <c r="S4" s="600"/>
      <c r="T4" s="600"/>
      <c r="U4" s="600"/>
      <c r="V4" s="600"/>
    </row>
    <row r="5" spans="1:22" s="499" customFormat="1" ht="15.75" customHeight="1">
      <c r="A5" s="117" t="s">
        <v>782</v>
      </c>
      <c r="B5" s="19"/>
      <c r="C5" s="19"/>
      <c r="D5" s="19"/>
      <c r="E5" s="19"/>
      <c r="F5" s="646"/>
      <c r="G5" s="646"/>
      <c r="H5" s="19"/>
      <c r="I5" s="19"/>
      <c r="J5" s="19"/>
      <c r="K5" s="19"/>
      <c r="L5" s="19"/>
      <c r="M5" s="19"/>
      <c r="N5" s="19"/>
      <c r="O5" s="19"/>
      <c r="P5" s="19" t="s">
        <v>14</v>
      </c>
      <c r="R5" s="600"/>
      <c r="S5" s="600"/>
      <c r="T5" s="600"/>
      <c r="U5" s="600"/>
      <c r="V5" s="600"/>
    </row>
    <row r="6" spans="1:22" s="499" customFormat="1" ht="15.75" customHeight="1">
      <c r="A6" s="19" t="s">
        <v>1247</v>
      </c>
      <c r="B6" s="19"/>
      <c r="C6" s="19"/>
      <c r="D6" s="19"/>
      <c r="E6" s="19"/>
      <c r="F6" s="646"/>
      <c r="G6" s="646"/>
      <c r="H6" s="19"/>
      <c r="I6" s="19"/>
      <c r="J6" s="19"/>
      <c r="K6" s="19"/>
      <c r="L6" s="19"/>
      <c r="M6" s="19"/>
      <c r="N6" s="19"/>
      <c r="O6" s="19"/>
      <c r="P6" s="19"/>
      <c r="R6" s="600"/>
      <c r="S6" s="600"/>
      <c r="T6" s="600"/>
      <c r="U6" s="600"/>
      <c r="V6" s="600"/>
    </row>
    <row r="7" spans="1:22" s="499" customFormat="1">
      <c r="A7" s="23"/>
      <c r="B7" s="19"/>
      <c r="C7" s="19"/>
      <c r="D7" s="19"/>
      <c r="E7" s="19"/>
      <c r="F7" s="646"/>
      <c r="G7" s="646"/>
      <c r="H7" s="19"/>
      <c r="I7" s="19"/>
      <c r="J7" s="19"/>
      <c r="K7" s="19"/>
      <c r="L7" s="19"/>
      <c r="M7" s="19"/>
      <c r="N7" s="19"/>
      <c r="O7" s="19"/>
      <c r="P7" s="19"/>
      <c r="R7" s="600"/>
      <c r="S7" s="600"/>
      <c r="T7" s="600"/>
      <c r="U7" s="600"/>
      <c r="V7" s="600"/>
    </row>
    <row r="8" spans="1:22" s="499" customFormat="1">
      <c r="B8" s="19"/>
      <c r="C8" s="19"/>
      <c r="D8" s="19"/>
      <c r="E8" s="19"/>
      <c r="F8" s="646"/>
      <c r="G8" s="646"/>
      <c r="H8" s="19"/>
      <c r="I8" s="19"/>
      <c r="J8" s="19"/>
      <c r="K8" s="19"/>
      <c r="L8" s="19"/>
      <c r="M8" s="19"/>
      <c r="N8" s="19"/>
      <c r="O8" s="19"/>
      <c r="P8" s="19"/>
      <c r="R8" s="600"/>
      <c r="S8" s="600"/>
      <c r="T8" s="600"/>
      <c r="U8" s="600"/>
      <c r="V8" s="600"/>
    </row>
    <row r="9" spans="1:22" s="499" customFormat="1" ht="8.15" customHeight="1">
      <c r="B9" s="19"/>
      <c r="C9" s="19"/>
      <c r="D9" s="19"/>
      <c r="E9" s="19"/>
      <c r="F9" s="19"/>
      <c r="G9" s="646"/>
      <c r="H9" s="19"/>
      <c r="I9" s="19"/>
      <c r="J9" s="19"/>
      <c r="K9" s="19"/>
      <c r="L9" s="19"/>
      <c r="M9" s="19"/>
      <c r="N9" s="19"/>
      <c r="O9" s="19"/>
      <c r="P9" s="19"/>
      <c r="T9" s="646"/>
      <c r="U9" s="646"/>
      <c r="V9" s="646"/>
    </row>
    <row r="10" spans="1:22" s="499" customFormat="1">
      <c r="B10" s="19"/>
      <c r="C10" s="19"/>
      <c r="D10" s="19"/>
      <c r="E10" s="19"/>
      <c r="F10" s="19"/>
      <c r="G10" s="646"/>
      <c r="H10" s="19"/>
      <c r="I10" s="19"/>
      <c r="J10" s="19"/>
      <c r="K10" s="19"/>
      <c r="L10" s="19"/>
      <c r="M10" s="19"/>
      <c r="N10" s="19"/>
      <c r="O10" s="19"/>
      <c r="P10" s="19"/>
      <c r="R10" s="600"/>
      <c r="S10" s="600"/>
      <c r="T10" s="600"/>
      <c r="U10" s="600"/>
      <c r="V10" s="600"/>
    </row>
    <row r="11" spans="1:22" s="499" customFormat="1">
      <c r="B11" s="19"/>
      <c r="C11" s="19"/>
      <c r="D11" s="19"/>
      <c r="E11" s="19"/>
      <c r="F11" s="19"/>
      <c r="G11" s="646"/>
      <c r="H11" s="19"/>
      <c r="I11" s="19"/>
      <c r="K11" s="73"/>
      <c r="L11" s="647"/>
      <c r="M11" s="647"/>
      <c r="N11" s="73"/>
      <c r="O11" s="73"/>
      <c r="P11" s="73"/>
      <c r="R11" s="600"/>
      <c r="S11" s="600"/>
      <c r="T11" s="600"/>
      <c r="U11" s="600"/>
      <c r="V11" s="600"/>
    </row>
    <row r="12" spans="1:22" ht="16.399999999999999" customHeight="1">
      <c r="A12" s="499"/>
      <c r="B12" s="73" t="s">
        <v>1458</v>
      </c>
      <c r="C12" s="700"/>
      <c r="D12" s="73"/>
      <c r="E12" s="19"/>
      <c r="F12" s="73" t="s">
        <v>78</v>
      </c>
      <c r="G12" s="700"/>
      <c r="H12" s="73"/>
      <c r="I12" s="19"/>
      <c r="J12" s="73" t="s">
        <v>79</v>
      </c>
      <c r="K12" s="73"/>
      <c r="L12" s="647"/>
      <c r="M12" s="73"/>
      <c r="N12" s="73"/>
      <c r="O12" s="73"/>
      <c r="P12" s="73"/>
      <c r="Q12" s="499"/>
      <c r="R12" s="701"/>
      <c r="S12" s="2305" t="s">
        <v>801</v>
      </c>
      <c r="T12" s="2305"/>
      <c r="U12" s="2305"/>
      <c r="V12" s="600"/>
    </row>
    <row r="13" spans="1:22" ht="13.4" customHeight="1">
      <c r="A13" s="499"/>
      <c r="B13" s="702"/>
      <c r="C13" s="702"/>
      <c r="D13" s="702"/>
      <c r="E13" s="499"/>
      <c r="F13" s="702"/>
      <c r="G13" s="703"/>
      <c r="H13" s="702"/>
      <c r="I13" s="499"/>
      <c r="J13" s="702"/>
      <c r="K13" s="702"/>
      <c r="L13" s="702"/>
      <c r="M13" s="702"/>
      <c r="N13" s="702"/>
      <c r="O13" s="702"/>
      <c r="P13" s="702"/>
      <c r="Q13" s="499"/>
      <c r="R13" s="704"/>
      <c r="S13" s="499"/>
      <c r="T13" s="600"/>
      <c r="U13" s="600"/>
      <c r="V13" s="600"/>
    </row>
    <row r="14" spans="1:22" ht="16.399999999999999" customHeight="1">
      <c r="A14" s="499"/>
      <c r="B14" s="132" t="s">
        <v>6</v>
      </c>
      <c r="C14" s="19"/>
      <c r="D14" s="537" t="str">
        <f>'Exhibit A'!F11</f>
        <v>12 MOS. ENDED</v>
      </c>
      <c r="E14" s="19"/>
      <c r="F14" s="132" t="s">
        <v>6</v>
      </c>
      <c r="G14" s="138"/>
      <c r="H14" s="132" t="str">
        <f>D14</f>
        <v>12 MOS. ENDED</v>
      </c>
      <c r="I14" s="19"/>
      <c r="J14" s="132" t="s">
        <v>6</v>
      </c>
      <c r="K14" s="19"/>
      <c r="L14" s="132" t="str">
        <f>D14</f>
        <v>12 MOS. ENDED</v>
      </c>
      <c r="M14" s="19"/>
      <c r="N14" s="132" t="s">
        <v>6</v>
      </c>
      <c r="O14" s="19"/>
      <c r="P14" s="132" t="str">
        <f>H14</f>
        <v>12 MOS. ENDED</v>
      </c>
      <c r="Q14" s="499"/>
      <c r="R14" s="704"/>
      <c r="S14" s="544" t="s">
        <v>7</v>
      </c>
      <c r="T14" s="138"/>
      <c r="U14" s="545" t="s">
        <v>8</v>
      </c>
      <c r="V14" s="600"/>
    </row>
    <row r="15" spans="1:22" ht="16.399999999999999" customHeight="1">
      <c r="A15" s="499"/>
      <c r="B15" s="658" t="str">
        <f>'Exhibit A'!D12</f>
        <v>MAR. 2023</v>
      </c>
      <c r="C15" s="19"/>
      <c r="D15" s="658" t="str">
        <f>'Exhibit A'!F12</f>
        <v>MAR. 31, 2023</v>
      </c>
      <c r="E15" s="19"/>
      <c r="F15" s="540" t="str">
        <f>+B15</f>
        <v>MAR. 2023</v>
      </c>
      <c r="G15" s="19"/>
      <c r="H15" s="541" t="str">
        <f>D15</f>
        <v>MAR. 31, 2023</v>
      </c>
      <c r="I15" s="19"/>
      <c r="J15" s="540" t="str">
        <f>+F15</f>
        <v>MAR. 2023</v>
      </c>
      <c r="K15" s="19"/>
      <c r="L15" s="541" t="str">
        <f>'Exhibit A'!X12</f>
        <v>MAR. 31, 2023</v>
      </c>
      <c r="M15" s="19"/>
      <c r="N15" s="1893" t="str">
        <f>'Exhibit A'!AB12</f>
        <v>MAR. 2022</v>
      </c>
      <c r="O15" s="19"/>
      <c r="P15" s="658" t="str">
        <f>'Exhibit A'!AD12</f>
        <v>MAR. 31, 2022</v>
      </c>
      <c r="Q15" s="499"/>
      <c r="R15" s="704"/>
      <c r="S15" s="546" t="s">
        <v>11</v>
      </c>
      <c r="T15" s="138"/>
      <c r="U15" s="547" t="s">
        <v>12</v>
      </c>
      <c r="V15" s="600"/>
    </row>
    <row r="16" spans="1:22" ht="13.4" customHeight="1">
      <c r="A16" s="499"/>
      <c r="B16" s="499"/>
      <c r="C16" s="499"/>
      <c r="D16" s="499" t="s">
        <v>14</v>
      </c>
      <c r="E16" s="499"/>
      <c r="F16" s="702"/>
      <c r="G16" s="499"/>
      <c r="H16" s="705" t="s">
        <v>14</v>
      </c>
      <c r="I16" s="499"/>
      <c r="J16" s="706"/>
      <c r="K16" s="499"/>
      <c r="L16" s="707"/>
      <c r="M16" s="499"/>
      <c r="N16" s="499"/>
      <c r="O16" s="499"/>
      <c r="P16" s="499"/>
      <c r="Q16" s="499"/>
      <c r="R16" s="708"/>
      <c r="S16" s="600"/>
      <c r="T16" s="499"/>
      <c r="U16" s="600"/>
      <c r="V16" s="600"/>
    </row>
    <row r="17" spans="1:22" ht="16.399999999999999" customHeight="1">
      <c r="A17" s="19" t="s">
        <v>13</v>
      </c>
      <c r="B17" s="499"/>
      <c r="C17" s="499"/>
      <c r="D17" s="499"/>
      <c r="E17" s="499"/>
      <c r="F17" s="499"/>
      <c r="G17" s="499"/>
      <c r="H17" s="709"/>
      <c r="I17" s="499"/>
      <c r="J17" s="710"/>
      <c r="K17" s="499"/>
      <c r="L17" s="709"/>
      <c r="M17" s="499"/>
      <c r="N17" s="499"/>
      <c r="O17" s="499"/>
      <c r="P17" s="499"/>
      <c r="Q17" s="499"/>
      <c r="R17" s="708"/>
      <c r="S17" s="600"/>
      <c r="T17" s="499"/>
      <c r="U17" s="600"/>
      <c r="V17" s="600"/>
    </row>
    <row r="18" spans="1:22" ht="16.399999999999999" customHeight="1">
      <c r="A18" s="499" t="s">
        <v>19</v>
      </c>
      <c r="B18" s="681">
        <f>+'Exhibit L'!X16</f>
        <v>954.99999999999977</v>
      </c>
      <c r="C18" s="479"/>
      <c r="D18" s="481">
        <f>+'Exhibit L'!AA16</f>
        <v>1131.5999999999999</v>
      </c>
      <c r="E18" s="479"/>
      <c r="F18" s="711">
        <f>'Exhibit M'!X16</f>
        <v>0.69999999999999929</v>
      </c>
      <c r="G18" s="479"/>
      <c r="H18" s="712">
        <f>+'Exhibit M'!AA16</f>
        <v>8.1</v>
      </c>
      <c r="I18" s="479"/>
      <c r="J18" s="713">
        <f>SUM(B18)+SUM(F18)</f>
        <v>955.69999999999982</v>
      </c>
      <c r="K18" s="479"/>
      <c r="L18" s="712">
        <f>D18+SUM(H18)</f>
        <v>1139.6999999999998</v>
      </c>
      <c r="M18" s="479"/>
      <c r="N18" s="481">
        <v>350.9</v>
      </c>
      <c r="O18" s="479"/>
      <c r="P18" s="481">
        <f>'Exhibit L'!AD16+'Exhibit M'!AD16</f>
        <v>505.3</v>
      </c>
      <c r="Q18" s="670"/>
      <c r="R18" s="714"/>
      <c r="S18" s="764">
        <f>ROUND(SUM(L18-P18),1)</f>
        <v>634.4</v>
      </c>
      <c r="T18" s="670"/>
      <c r="U18" s="934">
        <f>ROUND(IF(S18=0,0,S18/ABS(P18)),3)</f>
        <v>1.2549999999999999</v>
      </c>
      <c r="V18" s="715"/>
    </row>
    <row r="19" spans="1:22">
      <c r="A19" s="19" t="s">
        <v>21</v>
      </c>
      <c r="B19" s="74">
        <f>ROUND(SUM(B18),1)</f>
        <v>955</v>
      </c>
      <c r="C19" s="42"/>
      <c r="D19" s="74">
        <f>ROUND(SUM(D18),1)</f>
        <v>1131.5999999999999</v>
      </c>
      <c r="E19" s="42"/>
      <c r="F19" s="50">
        <f>ROUND(SUM(F18),1)</f>
        <v>0.7</v>
      </c>
      <c r="G19" s="42"/>
      <c r="H19" s="75">
        <f>ROUND(SUM(H18),1)</f>
        <v>8.1</v>
      </c>
      <c r="I19" s="42"/>
      <c r="J19" s="76">
        <f>ROUND(SUM(J18),1)</f>
        <v>955.7</v>
      </c>
      <c r="K19" s="42"/>
      <c r="L19" s="75">
        <f>ROUND(SUM(L18),1)</f>
        <v>1139.7</v>
      </c>
      <c r="M19" s="42"/>
      <c r="N19" s="74">
        <f>ROUND(SUM(N18),1)</f>
        <v>350.9</v>
      </c>
      <c r="O19" s="42"/>
      <c r="P19" s="74">
        <f>ROUND(SUM(P18),1)</f>
        <v>505.3</v>
      </c>
      <c r="Q19" s="138"/>
      <c r="R19" s="717"/>
      <c r="S19" s="737">
        <f>ROUND(SUM(S18),3)</f>
        <v>634.4</v>
      </c>
      <c r="T19" s="472"/>
      <c r="U19" s="738">
        <f>ROUND(+S19/P19,3)</f>
        <v>1.2549999999999999</v>
      </c>
      <c r="V19" s="600"/>
    </row>
    <row r="20" spans="1:22">
      <c r="A20" s="19"/>
      <c r="B20" s="467"/>
      <c r="C20" s="467"/>
      <c r="D20" s="467"/>
      <c r="E20" s="467"/>
      <c r="F20" s="467"/>
      <c r="G20" s="467"/>
      <c r="H20" s="718"/>
      <c r="I20" s="467"/>
      <c r="J20" s="719"/>
      <c r="K20" s="467"/>
      <c r="L20" s="720"/>
      <c r="M20" s="467"/>
      <c r="N20" s="467"/>
      <c r="O20" s="467"/>
      <c r="P20" s="467"/>
      <c r="R20" s="708"/>
      <c r="S20" s="736"/>
      <c r="T20" s="499"/>
      <c r="U20" s="600"/>
      <c r="V20" s="600"/>
    </row>
    <row r="21" spans="1:22" ht="16.399999999999999" customHeight="1">
      <c r="A21" s="19" t="s">
        <v>22</v>
      </c>
      <c r="B21" s="467"/>
      <c r="C21" s="467"/>
      <c r="D21" s="467"/>
      <c r="E21" s="467"/>
      <c r="F21" s="467"/>
      <c r="G21" s="467"/>
      <c r="H21" s="720"/>
      <c r="I21" s="467"/>
      <c r="J21" s="719"/>
      <c r="K21" s="467"/>
      <c r="L21" s="720"/>
      <c r="M21" s="467"/>
      <c r="N21" s="467"/>
      <c r="O21" s="467"/>
      <c r="P21" s="467"/>
      <c r="R21" s="708"/>
      <c r="S21" s="736"/>
      <c r="T21" s="499"/>
      <c r="U21" s="600"/>
      <c r="V21" s="600"/>
    </row>
    <row r="22" spans="1:22" ht="16.399999999999999" customHeight="1">
      <c r="A22" s="499" t="s">
        <v>35</v>
      </c>
      <c r="B22" s="467"/>
      <c r="C22" s="467"/>
      <c r="D22" s="467"/>
      <c r="E22" s="467"/>
      <c r="F22" s="467"/>
      <c r="G22" s="467"/>
      <c r="H22" s="720"/>
      <c r="I22" s="467"/>
      <c r="J22" s="719"/>
      <c r="K22" s="467"/>
      <c r="L22" s="720"/>
      <c r="M22" s="467"/>
      <c r="N22" s="467"/>
      <c r="O22" s="467"/>
      <c r="P22" s="467"/>
      <c r="R22" s="708"/>
      <c r="S22" s="736"/>
      <c r="T22" s="499"/>
      <c r="U22" s="600"/>
      <c r="V22" s="600"/>
    </row>
    <row r="23" spans="1:22" ht="16.399999999999999" customHeight="1">
      <c r="A23" s="499" t="s">
        <v>66</v>
      </c>
      <c r="B23" s="493">
        <f>+'Exhibit L'!X22</f>
        <v>8.9000000000000199</v>
      </c>
      <c r="C23" s="467"/>
      <c r="D23" s="493">
        <f>+'Exhibit L'!AA22</f>
        <v>79</v>
      </c>
      <c r="E23" s="467"/>
      <c r="F23" s="480">
        <f>+'Exhibit M'!X22</f>
        <v>0.1</v>
      </c>
      <c r="G23" s="467"/>
      <c r="H23" s="721">
        <f>+'Exhibit M'!AA22</f>
        <v>0.5</v>
      </c>
      <c r="I23" s="467"/>
      <c r="J23" s="722">
        <f>SUM(B23)+SUM(F23)</f>
        <v>9.0000000000000195</v>
      </c>
      <c r="K23" s="467"/>
      <c r="L23" s="723">
        <f>SUM(D23)+SUM(H23)</f>
        <v>79.5</v>
      </c>
      <c r="M23" s="467"/>
      <c r="N23" s="493">
        <v>10.199999999999999</v>
      </c>
      <c r="O23" s="467"/>
      <c r="P23" s="493">
        <f>'Exhibit L'!AD22+'Exhibit M'!AD22</f>
        <v>81.600000000000009</v>
      </c>
      <c r="R23" s="708"/>
      <c r="S23" s="736">
        <f>ROUND(SUM(L23-P23),1)</f>
        <v>-2.1</v>
      </c>
      <c r="T23" s="499"/>
      <c r="U23" s="934">
        <f>ROUND(IF(S23=0,0,S23/ABS(P23)),3)</f>
        <v>-2.5999999999999999E-2</v>
      </c>
      <c r="V23" s="600"/>
    </row>
    <row r="24" spans="1:22" ht="16.399999999999999" customHeight="1">
      <c r="A24" s="499" t="s">
        <v>67</v>
      </c>
      <c r="B24" s="493">
        <f>+'Exhibit L'!X23</f>
        <v>12.700000000000003</v>
      </c>
      <c r="C24" s="467"/>
      <c r="D24" s="493">
        <f>+'Exhibit L'!AA23</f>
        <v>65.599999999999994</v>
      </c>
      <c r="E24" s="467"/>
      <c r="F24" s="480">
        <f>+'Exhibit M'!X23</f>
        <v>0</v>
      </c>
      <c r="G24" s="467"/>
      <c r="H24" s="721">
        <f>+'Exhibit M'!AA23</f>
        <v>0.1</v>
      </c>
      <c r="I24" s="467"/>
      <c r="J24" s="722">
        <f>SUM(B24)+SUM(F24)</f>
        <v>12.700000000000003</v>
      </c>
      <c r="K24" s="467"/>
      <c r="L24" s="723">
        <f>SUM(D24)+SUM(H24)</f>
        <v>65.699999999999989</v>
      </c>
      <c r="M24" s="467"/>
      <c r="N24" s="493">
        <v>6.1</v>
      </c>
      <c r="O24" s="467"/>
      <c r="P24" s="493">
        <f>'Exhibit L'!AD23+'Exhibit M'!AD23</f>
        <v>48.300000000000004</v>
      </c>
      <c r="R24" s="708"/>
      <c r="S24" s="736">
        <f>ROUND(SUM(L24-P24),1)</f>
        <v>17.399999999999999</v>
      </c>
      <c r="T24" s="499"/>
      <c r="U24" s="934">
        <f>ROUND(IF(S24=0,0,S24/ABS(P24)),3)</f>
        <v>0.36</v>
      </c>
      <c r="V24" s="600"/>
    </row>
    <row r="25" spans="1:22" ht="16.399999999999999" customHeight="1">
      <c r="A25" s="499" t="s">
        <v>68</v>
      </c>
      <c r="B25" s="493">
        <f>+'Exhibit L'!X24</f>
        <v>3.8000000000000043</v>
      </c>
      <c r="C25" s="467"/>
      <c r="D25" s="495">
        <f>+'Exhibit L'!AA24</f>
        <v>50.2</v>
      </c>
      <c r="E25" s="467"/>
      <c r="F25" s="480">
        <f>+'Exhibit M'!X24</f>
        <v>0</v>
      </c>
      <c r="G25" s="467"/>
      <c r="H25" s="724">
        <f>+'Exhibit M'!AA24</f>
        <v>0.3</v>
      </c>
      <c r="I25" s="467"/>
      <c r="J25" s="722">
        <f>SUM(B25)+SUM(F25)</f>
        <v>3.8000000000000043</v>
      </c>
      <c r="K25" s="467"/>
      <c r="L25" s="725">
        <f>SUM(D25)+SUM(H25)</f>
        <v>50.5</v>
      </c>
      <c r="M25" s="467"/>
      <c r="N25" s="493">
        <v>4.5</v>
      </c>
      <c r="O25" s="649"/>
      <c r="P25" s="493">
        <f>'Exhibit L'!AD24+'Exhibit M'!AD24</f>
        <v>50.8</v>
      </c>
      <c r="R25" s="708"/>
      <c r="S25" s="736">
        <f>ROUND(SUM(L25-P25),1)</f>
        <v>-0.3</v>
      </c>
      <c r="T25" s="499"/>
      <c r="U25" s="2001">
        <f>ROUND(IF(P25=0,1,S25/ABS(P25)),3)</f>
        <v>-6.0000000000000001E-3</v>
      </c>
      <c r="V25" s="600"/>
    </row>
    <row r="26" spans="1:22">
      <c r="A26" s="19" t="s">
        <v>56</v>
      </c>
      <c r="B26" s="74">
        <f>ROUND(SUM(B23:B25),1)</f>
        <v>25.4</v>
      </c>
      <c r="C26" s="42"/>
      <c r="D26" s="74">
        <f>ROUND(SUM(D23:D25),1)</f>
        <v>194.8</v>
      </c>
      <c r="E26" s="42"/>
      <c r="F26" s="74">
        <f>ROUND(SUM(F23:F25),1)</f>
        <v>0.1</v>
      </c>
      <c r="G26" s="42"/>
      <c r="H26" s="75">
        <f>ROUND(SUM(H23:H25),1)</f>
        <v>0.9</v>
      </c>
      <c r="I26" s="42"/>
      <c r="J26" s="76">
        <f>ROUND(SUM(J23:J25),1)</f>
        <v>25.5</v>
      </c>
      <c r="K26" s="42"/>
      <c r="L26" s="75">
        <f>ROUND(SUM(L23:L25),1)</f>
        <v>195.7</v>
      </c>
      <c r="M26" s="42"/>
      <c r="N26" s="74">
        <f>ROUND(SUM(N23:N25),1)</f>
        <v>20.8</v>
      </c>
      <c r="O26" s="42"/>
      <c r="P26" s="74">
        <f>ROUND(SUM(P23:P25),1)</f>
        <v>180.7</v>
      </c>
      <c r="Q26" s="138"/>
      <c r="R26" s="231"/>
      <c r="S26" s="737">
        <f>ROUND(SUM(S23:S25),3)</f>
        <v>15</v>
      </c>
      <c r="T26" s="472"/>
      <c r="U26" s="2005">
        <f>ROUND(S26/P26,3)</f>
        <v>8.3000000000000004E-2</v>
      </c>
      <c r="V26" s="600"/>
    </row>
    <row r="27" spans="1:22">
      <c r="A27" s="19"/>
      <c r="B27" s="467"/>
      <c r="C27" s="467"/>
      <c r="D27" s="467"/>
      <c r="E27" s="467"/>
      <c r="F27" s="467"/>
      <c r="G27" s="467"/>
      <c r="H27" s="720"/>
      <c r="I27" s="467"/>
      <c r="J27" s="719"/>
      <c r="K27" s="467"/>
      <c r="L27" s="720"/>
      <c r="M27" s="467"/>
      <c r="N27" s="467"/>
      <c r="O27" s="467"/>
      <c r="P27" s="467"/>
      <c r="R27" s="708"/>
      <c r="S27" s="736"/>
      <c r="T27" s="499"/>
      <c r="U27" s="600"/>
      <c r="V27" s="600"/>
    </row>
    <row r="28" spans="1:22" ht="16.399999999999999" customHeight="1">
      <c r="A28" s="19" t="s">
        <v>43</v>
      </c>
      <c r="B28" s="467"/>
      <c r="C28" s="467"/>
      <c r="D28" s="467"/>
      <c r="E28" s="467"/>
      <c r="F28" s="467"/>
      <c r="G28" s="467"/>
      <c r="H28" s="720"/>
      <c r="I28" s="467"/>
      <c r="J28" s="719"/>
      <c r="K28" s="467"/>
      <c r="L28" s="720"/>
      <c r="M28" s="467"/>
      <c r="N28" s="467"/>
      <c r="O28" s="467"/>
      <c r="P28" s="467"/>
      <c r="R28" s="708"/>
      <c r="S28" s="736"/>
      <c r="T28" s="499"/>
      <c r="U28" s="600"/>
      <c r="V28" s="600"/>
    </row>
    <row r="29" spans="1:22">
      <c r="A29" s="19" t="s">
        <v>70</v>
      </c>
      <c r="B29" s="77">
        <f>ROUND(SUM(B19-B26),1)</f>
        <v>929.6</v>
      </c>
      <c r="C29" s="42"/>
      <c r="D29" s="77">
        <f>ROUND(SUM(D19-D26),1)</f>
        <v>936.8</v>
      </c>
      <c r="E29" s="42"/>
      <c r="F29" s="77">
        <f>ROUND(SUM(F19-F26),1)</f>
        <v>0.6</v>
      </c>
      <c r="G29" s="42"/>
      <c r="H29" s="78">
        <f>ROUND(SUM(H19-H26),1)</f>
        <v>7.2</v>
      </c>
      <c r="I29" s="42"/>
      <c r="J29" s="79">
        <f>ROUND(SUM(J19-J26),1)</f>
        <v>930.2</v>
      </c>
      <c r="K29" s="42"/>
      <c r="L29" s="78">
        <f>ROUND(SUM(L19-L26),1)</f>
        <v>944</v>
      </c>
      <c r="M29" s="42"/>
      <c r="N29" s="77">
        <f>ROUND(SUM(N19-N26),1)</f>
        <v>330.1</v>
      </c>
      <c r="O29" s="42"/>
      <c r="P29" s="77">
        <f>ROUND(SUM(P19-P26),1)</f>
        <v>324.60000000000002</v>
      </c>
      <c r="Q29" s="138"/>
      <c r="R29" s="708"/>
      <c r="S29" s="603">
        <f>ROUND(SUM(L29-P29),1)</f>
        <v>619.4</v>
      </c>
      <c r="T29" s="499"/>
      <c r="U29" s="1307">
        <f>ROUND(IF(P29=0,1,S29/ABS(P29)),3)</f>
        <v>1.9079999999999999</v>
      </c>
      <c r="V29" s="600"/>
    </row>
    <row r="30" spans="1:22">
      <c r="A30" s="499"/>
      <c r="B30" s="467"/>
      <c r="C30" s="467"/>
      <c r="D30" s="467"/>
      <c r="E30" s="467"/>
      <c r="F30" s="467"/>
      <c r="G30" s="467"/>
      <c r="H30" s="720"/>
      <c r="I30" s="467"/>
      <c r="J30" s="719"/>
      <c r="K30" s="467"/>
      <c r="L30" s="720"/>
      <c r="M30" s="467"/>
      <c r="N30" s="467"/>
      <c r="O30" s="467"/>
      <c r="P30" s="467"/>
      <c r="R30" s="708"/>
      <c r="S30" s="736"/>
      <c r="T30" s="499"/>
      <c r="U30" s="600"/>
      <c r="V30" s="600"/>
    </row>
    <row r="31" spans="1:22" ht="16.399999999999999" customHeight="1">
      <c r="A31" s="19" t="s">
        <v>45</v>
      </c>
      <c r="B31" s="467"/>
      <c r="C31" s="467"/>
      <c r="D31" s="467"/>
      <c r="E31" s="467"/>
      <c r="F31" s="467"/>
      <c r="G31" s="467"/>
      <c r="H31" s="720"/>
      <c r="I31" s="467"/>
      <c r="J31" s="719"/>
      <c r="K31" s="467"/>
      <c r="L31" s="720"/>
      <c r="M31" s="467"/>
      <c r="N31" s="467"/>
      <c r="O31" s="467"/>
      <c r="P31" s="467"/>
      <c r="R31" s="708"/>
      <c r="S31" s="736"/>
      <c r="T31" s="499"/>
      <c r="U31" s="600"/>
      <c r="V31" s="600"/>
    </row>
    <row r="32" spans="1:22" ht="16.399999999999999" customHeight="1">
      <c r="A32" s="499" t="s">
        <v>46</v>
      </c>
      <c r="B32" s="480">
        <f>+'Exhibit L'!X31</f>
        <v>0</v>
      </c>
      <c r="C32" s="467"/>
      <c r="D32" s="480">
        <f>+'Exhibit L'!AA31</f>
        <v>0</v>
      </c>
      <c r="E32" s="467"/>
      <c r="F32" s="480">
        <f>+'Exhibit M'!X31</f>
        <v>0</v>
      </c>
      <c r="G32" s="493"/>
      <c r="H32" s="726">
        <f>+'Exhibit M'!AA31</f>
        <v>0</v>
      </c>
      <c r="I32" s="467"/>
      <c r="J32" s="727">
        <f>SUM(B32)+SUM(F32)</f>
        <v>0</v>
      </c>
      <c r="K32" s="467"/>
      <c r="L32" s="721">
        <f>SUM(D32)+SUM(H32)</f>
        <v>0</v>
      </c>
      <c r="M32" s="467"/>
      <c r="N32" s="493">
        <v>0</v>
      </c>
      <c r="O32" s="467"/>
      <c r="P32" s="495">
        <f>'Exhibit L'!AD31+'Exhibit M'!AD31</f>
        <v>0</v>
      </c>
      <c r="R32" s="728"/>
      <c r="S32" s="736">
        <f>ROUND(SUM(L32-P32),1)</f>
        <v>0</v>
      </c>
      <c r="T32" s="472"/>
      <c r="U32" s="934">
        <f>ROUND(IF(S32=0,0,S32/ABS(P32)),3)</f>
        <v>0</v>
      </c>
      <c r="V32" s="600"/>
    </row>
    <row r="33" spans="1:22" ht="16.399999999999999" customHeight="1">
      <c r="A33" s="499" t="s">
        <v>71</v>
      </c>
      <c r="B33" s="480">
        <f>+'Exhibit L'!X32</f>
        <v>0</v>
      </c>
      <c r="C33" s="467"/>
      <c r="D33" s="729">
        <f>+'Exhibit L'!AA32</f>
        <v>0</v>
      </c>
      <c r="E33" s="467"/>
      <c r="F33" s="480">
        <f>+'Exhibit M'!X32</f>
        <v>0</v>
      </c>
      <c r="G33" s="467"/>
      <c r="H33" s="726">
        <f>+'Exhibit M'!AA32</f>
        <v>0</v>
      </c>
      <c r="I33" s="467"/>
      <c r="J33" s="727">
        <f>SUM(B33)+SUM(F33)</f>
        <v>0</v>
      </c>
      <c r="K33" s="467"/>
      <c r="L33" s="730">
        <f>SUM(D33)+SUM(H33)</f>
        <v>0</v>
      </c>
      <c r="M33" s="467"/>
      <c r="N33" s="493">
        <v>0</v>
      </c>
      <c r="O33" s="649"/>
      <c r="P33" s="495">
        <f>'Exhibit L'!AD32+'Exhibit M'!AD32</f>
        <v>0</v>
      </c>
      <c r="R33" s="731"/>
      <c r="S33" s="736">
        <f>ROUND(SUM(L33-P33),1)</f>
        <v>0</v>
      </c>
      <c r="T33" s="472"/>
      <c r="U33" s="934">
        <f>ROUND(IF(S33=0,0,S33/ABS(P33)),3)</f>
        <v>0</v>
      </c>
      <c r="V33" s="600"/>
    </row>
    <row r="34" spans="1:22">
      <c r="A34" s="19" t="s">
        <v>48</v>
      </c>
      <c r="B34" s="80">
        <f>ROUND(SUM(B32:B33),1)</f>
        <v>0</v>
      </c>
      <c r="C34" s="42"/>
      <c r="D34" s="80">
        <f>ROUND(SUM(D32:D33),1)</f>
        <v>0</v>
      </c>
      <c r="E34" s="42"/>
      <c r="F34" s="80">
        <f>ROUND(SUM(F32:F33),1)</f>
        <v>0</v>
      </c>
      <c r="G34" s="42"/>
      <c r="H34" s="81">
        <f>ROUND(SUM(H32:H33),1)</f>
        <v>0</v>
      </c>
      <c r="I34" s="42"/>
      <c r="J34" s="82">
        <f>ROUND(SUM(J32:J33),1)</f>
        <v>0</v>
      </c>
      <c r="K34" s="42"/>
      <c r="L34" s="75">
        <f>ROUND(SUM(L32:L33),1)</f>
        <v>0</v>
      </c>
      <c r="M34" s="42"/>
      <c r="N34" s="74">
        <f>ROUND(SUM(N32:N33),1)</f>
        <v>0</v>
      </c>
      <c r="O34" s="42"/>
      <c r="P34" s="74">
        <f>ROUND(SUM(P32:P33),1)</f>
        <v>0</v>
      </c>
      <c r="R34" s="732"/>
      <c r="S34" s="56">
        <f>ROUND(SUM(S32-S33),3)</f>
        <v>0</v>
      </c>
      <c r="T34" s="947"/>
      <c r="U34" s="756">
        <f>ROUND(IF(P34=0,0,S34/ABS(P34)),3)</f>
        <v>0</v>
      </c>
      <c r="V34" s="600"/>
    </row>
    <row r="35" spans="1:22">
      <c r="A35" s="19"/>
      <c r="B35" s="497"/>
      <c r="C35" s="467"/>
      <c r="D35" s="497"/>
      <c r="E35" s="467"/>
      <c r="F35" s="467"/>
      <c r="G35" s="467"/>
      <c r="H35" s="720"/>
      <c r="I35" s="467"/>
      <c r="J35" s="719"/>
      <c r="K35" s="467"/>
      <c r="L35" s="733"/>
      <c r="M35" s="467"/>
      <c r="N35" s="467"/>
      <c r="O35" s="467"/>
      <c r="P35" s="467"/>
      <c r="R35" s="708"/>
      <c r="S35" s="736"/>
      <c r="T35" s="499"/>
      <c r="U35" s="600"/>
      <c r="V35" s="600"/>
    </row>
    <row r="36" spans="1:22" ht="15.75" customHeight="1">
      <c r="A36" s="19" t="s">
        <v>43</v>
      </c>
      <c r="B36" s="467"/>
      <c r="C36" s="467"/>
      <c r="D36" s="467"/>
      <c r="E36" s="467"/>
      <c r="F36" s="467"/>
      <c r="G36" s="467"/>
      <c r="H36" s="720"/>
      <c r="I36" s="467"/>
      <c r="J36" s="719"/>
      <c r="K36" s="467"/>
      <c r="L36" s="720"/>
      <c r="M36" s="467"/>
      <c r="N36" s="467"/>
      <c r="O36" s="467"/>
      <c r="P36" s="467"/>
      <c r="R36" s="708"/>
      <c r="S36" s="736"/>
      <c r="T36" s="499"/>
      <c r="U36" s="600"/>
      <c r="V36" s="600"/>
    </row>
    <row r="37" spans="1:22" ht="15.75" customHeight="1">
      <c r="A37" s="19" t="s">
        <v>72</v>
      </c>
      <c r="B37" s="467"/>
      <c r="C37" s="467"/>
      <c r="D37" s="467"/>
      <c r="E37" s="467"/>
      <c r="F37" s="467"/>
      <c r="G37" s="467"/>
      <c r="H37" s="720"/>
      <c r="I37" s="467"/>
      <c r="J37" s="719"/>
      <c r="K37" s="467"/>
      <c r="L37" s="720"/>
      <c r="M37" s="467"/>
      <c r="N37" s="467"/>
      <c r="O37" s="467"/>
      <c r="P37" s="467"/>
      <c r="R37" s="708"/>
      <c r="S37" s="736"/>
      <c r="T37" s="499"/>
      <c r="U37" s="600"/>
      <c r="V37" s="600"/>
    </row>
    <row r="38" spans="1:22" ht="15.75" customHeight="1">
      <c r="A38" s="19" t="s">
        <v>73</v>
      </c>
      <c r="B38" s="467"/>
      <c r="C38" s="467"/>
      <c r="D38" s="467"/>
      <c r="E38" s="467"/>
      <c r="F38" s="649"/>
      <c r="G38" s="467"/>
      <c r="H38" s="720"/>
      <c r="I38" s="467"/>
      <c r="J38" s="719"/>
      <c r="K38" s="467"/>
      <c r="L38" s="720"/>
      <c r="M38" s="467"/>
      <c r="N38" s="467"/>
      <c r="O38" s="467"/>
      <c r="P38" s="467"/>
      <c r="R38" s="708"/>
      <c r="S38" s="736"/>
      <c r="T38" s="499"/>
      <c r="U38" s="600"/>
      <c r="V38" s="600"/>
    </row>
    <row r="39" spans="1:22" ht="15.75" customHeight="1">
      <c r="A39" s="19" t="s">
        <v>74</v>
      </c>
      <c r="B39" s="83">
        <f>ROUND(SUM(B29+B34),1)</f>
        <v>929.6</v>
      </c>
      <c r="C39" s="42"/>
      <c r="D39" s="83">
        <f>ROUND(SUM(D29+D34),1)</f>
        <v>936.8</v>
      </c>
      <c r="E39" s="42"/>
      <c r="F39" s="83">
        <f>ROUND(SUM(F29+F34),1)</f>
        <v>0.6</v>
      </c>
      <c r="G39" s="42"/>
      <c r="H39" s="84">
        <f>ROUND(SUM(H29+H34),1)</f>
        <v>7.2</v>
      </c>
      <c r="I39" s="42"/>
      <c r="J39" s="85">
        <f>ROUND(SUM(J29+J34),1)</f>
        <v>930.2</v>
      </c>
      <c r="K39" s="42"/>
      <c r="L39" s="84">
        <f>ROUND(SUM(L29+L34),1)</f>
        <v>944</v>
      </c>
      <c r="M39" s="42"/>
      <c r="N39" s="83">
        <f>ROUND(SUM(N29+N34),1)</f>
        <v>330.1</v>
      </c>
      <c r="O39" s="42"/>
      <c r="P39" s="83">
        <f>ROUND(SUM(P29+P34),1)</f>
        <v>324.60000000000002</v>
      </c>
      <c r="Q39" s="138"/>
      <c r="R39" s="708"/>
      <c r="S39" s="42">
        <f>ROUND(SUM(L39-P39),1)</f>
        <v>619.4</v>
      </c>
      <c r="T39" s="499"/>
      <c r="U39" s="1308">
        <f>ROUND(IF(P39=0,1,S39/ABS(P39)),3)</f>
        <v>1.9079999999999999</v>
      </c>
      <c r="V39" s="600"/>
    </row>
    <row r="40" spans="1:22">
      <c r="A40" s="19"/>
      <c r="B40" s="467"/>
      <c r="C40" s="467"/>
      <c r="D40" s="467"/>
      <c r="E40" s="467"/>
      <c r="F40" s="467"/>
      <c r="G40" s="467"/>
      <c r="H40" s="720"/>
      <c r="I40" s="467"/>
      <c r="J40" s="719"/>
      <c r="K40" s="467"/>
      <c r="L40" s="720"/>
      <c r="M40" s="467"/>
      <c r="N40" s="467"/>
      <c r="O40" s="467"/>
      <c r="P40" s="467"/>
      <c r="R40" s="708"/>
      <c r="T40" s="499"/>
      <c r="V40" s="600"/>
    </row>
    <row r="41" spans="1:22" s="138" customFormat="1">
      <c r="A41" s="19" t="s">
        <v>51</v>
      </c>
      <c r="B41" s="86">
        <f>+'Exhibit L'!X13</f>
        <v>326.10000000000002</v>
      </c>
      <c r="C41" s="42"/>
      <c r="D41" s="86">
        <f>+'Exhibit L'!AA13</f>
        <v>318.89999999999998</v>
      </c>
      <c r="E41" s="42"/>
      <c r="F41" s="86">
        <f>+'Exhibit M'!X13</f>
        <v>52.5</v>
      </c>
      <c r="G41" s="42"/>
      <c r="H41" s="87">
        <f>+'Exhibit M'!AA13</f>
        <v>45.9</v>
      </c>
      <c r="I41" s="42"/>
      <c r="J41" s="88">
        <f>ROUND(SUM(B41)+SUM(F41),1)</f>
        <v>378.6</v>
      </c>
      <c r="K41" s="42"/>
      <c r="L41" s="84">
        <f>ROUND(SUM(D41+H41),1)</f>
        <v>364.8</v>
      </c>
      <c r="M41" s="42"/>
      <c r="N41" s="77">
        <v>34.699999999999932</v>
      </c>
      <c r="O41" s="42"/>
      <c r="P41" s="77">
        <f>'Exhibit L'!AD13+'Exhibit M'!AD13</f>
        <v>40.200000000000003</v>
      </c>
      <c r="R41" s="699"/>
      <c r="S41" s="62">
        <f>ROUND(SUM(+L41-P41),1)</f>
        <v>324.60000000000002</v>
      </c>
      <c r="T41" s="19"/>
      <c r="U41" s="935">
        <f>ROUND(IF(S41=0,0,S41/ABS(P41)),3)</f>
        <v>8.0749999999999993</v>
      </c>
      <c r="V41" s="734"/>
    </row>
    <row r="42" spans="1:22" ht="16" thickBot="1">
      <c r="A42" s="19" t="s">
        <v>76</v>
      </c>
      <c r="B42" s="89">
        <f>ROUND(SUM(B41)+SUM(B39),1)</f>
        <v>1255.7</v>
      </c>
      <c r="C42" s="65"/>
      <c r="D42" s="89">
        <f>ROUND(SUM(D41)+SUM(D39),1)</f>
        <v>1255.7</v>
      </c>
      <c r="E42" s="65"/>
      <c r="F42" s="64">
        <f>ROUND(SUM(F41)+SUM(F39),1)</f>
        <v>53.1</v>
      </c>
      <c r="G42" s="90"/>
      <c r="H42" s="584">
        <f>ROUND(SUM(H41)+SUM(H39),1)</f>
        <v>53.1</v>
      </c>
      <c r="I42" s="585"/>
      <c r="J42" s="584">
        <f>ROUND(SUM(J41)+SUM(J39),1)</f>
        <v>1308.8</v>
      </c>
      <c r="K42" s="65"/>
      <c r="L42" s="91">
        <f>ROUND(SUM(L41)+SUM(L39),1)</f>
        <v>1308.8</v>
      </c>
      <c r="M42" s="65"/>
      <c r="N42" s="584">
        <f>ROUND(SUM(N41)+SUM(N39),1)</f>
        <v>364.8</v>
      </c>
      <c r="O42" s="65"/>
      <c r="P42" s="584">
        <f>ROUND(SUM(P41)+SUM(P39),1)</f>
        <v>364.8</v>
      </c>
      <c r="Q42" s="122"/>
      <c r="R42" s="714"/>
      <c r="S42" s="1820">
        <f>ROUND(SUM(S39+S41),3)</f>
        <v>944</v>
      </c>
      <c r="T42" s="670"/>
      <c r="U42" s="1922">
        <f>ROUND(IF(P42=0,1,S42/ABS(P42)),3)</f>
        <v>2.5880000000000001</v>
      </c>
      <c r="V42" s="600"/>
    </row>
    <row r="43" spans="1:22" ht="16" thickTop="1">
      <c r="A43" s="499"/>
      <c r="B43" s="735"/>
      <c r="C43" s="670"/>
      <c r="D43" s="735"/>
      <c r="E43" s="670"/>
      <c r="F43" s="735"/>
      <c r="G43" s="670"/>
      <c r="H43" s="735"/>
      <c r="I43" s="670"/>
      <c r="J43" s="735"/>
      <c r="K43" s="670"/>
      <c r="L43" s="735"/>
      <c r="M43" s="670"/>
      <c r="N43" s="735"/>
      <c r="O43" s="670"/>
      <c r="P43" s="735"/>
      <c r="Q43" s="670"/>
      <c r="R43" s="715"/>
      <c r="S43" s="715"/>
      <c r="T43" s="715"/>
      <c r="U43" s="715"/>
      <c r="V43" s="715"/>
    </row>
    <row r="44" spans="1:22" ht="18.5">
      <c r="A44" s="499" t="s">
        <v>1459</v>
      </c>
      <c r="B44" s="499"/>
      <c r="C44" s="499"/>
      <c r="D44" s="499"/>
      <c r="E44" s="499"/>
      <c r="F44" s="499"/>
      <c r="G44" s="499"/>
      <c r="H44" s="499"/>
      <c r="I44" s="499"/>
      <c r="J44" s="499"/>
      <c r="K44" s="499"/>
      <c r="L44" s="499"/>
      <c r="M44" s="499"/>
      <c r="N44" s="467"/>
      <c r="O44" s="499"/>
      <c r="P44" s="499"/>
      <c r="Q44" s="499"/>
      <c r="R44" s="600"/>
      <c r="S44" s="909"/>
      <c r="T44" s="600"/>
      <c r="U44" s="600"/>
      <c r="V44" s="600"/>
    </row>
    <row r="45" spans="1:22">
      <c r="A45" s="499"/>
      <c r="B45" s="499"/>
      <c r="C45" s="499"/>
      <c r="D45" s="499"/>
      <c r="E45" s="499"/>
      <c r="F45" s="499" t="s">
        <v>14</v>
      </c>
      <c r="G45" s="499"/>
      <c r="H45" s="499"/>
      <c r="I45" s="499"/>
      <c r="J45" s="499"/>
      <c r="K45" s="499"/>
      <c r="L45" s="499"/>
      <c r="N45" s="467"/>
      <c r="O45" s="499"/>
      <c r="P45" s="499"/>
      <c r="Q45" s="499"/>
      <c r="R45" s="600"/>
      <c r="S45" s="600"/>
      <c r="T45" s="600"/>
      <c r="U45" s="600"/>
      <c r="V45" s="600"/>
    </row>
    <row r="46" spans="1:22">
      <c r="A46" s="472"/>
      <c r="B46" s="499"/>
      <c r="C46" s="499"/>
      <c r="D46" s="499"/>
      <c r="E46" s="499"/>
      <c r="F46" s="499"/>
      <c r="G46" s="499"/>
      <c r="H46" s="499"/>
      <c r="I46" s="499"/>
      <c r="J46" s="499"/>
      <c r="K46" s="499"/>
      <c r="L46" s="499"/>
      <c r="M46" s="499"/>
      <c r="N46" s="499"/>
      <c r="O46" s="499"/>
      <c r="P46" s="499"/>
      <c r="Q46" s="499"/>
      <c r="R46" s="600"/>
      <c r="S46" s="600"/>
      <c r="T46" s="600"/>
      <c r="U46" s="600"/>
      <c r="V46" s="600"/>
    </row>
    <row r="47" spans="1:22">
      <c r="A47" s="499"/>
      <c r="B47" s="499"/>
      <c r="C47" s="499"/>
      <c r="D47" s="499"/>
      <c r="E47" s="499"/>
      <c r="F47" s="499"/>
      <c r="G47" s="499"/>
      <c r="H47" s="499"/>
      <c r="I47" s="499"/>
      <c r="J47" s="499"/>
      <c r="K47" s="499"/>
      <c r="L47" s="499"/>
      <c r="M47" s="499"/>
      <c r="N47" s="499"/>
      <c r="O47" s="499"/>
      <c r="P47" s="499"/>
      <c r="Q47" s="499"/>
      <c r="R47" s="600"/>
      <c r="S47" s="600"/>
      <c r="T47" s="600"/>
      <c r="U47" s="600"/>
      <c r="V47" s="600"/>
    </row>
    <row r="48" spans="1:22">
      <c r="A48" s="499"/>
      <c r="B48" s="499"/>
      <c r="C48" s="499"/>
      <c r="D48" s="499"/>
      <c r="E48" s="499"/>
      <c r="F48" s="499"/>
      <c r="G48" s="499"/>
      <c r="H48" s="499"/>
      <c r="I48" s="499"/>
      <c r="J48" s="499"/>
      <c r="K48" s="499"/>
      <c r="L48" s="499"/>
      <c r="M48" s="499"/>
      <c r="N48" s="499"/>
      <c r="O48" s="499"/>
      <c r="P48" s="499"/>
      <c r="Q48" s="499"/>
      <c r="R48" s="600"/>
      <c r="S48" s="600"/>
      <c r="T48" s="600"/>
      <c r="U48" s="600"/>
      <c r="V48" s="600"/>
    </row>
    <row r="49" spans="1:22">
      <c r="A49" s="499"/>
      <c r="B49" s="499"/>
      <c r="C49" s="499"/>
      <c r="D49" s="499"/>
      <c r="E49" s="499"/>
      <c r="F49" s="499"/>
      <c r="G49" s="499"/>
      <c r="H49" s="499"/>
      <c r="I49" s="499"/>
      <c r="J49" s="499"/>
      <c r="K49" s="499"/>
      <c r="L49" s="499"/>
      <c r="M49" s="499"/>
      <c r="N49" s="499"/>
      <c r="O49" s="499"/>
      <c r="P49" s="499"/>
      <c r="Q49" s="499"/>
      <c r="R49" s="600"/>
      <c r="S49" s="600"/>
      <c r="T49" s="600"/>
      <c r="U49" s="600"/>
      <c r="V49" s="600"/>
    </row>
    <row r="50" spans="1:22">
      <c r="A50" s="499"/>
      <c r="B50" s="499"/>
      <c r="C50" s="499"/>
      <c r="D50" s="499"/>
      <c r="E50" s="499"/>
      <c r="F50" s="499"/>
      <c r="G50" s="499"/>
      <c r="H50" s="499"/>
      <c r="I50" s="499"/>
      <c r="J50" s="499"/>
      <c r="K50" s="499"/>
      <c r="L50" s="499"/>
      <c r="M50" s="499"/>
      <c r="N50" s="499"/>
      <c r="O50" s="499"/>
      <c r="P50" s="499"/>
      <c r="Q50" s="499"/>
      <c r="R50" s="600"/>
      <c r="S50" s="600"/>
      <c r="T50" s="600"/>
      <c r="U50" s="600"/>
      <c r="V50" s="600"/>
    </row>
    <row r="51" spans="1:22">
      <c r="A51" s="499"/>
      <c r="B51" s="499"/>
      <c r="C51" s="499"/>
      <c r="D51" s="499"/>
      <c r="E51" s="499"/>
      <c r="F51" s="499"/>
      <c r="G51" s="499"/>
      <c r="H51" s="499"/>
      <c r="I51" s="499"/>
      <c r="J51" s="499"/>
      <c r="K51" s="499"/>
      <c r="L51" s="499"/>
      <c r="M51" s="499"/>
      <c r="N51" s="499"/>
      <c r="O51" s="499"/>
      <c r="P51" s="499"/>
      <c r="Q51" s="499"/>
      <c r="R51" s="600"/>
      <c r="S51" s="600"/>
      <c r="T51" s="600"/>
      <c r="U51" s="600"/>
      <c r="V51" s="600"/>
    </row>
    <row r="52" spans="1:22">
      <c r="A52" s="499"/>
      <c r="B52" s="499"/>
      <c r="C52" s="499"/>
      <c r="D52" s="499"/>
      <c r="E52" s="499"/>
      <c r="F52" s="499"/>
      <c r="G52" s="499"/>
      <c r="H52" s="499"/>
      <c r="I52" s="499"/>
      <c r="J52" s="499"/>
      <c r="K52" s="499"/>
      <c r="L52" s="499"/>
      <c r="M52" s="499"/>
      <c r="N52" s="499"/>
      <c r="O52" s="499"/>
      <c r="P52" s="499"/>
      <c r="Q52" s="499"/>
      <c r="R52" s="600"/>
      <c r="S52" s="600"/>
      <c r="T52" s="600"/>
      <c r="U52" s="600"/>
      <c r="V52" s="600"/>
    </row>
    <row r="53" spans="1:22">
      <c r="A53" s="499"/>
      <c r="B53" s="499"/>
      <c r="C53" s="499"/>
      <c r="D53" s="499"/>
      <c r="E53" s="499"/>
      <c r="F53" s="499"/>
      <c r="G53" s="499"/>
      <c r="H53" s="499"/>
      <c r="I53" s="499"/>
      <c r="J53" s="499"/>
      <c r="K53" s="499"/>
      <c r="L53" s="499"/>
      <c r="M53" s="499"/>
      <c r="N53" s="499"/>
      <c r="O53" s="499"/>
      <c r="P53" s="499"/>
      <c r="Q53" s="499"/>
      <c r="R53" s="600"/>
      <c r="S53" s="600"/>
      <c r="T53" s="600"/>
      <c r="U53" s="600"/>
      <c r="V53" s="600"/>
    </row>
    <row r="54" spans="1:22">
      <c r="A54" s="499"/>
      <c r="B54" s="499"/>
      <c r="C54" s="499"/>
      <c r="D54" s="499"/>
      <c r="E54" s="499"/>
      <c r="F54" s="499"/>
      <c r="G54" s="499"/>
      <c r="H54" s="499"/>
      <c r="I54" s="499"/>
      <c r="J54" s="499"/>
      <c r="K54" s="499"/>
      <c r="L54" s="499"/>
      <c r="M54" s="499"/>
      <c r="N54" s="499"/>
      <c r="O54" s="499"/>
      <c r="P54" s="499"/>
      <c r="Q54" s="499"/>
      <c r="R54" s="600"/>
      <c r="S54" s="600"/>
      <c r="T54" s="600"/>
      <c r="U54" s="600"/>
      <c r="V54" s="600"/>
    </row>
    <row r="55" spans="1:22">
      <c r="A55" s="499"/>
      <c r="B55" s="499"/>
      <c r="C55" s="499"/>
      <c r="D55" s="499"/>
      <c r="E55" s="499"/>
      <c r="F55" s="499"/>
      <c r="G55" s="499"/>
      <c r="H55" s="499"/>
      <c r="I55" s="499"/>
      <c r="J55" s="499"/>
      <c r="K55" s="499"/>
      <c r="L55" s="499"/>
      <c r="M55" s="499"/>
      <c r="N55" s="499"/>
      <c r="O55" s="499"/>
      <c r="P55" s="499"/>
      <c r="Q55" s="499"/>
      <c r="R55" s="600"/>
      <c r="S55" s="600"/>
      <c r="T55" s="600"/>
      <c r="U55" s="600"/>
      <c r="V55" s="600"/>
    </row>
    <row r="56" spans="1:22">
      <c r="A56" s="499"/>
      <c r="B56" s="499"/>
      <c r="C56" s="499"/>
      <c r="D56" s="499"/>
      <c r="E56" s="499"/>
      <c r="F56" s="499"/>
      <c r="G56" s="499"/>
      <c r="H56" s="499"/>
      <c r="I56" s="499"/>
      <c r="J56" s="499"/>
      <c r="K56" s="499"/>
      <c r="L56" s="499"/>
      <c r="M56" s="499"/>
      <c r="N56" s="499"/>
      <c r="O56" s="499"/>
      <c r="P56" s="499"/>
      <c r="Q56" s="499"/>
      <c r="R56" s="499"/>
      <c r="S56" s="499"/>
    </row>
    <row r="57" spans="1:22">
      <c r="A57" s="499"/>
      <c r="B57" s="499"/>
      <c r="C57" s="499"/>
      <c r="D57" s="499"/>
      <c r="E57" s="499"/>
      <c r="F57" s="499"/>
      <c r="G57" s="499"/>
      <c r="H57" s="499"/>
      <c r="I57" s="499"/>
      <c r="J57" s="499"/>
      <c r="K57" s="499"/>
      <c r="L57" s="499"/>
      <c r="M57" s="499"/>
      <c r="N57" s="499"/>
      <c r="O57" s="499"/>
      <c r="P57" s="499"/>
      <c r="Q57" s="499"/>
      <c r="R57" s="499"/>
      <c r="S57" s="499"/>
    </row>
    <row r="58" spans="1:22">
      <c r="A58" s="499"/>
      <c r="B58" s="499"/>
      <c r="C58" s="499"/>
      <c r="D58" s="499"/>
      <c r="E58" s="499"/>
      <c r="F58" s="499"/>
      <c r="G58" s="499"/>
      <c r="H58" s="499"/>
      <c r="I58" s="499"/>
      <c r="J58" s="499"/>
      <c r="K58" s="499"/>
      <c r="L58" s="499"/>
      <c r="M58" s="499"/>
      <c r="N58" s="499"/>
      <c r="O58" s="499"/>
      <c r="P58" s="499"/>
      <c r="Q58" s="499"/>
      <c r="R58" s="499"/>
      <c r="S58" s="499"/>
    </row>
    <row r="59" spans="1:22">
      <c r="A59" s="499"/>
      <c r="B59" s="499"/>
      <c r="C59" s="499"/>
      <c r="D59" s="499"/>
      <c r="E59" s="499"/>
      <c r="F59" s="499"/>
      <c r="G59" s="499"/>
      <c r="H59" s="499"/>
      <c r="I59" s="499"/>
      <c r="J59" s="499"/>
      <c r="K59" s="499"/>
      <c r="L59" s="499"/>
      <c r="M59" s="499"/>
      <c r="N59" s="499"/>
      <c r="O59" s="499"/>
      <c r="P59" s="499"/>
      <c r="Q59" s="499"/>
      <c r="R59" s="499"/>
      <c r="S59" s="499"/>
    </row>
    <row r="60" spans="1:22">
      <c r="A60" s="499"/>
      <c r="B60" s="499"/>
      <c r="C60" s="499"/>
      <c r="D60" s="499"/>
      <c r="E60" s="499"/>
      <c r="F60" s="499"/>
      <c r="G60" s="499"/>
      <c r="H60" s="499"/>
      <c r="I60" s="499"/>
      <c r="J60" s="499"/>
      <c r="K60" s="499"/>
      <c r="L60" s="499"/>
      <c r="M60" s="499"/>
      <c r="N60" s="499"/>
      <c r="O60" s="499"/>
      <c r="P60" s="499"/>
      <c r="Q60" s="499"/>
      <c r="R60" s="499"/>
      <c r="S60" s="499"/>
    </row>
    <row r="61" spans="1:22">
      <c r="A61" s="499"/>
      <c r="B61" s="499"/>
      <c r="C61" s="499"/>
      <c r="D61" s="499"/>
      <c r="E61" s="499"/>
      <c r="F61" s="499"/>
      <c r="G61" s="499"/>
      <c r="H61" s="499"/>
      <c r="I61" s="499"/>
      <c r="J61" s="499"/>
      <c r="K61" s="499"/>
      <c r="L61" s="499"/>
      <c r="M61" s="499"/>
      <c r="N61" s="499"/>
      <c r="O61" s="499"/>
      <c r="P61" s="499"/>
      <c r="Q61" s="499"/>
      <c r="R61" s="499"/>
      <c r="S61" s="499"/>
    </row>
  </sheetData>
  <mergeCells count="1">
    <mergeCell ref="S12:U12"/>
  </mergeCells>
  <printOptions horizontalCentered="1"/>
  <pageMargins left="0.25" right="0.25" top="0.5" bottom="0.5" header="0" footer="0.25"/>
  <pageSetup scale="59" firstPageNumber="7"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topLeftCell="A3" zoomScale="90" workbookViewId="0"/>
  </sheetViews>
  <sheetFormatPr defaultColWidth="8.84375" defaultRowHeight="15.5"/>
  <cols>
    <col min="1" max="1" width="45.84375" style="71" customWidth="1"/>
    <col min="2" max="2" width="2.4609375" style="71" customWidth="1"/>
    <col min="3" max="3" width="15.07421875" style="71" customWidth="1"/>
    <col min="4" max="4" width="1.84375" style="71" customWidth="1"/>
    <col min="5" max="5" width="15.07421875" style="71" customWidth="1"/>
    <col min="6" max="6" width="2.84375" style="71" customWidth="1"/>
    <col min="7" max="7" width="15.07421875" style="71" customWidth="1"/>
    <col min="8" max="8" width="2" style="71" customWidth="1"/>
    <col min="9" max="9" width="14.84375" style="71" customWidth="1"/>
    <col min="10" max="10" width="2.07421875" style="71" customWidth="1"/>
    <col min="11" max="11" width="14.07421875" style="71" customWidth="1"/>
    <col min="12" max="12" width="8.84375" style="71"/>
    <col min="13" max="13" width="10.07421875" style="71" bestFit="1" customWidth="1"/>
    <col min="14" max="16384" width="8.84375" style="71"/>
  </cols>
  <sheetData>
    <row r="1" spans="1:11">
      <c r="A1" s="668" t="s">
        <v>868</v>
      </c>
    </row>
    <row r="2" spans="1:11">
      <c r="A2" s="600"/>
    </row>
    <row r="3" spans="1:11" ht="18" customHeight="1">
      <c r="A3" s="2164" t="s">
        <v>0</v>
      </c>
      <c r="B3" s="2165"/>
      <c r="C3" s="2165"/>
      <c r="D3" s="2166"/>
      <c r="E3" s="2165"/>
      <c r="F3" s="94"/>
      <c r="G3" s="94"/>
      <c r="H3" s="94"/>
      <c r="I3" s="94"/>
      <c r="J3" s="94"/>
      <c r="K3" s="95" t="s">
        <v>81</v>
      </c>
    </row>
    <row r="4" spans="1:11" ht="18" customHeight="1">
      <c r="A4" s="2164" t="s">
        <v>80</v>
      </c>
      <c r="B4" s="2165"/>
      <c r="C4" s="2165"/>
      <c r="D4" s="2166"/>
      <c r="E4" s="2165"/>
      <c r="F4" s="94"/>
      <c r="G4" s="94"/>
      <c r="H4" s="94"/>
      <c r="I4" s="95"/>
      <c r="J4" s="96"/>
    </row>
    <row r="5" spans="1:11" ht="18" customHeight="1">
      <c r="A5" s="2306" t="s">
        <v>1463</v>
      </c>
      <c r="B5" s="2307"/>
      <c r="C5" s="2307"/>
      <c r="D5" s="2307"/>
      <c r="E5" s="2307"/>
      <c r="F5" s="94"/>
      <c r="G5" s="97"/>
      <c r="H5" s="94"/>
      <c r="I5" s="94"/>
      <c r="J5" s="94"/>
      <c r="K5" s="94"/>
    </row>
    <row r="6" spans="1:11" ht="18" customHeight="1">
      <c r="A6" s="2167" t="s">
        <v>1558</v>
      </c>
      <c r="B6" s="2166"/>
      <c r="C6" s="2166"/>
      <c r="D6" s="2166"/>
      <c r="E6" s="2166"/>
      <c r="F6" s="94"/>
      <c r="G6" s="94"/>
      <c r="H6" s="94"/>
      <c r="I6" s="94"/>
      <c r="J6" s="94"/>
      <c r="K6" s="94"/>
    </row>
    <row r="7" spans="1:11" ht="18" customHeight="1">
      <c r="A7" s="2168" t="s">
        <v>1248</v>
      </c>
      <c r="B7" s="2166"/>
      <c r="C7" s="2166"/>
      <c r="D7" s="2166"/>
      <c r="E7" s="2166"/>
      <c r="F7" s="94"/>
      <c r="G7" s="94"/>
      <c r="H7" s="94"/>
      <c r="I7" s="94"/>
      <c r="J7" s="94"/>
      <c r="K7" s="94"/>
    </row>
    <row r="8" spans="1:11" ht="17.5">
      <c r="A8" s="98"/>
      <c r="B8" s="94"/>
      <c r="C8" s="94"/>
      <c r="D8" s="94"/>
      <c r="E8" s="94"/>
      <c r="F8" s="94"/>
      <c r="G8" s="94"/>
      <c r="H8" s="94"/>
      <c r="I8" s="94"/>
      <c r="J8" s="94"/>
      <c r="K8" s="94"/>
    </row>
    <row r="9" spans="1:11">
      <c r="A9" s="99"/>
      <c r="B9" s="94"/>
      <c r="C9" s="94"/>
      <c r="D9" s="94"/>
      <c r="E9" s="94"/>
      <c r="F9" s="94"/>
      <c r="G9" s="94"/>
      <c r="H9" s="94"/>
      <c r="I9" s="94"/>
      <c r="J9" s="94"/>
      <c r="K9" s="94"/>
    </row>
    <row r="10" spans="1:11">
      <c r="A10" s="99"/>
      <c r="B10" s="94"/>
      <c r="C10" s="94"/>
      <c r="D10" s="94"/>
      <c r="E10" s="94"/>
      <c r="F10" s="94"/>
      <c r="G10" s="94"/>
      <c r="H10" s="94"/>
      <c r="I10" s="94"/>
      <c r="J10" s="94"/>
      <c r="K10" s="94"/>
    </row>
    <row r="11" spans="1:11">
      <c r="A11" s="21"/>
      <c r="B11" s="100"/>
      <c r="C11" s="2308" t="s">
        <v>1024</v>
      </c>
      <c r="D11" s="2308"/>
      <c r="E11" s="2308"/>
      <c r="F11" s="2308"/>
      <c r="G11" s="2308"/>
      <c r="H11" s="2308"/>
      <c r="I11" s="2308"/>
      <c r="J11" s="804"/>
      <c r="K11" s="805"/>
    </row>
    <row r="12" spans="1:11">
      <c r="A12" s="21"/>
      <c r="B12" s="100"/>
      <c r="C12" s="100"/>
      <c r="D12" s="100"/>
      <c r="E12" s="100"/>
      <c r="F12" s="100"/>
      <c r="G12" s="100"/>
      <c r="H12" s="100"/>
      <c r="I12" s="101" t="s">
        <v>82</v>
      </c>
      <c r="J12" s="101"/>
      <c r="K12" s="101" t="s">
        <v>82</v>
      </c>
    </row>
    <row r="13" spans="1:11">
      <c r="A13" s="21"/>
      <c r="B13" s="100"/>
      <c r="C13" s="100"/>
      <c r="D13" s="100"/>
      <c r="E13" s="100"/>
      <c r="F13" s="100"/>
      <c r="G13" s="100"/>
      <c r="H13" s="100"/>
      <c r="I13" s="101" t="s">
        <v>783</v>
      </c>
      <c r="J13" s="101"/>
      <c r="K13" s="101" t="s">
        <v>783</v>
      </c>
    </row>
    <row r="14" spans="1:11">
      <c r="A14" s="499" t="s">
        <v>1148</v>
      </c>
      <c r="B14" s="100"/>
      <c r="C14" s="102" t="s">
        <v>975</v>
      </c>
      <c r="D14" s="100"/>
      <c r="E14" s="101" t="s">
        <v>976</v>
      </c>
      <c r="F14" s="100"/>
      <c r="G14" s="100"/>
      <c r="H14" s="100"/>
      <c r="I14" s="101" t="s">
        <v>83</v>
      </c>
      <c r="J14" s="101"/>
      <c r="K14" s="101" t="s">
        <v>83</v>
      </c>
    </row>
    <row r="15" spans="1:11">
      <c r="A15" s="21"/>
      <c r="B15" s="100"/>
      <c r="C15" s="101" t="s">
        <v>1011</v>
      </c>
      <c r="D15" s="100"/>
      <c r="E15" s="101" t="s">
        <v>1011</v>
      </c>
      <c r="F15" s="100"/>
      <c r="G15" s="100"/>
      <c r="H15" s="100"/>
      <c r="I15" s="101" t="s">
        <v>975</v>
      </c>
      <c r="J15" s="101"/>
      <c r="K15" s="101" t="s">
        <v>976</v>
      </c>
    </row>
    <row r="16" spans="1:11">
      <c r="A16" s="21"/>
      <c r="B16" s="100"/>
      <c r="C16" s="101" t="s">
        <v>1012</v>
      </c>
      <c r="D16" s="100"/>
      <c r="E16" s="101" t="s">
        <v>1508</v>
      </c>
      <c r="F16" s="100"/>
      <c r="G16" s="102" t="s">
        <v>82</v>
      </c>
      <c r="H16" s="100"/>
      <c r="I16" s="101" t="s">
        <v>84</v>
      </c>
      <c r="J16" s="101"/>
      <c r="K16" s="101" t="s">
        <v>84</v>
      </c>
    </row>
    <row r="17" spans="1:13">
      <c r="A17" s="103"/>
      <c r="B17" s="94"/>
      <c r="C17" s="104"/>
      <c r="D17" s="94"/>
      <c r="E17" s="104"/>
      <c r="F17" s="94"/>
      <c r="G17" s="104"/>
      <c r="H17" s="94"/>
      <c r="I17" s="104"/>
      <c r="J17" s="94"/>
      <c r="K17" s="104"/>
    </row>
    <row r="18" spans="1:13">
      <c r="A18" s="19" t="s">
        <v>13</v>
      </c>
      <c r="B18" s="105"/>
      <c r="C18" s="105"/>
      <c r="D18" s="105"/>
      <c r="E18" s="105"/>
      <c r="F18" s="105"/>
      <c r="G18" s="105"/>
      <c r="H18" s="105"/>
      <c r="I18" s="105"/>
      <c r="J18" s="105"/>
      <c r="K18" s="105"/>
    </row>
    <row r="19" spans="1:13" ht="15" customHeight="1">
      <c r="A19" s="597" t="s">
        <v>85</v>
      </c>
      <c r="B19" s="106" t="s">
        <v>14</v>
      </c>
      <c r="C19" s="107"/>
      <c r="D19" s="106"/>
      <c r="E19" s="107"/>
      <c r="F19" s="106"/>
      <c r="G19" s="33"/>
      <c r="H19" s="106"/>
      <c r="I19" s="33"/>
      <c r="J19" s="33"/>
      <c r="K19" s="33"/>
    </row>
    <row r="20" spans="1:13">
      <c r="A20" s="108" t="s">
        <v>86</v>
      </c>
      <c r="B20" s="106" t="s">
        <v>14</v>
      </c>
      <c r="C20" s="32">
        <f>'Exh D General Fund'!C20+'Exh D Special Revenue'!C20+'Exh D Debt Service'!C20</f>
        <v>46975</v>
      </c>
      <c r="D20" s="109"/>
      <c r="E20" s="32">
        <f>+'Exh D General Fund'!E20+'Exh D Special Revenue'!E20+'Exh D Debt Service'!E20</f>
        <v>58321</v>
      </c>
      <c r="F20" s="109"/>
      <c r="G20" s="32">
        <f>+'Exh D General Fund'!G20+'Exh D Special Revenue'!G20+'Exh D Debt Service'!G20</f>
        <v>58775.6</v>
      </c>
      <c r="H20" s="109"/>
      <c r="I20" s="32">
        <f>G20-C20</f>
        <v>11800.599999999999</v>
      </c>
      <c r="J20" s="110"/>
      <c r="K20" s="479">
        <f>G20-E20</f>
        <v>454.59999999999854</v>
      </c>
      <c r="M20" s="806"/>
    </row>
    <row r="21" spans="1:13">
      <c r="A21" s="597" t="s">
        <v>87</v>
      </c>
      <c r="B21" s="105" t="s">
        <v>14</v>
      </c>
      <c r="C21" s="36">
        <f>+'Exh D General Fund'!C21+'Exh D Debt Service'!C21+'Exh D Special Revenue'!C21+'Exh D Capital Projects'!C20</f>
        <v>19585</v>
      </c>
      <c r="D21" s="36"/>
      <c r="E21" s="36">
        <f>+'Exh D General Fund'!E21+'Exh D Special Revenue'!E21+'Exh D Debt Service'!E21+'Exh D Capital Projects'!E20</f>
        <v>20535</v>
      </c>
      <c r="F21" s="36"/>
      <c r="G21" s="36">
        <f>+'Exh D General Fund'!G21+'Exh D Special Revenue'!G21+'Exh D Debt Service'!G21+'Exh D Capital Projects'!G20</f>
        <v>20585.2</v>
      </c>
      <c r="H21" s="36"/>
      <c r="I21" s="36">
        <f>G21-C21</f>
        <v>1000.2000000000007</v>
      </c>
      <c r="J21" s="110"/>
      <c r="K21" s="467">
        <f t="shared" ref="K21:K25" si="0">G21-E21</f>
        <v>50.200000000000728</v>
      </c>
      <c r="M21" s="806"/>
    </row>
    <row r="22" spans="1:13" ht="15" customHeight="1">
      <c r="A22" s="597" t="s">
        <v>88</v>
      </c>
      <c r="B22" s="106" t="s">
        <v>14</v>
      </c>
      <c r="C22" s="36">
        <f>+'Exh D General Fund'!C22+'Exh D Special Revenue'!C22+'Exh D Capital Projects'!C21+'Exh D Debt Service'!C22</f>
        <v>27980</v>
      </c>
      <c r="D22" s="46"/>
      <c r="E22" s="36">
        <f>+'Exh D General Fund'!E22+'Exh D Special Revenue'!E22+'Exh D Capital Projects'!E21+'Exh D Debt Service'!E22</f>
        <v>26397</v>
      </c>
      <c r="F22" s="46"/>
      <c r="G22" s="36">
        <f>+'Exh D General Fund'!G22+'Exh D Special Revenue'!G22+'Exh D Capital Projects'!G21+'Exh D Debt Service'!G22</f>
        <v>28616.399999999998</v>
      </c>
      <c r="H22" s="46"/>
      <c r="I22" s="36">
        <f t="shared" ref="I22:I25" si="1">G22-C22</f>
        <v>636.39999999999782</v>
      </c>
      <c r="J22" s="110"/>
      <c r="K22" s="467">
        <f t="shared" si="0"/>
        <v>2219.3999999999978</v>
      </c>
      <c r="M22" s="806"/>
    </row>
    <row r="23" spans="1:13" ht="14.25" customHeight="1">
      <c r="A23" s="597" t="s">
        <v>89</v>
      </c>
      <c r="B23" s="105" t="s">
        <v>14</v>
      </c>
      <c r="C23" s="36">
        <f>+'Exh D General Fund'!C23+'Exh D Capital Projects'!C22+'Exh D Debt Service'!C23</f>
        <v>2828</v>
      </c>
      <c r="D23" s="36"/>
      <c r="E23" s="36">
        <f>+'Exh D General Fund'!E23+'Exh D Debt Service'!E23+'Exh D Capital Projects'!E22</f>
        <v>3538</v>
      </c>
      <c r="F23" s="36"/>
      <c r="G23" s="36">
        <f>+'Exh D General Fund'!G23+'Exh D Debt Service'!G23+'Exh D Capital Projects'!G22</f>
        <v>3678.8999999999996</v>
      </c>
      <c r="H23" s="36"/>
      <c r="I23" s="36">
        <f t="shared" si="1"/>
        <v>850.89999999999964</v>
      </c>
      <c r="J23" s="110"/>
      <c r="K23" s="467">
        <f t="shared" si="0"/>
        <v>140.89999999999964</v>
      </c>
      <c r="L23" s="806"/>
      <c r="M23" s="806"/>
    </row>
    <row r="24" spans="1:13">
      <c r="A24" s="597" t="s">
        <v>19</v>
      </c>
      <c r="B24" s="105" t="s">
        <v>14</v>
      </c>
      <c r="C24" s="36">
        <f>+'Exh D General Fund'!C24+'Exh D Special Revenue'!C23+'Exh D Debt Service'!C24+'Exh D Capital Projects'!C23</f>
        <v>27107</v>
      </c>
      <c r="D24" s="36"/>
      <c r="E24" s="36">
        <f>+'Exh D General Fund'!E24+'Exh D Special Revenue'!E23+'Exh D Debt Service'!E24+'Exh D Capital Projects'!E23</f>
        <v>28704</v>
      </c>
      <c r="F24" s="36"/>
      <c r="G24" s="36">
        <f>+'Exh D General Fund'!G24+'Exh D Special Revenue'!G23+'Exh D Debt Service'!G24+'Exh D Capital Projects'!G23</f>
        <v>31841.1</v>
      </c>
      <c r="H24" s="36"/>
      <c r="I24" s="36">
        <f t="shared" si="1"/>
        <v>4734.0999999999985</v>
      </c>
      <c r="J24" s="39"/>
      <c r="K24" s="467">
        <f t="shared" si="0"/>
        <v>3137.0999999999985</v>
      </c>
      <c r="M24" s="806"/>
    </row>
    <row r="25" spans="1:13" ht="15" customHeight="1">
      <c r="A25" s="597" t="s">
        <v>20</v>
      </c>
      <c r="B25" s="105" t="s">
        <v>14</v>
      </c>
      <c r="C25" s="192">
        <f>+'Exh D General Fund'!C25+'Exh D Debt Service'!C25+'Exh D Special Revenue'!C24+'Exh D Capital Projects'!C24</f>
        <v>87786</v>
      </c>
      <c r="D25" s="36"/>
      <c r="E25" s="192">
        <f>+'Exh D General Fund'!E25+'Exh D Special Revenue'!E24+'Exh D Debt Service'!E25+'Exh D Capital Projects'!E24</f>
        <v>89542</v>
      </c>
      <c r="F25" s="36"/>
      <c r="G25" s="192">
        <f>+'Exh D General Fund'!G25+'Exh D Special Revenue'!G24+'Exh D Debt Service'!G25+'Exh D Capital Projects'!G24</f>
        <v>89563.1</v>
      </c>
      <c r="H25" s="36"/>
      <c r="I25" s="36">
        <f t="shared" si="1"/>
        <v>1777.1000000000058</v>
      </c>
      <c r="J25" s="39"/>
      <c r="K25" s="467">
        <f t="shared" si="0"/>
        <v>21.100000000005821</v>
      </c>
      <c r="M25" s="806"/>
    </row>
    <row r="26" spans="1:13">
      <c r="A26" s="117" t="s">
        <v>90</v>
      </c>
      <c r="B26" s="100" t="s">
        <v>14</v>
      </c>
      <c r="C26" s="142">
        <f>ROUND(SUM(C20:C25),1)</f>
        <v>212261</v>
      </c>
      <c r="D26" s="42"/>
      <c r="E26" s="142">
        <f>ROUND(SUM(E20:E25),1)</f>
        <v>227037</v>
      </c>
      <c r="F26" s="42"/>
      <c r="G26" s="142">
        <f>ROUND(SUM(G20:G25),1)</f>
        <v>233060.3</v>
      </c>
      <c r="H26" s="42"/>
      <c r="I26" s="142">
        <f>ROUND(SUM(I20:I25),1)</f>
        <v>20799.3</v>
      </c>
      <c r="J26" s="111"/>
      <c r="K26" s="142">
        <f>ROUND(SUM(K20:K25),1)</f>
        <v>6023.3</v>
      </c>
      <c r="M26" s="806"/>
    </row>
    <row r="27" spans="1:13">
      <c r="A27" s="21"/>
      <c r="B27" s="105" t="s">
        <v>14</v>
      </c>
      <c r="C27" s="61"/>
      <c r="D27" s="36"/>
      <c r="E27" s="61"/>
      <c r="F27" s="36"/>
      <c r="G27" s="61"/>
      <c r="H27" s="36"/>
      <c r="I27" s="61"/>
      <c r="J27" s="39"/>
      <c r="K27" s="61"/>
      <c r="M27" s="806"/>
    </row>
    <row r="28" spans="1:13">
      <c r="A28" s="19" t="s">
        <v>22</v>
      </c>
      <c r="B28" s="105" t="s">
        <v>14</v>
      </c>
      <c r="C28" s="36"/>
      <c r="D28" s="36"/>
      <c r="E28" s="36"/>
      <c r="F28" s="36"/>
      <c r="G28" s="36"/>
      <c r="H28" s="36"/>
      <c r="I28" s="36"/>
      <c r="J28" s="39"/>
      <c r="K28" s="36"/>
      <c r="M28" s="806"/>
    </row>
    <row r="29" spans="1:13">
      <c r="A29" s="597" t="s">
        <v>91</v>
      </c>
      <c r="B29" s="105" t="s">
        <v>14</v>
      </c>
      <c r="C29" s="192">
        <f>+'Exh D General Fund'!C34+'Exh D Special Revenue'!C29+'Exh D Capital Projects'!C30</f>
        <v>168467</v>
      </c>
      <c r="D29" s="36"/>
      <c r="E29" s="192">
        <f>+'Exh D General Fund'!E34+'Exh D Special Revenue'!E29+'Exh D Capital Projects'!E30</f>
        <v>167133</v>
      </c>
      <c r="F29" s="36"/>
      <c r="G29" s="192">
        <f>+'Exh D General Fund'!G34+'Exh D Special Revenue'!G29+'Exh D Capital Projects'!G30</f>
        <v>167655.5</v>
      </c>
      <c r="H29" s="36"/>
      <c r="I29" s="36">
        <f>G29-C29</f>
        <v>-811.5</v>
      </c>
      <c r="J29" s="39"/>
      <c r="K29" s="467">
        <f t="shared" ref="K29:K33" si="2">G29-E29</f>
        <v>522.5</v>
      </c>
      <c r="M29" s="806"/>
    </row>
    <row r="30" spans="1:13">
      <c r="A30" s="597" t="s">
        <v>92</v>
      </c>
      <c r="B30" s="105" t="s">
        <v>14</v>
      </c>
      <c r="C30" s="46">
        <f>+'Exh D General Fund'!C35+'Exh D Special Revenue'!C30+'Exh D Debt Service'!C30</f>
        <v>23942</v>
      </c>
      <c r="D30" s="36"/>
      <c r="E30" s="46">
        <f>+'Exh D General Fund'!E35+'Exh D Special Revenue'!E30+'Exh D Debt Service'!E30</f>
        <v>24369</v>
      </c>
      <c r="F30" s="36"/>
      <c r="G30" s="46">
        <f>+'Exh D General Fund'!G35+'Exh D Special Revenue'!G30+'Exh D Debt Service'!G30</f>
        <v>23524.400000000001</v>
      </c>
      <c r="H30" s="36"/>
      <c r="I30" s="36">
        <f t="shared" ref="I30:I33" si="3">G30-C30</f>
        <v>-417.59999999999854</v>
      </c>
      <c r="J30" s="39"/>
      <c r="K30" s="467">
        <f t="shared" si="2"/>
        <v>-844.59999999999854</v>
      </c>
      <c r="M30" s="806"/>
    </row>
    <row r="31" spans="1:13">
      <c r="A31" s="597" t="s">
        <v>68</v>
      </c>
      <c r="B31" s="105" t="s">
        <v>14</v>
      </c>
      <c r="C31" s="192">
        <f>+'Exh D General Fund'!C36+'Exh D Special Revenue'!C31</f>
        <v>10336</v>
      </c>
      <c r="D31" s="36"/>
      <c r="E31" s="192">
        <f>+'Exh D General Fund'!E36+'Exh D Special Revenue'!E31</f>
        <v>10414</v>
      </c>
      <c r="F31" s="36"/>
      <c r="G31" s="192">
        <f>+'Exh D General Fund'!G36+'Exh D Special Revenue'!G31</f>
        <v>10588</v>
      </c>
      <c r="H31" s="36"/>
      <c r="I31" s="36">
        <f t="shared" si="3"/>
        <v>252</v>
      </c>
      <c r="J31" s="39"/>
      <c r="K31" s="467">
        <f t="shared" si="2"/>
        <v>174</v>
      </c>
      <c r="M31" s="806"/>
    </row>
    <row r="32" spans="1:13">
      <c r="A32" s="597" t="s">
        <v>93</v>
      </c>
      <c r="B32" s="105" t="s">
        <v>14</v>
      </c>
      <c r="C32" s="46">
        <f>+'Exh D Debt Service'!C31+'Exh D Special Revenue'!C32</f>
        <v>7612</v>
      </c>
      <c r="D32" s="36"/>
      <c r="E32" s="46">
        <f>+'Exh D Debt Service'!E31+'Exh D Special Revenue'!E32</f>
        <v>8491</v>
      </c>
      <c r="F32" s="36"/>
      <c r="G32" s="46">
        <f>+'Exh D Debt Service'!G31+'Exh D Special Revenue'!K32</f>
        <v>10480.9</v>
      </c>
      <c r="H32" s="36"/>
      <c r="I32" s="36">
        <f t="shared" si="3"/>
        <v>2868.8999999999996</v>
      </c>
      <c r="J32" s="39"/>
      <c r="K32" s="467">
        <f t="shared" si="2"/>
        <v>1989.8999999999996</v>
      </c>
      <c r="M32" s="806"/>
    </row>
    <row r="33" spans="1:14" ht="15" customHeight="1">
      <c r="A33" s="597" t="s">
        <v>41</v>
      </c>
      <c r="B33" s="105" t="s">
        <v>14</v>
      </c>
      <c r="C33" s="192">
        <f>+'Exh D Special Revenue'!C33+'Exh D Capital Projects'!C31</f>
        <v>11832</v>
      </c>
      <c r="D33" s="36"/>
      <c r="E33" s="192">
        <f>+'Exh D Special Revenue'!E33+'Exh D Capital Projects'!E31</f>
        <v>11157</v>
      </c>
      <c r="F33" s="36"/>
      <c r="G33" s="192">
        <f>+'Exh D Special Revenue'!G33+'Exh D Capital Projects'!G31</f>
        <v>8212.2000000000007</v>
      </c>
      <c r="H33" s="36"/>
      <c r="I33" s="36">
        <f t="shared" si="3"/>
        <v>-3619.7999999999993</v>
      </c>
      <c r="J33" s="39"/>
      <c r="K33" s="467">
        <f t="shared" si="2"/>
        <v>-2944.7999999999993</v>
      </c>
      <c r="M33" s="806"/>
    </row>
    <row r="34" spans="1:14" ht="15.75" customHeight="1">
      <c r="A34" s="117" t="s">
        <v>94</v>
      </c>
      <c r="B34" s="100" t="s">
        <v>14</v>
      </c>
      <c r="C34" s="206">
        <f>ROUND(SUM(C29:C33),1)</f>
        <v>222189</v>
      </c>
      <c r="D34" s="42"/>
      <c r="E34" s="206">
        <f>ROUND(SUM(E29:E33),1)</f>
        <v>221564</v>
      </c>
      <c r="F34" s="42"/>
      <c r="G34" s="206">
        <f>ROUND(SUM(G29:G33),1)</f>
        <v>220461</v>
      </c>
      <c r="H34" s="42"/>
      <c r="I34" s="206">
        <f>ROUND(SUM(I29:I33),1)</f>
        <v>-1728</v>
      </c>
      <c r="J34" s="111"/>
      <c r="K34" s="206">
        <f>ROUND(SUM(K29:K33),1)</f>
        <v>-1103</v>
      </c>
      <c r="M34" s="806"/>
    </row>
    <row r="35" spans="1:14">
      <c r="A35" s="21"/>
      <c r="B35" s="105"/>
      <c r="C35" s="36"/>
      <c r="D35" s="36"/>
      <c r="E35" s="36"/>
      <c r="F35" s="36"/>
      <c r="G35" s="36"/>
      <c r="H35" s="36"/>
      <c r="I35" s="36"/>
      <c r="J35" s="39"/>
      <c r="K35" s="36"/>
      <c r="M35" s="806"/>
    </row>
    <row r="36" spans="1:14">
      <c r="A36" s="117" t="s">
        <v>43</v>
      </c>
      <c r="B36" s="105"/>
      <c r="C36" s="36"/>
      <c r="D36" s="36"/>
      <c r="E36" s="36"/>
      <c r="F36" s="36"/>
      <c r="G36" s="36"/>
      <c r="H36" s="36"/>
      <c r="I36" s="36"/>
      <c r="J36" s="39"/>
      <c r="K36" s="36"/>
      <c r="M36" s="806"/>
    </row>
    <row r="37" spans="1:14">
      <c r="A37" s="117" t="s">
        <v>44</v>
      </c>
      <c r="B37" s="105" t="s">
        <v>14</v>
      </c>
      <c r="C37" s="50">
        <f>ROUND(SUM(+C26-C34),1)</f>
        <v>-9928</v>
      </c>
      <c r="D37" s="36"/>
      <c r="E37" s="50">
        <f>ROUND(SUM(+E26-E34),1)</f>
        <v>5473</v>
      </c>
      <c r="F37" s="36"/>
      <c r="G37" s="50">
        <f>ROUND(SUM(+G26-G34),1)</f>
        <v>12599.3</v>
      </c>
      <c r="H37" s="36"/>
      <c r="I37" s="50">
        <f>ROUND(SUM(+I26-I34),1)</f>
        <v>22527.3</v>
      </c>
      <c r="J37" s="39"/>
      <c r="K37" s="603">
        <f>ROUND(SUM(+K26-K34),1)</f>
        <v>7126.3</v>
      </c>
      <c r="M37" s="806"/>
    </row>
    <row r="38" spans="1:14">
      <c r="A38" s="21"/>
      <c r="B38" s="105"/>
      <c r="C38" s="36"/>
      <c r="D38" s="36"/>
      <c r="E38" s="36"/>
      <c r="F38" s="36"/>
      <c r="G38" s="36"/>
      <c r="H38" s="36"/>
      <c r="I38" s="36"/>
      <c r="J38" s="39"/>
      <c r="K38" s="36"/>
      <c r="M38" s="806"/>
    </row>
    <row r="39" spans="1:14">
      <c r="A39" s="117" t="s">
        <v>45</v>
      </c>
      <c r="B39" s="105"/>
      <c r="C39" s="36"/>
      <c r="D39" s="36"/>
      <c r="E39" s="36"/>
      <c r="F39" s="36"/>
      <c r="G39" s="36"/>
      <c r="H39" s="36"/>
      <c r="I39" s="36"/>
      <c r="J39" s="39"/>
      <c r="K39" s="36"/>
      <c r="M39" s="806"/>
      <c r="N39" s="499" t="s">
        <v>14</v>
      </c>
    </row>
    <row r="40" spans="1:14">
      <c r="A40" s="597" t="s">
        <v>95</v>
      </c>
      <c r="B40" s="105" t="s">
        <v>14</v>
      </c>
      <c r="C40" s="193">
        <f>'Exh D Captl Projects State Fed'!C25</f>
        <v>433</v>
      </c>
      <c r="D40" s="36"/>
      <c r="E40" s="193">
        <f>'Exh D Captl Projects State Fed'!E25</f>
        <v>218</v>
      </c>
      <c r="F40" s="36"/>
      <c r="G40" s="193">
        <f>'Exh D Captl Projects State Fed'!G25</f>
        <v>0</v>
      </c>
      <c r="H40" s="36"/>
      <c r="I40" s="36">
        <f>ROUND(SUM(G40)-SUM(C40),1)</f>
        <v>-433</v>
      </c>
      <c r="J40" s="116"/>
      <c r="K40" s="467">
        <f t="shared" ref="K40:K42" si="4">G40-E40</f>
        <v>-218</v>
      </c>
      <c r="M40" s="806"/>
    </row>
    <row r="41" spans="1:14">
      <c r="A41" s="597" t="s">
        <v>46</v>
      </c>
      <c r="B41" s="105" t="s">
        <v>14</v>
      </c>
      <c r="C41" s="46">
        <f>+'Exh D General Fund'!C27+'Exh D General Fund'!C28+'Exh D General Fund'!C29+'Exh D General Fund'!C30+'Exh D Special Revenue'!C25+'Exh D Debt Service'!C26+'Exh D Capital Projects'!C26</f>
        <v>46969</v>
      </c>
      <c r="D41" s="36"/>
      <c r="E41" s="46">
        <f>+'Exh D General Fund'!E27+'Exh D General Fund'!E28+'Exh D General Fund'!E29+'Exh D General Fund'!E30+'Exh D Special Revenue'!E25+'Exh D Debt Service'!E26+'Exh D Capital Projects'!E26</f>
        <v>51467</v>
      </c>
      <c r="F41" s="36"/>
      <c r="G41" s="46">
        <f>+'Exh D General Fund'!G27+'Exh D General Fund'!G28+'Exh D General Fund'!G29+'Exh D General Fund'!G30+'Exh D Special Revenue'!K25+'Exh D Debt Service'!G26+'Exh D Capital Projects'!K26</f>
        <v>52323.799999999996</v>
      </c>
      <c r="H41" s="36"/>
      <c r="I41" s="36">
        <f t="shared" ref="I41:I42" si="5">ROUND(SUM(G41)-SUM(C41),1)</f>
        <v>5354.8</v>
      </c>
      <c r="J41" s="39"/>
      <c r="K41" s="467">
        <f t="shared" si="4"/>
        <v>856.79999999999563</v>
      </c>
      <c r="M41" s="806"/>
    </row>
    <row r="42" spans="1:14">
      <c r="A42" s="597" t="s">
        <v>96</v>
      </c>
      <c r="B42" s="105" t="s">
        <v>14</v>
      </c>
      <c r="C42" s="196">
        <f>-(+'Exh D General Fund'!C38+'Exh D General Fund'!C39+'Exh D General Fund'!C40+'Exh D General Fund'!C41+'Exh D General Fund'!C42+'Exh D Special Revenue'!C34+'Exh D Debt Service'!C32+'Exh D Capital Projects'!C32)</f>
        <v>-47218</v>
      </c>
      <c r="D42" s="36"/>
      <c r="E42" s="196">
        <f>-(+'Exh D General Fund'!E38+'Exh D General Fund'!E39+'Exh D General Fund'!E40+'Exh D General Fund'!E41+'Exh D General Fund'!E42+'Exh D Special Revenue'!E34+'Exh D Debt Service'!E32+'Exh D Capital Projects'!E32)</f>
        <v>-51665</v>
      </c>
      <c r="F42" s="36"/>
      <c r="G42" s="196">
        <f>-(+'Exh D General Fund'!G38+'Exh D General Fund'!G39+'Exh D General Fund'!G40+'Exh D General Fund'!G41+'Exh D General Fund'!G42+'Exh D Special Revenue'!K34+'Exh D Debt Service'!G32+'Exh D Capital Projects'!K32)</f>
        <v>-52516.399999999994</v>
      </c>
      <c r="H42" s="36"/>
      <c r="I42" s="36">
        <f t="shared" si="5"/>
        <v>-5298.4</v>
      </c>
      <c r="J42" s="39"/>
      <c r="K42" s="467">
        <f t="shared" si="4"/>
        <v>-851.39999999999418</v>
      </c>
      <c r="M42" s="806"/>
    </row>
    <row r="43" spans="1:14">
      <c r="A43" s="117" t="s">
        <v>97</v>
      </c>
      <c r="B43" s="105" t="s">
        <v>14</v>
      </c>
      <c r="C43" s="77">
        <f>ROUND(+SUM(C40)+C41+C42,1)</f>
        <v>184</v>
      </c>
      <c r="D43" s="36"/>
      <c r="E43" s="77">
        <f>ROUND(+SUM(E40)+E41+E42,1)</f>
        <v>20</v>
      </c>
      <c r="F43" s="36"/>
      <c r="G43" s="77">
        <f>ROUND(+SUM(G40)+G41+G42,1)</f>
        <v>-192.6</v>
      </c>
      <c r="H43" s="36"/>
      <c r="I43" s="2186">
        <f>ROUND(SUM(I40+I41+I42),1)</f>
        <v>-376.6</v>
      </c>
      <c r="J43" s="114"/>
      <c r="K43" s="753">
        <f>ROUND(SUM(K40+K41+K42),1)</f>
        <v>-212.6</v>
      </c>
      <c r="M43" s="806"/>
    </row>
    <row r="44" spans="1:14">
      <c r="A44" s="117"/>
      <c r="B44" s="105"/>
      <c r="C44" s="46"/>
      <c r="D44" s="36"/>
      <c r="E44" s="46"/>
      <c r="F44" s="36"/>
      <c r="G44" s="46"/>
      <c r="H44" s="36"/>
      <c r="I44" s="46"/>
      <c r="J44" s="106"/>
      <c r="K44" s="46"/>
      <c r="M44" s="806"/>
    </row>
    <row r="45" spans="1:14">
      <c r="A45" s="19" t="s">
        <v>98</v>
      </c>
      <c r="B45" s="105"/>
      <c r="C45" s="36"/>
      <c r="D45" s="36"/>
      <c r="E45" s="36"/>
      <c r="F45" s="36"/>
      <c r="G45" s="36"/>
      <c r="H45" s="36"/>
      <c r="I45" s="36"/>
      <c r="J45" s="39"/>
      <c r="K45" s="36"/>
      <c r="M45" s="806"/>
    </row>
    <row r="46" spans="1:14" ht="15" customHeight="1">
      <c r="A46" s="19" t="s">
        <v>99</v>
      </c>
      <c r="B46" s="105"/>
      <c r="C46" s="36"/>
      <c r="D46" s="36"/>
      <c r="E46" s="36"/>
      <c r="F46" s="36"/>
      <c r="G46" s="36"/>
      <c r="H46" s="36"/>
      <c r="I46" s="36"/>
      <c r="J46" s="39"/>
      <c r="K46" s="36"/>
      <c r="M46" s="806"/>
    </row>
    <row r="47" spans="1:14">
      <c r="A47" s="117" t="s">
        <v>100</v>
      </c>
      <c r="B47" s="118" t="s">
        <v>14</v>
      </c>
      <c r="C47" s="42">
        <f>ROUND(SUM(C26)-SUM(C34)+C43,1)</f>
        <v>-9744</v>
      </c>
      <c r="D47" s="57"/>
      <c r="E47" s="42">
        <f>ROUND(SUM(E26)-SUM(E34)+E43,1)</f>
        <v>5493</v>
      </c>
      <c r="F47" s="57"/>
      <c r="G47" s="42">
        <f>ROUND(SUM(G26)-SUM(G34)+G43,1)</f>
        <v>12406.7</v>
      </c>
      <c r="H47" s="57"/>
      <c r="I47" s="42">
        <f>ROUND(SUM(I26)-SUM(I34)+I43,1)</f>
        <v>22150.7</v>
      </c>
      <c r="J47" s="111"/>
      <c r="K47" s="42">
        <f>ROUND(SUM(K26)-SUM(K34)+K43,1)</f>
        <v>6913.7</v>
      </c>
      <c r="M47" s="806"/>
    </row>
    <row r="48" spans="1:14">
      <c r="A48" s="21"/>
      <c r="B48" s="105"/>
      <c r="C48" s="36"/>
      <c r="D48" s="36"/>
      <c r="E48" s="36"/>
      <c r="F48" s="36"/>
      <c r="G48" s="36"/>
      <c r="H48" s="36"/>
      <c r="I48" s="42" t="s">
        <v>14</v>
      </c>
      <c r="J48" s="39"/>
      <c r="K48" s="42" t="s">
        <v>14</v>
      </c>
      <c r="M48" s="806"/>
    </row>
    <row r="49" spans="1:13">
      <c r="A49" s="117" t="s">
        <v>101</v>
      </c>
      <c r="B49" s="119" t="s">
        <v>14</v>
      </c>
      <c r="C49" s="42">
        <f>'Exh D General Fund'!C49+'Exh D Special Revenue'!C41+'Exh D Debt Service'!C39+'Exh D Capital Projects'!C39</f>
        <v>53549</v>
      </c>
      <c r="D49" s="36"/>
      <c r="E49" s="42">
        <f>C49</f>
        <v>53549</v>
      </c>
      <c r="F49" s="36"/>
      <c r="G49" s="42">
        <f>'Exh D General Fund'!G49+'Exh D Special Revenue'!G41+'Exh D Debt Service'!G39+'Exh D Capital Projects'!G39</f>
        <v>53548.999999999993</v>
      </c>
      <c r="H49" s="36"/>
      <c r="I49" s="42">
        <f>ROUND(SUM(G49)-SUM(C49),1)</f>
        <v>0</v>
      </c>
      <c r="J49" s="111"/>
      <c r="K49" s="42">
        <f>G49-E49</f>
        <v>0</v>
      </c>
      <c r="M49" s="806"/>
    </row>
    <row r="50" spans="1:13" ht="16" thickBot="1">
      <c r="A50" s="117" t="s">
        <v>1557</v>
      </c>
      <c r="B50" s="120" t="s">
        <v>14</v>
      </c>
      <c r="C50" s="69">
        <f>ROUND(SUM(C47:C49),1)</f>
        <v>43805</v>
      </c>
      <c r="D50" s="121"/>
      <c r="E50" s="69">
        <f>ROUND(SUM(E47:E49),1)</f>
        <v>59042</v>
      </c>
      <c r="F50" s="121"/>
      <c r="G50" s="69">
        <f>ROUND(SUM(G47:G49),1)</f>
        <v>65955.7</v>
      </c>
      <c r="H50" s="121"/>
      <c r="I50" s="69">
        <f>ROUND(SUM(I47:I49),1)</f>
        <v>22150.7</v>
      </c>
      <c r="J50" s="122"/>
      <c r="K50" s="69">
        <f>ROUND(SUM(K47:K49),1)</f>
        <v>6913.7</v>
      </c>
      <c r="M50" s="806"/>
    </row>
    <row r="51" spans="1:13" ht="16" thickTop="1">
      <c r="A51" s="21"/>
      <c r="B51" s="105"/>
      <c r="C51" s="105"/>
      <c r="D51" s="105"/>
      <c r="E51" s="105"/>
      <c r="F51" s="105"/>
      <c r="G51" s="105"/>
      <c r="H51" s="105"/>
      <c r="I51" s="105"/>
      <c r="J51" s="105"/>
      <c r="K51" s="105"/>
      <c r="M51" s="806"/>
    </row>
    <row r="52" spans="1:13">
      <c r="A52" s="676" t="s">
        <v>1485</v>
      </c>
      <c r="G52" s="806"/>
      <c r="K52" s="806"/>
      <c r="M52" s="806"/>
    </row>
    <row r="53" spans="1:13">
      <c r="A53" s="676" t="s">
        <v>1547</v>
      </c>
      <c r="E53" s="2201"/>
      <c r="G53" s="2201"/>
      <c r="I53" s="2201"/>
      <c r="K53" s="2201"/>
    </row>
    <row r="54" spans="1:13">
      <c r="A54" s="124"/>
      <c r="G54" s="38"/>
    </row>
    <row r="55" spans="1:13">
      <c r="A55" s="2137"/>
      <c r="G55" s="806"/>
    </row>
    <row r="56" spans="1:13">
      <c r="A56" s="123"/>
    </row>
  </sheetData>
  <mergeCells count="2">
    <mergeCell ref="A5:E5"/>
    <mergeCell ref="C11:I11"/>
  </mergeCells>
  <printOptions horizontalCentered="1"/>
  <pageMargins left="0.7" right="0.7" top="0.75" bottom="1" header="0.5" footer="0.25"/>
  <pageSetup scale="60" firstPageNumber="8"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6"/>
  <sheetViews>
    <sheetView showGridLines="0" zoomScale="90" workbookViewId="0"/>
  </sheetViews>
  <sheetFormatPr defaultColWidth="8.84375" defaultRowHeight="15.5"/>
  <cols>
    <col min="1" max="1" width="45.84375" style="71" customWidth="1"/>
    <col min="2" max="2" width="2.4609375" style="71" customWidth="1"/>
    <col min="3" max="3" width="15.07421875" style="71" customWidth="1"/>
    <col min="4" max="4" width="1.84375" style="71" customWidth="1"/>
    <col min="5" max="5" width="15.07421875" style="71" customWidth="1"/>
    <col min="6" max="6" width="2.84375" style="71" customWidth="1"/>
    <col min="7" max="7" width="15.07421875" style="71" customWidth="1"/>
    <col min="8" max="8" width="5.07421875" style="71" customWidth="1"/>
    <col min="9" max="9" width="15.07421875" style="71" customWidth="1"/>
    <col min="10" max="10" width="2.07421875" style="71" customWidth="1"/>
    <col min="11" max="11" width="15.07421875" style="71" customWidth="1"/>
    <col min="12" max="16384" width="8.84375" style="71"/>
  </cols>
  <sheetData>
    <row r="1" spans="1:11">
      <c r="A1" s="668" t="s">
        <v>868</v>
      </c>
    </row>
    <row r="2" spans="1:11">
      <c r="A2" s="600"/>
    </row>
    <row r="3" spans="1:11" ht="18" customHeight="1">
      <c r="A3" s="92" t="s">
        <v>0</v>
      </c>
      <c r="B3" s="93"/>
      <c r="C3" s="93"/>
      <c r="D3" s="94"/>
      <c r="E3" s="93"/>
      <c r="F3" s="94"/>
      <c r="G3" s="94"/>
      <c r="H3" s="94"/>
      <c r="I3" s="94"/>
      <c r="J3" s="94"/>
      <c r="K3" s="95" t="s">
        <v>81</v>
      </c>
    </row>
    <row r="4" spans="1:11" ht="18" customHeight="1">
      <c r="A4" s="92" t="s">
        <v>80</v>
      </c>
      <c r="B4" s="93"/>
      <c r="C4" s="93"/>
      <c r="D4" s="94"/>
      <c r="E4" s="93"/>
      <c r="F4" s="94"/>
      <c r="G4" s="94"/>
      <c r="H4" s="94"/>
      <c r="I4" s="95"/>
      <c r="J4" s="96"/>
      <c r="K4" s="599"/>
    </row>
    <row r="5" spans="1:11" ht="18" customHeight="1">
      <c r="A5" s="2309" t="str">
        <f>'Exh D-Governmental  '!A5:E5</f>
        <v>FISCAL YEAR 2022-2023</v>
      </c>
      <c r="B5" s="2310"/>
      <c r="C5" s="2310"/>
      <c r="D5" s="2310"/>
      <c r="E5" s="2310"/>
      <c r="F5" s="94"/>
      <c r="G5" s="97"/>
      <c r="H5" s="94"/>
      <c r="I5" s="599"/>
      <c r="J5" s="94"/>
    </row>
    <row r="6" spans="1:11" ht="18" customHeight="1">
      <c r="A6" s="128" t="str">
        <f>'Exh D-Governmental  '!A6</f>
        <v xml:space="preserve">FOR TWELVE MONTHS ENDED MARCH 31, 2023    </v>
      </c>
      <c r="B6" s="94"/>
      <c r="C6" s="94"/>
      <c r="D6" s="94"/>
      <c r="E6" s="94"/>
      <c r="F6" s="94"/>
      <c r="G6" s="94"/>
      <c r="H6" s="94"/>
      <c r="I6" s="94"/>
      <c r="J6" s="94"/>
      <c r="K6" s="94"/>
    </row>
    <row r="7" spans="1:11" ht="18" customHeight="1">
      <c r="A7" s="128" t="s">
        <v>1248</v>
      </c>
      <c r="B7" s="94"/>
      <c r="C7" s="94"/>
      <c r="D7" s="94"/>
      <c r="E7" s="94"/>
      <c r="F7" s="94"/>
      <c r="G7" s="94"/>
      <c r="H7" s="94"/>
      <c r="I7" s="94"/>
      <c r="J7" s="94"/>
      <c r="K7" s="94"/>
    </row>
    <row r="8" spans="1:11" ht="17.5">
      <c r="A8" s="98"/>
      <c r="B8" s="94"/>
      <c r="C8" s="94"/>
      <c r="D8" s="94"/>
      <c r="E8" s="94"/>
      <c r="F8" s="94"/>
      <c r="G8" s="94"/>
      <c r="H8" s="94"/>
      <c r="I8" s="94"/>
      <c r="J8" s="94"/>
      <c r="K8" s="94"/>
    </row>
    <row r="9" spans="1:11">
      <c r="A9" s="99"/>
      <c r="B9" s="94"/>
      <c r="C9" s="94"/>
      <c r="D9" s="94"/>
      <c r="E9" s="94"/>
      <c r="F9" s="94"/>
      <c r="G9" s="94"/>
      <c r="H9" s="94"/>
      <c r="I9" s="94"/>
      <c r="J9" s="94"/>
      <c r="K9" s="94"/>
    </row>
    <row r="10" spans="1:11">
      <c r="A10" s="99"/>
      <c r="B10" s="94"/>
      <c r="C10" s="94"/>
      <c r="D10" s="94"/>
      <c r="E10" s="94"/>
      <c r="F10" s="94"/>
      <c r="G10" s="94"/>
      <c r="H10" s="94"/>
      <c r="I10" s="94"/>
      <c r="J10" s="94"/>
      <c r="K10" s="94"/>
    </row>
    <row r="11" spans="1:11">
      <c r="A11" s="499"/>
      <c r="B11" s="100"/>
      <c r="C11" s="2308" t="s">
        <v>1510</v>
      </c>
      <c r="D11" s="2308"/>
      <c r="E11" s="2308"/>
      <c r="F11" s="2308"/>
      <c r="G11" s="2308"/>
      <c r="H11" s="2308"/>
      <c r="I11" s="2308"/>
      <c r="J11" s="809"/>
      <c r="K11" s="805"/>
    </row>
    <row r="12" spans="1:11">
      <c r="A12" s="499"/>
      <c r="B12" s="100"/>
      <c r="C12" s="100"/>
      <c r="D12" s="100"/>
      <c r="E12" s="100"/>
      <c r="F12" s="100"/>
      <c r="G12" s="100"/>
      <c r="H12" s="100"/>
      <c r="I12" s="101" t="s">
        <v>82</v>
      </c>
      <c r="J12" s="101"/>
      <c r="K12" s="101" t="s">
        <v>82</v>
      </c>
    </row>
    <row r="13" spans="1:11">
      <c r="A13" s="499"/>
      <c r="B13" s="100"/>
      <c r="C13" s="100"/>
      <c r="D13" s="100"/>
      <c r="E13" s="100"/>
      <c r="F13" s="100"/>
      <c r="G13" s="100"/>
      <c r="H13" s="100"/>
      <c r="I13" s="101" t="s">
        <v>783</v>
      </c>
      <c r="J13" s="101"/>
      <c r="K13" s="101" t="s">
        <v>783</v>
      </c>
    </row>
    <row r="14" spans="1:11">
      <c r="A14" s="499"/>
      <c r="B14" s="100"/>
      <c r="C14" s="102" t="s">
        <v>975</v>
      </c>
      <c r="D14" s="100"/>
      <c r="E14" s="101" t="s">
        <v>976</v>
      </c>
      <c r="F14" s="100"/>
      <c r="G14" s="100"/>
      <c r="H14" s="100"/>
      <c r="I14" s="101" t="s">
        <v>83</v>
      </c>
      <c r="J14" s="101"/>
      <c r="K14" s="101" t="s">
        <v>83</v>
      </c>
    </row>
    <row r="15" spans="1:11">
      <c r="A15" s="499"/>
      <c r="B15" s="100"/>
      <c r="C15" s="101" t="s">
        <v>1011</v>
      </c>
      <c r="D15" s="100"/>
      <c r="E15" s="101" t="s">
        <v>1011</v>
      </c>
      <c r="F15" s="100"/>
      <c r="G15" s="100"/>
      <c r="H15" s="100"/>
      <c r="I15" s="101" t="s">
        <v>975</v>
      </c>
      <c r="J15" s="101"/>
      <c r="K15" s="101" t="s">
        <v>976</v>
      </c>
    </row>
    <row r="16" spans="1:11">
      <c r="A16" s="499"/>
      <c r="B16" s="100"/>
      <c r="C16" s="101" t="s">
        <v>1012</v>
      </c>
      <c r="D16" s="100"/>
      <c r="E16" s="101" t="s">
        <v>1508</v>
      </c>
      <c r="F16" s="100"/>
      <c r="G16" s="102" t="s">
        <v>82</v>
      </c>
      <c r="H16" s="100"/>
      <c r="I16" s="101" t="s">
        <v>84</v>
      </c>
      <c r="J16" s="101"/>
      <c r="K16" s="101" t="s">
        <v>84</v>
      </c>
    </row>
    <row r="17" spans="1:12">
      <c r="A17" s="103"/>
      <c r="B17" s="94"/>
      <c r="C17" s="104"/>
      <c r="D17" s="94"/>
      <c r="E17" s="104"/>
      <c r="F17" s="94"/>
      <c r="G17" s="104"/>
      <c r="H17" s="94"/>
      <c r="I17" s="104"/>
      <c r="J17" s="94"/>
      <c r="K17" s="104"/>
    </row>
    <row r="18" spans="1:12">
      <c r="A18" s="19" t="s">
        <v>13</v>
      </c>
      <c r="B18" s="454"/>
      <c r="C18" s="454"/>
      <c r="D18" s="454"/>
      <c r="E18" s="454"/>
      <c r="F18" s="454"/>
      <c r="G18" s="454"/>
      <c r="H18" s="454"/>
      <c r="I18" s="454"/>
      <c r="J18" s="454"/>
      <c r="K18" s="454"/>
    </row>
    <row r="19" spans="1:12" ht="15" customHeight="1">
      <c r="A19" s="597" t="s">
        <v>85</v>
      </c>
      <c r="B19" s="669" t="s">
        <v>14</v>
      </c>
      <c r="C19" s="1321"/>
      <c r="D19" s="669"/>
      <c r="E19" s="1321"/>
      <c r="F19" s="669"/>
      <c r="G19" s="670"/>
      <c r="H19" s="669"/>
      <c r="I19" s="670"/>
      <c r="J19" s="670"/>
      <c r="K19" s="670"/>
    </row>
    <row r="20" spans="1:12">
      <c r="A20" s="597" t="s">
        <v>86</v>
      </c>
      <c r="B20" s="669" t="s">
        <v>14</v>
      </c>
      <c r="C20" s="479">
        <f>'Exh D General Fund'!C20+'Exh D Special Revenue State Fed'!C20+'Exh D Debt Service'!C20</f>
        <v>46975</v>
      </c>
      <c r="D20" s="481"/>
      <c r="E20" s="479">
        <f>'Exh D General Fund'!E20+'Exh D Special Revenue State Fed'!E20+'Exh D Debt Service'!E20</f>
        <v>58321</v>
      </c>
      <c r="F20" s="481"/>
      <c r="G20" s="479">
        <f>+'Exh A Supp'!T15</f>
        <v>58775.6</v>
      </c>
      <c r="H20" s="481"/>
      <c r="I20" s="479">
        <f t="shared" ref="I20:I24" si="0">ROUND(SUM(G20)-SUM(C20),1)</f>
        <v>11800.6</v>
      </c>
      <c r="J20" s="671"/>
      <c r="K20" s="479">
        <f>G20-E20</f>
        <v>454.59999999999854</v>
      </c>
    </row>
    <row r="21" spans="1:12">
      <c r="A21" s="597" t="s">
        <v>87</v>
      </c>
      <c r="B21" s="454" t="s">
        <v>14</v>
      </c>
      <c r="C21" s="467">
        <f>'Exh D General Fund'!C21+'Exh D Special Revenue State Fed'!C21+'Exh D Debt Service'!C21</f>
        <v>19198</v>
      </c>
      <c r="D21" s="467"/>
      <c r="E21" s="467">
        <f>'Exh D General Fund'!E21+'Exh D Special Revenue State Fed'!E21+'Exh D Debt Service'!E21</f>
        <v>20158</v>
      </c>
      <c r="F21" s="467"/>
      <c r="G21" s="467">
        <f>+'Exh A Supp'!T16</f>
        <v>20208.400000000001</v>
      </c>
      <c r="H21" s="467"/>
      <c r="I21" s="467">
        <f t="shared" si="0"/>
        <v>1010.4</v>
      </c>
      <c r="J21" s="671"/>
      <c r="K21" s="467">
        <f t="shared" ref="K21:K25" si="1">G21-E21</f>
        <v>50.400000000001455</v>
      </c>
    </row>
    <row r="22" spans="1:12" ht="15" customHeight="1">
      <c r="A22" s="597" t="s">
        <v>88</v>
      </c>
      <c r="B22" s="669" t="s">
        <v>14</v>
      </c>
      <c r="C22" s="467">
        <f>'Exh D General Fund'!C22+'Exh D Special Revenue State Fed'!C22+'Exh D Debt Service'!C22</f>
        <v>27350</v>
      </c>
      <c r="D22" s="493"/>
      <c r="E22" s="467">
        <f>'Exh D General Fund'!E22+'Exh D Special Revenue State Fed'!E22+'Exh D Debt Service'!E22</f>
        <v>25785</v>
      </c>
      <c r="F22" s="493"/>
      <c r="G22" s="467">
        <f>+'Exh A Supp'!T17</f>
        <v>27991.8</v>
      </c>
      <c r="H22" s="493"/>
      <c r="I22" s="467">
        <f t="shared" si="0"/>
        <v>641.79999999999995</v>
      </c>
      <c r="J22" s="671"/>
      <c r="K22" s="467">
        <f t="shared" si="1"/>
        <v>2206.7999999999993</v>
      </c>
    </row>
    <row r="23" spans="1:12" ht="14.25" customHeight="1">
      <c r="A23" s="597" t="s">
        <v>89</v>
      </c>
      <c r="B23" s="454" t="s">
        <v>14</v>
      </c>
      <c r="C23" s="467">
        <f>'Exh D General Fund'!C23+'Exh D Debt Service'!C23</f>
        <v>2571</v>
      </c>
      <c r="D23" s="467"/>
      <c r="E23" s="467">
        <f>'Exh D General Fund'!E23+'Exh D Debt Service'!E23</f>
        <v>3281</v>
      </c>
      <c r="F23" s="467"/>
      <c r="G23" s="467">
        <f>+'Exh A Supp'!T18</f>
        <v>3421.6</v>
      </c>
      <c r="H23" s="467"/>
      <c r="I23" s="467">
        <f t="shared" si="0"/>
        <v>850.6</v>
      </c>
      <c r="J23" s="671"/>
      <c r="K23" s="467">
        <f t="shared" si="1"/>
        <v>140.59999999999991</v>
      </c>
    </row>
    <row r="24" spans="1:12">
      <c r="A24" s="597" t="s">
        <v>19</v>
      </c>
      <c r="B24" s="454" t="s">
        <v>14</v>
      </c>
      <c r="C24" s="467">
        <f>'Exh D General Fund'!C24+'Exh D Special Revenue State Fed'!C23+'Exh D Debt Service'!C24</f>
        <v>17541</v>
      </c>
      <c r="D24" s="467"/>
      <c r="E24" s="467">
        <f>'Exh D General Fund'!E24+'Exh D Special Revenue State Fed'!E23+'Exh D Debt Service'!E24</f>
        <v>20418</v>
      </c>
      <c r="F24" s="467"/>
      <c r="G24" s="467">
        <f>+'Exh A Supp'!T19</f>
        <v>24901.599999999999</v>
      </c>
      <c r="H24" s="467"/>
      <c r="I24" s="467">
        <f t="shared" si="0"/>
        <v>7360.6</v>
      </c>
      <c r="J24" s="472"/>
      <c r="K24" s="467">
        <f t="shared" si="1"/>
        <v>4483.5999999999985</v>
      </c>
    </row>
    <row r="25" spans="1:12" ht="15" customHeight="1">
      <c r="A25" s="597" t="s">
        <v>20</v>
      </c>
      <c r="B25" s="454" t="s">
        <v>14</v>
      </c>
      <c r="C25" s="495">
        <f>'Exh D General Fund'!C25+'Exh D Special Revenue State Fed'!C24+'Exh D Debt Service'!C25</f>
        <v>2402</v>
      </c>
      <c r="D25" s="467"/>
      <c r="E25" s="495">
        <f>'Exh D General Fund'!E25+'Exh D Special Revenue State Fed'!E24+'Exh D Debt Service'!E25</f>
        <v>2402</v>
      </c>
      <c r="F25" s="467"/>
      <c r="G25" s="467">
        <f>+'Exh A Supp'!T20</f>
        <v>2419.9</v>
      </c>
      <c r="H25" s="467"/>
      <c r="I25" s="467">
        <f t="shared" ref="I25" si="2">ROUND(SUM(G25)-SUM(C25),1)</f>
        <v>17.899999999999999</v>
      </c>
      <c r="J25" s="472"/>
      <c r="K25" s="467">
        <f t="shared" si="1"/>
        <v>17.900000000000091</v>
      </c>
    </row>
    <row r="26" spans="1:12">
      <c r="A26" s="117" t="s">
        <v>90</v>
      </c>
      <c r="B26" s="100" t="s">
        <v>14</v>
      </c>
      <c r="C26" s="142">
        <f>ROUND(SUM(C20:C25),1)</f>
        <v>116037</v>
      </c>
      <c r="D26" s="42"/>
      <c r="E26" s="142">
        <f>ROUND(SUM(E20:E25),1)</f>
        <v>130365</v>
      </c>
      <c r="F26" s="42"/>
      <c r="G26" s="142">
        <f>ROUND(SUM(G20:G25),1)</f>
        <v>137718.9</v>
      </c>
      <c r="H26" s="42"/>
      <c r="I26" s="142">
        <f>ROUND(SUM(I20:I25),1)</f>
        <v>21681.9</v>
      </c>
      <c r="J26" s="111"/>
      <c r="K26" s="142">
        <f>ROUND(SUM(K20:K25),1)</f>
        <v>7353.9</v>
      </c>
      <c r="L26" s="38"/>
    </row>
    <row r="27" spans="1:12">
      <c r="A27" s="499"/>
      <c r="B27" s="454" t="s">
        <v>14</v>
      </c>
      <c r="C27" s="497"/>
      <c r="D27" s="467"/>
      <c r="E27" s="497"/>
      <c r="F27" s="467"/>
      <c r="G27" s="497"/>
      <c r="H27" s="467"/>
      <c r="I27" s="497"/>
      <c r="J27" s="472"/>
      <c r="K27" s="497"/>
    </row>
    <row r="28" spans="1:12">
      <c r="A28" s="19" t="s">
        <v>22</v>
      </c>
      <c r="B28" s="454" t="s">
        <v>14</v>
      </c>
      <c r="C28" s="467"/>
      <c r="D28" s="467"/>
      <c r="E28" s="467"/>
      <c r="F28" s="467"/>
      <c r="G28" s="467"/>
      <c r="H28" s="467"/>
      <c r="I28" s="467"/>
      <c r="J28" s="472"/>
      <c r="K28" s="467"/>
    </row>
    <row r="29" spans="1:12">
      <c r="A29" s="597" t="s">
        <v>91</v>
      </c>
      <c r="B29" s="454" t="s">
        <v>14</v>
      </c>
      <c r="C29" s="495">
        <f>'Exh D General Fund'!C34+'Exh D Special Revenue State Fed'!C29</f>
        <v>84658</v>
      </c>
      <c r="D29" s="467"/>
      <c r="E29" s="495">
        <f>'Exh D General Fund'!E34+'Exh D Special Revenue State Fed'!E29</f>
        <v>83271</v>
      </c>
      <c r="F29" s="467"/>
      <c r="G29" s="495">
        <f>+'Exh A Supp'!T35</f>
        <v>81877</v>
      </c>
      <c r="H29" s="467"/>
      <c r="I29" s="467">
        <f t="shared" ref="I29:I32" si="3">ROUND(SUM(G29)-SUM(C29),1)</f>
        <v>-2781</v>
      </c>
      <c r="J29" s="472"/>
      <c r="K29" s="467">
        <f t="shared" ref="K29:K33" si="4">G29-E29</f>
        <v>-1394</v>
      </c>
      <c r="L29" s="38"/>
    </row>
    <row r="30" spans="1:12">
      <c r="A30" s="597" t="s">
        <v>92</v>
      </c>
      <c r="B30" s="454" t="s">
        <v>14</v>
      </c>
      <c r="C30" s="493">
        <f>'Exh D General Fund'!C35+'Exh D Special Revenue State Fed'!C30+'Exh D Debt Service'!C30</f>
        <v>20521</v>
      </c>
      <c r="D30" s="467"/>
      <c r="E30" s="493">
        <f>'Exh D General Fund'!E35+'Exh D Special Revenue State Fed'!E30+'Exh D Debt Service'!E30</f>
        <v>20913</v>
      </c>
      <c r="F30" s="467"/>
      <c r="G30" s="493">
        <f>+'Exh A Supp'!T37+'Exh A Supp'!T38</f>
        <v>21189.1</v>
      </c>
      <c r="H30" s="467"/>
      <c r="I30" s="467">
        <f t="shared" si="3"/>
        <v>668.1</v>
      </c>
      <c r="J30" s="472"/>
      <c r="K30" s="467">
        <f t="shared" si="4"/>
        <v>276.09999999999854</v>
      </c>
      <c r="L30" s="38"/>
    </row>
    <row r="31" spans="1:12">
      <c r="A31" s="597" t="s">
        <v>68</v>
      </c>
      <c r="B31" s="454" t="s">
        <v>14</v>
      </c>
      <c r="C31" s="495">
        <f>'Exh D General Fund'!C36+'Exh D Special Revenue State Fed'!C31</f>
        <v>9950</v>
      </c>
      <c r="D31" s="467"/>
      <c r="E31" s="495">
        <f>'Exh D General Fund'!E36+'Exh D Special Revenue State Fed'!E31</f>
        <v>10028</v>
      </c>
      <c r="F31" s="467"/>
      <c r="G31" s="495">
        <f>+'Exh A Supp'!T39</f>
        <v>10202.9</v>
      </c>
      <c r="H31" s="467"/>
      <c r="I31" s="467">
        <f t="shared" si="3"/>
        <v>252.9</v>
      </c>
      <c r="J31" s="472"/>
      <c r="K31" s="467">
        <f t="shared" si="4"/>
        <v>174.89999999999964</v>
      </c>
      <c r="L31" s="38"/>
    </row>
    <row r="32" spans="1:12">
      <c r="A32" s="597" t="s">
        <v>93</v>
      </c>
      <c r="B32" s="454" t="s">
        <v>14</v>
      </c>
      <c r="C32" s="493">
        <f>'Exh D Debt Service'!C31</f>
        <v>7612</v>
      </c>
      <c r="D32" s="467"/>
      <c r="E32" s="493">
        <f>'Exh D Debt Service'!E31</f>
        <v>8491</v>
      </c>
      <c r="F32" s="467"/>
      <c r="G32" s="495">
        <f>+'Exh A Supp'!T41</f>
        <v>10480.9</v>
      </c>
      <c r="H32" s="467"/>
      <c r="I32" s="467">
        <f t="shared" si="3"/>
        <v>2868.9</v>
      </c>
      <c r="J32" s="472"/>
      <c r="K32" s="467">
        <f t="shared" si="4"/>
        <v>1989.8999999999996</v>
      </c>
      <c r="L32" s="38"/>
    </row>
    <row r="33" spans="1:12">
      <c r="A33" s="597" t="s">
        <v>41</v>
      </c>
      <c r="B33" s="454"/>
      <c r="C33" s="493">
        <f>'Exh D Special Revenue State Fed'!C33</f>
        <v>0</v>
      </c>
      <c r="D33" s="467"/>
      <c r="E33" s="493">
        <f>'Exh D Special Revenue State Fed'!E33</f>
        <v>0</v>
      </c>
      <c r="F33" s="467"/>
      <c r="G33" s="495">
        <f>'Exh D Special Revenue State Fed'!G33</f>
        <v>0</v>
      </c>
      <c r="H33" s="467"/>
      <c r="I33" s="467">
        <f t="shared" ref="I33" si="5">ROUND(SUM(G33)-SUM(C33),1)</f>
        <v>0</v>
      </c>
      <c r="J33" s="472"/>
      <c r="K33" s="467">
        <f t="shared" si="4"/>
        <v>0</v>
      </c>
      <c r="L33" s="38"/>
    </row>
    <row r="34" spans="1:12" ht="15.75" customHeight="1">
      <c r="A34" s="117" t="s">
        <v>94</v>
      </c>
      <c r="B34" s="100" t="s">
        <v>14</v>
      </c>
      <c r="C34" s="206">
        <f>ROUND(SUM(C29:C33),1)</f>
        <v>122741</v>
      </c>
      <c r="D34" s="42"/>
      <c r="E34" s="206">
        <f>ROUND(SUM(E29:E33),1)</f>
        <v>122703</v>
      </c>
      <c r="F34" s="42"/>
      <c r="G34" s="206">
        <f>ROUND(SUM(G29:G33),1)</f>
        <v>123749.9</v>
      </c>
      <c r="H34" s="42"/>
      <c r="I34" s="206">
        <f>ROUND(SUM(I29:I33),1)</f>
        <v>1008.9</v>
      </c>
      <c r="J34" s="111"/>
      <c r="K34" s="206">
        <f>ROUND(SUM(K29:K33),1)</f>
        <v>1046.9000000000001</v>
      </c>
      <c r="L34" s="38"/>
    </row>
    <row r="35" spans="1:12">
      <c r="A35" s="499"/>
      <c r="B35" s="454"/>
      <c r="C35" s="467"/>
      <c r="D35" s="467"/>
      <c r="E35" s="467"/>
      <c r="F35" s="467"/>
      <c r="G35" s="467"/>
      <c r="H35" s="467"/>
      <c r="I35" s="467"/>
      <c r="J35" s="472"/>
      <c r="K35" s="467"/>
      <c r="L35" s="38"/>
    </row>
    <row r="36" spans="1:12">
      <c r="A36" s="117" t="s">
        <v>43</v>
      </c>
      <c r="B36" s="454"/>
      <c r="C36" s="467"/>
      <c r="D36" s="467"/>
      <c r="E36" s="467"/>
      <c r="F36" s="467"/>
      <c r="G36" s="467"/>
      <c r="H36" s="467"/>
      <c r="I36" s="467"/>
      <c r="J36" s="472"/>
      <c r="K36" s="467"/>
      <c r="L36" s="38"/>
    </row>
    <row r="37" spans="1:12">
      <c r="A37" s="117" t="s">
        <v>44</v>
      </c>
      <c r="B37" s="454" t="s">
        <v>14</v>
      </c>
      <c r="C37" s="603">
        <f>ROUND(SUM(+C26-C34),1)</f>
        <v>-6704</v>
      </c>
      <c r="D37" s="467"/>
      <c r="E37" s="603">
        <f>ROUND(SUM(+E26-E34),1)</f>
        <v>7662</v>
      </c>
      <c r="F37" s="467"/>
      <c r="G37" s="603">
        <f>ROUND(SUM(+G26-G34),1)</f>
        <v>13969</v>
      </c>
      <c r="H37" s="467"/>
      <c r="I37" s="603">
        <f>ROUND(SUM(+I26-I34),1)</f>
        <v>20673</v>
      </c>
      <c r="J37" s="472"/>
      <c r="K37" s="603">
        <f>ROUND(SUM(+K26-K34),1)</f>
        <v>6307</v>
      </c>
      <c r="L37" s="38"/>
    </row>
    <row r="38" spans="1:12">
      <c r="A38" s="499"/>
      <c r="B38" s="454"/>
      <c r="C38" s="467"/>
      <c r="D38" s="467"/>
      <c r="E38" s="467"/>
      <c r="F38" s="467"/>
      <c r="G38" s="467"/>
      <c r="H38" s="467"/>
      <c r="I38" s="467"/>
      <c r="J38" s="472"/>
      <c r="K38" s="467"/>
      <c r="L38" s="38"/>
    </row>
    <row r="39" spans="1:12">
      <c r="A39" s="117" t="s">
        <v>45</v>
      </c>
      <c r="B39" s="454"/>
      <c r="C39" s="467"/>
      <c r="D39" s="467"/>
      <c r="E39" s="467"/>
      <c r="F39" s="467"/>
      <c r="G39" s="467"/>
      <c r="H39" s="467"/>
      <c r="I39" s="467"/>
      <c r="J39" s="472"/>
      <c r="K39" s="467"/>
      <c r="L39" s="38"/>
    </row>
    <row r="40" spans="1:12">
      <c r="A40" s="597" t="s">
        <v>46</v>
      </c>
      <c r="B40" s="454" t="s">
        <v>14</v>
      </c>
      <c r="C40" s="493">
        <f>'Exh D General Fund'!C27+'Exh D General Fund'!C28+'Exh D General Fund'!C29+'Exh D General Fund'!C30+'Exh D Special Revenue State Fed'!C25+'Exh D Debt Service'!C26</f>
        <v>42229</v>
      </c>
      <c r="D40" s="467"/>
      <c r="E40" s="493">
        <f>'Exh D General Fund'!E27+'Exh D General Fund'!E28+'Exh D General Fund'!E29+'Exh D General Fund'!E30+'Exh D Special Revenue State Fed'!E25+'Exh D Debt Service'!E26</f>
        <v>46622</v>
      </c>
      <c r="F40" s="467"/>
      <c r="G40" s="493">
        <f>+'Exh A Supp'!T49</f>
        <v>47754.7</v>
      </c>
      <c r="H40" s="917" t="s">
        <v>1511</v>
      </c>
      <c r="I40" s="467">
        <f>ROUND(SUM(G40)-SUM(C40),1)</f>
        <v>5525.7</v>
      </c>
      <c r="J40" s="472"/>
      <c r="K40" s="467">
        <f t="shared" ref="K40:K41" si="6">G40-E40</f>
        <v>1132.6999999999971</v>
      </c>
      <c r="L40" s="38"/>
    </row>
    <row r="41" spans="1:12">
      <c r="A41" s="597" t="s">
        <v>96</v>
      </c>
      <c r="B41" s="454" t="s">
        <v>14</v>
      </c>
      <c r="C41" s="672">
        <f>-('Exh D General Fund'!C38+'Exh D General Fund'!C39+'Exh D General Fund'!C40+'Exh D General Fund'!C41+'Exh D General Fund'!C42+'Exh D Special Revenue State Fed'!C34+'Exh D Debt Service'!C32)</f>
        <v>-43900</v>
      </c>
      <c r="D41" s="467"/>
      <c r="E41" s="672">
        <f>-('Exh D General Fund'!E38+'Exh D General Fund'!E39+'Exh D General Fund'!E40+'Exh D General Fund'!E41+'Exh D General Fund'!E42+'Exh D Special Revenue State Fed'!E34+'Exh D Debt Service'!E32)</f>
        <v>-48415</v>
      </c>
      <c r="F41" s="467"/>
      <c r="G41" s="493">
        <f>+'Exh A Supp'!T50</f>
        <v>-49767.1</v>
      </c>
      <c r="H41" s="917" t="s">
        <v>1511</v>
      </c>
      <c r="I41" s="467">
        <f t="shared" ref="I41" si="7">ROUND(SUM(G41)-SUM(C41),1)</f>
        <v>-5867.1</v>
      </c>
      <c r="J41" s="472"/>
      <c r="K41" s="467">
        <f t="shared" si="6"/>
        <v>-1352.0999999999985</v>
      </c>
      <c r="L41" s="38"/>
    </row>
    <row r="42" spans="1:12">
      <c r="A42" s="117" t="s">
        <v>97</v>
      </c>
      <c r="B42" s="454" t="s">
        <v>14</v>
      </c>
      <c r="C42" s="206">
        <f>ROUND(SUM(C40:C41),1)</f>
        <v>-1671</v>
      </c>
      <c r="D42" s="467"/>
      <c r="E42" s="206">
        <f>ROUND(SUM(E40:E41),1)</f>
        <v>-1793</v>
      </c>
      <c r="F42" s="467"/>
      <c r="G42" s="206">
        <f>ROUND(SUM(G40:G41),1)</f>
        <v>-2012.4</v>
      </c>
      <c r="H42" s="467"/>
      <c r="I42" s="206">
        <f>ROUND(SUM(I40+I41),1)</f>
        <v>-341.4</v>
      </c>
      <c r="J42" s="674"/>
      <c r="K42" s="206">
        <f>ROUND(SUM(K40+K41),1)</f>
        <v>-219.4</v>
      </c>
      <c r="L42" s="38"/>
    </row>
    <row r="43" spans="1:12">
      <c r="A43" s="117"/>
      <c r="B43" s="454"/>
      <c r="C43" s="493"/>
      <c r="D43" s="467"/>
      <c r="E43" s="493"/>
      <c r="F43" s="467"/>
      <c r="G43" s="493"/>
      <c r="H43" s="467"/>
      <c r="I43" s="493"/>
      <c r="J43" s="669"/>
      <c r="K43" s="493"/>
      <c r="L43" s="38"/>
    </row>
    <row r="44" spans="1:12">
      <c r="A44" s="19" t="s">
        <v>98</v>
      </c>
      <c r="B44" s="454"/>
      <c r="C44" s="467"/>
      <c r="D44" s="467"/>
      <c r="E44" s="467"/>
      <c r="F44" s="467"/>
      <c r="G44" s="467"/>
      <c r="H44" s="467"/>
      <c r="I44" s="467"/>
      <c r="J44" s="472"/>
      <c r="K44" s="467"/>
      <c r="L44" s="38"/>
    </row>
    <row r="45" spans="1:12" ht="15" customHeight="1">
      <c r="A45" s="19" t="s">
        <v>99</v>
      </c>
      <c r="B45" s="454"/>
      <c r="C45" s="467"/>
      <c r="D45" s="467"/>
      <c r="E45" s="467"/>
      <c r="F45" s="467"/>
      <c r="G45" s="467"/>
      <c r="H45" s="467"/>
      <c r="I45" s="467"/>
      <c r="J45" s="472"/>
      <c r="K45" s="467"/>
      <c r="L45" s="38"/>
    </row>
    <row r="46" spans="1:12">
      <c r="A46" s="117" t="s">
        <v>100</v>
      </c>
      <c r="B46" s="118" t="s">
        <v>14</v>
      </c>
      <c r="C46" s="42">
        <f>ROUND(SUM(C26)-SUM(C34)+C42,1)</f>
        <v>-8375</v>
      </c>
      <c r="D46" s="57"/>
      <c r="E46" s="42">
        <f>ROUND(SUM(E26)-SUM(E34)+E42,1)</f>
        <v>5869</v>
      </c>
      <c r="F46" s="57"/>
      <c r="G46" s="42">
        <f>ROUND(SUM(G26)-SUM(G34)+G42,1)</f>
        <v>11956.6</v>
      </c>
      <c r="H46" s="57"/>
      <c r="I46" s="42">
        <f>ROUND(SUM(I26)-SUM(I34)+I42,1)</f>
        <v>20331.599999999999</v>
      </c>
      <c r="J46" s="111"/>
      <c r="K46" s="42">
        <f>ROUND(SUM(K26)-SUM(K34)+K42,1)</f>
        <v>6087.6</v>
      </c>
      <c r="L46" s="38"/>
    </row>
    <row r="47" spans="1:12">
      <c r="A47" s="499"/>
      <c r="B47" s="454"/>
      <c r="C47" s="467"/>
      <c r="D47" s="467"/>
      <c r="E47" s="467"/>
      <c r="F47" s="467"/>
      <c r="G47" s="467"/>
      <c r="H47" s="467"/>
      <c r="I47" s="467"/>
      <c r="J47" s="472"/>
      <c r="K47" s="467"/>
      <c r="L47" s="38"/>
    </row>
    <row r="48" spans="1:12">
      <c r="A48" s="117" t="str">
        <f>'Exh D-Governmental  '!A49</f>
        <v>Fund Balances (Deficits) at April 1</v>
      </c>
      <c r="B48" s="675" t="s">
        <v>14</v>
      </c>
      <c r="C48" s="42">
        <f>'Exh D General Fund'!C49+'Exh D Special Revenue State Fed'!C41+'Exh D Debt Service'!C39</f>
        <v>40767</v>
      </c>
      <c r="D48" s="467"/>
      <c r="E48" s="42">
        <f>C48</f>
        <v>40767</v>
      </c>
      <c r="F48" s="467"/>
      <c r="G48" s="42">
        <f>'Exh A Supp'!T57</f>
        <v>40767.199999999997</v>
      </c>
      <c r="H48" s="467"/>
      <c r="I48" s="42">
        <f t="shared" ref="I48" si="8">ROUND(SUM(G48)-SUM(C48),1)</f>
        <v>0.2</v>
      </c>
      <c r="J48" s="111"/>
      <c r="K48" s="42">
        <f>G48-E48</f>
        <v>0.19999999999708962</v>
      </c>
      <c r="L48" s="38"/>
    </row>
    <row r="49" spans="1:12" ht="16" thickBot="1">
      <c r="A49" s="117" t="str">
        <f>'Exh D-Governmental  '!A50</f>
        <v xml:space="preserve">Fund Balances (Deficits) at March 31, 2023 </v>
      </c>
      <c r="B49" s="120" t="s">
        <v>14</v>
      </c>
      <c r="C49" s="69">
        <f>ROUND(SUM(C46:C48),1)</f>
        <v>32392</v>
      </c>
      <c r="D49" s="121"/>
      <c r="E49" s="69">
        <f>ROUND(SUM(E46:E48),1)</f>
        <v>46636</v>
      </c>
      <c r="F49" s="121"/>
      <c r="G49" s="69">
        <f>ROUND(SUM(G46:G48),1)</f>
        <v>52723.8</v>
      </c>
      <c r="H49" s="121"/>
      <c r="I49" s="69">
        <f>ROUND(SUM(I46:I48),1)</f>
        <v>20331.8</v>
      </c>
      <c r="J49" s="122"/>
      <c r="K49" s="69">
        <f>ROUND(SUM(K46:K48),1)</f>
        <v>6087.8</v>
      </c>
      <c r="L49" s="38"/>
    </row>
    <row r="50" spans="1:12" ht="16" thickTop="1">
      <c r="A50" s="499"/>
      <c r="B50" s="454"/>
      <c r="C50" s="454"/>
      <c r="D50" s="454"/>
      <c r="E50" s="454"/>
      <c r="F50" s="454"/>
      <c r="G50" s="454"/>
      <c r="H50" s="454"/>
      <c r="I50" s="454"/>
      <c r="J50" s="454"/>
      <c r="K50" s="454"/>
    </row>
    <row r="51" spans="1:12">
      <c r="A51" s="676" t="str">
        <f>'Exh D-Governmental  '!A52</f>
        <v>(*)    Source: 2022-23 Enacted Financial Plan dated May 20, 2022.</v>
      </c>
      <c r="G51" s="479" t="s">
        <v>14</v>
      </c>
      <c r="I51" s="806"/>
      <c r="K51" s="806"/>
    </row>
    <row r="52" spans="1:12">
      <c r="A52" s="676" t="str">
        <f>'Exh D-Governmental  '!A53</f>
        <v>(**)   Source: 2023-24 Executive Budget with 30-day amendments dated March 3, 2023.</v>
      </c>
      <c r="G52" s="806"/>
      <c r="I52" s="806"/>
      <c r="K52" s="806"/>
    </row>
    <row r="53" spans="1:12">
      <c r="A53" s="489" t="s">
        <v>1509</v>
      </c>
      <c r="G53" s="806"/>
      <c r="I53" s="806"/>
      <c r="K53" s="806"/>
    </row>
    <row r="54" spans="1:12">
      <c r="A54" s="489" t="s">
        <v>1484</v>
      </c>
      <c r="I54" s="806"/>
      <c r="K54" s="806"/>
    </row>
    <row r="55" spans="1:12">
      <c r="A55" s="1448" t="s">
        <v>1512</v>
      </c>
    </row>
    <row r="56" spans="1:12">
      <c r="G56" s="806"/>
    </row>
  </sheetData>
  <mergeCells count="2">
    <mergeCell ref="A5:E5"/>
    <mergeCell ref="C11:I11"/>
  </mergeCells>
  <printOptions horizontalCentered="1"/>
  <pageMargins left="0.7" right="0.7" top="0.75" bottom="1" header="0.3" footer="0.3"/>
  <pageSetup scale="57" firstPageNumber="9"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2"/>
  <sheetViews>
    <sheetView showGridLines="0" zoomScale="90" workbookViewId="0"/>
  </sheetViews>
  <sheetFormatPr defaultColWidth="8.84375" defaultRowHeight="15.5"/>
  <cols>
    <col min="1" max="1" width="59" style="499" customWidth="1"/>
    <col min="2" max="2" width="2" style="454" customWidth="1"/>
    <col min="3" max="3" width="15.07421875" style="301" customWidth="1"/>
    <col min="4" max="4" width="1.84375" style="454" customWidth="1"/>
    <col min="5" max="5" width="15.07421875" style="301" customWidth="1"/>
    <col min="6" max="6" width="2.84375" style="454" customWidth="1"/>
    <col min="7" max="7" width="15.07421875" style="454" customWidth="1"/>
    <col min="8" max="8" width="4.84375" style="454" customWidth="1"/>
    <col min="9" max="9" width="15.07421875" style="454" customWidth="1"/>
    <col min="10" max="10" width="2.07421875" style="454" customWidth="1"/>
    <col min="11" max="11" width="12.84375" style="454" customWidth="1"/>
    <col min="12" max="12" width="18.07421875" style="301" bestFit="1" customWidth="1"/>
    <col min="13" max="16384" width="8.84375" style="499"/>
  </cols>
  <sheetData>
    <row r="1" spans="1:12">
      <c r="A1" s="677" t="s">
        <v>868</v>
      </c>
      <c r="B1" s="126"/>
      <c r="C1" s="297"/>
      <c r="D1" s="126"/>
      <c r="E1" s="297"/>
      <c r="F1" s="126"/>
      <c r="G1" s="126"/>
      <c r="H1" s="126"/>
      <c r="I1" s="126"/>
      <c r="J1" s="126"/>
      <c r="K1" s="126"/>
      <c r="L1" s="297"/>
    </row>
    <row r="2" spans="1:12" ht="17.25" customHeight="1">
      <c r="A2" s="127"/>
      <c r="B2" s="126"/>
      <c r="C2" s="297"/>
      <c r="D2" s="126"/>
      <c r="E2" s="297"/>
      <c r="F2" s="126"/>
      <c r="G2" s="126"/>
      <c r="H2" s="126"/>
      <c r="I2" s="126"/>
      <c r="J2" s="126"/>
      <c r="K2" s="126"/>
      <c r="L2" s="297"/>
    </row>
    <row r="3" spans="1:12" ht="18.75" customHeight="1">
      <c r="A3" s="128" t="s">
        <v>0</v>
      </c>
      <c r="B3" s="94"/>
      <c r="C3" s="298"/>
      <c r="D3" s="94"/>
      <c r="E3" s="298"/>
      <c r="F3" s="94"/>
      <c r="G3" s="94"/>
      <c r="H3" s="94"/>
      <c r="I3" s="598"/>
      <c r="K3" s="598" t="s">
        <v>81</v>
      </c>
      <c r="L3" s="298"/>
    </row>
    <row r="4" spans="1:12" ht="18.75" customHeight="1">
      <c r="A4" s="128" t="s">
        <v>80</v>
      </c>
      <c r="B4" s="94"/>
      <c r="C4" s="298"/>
      <c r="D4" s="94"/>
      <c r="E4" s="298"/>
      <c r="F4" s="94"/>
      <c r="G4" s="94"/>
      <c r="H4" s="94"/>
      <c r="I4" s="599"/>
      <c r="K4" s="599"/>
      <c r="L4" s="298"/>
    </row>
    <row r="5" spans="1:12" ht="18.75" customHeight="1">
      <c r="A5" s="2309" t="str">
        <f>'Exh D-Governmental  '!A5:E5</f>
        <v>FISCAL YEAR 2022-2023</v>
      </c>
      <c r="B5" s="2310"/>
      <c r="C5" s="2310"/>
      <c r="D5" s="2310"/>
      <c r="E5" s="2310"/>
      <c r="F5" s="94"/>
      <c r="G5" s="472"/>
      <c r="H5" s="94"/>
      <c r="I5" s="94"/>
      <c r="J5" s="94"/>
      <c r="K5" s="94"/>
      <c r="L5" s="298"/>
    </row>
    <row r="6" spans="1:12" ht="18.75" customHeight="1">
      <c r="A6" s="128" t="str">
        <f>'Exh D-Governmental  '!A6</f>
        <v xml:space="preserve">FOR TWELVE MONTHS ENDED MARCH 31, 2023    </v>
      </c>
      <c r="B6" s="94"/>
      <c r="C6" s="298"/>
      <c r="D6" s="94"/>
      <c r="E6" s="298"/>
      <c r="F6" s="94"/>
      <c r="G6" s="94"/>
      <c r="H6" s="94"/>
      <c r="I6" s="94"/>
      <c r="J6" s="94"/>
      <c r="K6" s="94"/>
      <c r="L6" s="298"/>
    </row>
    <row r="7" spans="1:12" ht="18.75" customHeight="1">
      <c r="A7" s="128" t="s">
        <v>1248</v>
      </c>
      <c r="B7" s="94"/>
      <c r="C7" s="298"/>
      <c r="D7" s="94"/>
      <c r="E7" s="298"/>
      <c r="F7" s="94"/>
      <c r="G7" s="94"/>
      <c r="H7" s="94"/>
      <c r="I7" s="94"/>
      <c r="J7" s="94"/>
      <c r="K7" s="94"/>
      <c r="L7" s="298"/>
    </row>
    <row r="8" spans="1:12" ht="15" customHeight="1">
      <c r="A8" s="98"/>
      <c r="B8" s="94"/>
      <c r="C8" s="298"/>
      <c r="D8" s="94"/>
      <c r="E8" s="298"/>
      <c r="F8" s="94"/>
      <c r="G8" s="94"/>
      <c r="H8" s="94"/>
      <c r="I8" s="94"/>
      <c r="J8" s="94"/>
      <c r="K8" s="94"/>
      <c r="L8" s="298"/>
    </row>
    <row r="9" spans="1:12">
      <c r="A9" s="99"/>
      <c r="B9" s="94"/>
      <c r="C9" s="298"/>
      <c r="D9" s="94"/>
      <c r="E9" s="298"/>
      <c r="F9" s="94"/>
      <c r="G9" s="94"/>
      <c r="H9" s="94"/>
      <c r="I9" s="94"/>
      <c r="J9" s="94"/>
      <c r="K9" s="94"/>
      <c r="L9" s="298"/>
    </row>
    <row r="10" spans="1:12">
      <c r="A10" s="99"/>
      <c r="B10" s="94"/>
      <c r="C10" s="298"/>
      <c r="D10" s="94"/>
      <c r="E10" s="298"/>
      <c r="F10" s="94"/>
      <c r="G10" s="94"/>
      <c r="H10" s="94"/>
      <c r="I10" s="94"/>
      <c r="J10" s="94"/>
      <c r="K10" s="94"/>
      <c r="L10" s="298"/>
    </row>
    <row r="11" spans="1:12">
      <c r="C11" s="2305" t="s">
        <v>1025</v>
      </c>
      <c r="D11" s="2305"/>
      <c r="E11" s="2305"/>
      <c r="F11" s="2305"/>
      <c r="G11" s="2305"/>
      <c r="H11" s="2305"/>
      <c r="I11" s="2305"/>
      <c r="J11" s="807"/>
      <c r="K11" s="808"/>
    </row>
    <row r="12" spans="1:12">
      <c r="C12" s="299"/>
      <c r="D12" s="132"/>
      <c r="E12" s="299"/>
      <c r="F12" s="132"/>
      <c r="G12" s="133"/>
      <c r="H12" s="132"/>
      <c r="I12" s="132" t="s">
        <v>82</v>
      </c>
      <c r="J12" s="130"/>
      <c r="K12" s="132" t="s">
        <v>82</v>
      </c>
    </row>
    <row r="13" spans="1:12">
      <c r="B13" s="100"/>
      <c r="C13" s="300"/>
      <c r="D13" s="100"/>
      <c r="E13" s="300"/>
      <c r="F13" s="100"/>
      <c r="G13" s="100"/>
      <c r="H13" s="100"/>
      <c r="I13" s="101" t="s">
        <v>783</v>
      </c>
      <c r="J13" s="101"/>
      <c r="K13" s="101" t="s">
        <v>783</v>
      </c>
      <c r="L13" s="300"/>
    </row>
    <row r="14" spans="1:12">
      <c r="B14" s="134"/>
      <c r="C14" s="102" t="s">
        <v>975</v>
      </c>
      <c r="D14" s="499"/>
      <c r="E14" s="101" t="s">
        <v>976</v>
      </c>
      <c r="F14" s="100"/>
      <c r="G14" s="100"/>
      <c r="H14" s="100"/>
      <c r="I14" s="101" t="s">
        <v>83</v>
      </c>
      <c r="J14" s="101"/>
      <c r="K14" s="101" t="s">
        <v>83</v>
      </c>
      <c r="L14" s="688"/>
    </row>
    <row r="15" spans="1:12">
      <c r="B15" s="134"/>
      <c r="C15" s="101" t="s">
        <v>1011</v>
      </c>
      <c r="D15" s="100"/>
      <c r="E15" s="101" t="s">
        <v>1011</v>
      </c>
      <c r="F15" s="100"/>
      <c r="G15" s="100"/>
      <c r="H15" s="100"/>
      <c r="I15" s="101" t="s">
        <v>975</v>
      </c>
      <c r="J15" s="101"/>
      <c r="K15" s="101" t="s">
        <v>976</v>
      </c>
      <c r="L15" s="688"/>
    </row>
    <row r="16" spans="1:12">
      <c r="B16" s="101"/>
      <c r="C16" s="101" t="s">
        <v>1012</v>
      </c>
      <c r="D16" s="100"/>
      <c r="E16" s="101" t="s">
        <v>1508</v>
      </c>
      <c r="F16" s="100"/>
      <c r="G16" s="102" t="s">
        <v>82</v>
      </c>
      <c r="H16" s="100"/>
      <c r="I16" s="101" t="s">
        <v>84</v>
      </c>
      <c r="J16" s="101"/>
      <c r="K16" s="101" t="s">
        <v>84</v>
      </c>
      <c r="L16" s="102"/>
    </row>
    <row r="17" spans="1:12">
      <c r="A17" s="103"/>
      <c r="B17" s="94"/>
      <c r="C17" s="104"/>
      <c r="D17" s="94"/>
      <c r="E17" s="104"/>
      <c r="F17" s="94"/>
      <c r="G17" s="104"/>
      <c r="H17" s="94"/>
      <c r="I17" s="104"/>
      <c r="J17" s="94"/>
      <c r="K17" s="104"/>
      <c r="L17" s="94"/>
    </row>
    <row r="18" spans="1:12">
      <c r="A18" s="19" t="s">
        <v>13</v>
      </c>
      <c r="C18" s="454"/>
      <c r="E18" s="454"/>
      <c r="L18" s="454"/>
    </row>
    <row r="19" spans="1:12">
      <c r="A19" s="597" t="s">
        <v>85</v>
      </c>
      <c r="B19" s="669"/>
      <c r="C19" s="454"/>
      <c r="D19" s="669"/>
      <c r="E19" s="454"/>
      <c r="F19" s="669"/>
      <c r="H19" s="669"/>
      <c r="L19" s="454"/>
    </row>
    <row r="20" spans="1:12">
      <c r="A20" s="597" t="s">
        <v>86</v>
      </c>
      <c r="B20" s="669" t="s">
        <v>14</v>
      </c>
      <c r="C20" s="482">
        <v>21658</v>
      </c>
      <c r="D20" s="481"/>
      <c r="E20" s="482">
        <v>27381</v>
      </c>
      <c r="F20" s="481"/>
      <c r="G20" s="479">
        <f>+'Exhibit F'!AC26</f>
        <v>27606.6</v>
      </c>
      <c r="H20" s="481"/>
      <c r="I20" s="479">
        <f>ROUND(SUM(G20)-SUM(C20),1)</f>
        <v>5948.6</v>
      </c>
      <c r="K20" s="479">
        <f>ROUND(SUM(G20)-SUM(E20),1)</f>
        <v>225.6</v>
      </c>
      <c r="L20" s="481"/>
    </row>
    <row r="21" spans="1:12">
      <c r="A21" s="597" t="s">
        <v>87</v>
      </c>
      <c r="B21" s="454" t="s">
        <v>14</v>
      </c>
      <c r="C21" s="480">
        <v>6815</v>
      </c>
      <c r="D21" s="467"/>
      <c r="E21" s="480">
        <v>7214</v>
      </c>
      <c r="F21" s="467"/>
      <c r="G21" s="467">
        <f>+'Exhibit F'!AC37</f>
        <v>7239.5</v>
      </c>
      <c r="H21" s="467"/>
      <c r="I21" s="467">
        <f t="shared" ref="I21:I24" si="0">ROUND(SUM(G21)-SUM(C21),1)</f>
        <v>424.5</v>
      </c>
      <c r="K21" s="467">
        <f>ROUND(SUM(G21)-SUM(E21),1)</f>
        <v>25.5</v>
      </c>
      <c r="L21" s="689"/>
    </row>
    <row r="22" spans="1:12">
      <c r="A22" s="597" t="s">
        <v>88</v>
      </c>
      <c r="B22" s="669" t="s">
        <v>14</v>
      </c>
      <c r="C22" s="480">
        <v>17249</v>
      </c>
      <c r="D22" s="493"/>
      <c r="E22" s="480">
        <v>16722</v>
      </c>
      <c r="F22" s="493"/>
      <c r="G22" s="467">
        <f>+'Exhibit F'!AC45</f>
        <v>17855.8</v>
      </c>
      <c r="H22" s="493"/>
      <c r="I22" s="467">
        <f t="shared" si="0"/>
        <v>606.79999999999995</v>
      </c>
      <c r="K22" s="467">
        <f t="shared" ref="K22:K30" si="1">ROUND(SUM(G22)-SUM(E22),1)</f>
        <v>1133.8</v>
      </c>
      <c r="L22" s="689"/>
    </row>
    <row r="23" spans="1:12">
      <c r="A23" s="597" t="s">
        <v>89</v>
      </c>
      <c r="B23" s="454" t="s">
        <v>14</v>
      </c>
      <c r="C23" s="480">
        <v>1372</v>
      </c>
      <c r="D23" s="467"/>
      <c r="E23" s="480">
        <v>2044</v>
      </c>
      <c r="F23" s="467"/>
      <c r="G23" s="467">
        <f>+'Exhibit F'!AC53</f>
        <v>2203.6</v>
      </c>
      <c r="H23" s="467"/>
      <c r="I23" s="467">
        <f t="shared" si="0"/>
        <v>831.6</v>
      </c>
      <c r="K23" s="467">
        <f t="shared" si="1"/>
        <v>159.6</v>
      </c>
      <c r="L23" s="690"/>
    </row>
    <row r="24" spans="1:12" ht="15" customHeight="1">
      <c r="A24" s="597" t="s">
        <v>19</v>
      </c>
      <c r="B24" s="454" t="s">
        <v>14</v>
      </c>
      <c r="C24" s="480">
        <v>1768</v>
      </c>
      <c r="D24" s="1236"/>
      <c r="E24" s="480">
        <v>3032</v>
      </c>
      <c r="F24" s="682"/>
      <c r="G24" s="496">
        <f>+'Exhibit F'!AC96</f>
        <v>3609.3</v>
      </c>
      <c r="H24" s="467"/>
      <c r="I24" s="467">
        <f t="shared" si="0"/>
        <v>1841.3</v>
      </c>
      <c r="K24" s="467">
        <f t="shared" si="1"/>
        <v>577.29999999999995</v>
      </c>
      <c r="L24" s="690"/>
    </row>
    <row r="25" spans="1:12" ht="15" customHeight="1">
      <c r="A25" s="597" t="s">
        <v>20</v>
      </c>
      <c r="B25" s="454" t="s">
        <v>14</v>
      </c>
      <c r="C25" s="480">
        <v>2350</v>
      </c>
      <c r="D25" s="467"/>
      <c r="E25" s="480">
        <v>2350</v>
      </c>
      <c r="F25" s="467"/>
      <c r="G25" s="496">
        <f>+'Exhibit F'!AC98</f>
        <v>2350.6</v>
      </c>
      <c r="H25" s="467"/>
      <c r="I25" s="467">
        <f t="shared" ref="I25:I30" si="2">ROUND(SUM(G25)-SUM(C25),1)</f>
        <v>0.6</v>
      </c>
      <c r="K25" s="467">
        <f t="shared" si="1"/>
        <v>0.6</v>
      </c>
      <c r="L25" s="689"/>
    </row>
    <row r="26" spans="1:12" ht="18" customHeight="1">
      <c r="A26" s="597" t="s">
        <v>103</v>
      </c>
      <c r="B26" s="683"/>
      <c r="C26" s="480"/>
      <c r="D26" s="467"/>
      <c r="E26" s="480"/>
      <c r="F26" s="467"/>
      <c r="G26" s="1316"/>
      <c r="H26" s="467"/>
      <c r="I26" s="467" t="s">
        <v>14</v>
      </c>
      <c r="J26" s="683"/>
      <c r="K26" s="467" t="s">
        <v>14</v>
      </c>
      <c r="L26" s="480"/>
    </row>
    <row r="27" spans="1:12">
      <c r="A27" s="597" t="s">
        <v>1450</v>
      </c>
      <c r="B27" s="683" t="s">
        <v>14</v>
      </c>
      <c r="C27" s="480">
        <v>25117</v>
      </c>
      <c r="D27" s="467"/>
      <c r="E27" s="480">
        <v>28557</v>
      </c>
      <c r="F27" s="467"/>
      <c r="G27" s="467">
        <f>'Exhibit F'!AC127</f>
        <v>28370.799999999999</v>
      </c>
      <c r="H27" s="467"/>
      <c r="I27" s="467">
        <f t="shared" si="2"/>
        <v>3253.8</v>
      </c>
      <c r="J27" s="683"/>
      <c r="K27" s="467">
        <f t="shared" si="1"/>
        <v>-186.2</v>
      </c>
      <c r="L27" s="480"/>
    </row>
    <row r="28" spans="1:12">
      <c r="A28" s="597" t="s">
        <v>974</v>
      </c>
      <c r="B28" s="683" t="s">
        <v>14</v>
      </c>
      <c r="C28" s="480">
        <v>9174</v>
      </c>
      <c r="D28" s="467"/>
      <c r="E28" s="480">
        <v>10019</v>
      </c>
      <c r="F28" s="467"/>
      <c r="G28" s="496">
        <f>'Exhibit F'!AC128</f>
        <v>9489.4</v>
      </c>
      <c r="H28" s="467"/>
      <c r="I28" s="467">
        <f t="shared" si="2"/>
        <v>315.39999999999998</v>
      </c>
      <c r="J28" s="683"/>
      <c r="K28" s="467">
        <f t="shared" si="1"/>
        <v>-529.6</v>
      </c>
      <c r="L28" s="480" t="s">
        <v>14</v>
      </c>
    </row>
    <row r="29" spans="1:12">
      <c r="A29" s="597" t="s">
        <v>104</v>
      </c>
      <c r="B29" s="683" t="s">
        <v>14</v>
      </c>
      <c r="C29" s="480">
        <v>1157</v>
      </c>
      <c r="D29" s="467"/>
      <c r="E29" s="480">
        <v>1199</v>
      </c>
      <c r="F29" s="467"/>
      <c r="G29" s="467">
        <f>'Exhibit F'!AC129</f>
        <v>1180</v>
      </c>
      <c r="H29" s="467"/>
      <c r="I29" s="467">
        <f t="shared" si="2"/>
        <v>23</v>
      </c>
      <c r="J29" s="683"/>
      <c r="K29" s="467">
        <f t="shared" si="1"/>
        <v>-19</v>
      </c>
      <c r="L29" s="480"/>
    </row>
    <row r="30" spans="1:12">
      <c r="A30" s="597" t="s">
        <v>105</v>
      </c>
      <c r="B30" s="683" t="s">
        <v>14</v>
      </c>
      <c r="C30" s="480">
        <v>1646</v>
      </c>
      <c r="D30" s="467"/>
      <c r="E30" s="480">
        <v>1844</v>
      </c>
      <c r="F30" s="467"/>
      <c r="G30" s="496">
        <f>'Exhibit F'!AC130</f>
        <v>3291.4999999999982</v>
      </c>
      <c r="H30" s="467"/>
      <c r="I30" s="467">
        <f t="shared" si="2"/>
        <v>1645.5</v>
      </c>
      <c r="J30" s="683"/>
      <c r="K30" s="467">
        <f t="shared" si="1"/>
        <v>1447.5</v>
      </c>
      <c r="L30" s="495"/>
    </row>
    <row r="31" spans="1:12" ht="18" customHeight="1">
      <c r="A31" s="117" t="s">
        <v>106</v>
      </c>
      <c r="B31" s="100" t="s">
        <v>14</v>
      </c>
      <c r="C31" s="1172">
        <f>ROUND(SUM(C20:C30),1)</f>
        <v>88306</v>
      </c>
      <c r="D31" s="42"/>
      <c r="E31" s="1172">
        <f>ROUND(SUM(E20:E30),1)</f>
        <v>100362</v>
      </c>
      <c r="F31" s="42"/>
      <c r="G31" s="142">
        <f>ROUND(SUM(G20:G30),1)</f>
        <v>103197.1</v>
      </c>
      <c r="H31" s="42"/>
      <c r="I31" s="206">
        <f>ROUND(SUM(I20:I30),1)</f>
        <v>14891.1</v>
      </c>
      <c r="J31" s="100"/>
      <c r="K31" s="206">
        <f>ROUND(SUM(K20:K30),1)</f>
        <v>2835.1</v>
      </c>
      <c r="L31" s="42"/>
    </row>
    <row r="32" spans="1:12">
      <c r="C32" s="1170"/>
      <c r="D32" s="467"/>
      <c r="E32" s="1170"/>
      <c r="F32" s="467"/>
      <c r="G32" s="497"/>
      <c r="H32" s="467"/>
      <c r="I32" s="467"/>
      <c r="K32" s="467"/>
      <c r="L32" s="467"/>
    </row>
    <row r="33" spans="1:12">
      <c r="A33" s="19" t="s">
        <v>22</v>
      </c>
      <c r="C33" s="467"/>
      <c r="D33" s="467"/>
      <c r="E33" s="467"/>
      <c r="F33" s="467"/>
      <c r="G33" s="467"/>
      <c r="H33" s="467"/>
      <c r="I33" s="467"/>
      <c r="K33" s="467"/>
      <c r="L33" s="467"/>
    </row>
    <row r="34" spans="1:12">
      <c r="A34" s="597" t="s">
        <v>91</v>
      </c>
      <c r="B34" s="669" t="s">
        <v>14</v>
      </c>
      <c r="C34" s="480">
        <v>66309</v>
      </c>
      <c r="D34" s="467"/>
      <c r="E34" s="480">
        <v>64472</v>
      </c>
      <c r="F34" s="467"/>
      <c r="G34" s="493">
        <f>+'Exhibit F'!AC114</f>
        <v>62852.2</v>
      </c>
      <c r="H34" s="467"/>
      <c r="I34" s="467">
        <f t="shared" ref="I34:I42" si="3">ROUND(SUM(G34)-SUM(C34),1)</f>
        <v>-3456.8</v>
      </c>
      <c r="K34" s="467">
        <f t="shared" ref="K34:K42" si="4">ROUND(SUM(G34)-SUM(E34),1)</f>
        <v>-1619.8</v>
      </c>
      <c r="L34" s="493"/>
    </row>
    <row r="35" spans="1:12">
      <c r="A35" s="597" t="s">
        <v>92</v>
      </c>
      <c r="B35" s="669" t="s">
        <v>14</v>
      </c>
      <c r="C35" s="480">
        <v>12867</v>
      </c>
      <c r="D35" s="467"/>
      <c r="E35" s="480">
        <v>13014</v>
      </c>
      <c r="F35" s="467"/>
      <c r="G35" s="493">
        <f>+'Exhibit F'!AC116+'Exhibit F'!AC117</f>
        <v>12506.6</v>
      </c>
      <c r="H35" s="467"/>
      <c r="I35" s="467">
        <f t="shared" si="3"/>
        <v>-360.4</v>
      </c>
      <c r="K35" s="467">
        <f t="shared" si="4"/>
        <v>-507.4</v>
      </c>
      <c r="L35" s="493"/>
    </row>
    <row r="36" spans="1:12">
      <c r="A36" s="597" t="s">
        <v>68</v>
      </c>
      <c r="B36" s="669" t="s">
        <v>14</v>
      </c>
      <c r="C36" s="480">
        <v>8787</v>
      </c>
      <c r="D36" s="467"/>
      <c r="E36" s="480">
        <v>8839</v>
      </c>
      <c r="F36" s="467"/>
      <c r="G36" s="493">
        <f>+'Exhibit F'!AC118</f>
        <v>9115.2999999999993</v>
      </c>
      <c r="H36" s="467"/>
      <c r="I36" s="467">
        <f t="shared" si="3"/>
        <v>328.3</v>
      </c>
      <c r="K36" s="467">
        <f t="shared" si="4"/>
        <v>276.3</v>
      </c>
      <c r="L36" s="493"/>
    </row>
    <row r="37" spans="1:12" ht="18" customHeight="1">
      <c r="A37" s="597" t="s">
        <v>107</v>
      </c>
      <c r="B37" s="683"/>
      <c r="C37" s="480"/>
      <c r="D37" s="467"/>
      <c r="E37" s="480"/>
      <c r="F37" s="467"/>
      <c r="G37" s="480"/>
      <c r="H37" s="467"/>
      <c r="I37" s="467" t="s">
        <v>14</v>
      </c>
      <c r="J37" s="683"/>
      <c r="K37" s="467" t="s">
        <v>14</v>
      </c>
      <c r="L37" s="495"/>
    </row>
    <row r="38" spans="1:12">
      <c r="A38" s="597" t="s">
        <v>108</v>
      </c>
      <c r="B38" s="683" t="s">
        <v>14</v>
      </c>
      <c r="C38" s="480">
        <v>290</v>
      </c>
      <c r="D38" s="467"/>
      <c r="E38" s="480">
        <v>290</v>
      </c>
      <c r="F38" s="467"/>
      <c r="G38" s="495">
        <f>-'Exhibit F'!AC133</f>
        <v>298.10000000000002</v>
      </c>
      <c r="H38" s="467"/>
      <c r="I38" s="467">
        <f t="shared" si="3"/>
        <v>8.1</v>
      </c>
      <c r="J38" s="683"/>
      <c r="K38" s="467">
        <f t="shared" si="4"/>
        <v>8.1</v>
      </c>
      <c r="L38" s="480"/>
    </row>
    <row r="39" spans="1:12">
      <c r="A39" s="597" t="s">
        <v>109</v>
      </c>
      <c r="B39" s="683" t="s">
        <v>14</v>
      </c>
      <c r="C39" s="480">
        <v>4348</v>
      </c>
      <c r="D39" s="467"/>
      <c r="E39" s="480">
        <v>4443</v>
      </c>
      <c r="F39" s="467"/>
      <c r="G39" s="495">
        <f>-'Exhibit F'!AC131-'Exhibit F'!AC132</f>
        <v>4649.2</v>
      </c>
      <c r="H39" s="467" t="s">
        <v>14</v>
      </c>
      <c r="I39" s="467">
        <f t="shared" si="3"/>
        <v>301.2</v>
      </c>
      <c r="J39" s="683"/>
      <c r="K39" s="467">
        <f t="shared" si="4"/>
        <v>206.2</v>
      </c>
      <c r="L39" s="480" t="s">
        <v>14</v>
      </c>
    </row>
    <row r="40" spans="1:12">
      <c r="A40" s="597" t="s">
        <v>110</v>
      </c>
      <c r="B40" s="683" t="s">
        <v>14</v>
      </c>
      <c r="C40" s="480">
        <v>0</v>
      </c>
      <c r="D40" s="467"/>
      <c r="E40" s="480">
        <v>0</v>
      </c>
      <c r="F40" s="467"/>
      <c r="G40" s="496">
        <v>328.9</v>
      </c>
      <c r="H40" s="467" t="s">
        <v>763</v>
      </c>
      <c r="I40" s="467">
        <f t="shared" si="3"/>
        <v>328.9</v>
      </c>
      <c r="J40" s="683"/>
      <c r="K40" s="467">
        <f t="shared" si="4"/>
        <v>328.9</v>
      </c>
      <c r="L40" s="480"/>
    </row>
    <row r="41" spans="1:12">
      <c r="A41" s="597" t="s">
        <v>112</v>
      </c>
      <c r="B41" s="683" t="s">
        <v>113</v>
      </c>
      <c r="C41" s="480">
        <v>1508</v>
      </c>
      <c r="D41" s="467"/>
      <c r="E41" s="480">
        <v>1507</v>
      </c>
      <c r="F41" s="467"/>
      <c r="G41" s="496">
        <v>1491.4</v>
      </c>
      <c r="H41" s="467"/>
      <c r="I41" s="467">
        <f t="shared" si="3"/>
        <v>-16.600000000000001</v>
      </c>
      <c r="J41" s="683"/>
      <c r="K41" s="467">
        <f t="shared" si="4"/>
        <v>-15.6</v>
      </c>
      <c r="L41" s="480" t="s">
        <v>14</v>
      </c>
    </row>
    <row r="42" spans="1:12">
      <c r="A42" s="597" t="s">
        <v>114</v>
      </c>
      <c r="B42" s="683" t="s">
        <v>14</v>
      </c>
      <c r="C42" s="480">
        <v>1994</v>
      </c>
      <c r="D42" s="467"/>
      <c r="E42" s="480">
        <v>1926</v>
      </c>
      <c r="F42" s="467"/>
      <c r="G42" s="495">
        <f>1557.5</f>
        <v>1557.5</v>
      </c>
      <c r="H42" s="467"/>
      <c r="I42" s="467">
        <f t="shared" si="3"/>
        <v>-436.5</v>
      </c>
      <c r="J42" s="683"/>
      <c r="K42" s="467">
        <f t="shared" si="4"/>
        <v>-368.5</v>
      </c>
      <c r="L42" s="495" t="s">
        <v>14</v>
      </c>
    </row>
    <row r="43" spans="1:12" ht="18" customHeight="1">
      <c r="A43" s="117" t="s">
        <v>115</v>
      </c>
      <c r="B43" s="100" t="s">
        <v>14</v>
      </c>
      <c r="C43" s="1172">
        <f>ROUND(SUM(C34:C42),1)</f>
        <v>96103</v>
      </c>
      <c r="D43" s="42"/>
      <c r="E43" s="1172">
        <f>ROUND(SUM(E34:E42),1)</f>
        <v>94491</v>
      </c>
      <c r="F43" s="42"/>
      <c r="G43" s="142">
        <f>ROUND(SUM(G34:G42),1)</f>
        <v>92799.2</v>
      </c>
      <c r="H43" s="42"/>
      <c r="I43" s="206">
        <f>ROUND(SUM(I34:I42),1)</f>
        <v>-3303.8</v>
      </c>
      <c r="J43" s="100"/>
      <c r="K43" s="206">
        <f>ROUND(SUM(K34:K42),1)</f>
        <v>-1691.8</v>
      </c>
      <c r="L43" s="42"/>
    </row>
    <row r="44" spans="1:12">
      <c r="C44" s="1170"/>
      <c r="D44" s="467"/>
      <c r="E44" s="1170"/>
      <c r="F44" s="467"/>
      <c r="G44" s="497"/>
      <c r="H44" s="467"/>
      <c r="I44" s="467"/>
      <c r="K44" s="467"/>
      <c r="L44" s="467"/>
    </row>
    <row r="45" spans="1:12">
      <c r="A45" s="19" t="s">
        <v>116</v>
      </c>
      <c r="C45" s="467"/>
      <c r="D45" s="467"/>
      <c r="E45" s="467"/>
      <c r="F45" s="467"/>
      <c r="G45" s="467"/>
      <c r="H45" s="467"/>
      <c r="I45" s="467"/>
      <c r="K45" s="467"/>
      <c r="L45" s="467"/>
    </row>
    <row r="46" spans="1:12">
      <c r="A46" s="19" t="s">
        <v>117</v>
      </c>
      <c r="C46" s="467"/>
      <c r="D46" s="467"/>
      <c r="E46" s="467"/>
      <c r="F46" s="467"/>
      <c r="G46" s="467"/>
      <c r="H46" s="467"/>
      <c r="I46" s="467"/>
      <c r="K46" s="467"/>
      <c r="L46" s="467"/>
    </row>
    <row r="47" spans="1:12">
      <c r="A47" s="117" t="s">
        <v>100</v>
      </c>
      <c r="B47" s="667" t="s">
        <v>14</v>
      </c>
      <c r="C47" s="42">
        <f>ROUND(SUM(C31)-SUM(C43),1)</f>
        <v>-7797</v>
      </c>
      <c r="D47" s="57"/>
      <c r="E47" s="42">
        <f>ROUND(SUM(E31)-SUM(E43),1)</f>
        <v>5871</v>
      </c>
      <c r="F47" s="57"/>
      <c r="G47" s="42">
        <f>ROUND(SUM(G31)-SUM(G43),1)</f>
        <v>10397.9</v>
      </c>
      <c r="H47" s="57"/>
      <c r="I47" s="42">
        <f>ROUND(SUM(I31)-SUM(I43),1)</f>
        <v>18194.900000000001</v>
      </c>
      <c r="J47" s="100"/>
      <c r="K47" s="42">
        <f>ROUND(SUM(K31)-SUM(K43),1)</f>
        <v>4526.8999999999996</v>
      </c>
      <c r="L47" s="42"/>
    </row>
    <row r="48" spans="1:12" ht="15" customHeight="1">
      <c r="C48" s="467"/>
      <c r="D48" s="467"/>
      <c r="E48" s="467"/>
      <c r="F48" s="467"/>
      <c r="G48" s="467"/>
      <c r="H48" s="467"/>
      <c r="I48" s="42"/>
      <c r="J48" s="100"/>
      <c r="K48" s="42"/>
      <c r="L48" s="467"/>
    </row>
    <row r="49" spans="1:12">
      <c r="A49" s="117" t="str">
        <f>'Exh D-Governmental  '!A49</f>
        <v>Fund Balances (Deficits) at April 1</v>
      </c>
      <c r="B49" s="454" t="s">
        <v>14</v>
      </c>
      <c r="C49" s="42">
        <v>33053</v>
      </c>
      <c r="D49" s="467"/>
      <c r="E49" s="42">
        <v>33053</v>
      </c>
      <c r="F49" s="467"/>
      <c r="G49" s="42">
        <f>'Exhibit F'!AC12</f>
        <v>33052.699999999997</v>
      </c>
      <c r="H49" s="467"/>
      <c r="I49" s="42">
        <f t="shared" ref="I49" si="5">ROUND(SUM(G49)-SUM(C49),1)</f>
        <v>-0.3</v>
      </c>
      <c r="J49" s="100"/>
      <c r="K49" s="42">
        <f>G49-E49</f>
        <v>-0.30000000000291038</v>
      </c>
      <c r="L49" s="42"/>
    </row>
    <row r="50" spans="1:12" ht="18" customHeight="1" thickBot="1">
      <c r="A50" s="117" t="str">
        <f>'Exh D-Governmental  '!A50</f>
        <v xml:space="preserve">Fund Balances (Deficits) at March 31, 2023 </v>
      </c>
      <c r="B50" s="120" t="s">
        <v>14</v>
      </c>
      <c r="C50" s="1258">
        <f>ROUND(SUM(C47:C49),1)</f>
        <v>25256</v>
      </c>
      <c r="D50" s="121"/>
      <c r="E50" s="1258">
        <f>ROUND(SUM(E47:E49),1)</f>
        <v>38924</v>
      </c>
      <c r="F50" s="121"/>
      <c r="G50" s="69">
        <f>ROUND(SUM(G47:G49),1)</f>
        <v>43450.6</v>
      </c>
      <c r="H50" s="121"/>
      <c r="I50" s="69">
        <f>ROUND(SUM(I47:I49),1)</f>
        <v>18194.599999999999</v>
      </c>
      <c r="J50" s="100"/>
      <c r="K50" s="69">
        <f>ROUND(SUM(K47:K49),1)</f>
        <v>4526.6000000000004</v>
      </c>
      <c r="L50" s="65"/>
    </row>
    <row r="51" spans="1:12" ht="15" customHeight="1" thickTop="1">
      <c r="A51" s="103"/>
      <c r="L51" s="498"/>
    </row>
    <row r="52" spans="1:12">
      <c r="A52" s="676" t="str">
        <f>'Exh D-Governmental  '!A52</f>
        <v>(*)    Source: 2022-23 Enacted Financial Plan dated May 20, 2022.</v>
      </c>
    </row>
    <row r="53" spans="1:12">
      <c r="A53" s="676" t="str">
        <f>'Exh D-Governmental  '!A53</f>
        <v>(**)   Source: 2023-24 Executive Budget with 30-day amendments dated March 3, 2023.</v>
      </c>
    </row>
    <row r="54" spans="1:12">
      <c r="A54" s="597" t="s">
        <v>1513</v>
      </c>
    </row>
    <row r="55" spans="1:12">
      <c r="A55" s="597" t="s">
        <v>1195</v>
      </c>
    </row>
    <row r="57" spans="1:12">
      <c r="A57" s="597" t="s">
        <v>14</v>
      </c>
      <c r="C57" s="2192"/>
    </row>
    <row r="58" spans="1:12">
      <c r="A58" s="597"/>
      <c r="C58" s="2192"/>
      <c r="G58" s="454" t="s">
        <v>14</v>
      </c>
    </row>
    <row r="59" spans="1:12">
      <c r="C59" s="2192"/>
    </row>
    <row r="60" spans="1:12">
      <c r="A60" s="1741"/>
      <c r="C60" s="2193"/>
    </row>
    <row r="61" spans="1:12">
      <c r="A61" s="136"/>
      <c r="C61" s="2192"/>
    </row>
    <row r="62" spans="1:12">
      <c r="C62" s="2192"/>
    </row>
  </sheetData>
  <mergeCells count="2">
    <mergeCell ref="A5:E5"/>
    <mergeCell ref="C11:I11"/>
  </mergeCells>
  <printOptions horizontalCentered="1"/>
  <pageMargins left="0.5" right="0.75" top="0.75" bottom="0.75" header="0.5" footer="0.25"/>
  <pageSetup scale="58" firstPageNumber="10"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2023-04-14T15:17:06Z</dcterms:created>
  <dcterms:modified xsi:type="dcterms:W3CDTF">2023-04-14T18:05:35Z</dcterms:modified>
</cp:coreProperties>
</file>